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B9D16B42-C668-4274-94DE-E1E2405D2AB3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<sst xmlns="http://schemas.openxmlformats.org/spreadsheetml/2006/main" count="58244" uniqueCount="4603">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</sst>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1">
    <xf numFmtId="0" fontId="0" fillId="0" borderId="0" xfId="0" applyFont="1" applyAlignment="1"/>
    <xf numFmtId="0" fontId="5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1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1" customWidth="1"/>
    <col min="13" max="13" width="9.6640625" customWidth="1"/>
    <col min="14" max="14" width="15.109375" style="281" customWidth="1"/>
    <col min="15" max="15" width="40.88671875" bestFit="1" customWidth="1"/>
    <col min="16" max="16" width="14.33203125" style="501" bestFit="1" customWidth="1"/>
  </cols>
  <sheetData>
    <row r="1" spans="1:16">
      <c r="B1" s="520" t="s">
        <v>1641</v>
      </c>
    </row>
    <row r="2" spans="1:16">
      <c r="B2" s="540">
        <v>1</v>
      </c>
      <c r="C2" s="536">
        <v>2</v>
      </c>
      <c r="D2" s="536">
        <v>3</v>
      </c>
      <c r="E2" s="536">
        <v>14</v>
      </c>
      <c r="H2" s="536"/>
      <c r="I2" s="536"/>
      <c r="J2" s="536"/>
      <c r="K2" s="536"/>
      <c r="L2" s="541">
        <v>5</v>
      </c>
      <c r="M2" s="536">
        <v>6</v>
      </c>
      <c r="N2" s="536">
        <v>8</v>
      </c>
      <c r="O2" s="536">
        <v>9</v>
      </c>
      <c r="P2" s="536">
        <v>10</v>
      </c>
    </row>
    <row r="3" spans="1:16" ht="41.25" customHeight="1">
      <c r="B3" s="294" t="s">
        <v>882</v>
      </c>
      <c r="C3" s="294" t="s">
        <v>873</v>
      </c>
      <c r="D3" s="294" t="s">
        <v>882</v>
      </c>
      <c r="E3" s="294" t="s">
        <v>885</v>
      </c>
      <c r="F3" s="294" t="s">
        <v>886</v>
      </c>
      <c r="G3" s="294" t="s">
        <v>930</v>
      </c>
      <c r="H3" s="294" t="s">
        <v>1637</v>
      </c>
      <c r="I3" s="294" t="s">
        <v>1638</v>
      </c>
      <c r="J3" s="294" t="s">
        <v>1639</v>
      </c>
      <c r="K3" s="294" t="s">
        <v>1640</v>
      </c>
      <c r="L3" s="294" t="s">
        <v>874</v>
      </c>
      <c r="M3" s="294" t="s">
        <v>875</v>
      </c>
      <c r="N3" s="294" t="s">
        <v>879</v>
      </c>
      <c r="O3" s="294" t="s">
        <v>880</v>
      </c>
      <c r="P3" s="299" t="s">
        <v>876</v>
      </c>
    </row>
    <row r="4" spans="1:16">
      <c r="A4" t="s">
        <v>960</v>
      </c>
      <c r="B4" s="28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9" t="s">
        <v>2</v>
      </c>
      <c r="I4" s="281">
        <v>1</v>
      </c>
      <c r="J4" s="539" t="s">
        <v>2</v>
      </c>
      <c r="K4" s="281">
        <v>101</v>
      </c>
      <c r="L4" s="539" t="s">
        <v>887</v>
      </c>
      <c r="M4" t="s">
        <v>888</v>
      </c>
      <c r="N4" s="281">
        <v>5010000000</v>
      </c>
      <c r="O4" t="s">
        <v>890</v>
      </c>
      <c r="P4" s="501">
        <v>20425000</v>
      </c>
    </row>
    <row r="5" spans="1:16">
      <c r="A5" t="s">
        <v>961</v>
      </c>
      <c r="B5" s="28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9" t="s">
        <v>2</v>
      </c>
      <c r="I5" s="281">
        <v>1</v>
      </c>
      <c r="J5" s="539" t="s">
        <v>2</v>
      </c>
      <c r="K5" s="281">
        <v>101</v>
      </c>
      <c r="L5" s="539" t="s">
        <v>887</v>
      </c>
      <c r="M5" t="s">
        <v>888</v>
      </c>
      <c r="N5" s="281">
        <v>5020000000</v>
      </c>
      <c r="O5" t="s">
        <v>891</v>
      </c>
      <c r="P5" s="501">
        <v>11251000</v>
      </c>
    </row>
    <row r="6" spans="1:16">
      <c r="A6" t="s">
        <v>962</v>
      </c>
      <c r="B6" s="28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9" t="s">
        <v>2</v>
      </c>
      <c r="I6" s="281">
        <v>1</v>
      </c>
      <c r="J6" s="539" t="s">
        <v>2</v>
      </c>
      <c r="K6" s="281">
        <v>101</v>
      </c>
      <c r="L6" s="539" t="s">
        <v>887</v>
      </c>
      <c r="M6" t="s">
        <v>888</v>
      </c>
      <c r="N6" s="281">
        <v>5010301000</v>
      </c>
      <c r="O6" t="s">
        <v>528</v>
      </c>
      <c r="P6" s="501">
        <v>1872000</v>
      </c>
    </row>
    <row r="7" spans="1:16">
      <c r="A7" t="s">
        <v>963</v>
      </c>
      <c r="B7" s="28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9" t="s">
        <v>2</v>
      </c>
      <c r="I7" s="281">
        <v>1</v>
      </c>
      <c r="J7" s="539" t="s">
        <v>2</v>
      </c>
      <c r="K7" s="281">
        <v>101</v>
      </c>
      <c r="L7" s="539" t="s">
        <v>887</v>
      </c>
      <c r="M7" t="s">
        <v>888</v>
      </c>
      <c r="N7" s="281">
        <v>5010403001</v>
      </c>
      <c r="O7" t="s">
        <v>547</v>
      </c>
      <c r="P7" s="501">
        <v>2043000</v>
      </c>
    </row>
    <row r="8" spans="1:16">
      <c r="A8" t="s">
        <v>964</v>
      </c>
      <c r="B8" s="28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9" t="s">
        <v>2</v>
      </c>
      <c r="I8" s="281">
        <v>1</v>
      </c>
      <c r="J8" s="539" t="s">
        <v>2</v>
      </c>
      <c r="K8" s="281">
        <v>101</v>
      </c>
      <c r="L8" s="539" t="s">
        <v>887</v>
      </c>
      <c r="M8" t="s">
        <v>888</v>
      </c>
      <c r="N8" s="281">
        <v>5010000000</v>
      </c>
      <c r="O8" t="s">
        <v>890</v>
      </c>
      <c r="P8" s="501">
        <v>6704000</v>
      </c>
    </row>
    <row r="9" spans="1:16">
      <c r="A9" t="s">
        <v>965</v>
      </c>
      <c r="B9" s="28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9" t="s">
        <v>2</v>
      </c>
      <c r="I9" s="281">
        <v>1</v>
      </c>
      <c r="J9" s="539" t="s">
        <v>2</v>
      </c>
      <c r="K9" s="281">
        <v>101</v>
      </c>
      <c r="L9" s="539" t="s">
        <v>887</v>
      </c>
      <c r="M9" t="s">
        <v>888</v>
      </c>
      <c r="N9" s="281">
        <v>5020000000</v>
      </c>
      <c r="O9" t="s">
        <v>891</v>
      </c>
      <c r="P9" s="501">
        <v>3219000</v>
      </c>
    </row>
    <row r="10" spans="1:16">
      <c r="A10" t="s">
        <v>966</v>
      </c>
      <c r="B10" s="28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9" t="s">
        <v>2</v>
      </c>
      <c r="I10" s="281">
        <v>1</v>
      </c>
      <c r="J10" s="539" t="s">
        <v>2</v>
      </c>
      <c r="K10" s="281">
        <v>101</v>
      </c>
      <c r="L10" s="539" t="s">
        <v>887</v>
      </c>
      <c r="M10" t="s">
        <v>888</v>
      </c>
      <c r="N10" s="281">
        <v>5010301000</v>
      </c>
      <c r="O10" t="s">
        <v>528</v>
      </c>
      <c r="P10" s="501">
        <v>638000</v>
      </c>
    </row>
    <row r="11" spans="1:16">
      <c r="A11" t="s">
        <v>967</v>
      </c>
      <c r="B11" s="28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9" t="s">
        <v>2</v>
      </c>
      <c r="I11" s="281">
        <v>1</v>
      </c>
      <c r="J11" s="539" t="s">
        <v>2</v>
      </c>
      <c r="K11" s="281">
        <v>101</v>
      </c>
      <c r="L11" s="539" t="s">
        <v>887</v>
      </c>
      <c r="M11" t="s">
        <v>888</v>
      </c>
      <c r="N11" s="281">
        <v>5010000000</v>
      </c>
      <c r="O11" t="s">
        <v>890</v>
      </c>
      <c r="P11" s="501">
        <v>8859000</v>
      </c>
    </row>
    <row r="12" spans="1:16">
      <c r="A12" t="s">
        <v>968</v>
      </c>
      <c r="B12" s="28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9" t="s">
        <v>2</v>
      </c>
      <c r="I12" s="281">
        <v>1</v>
      </c>
      <c r="J12" s="539" t="s">
        <v>2</v>
      </c>
      <c r="K12" s="281">
        <v>101</v>
      </c>
      <c r="L12" s="539" t="s">
        <v>887</v>
      </c>
      <c r="M12" t="s">
        <v>888</v>
      </c>
      <c r="N12" s="281">
        <v>5020000000</v>
      </c>
      <c r="O12" t="s">
        <v>891</v>
      </c>
      <c r="P12" s="501">
        <v>4712000</v>
      </c>
    </row>
    <row r="13" spans="1:16">
      <c r="A13" t="s">
        <v>969</v>
      </c>
      <c r="B13" s="28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9" t="s">
        <v>2</v>
      </c>
      <c r="I13" s="281">
        <v>1</v>
      </c>
      <c r="J13" s="539" t="s">
        <v>2</v>
      </c>
      <c r="K13" s="281">
        <v>101</v>
      </c>
      <c r="L13" s="539" t="s">
        <v>887</v>
      </c>
      <c r="M13" t="s">
        <v>888</v>
      </c>
      <c r="N13" s="281">
        <v>5010301000</v>
      </c>
      <c r="O13" t="s">
        <v>528</v>
      </c>
      <c r="P13" s="501">
        <v>818000</v>
      </c>
    </row>
    <row r="14" spans="1:16">
      <c r="A14" t="s">
        <v>970</v>
      </c>
      <c r="B14" s="28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9" t="s">
        <v>2</v>
      </c>
      <c r="I14" s="281">
        <v>1</v>
      </c>
      <c r="J14" s="539" t="s">
        <v>2</v>
      </c>
      <c r="K14" s="281">
        <v>101</v>
      </c>
      <c r="L14" s="539" t="s">
        <v>887</v>
      </c>
      <c r="M14" t="s">
        <v>888</v>
      </c>
      <c r="N14" s="281">
        <v>5010000000</v>
      </c>
      <c r="O14" t="s">
        <v>890</v>
      </c>
      <c r="P14" s="501">
        <v>9805000</v>
      </c>
    </row>
    <row r="15" spans="1:16">
      <c r="A15" t="s">
        <v>971</v>
      </c>
      <c r="B15" s="28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9" t="s">
        <v>2</v>
      </c>
      <c r="I15" s="281">
        <v>1</v>
      </c>
      <c r="J15" s="539" t="s">
        <v>2</v>
      </c>
      <c r="K15" s="281">
        <v>101</v>
      </c>
      <c r="L15" s="539" t="s">
        <v>887</v>
      </c>
      <c r="M15" t="s">
        <v>888</v>
      </c>
      <c r="N15" s="281">
        <v>5020000000</v>
      </c>
      <c r="O15" t="s">
        <v>891</v>
      </c>
      <c r="P15" s="501">
        <v>8135000</v>
      </c>
    </row>
    <row r="16" spans="1:16">
      <c r="A16" t="s">
        <v>972</v>
      </c>
      <c r="B16" s="28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9" t="s">
        <v>2</v>
      </c>
      <c r="I16" s="281">
        <v>1</v>
      </c>
      <c r="J16" s="539" t="s">
        <v>2</v>
      </c>
      <c r="K16" s="281">
        <v>101</v>
      </c>
      <c r="L16" s="539" t="s">
        <v>887</v>
      </c>
      <c r="M16" t="s">
        <v>888</v>
      </c>
      <c r="N16" s="281">
        <v>5010301000</v>
      </c>
      <c r="O16" t="s">
        <v>528</v>
      </c>
      <c r="P16" s="501">
        <v>918000</v>
      </c>
    </row>
    <row r="17" spans="1:16">
      <c r="A17" t="s">
        <v>973</v>
      </c>
      <c r="B17" s="28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9" t="s">
        <v>2</v>
      </c>
      <c r="I17" s="281">
        <v>1</v>
      </c>
      <c r="J17" s="539" t="s">
        <v>2</v>
      </c>
      <c r="K17" s="281">
        <v>101</v>
      </c>
      <c r="L17" s="539" t="s">
        <v>887</v>
      </c>
      <c r="M17" t="s">
        <v>888</v>
      </c>
      <c r="N17" s="281">
        <v>5010000000</v>
      </c>
      <c r="O17" t="s">
        <v>890</v>
      </c>
      <c r="P17" s="501">
        <v>7768000</v>
      </c>
    </row>
    <row r="18" spans="1:16">
      <c r="A18" t="s">
        <v>974</v>
      </c>
      <c r="B18" s="28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9" t="s">
        <v>2</v>
      </c>
      <c r="I18" s="281">
        <v>1</v>
      </c>
      <c r="J18" s="539" t="s">
        <v>2</v>
      </c>
      <c r="K18" s="281">
        <v>101</v>
      </c>
      <c r="L18" s="539" t="s">
        <v>887</v>
      </c>
      <c r="M18" t="s">
        <v>888</v>
      </c>
      <c r="N18" s="281">
        <v>5020000000</v>
      </c>
      <c r="O18" t="s">
        <v>891</v>
      </c>
      <c r="P18" s="501">
        <v>1412000</v>
      </c>
    </row>
    <row r="19" spans="1:16">
      <c r="A19" t="s">
        <v>975</v>
      </c>
      <c r="B19" s="28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9" t="s">
        <v>2</v>
      </c>
      <c r="I19" s="281">
        <v>1</v>
      </c>
      <c r="J19" s="539" t="s">
        <v>2</v>
      </c>
      <c r="K19" s="281">
        <v>101</v>
      </c>
      <c r="L19" s="539" t="s">
        <v>887</v>
      </c>
      <c r="M19" t="s">
        <v>888</v>
      </c>
      <c r="N19" s="281">
        <v>5010301000</v>
      </c>
      <c r="O19" t="s">
        <v>528</v>
      </c>
      <c r="P19" s="501">
        <v>730000</v>
      </c>
    </row>
    <row r="20" spans="1:16">
      <c r="A20" t="s">
        <v>976</v>
      </c>
      <c r="B20" s="28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9" t="s">
        <v>2</v>
      </c>
      <c r="I20" s="281">
        <v>1</v>
      </c>
      <c r="J20" s="539" t="s">
        <v>2</v>
      </c>
      <c r="K20" s="281">
        <v>101</v>
      </c>
      <c r="L20" s="539" t="s">
        <v>887</v>
      </c>
      <c r="M20" t="s">
        <v>888</v>
      </c>
      <c r="N20" s="281">
        <v>5010000000</v>
      </c>
      <c r="O20" t="s">
        <v>890</v>
      </c>
      <c r="P20" s="501">
        <v>2643000</v>
      </c>
    </row>
    <row r="21" spans="1:16">
      <c r="A21" t="s">
        <v>977</v>
      </c>
      <c r="B21" s="28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9" t="s">
        <v>2</v>
      </c>
      <c r="I21" s="281">
        <v>1</v>
      </c>
      <c r="J21" s="539" t="s">
        <v>2</v>
      </c>
      <c r="K21" s="281">
        <v>101</v>
      </c>
      <c r="L21" s="539" t="s">
        <v>887</v>
      </c>
      <c r="M21" t="s">
        <v>888</v>
      </c>
      <c r="N21" s="281">
        <v>5020000000</v>
      </c>
      <c r="O21" t="s">
        <v>891</v>
      </c>
      <c r="P21" s="501">
        <v>1679000</v>
      </c>
    </row>
    <row r="22" spans="1:16">
      <c r="A22" t="s">
        <v>978</v>
      </c>
      <c r="B22" s="28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9" t="s">
        <v>2</v>
      </c>
      <c r="I22" s="281">
        <v>1</v>
      </c>
      <c r="J22" s="539" t="s">
        <v>2</v>
      </c>
      <c r="K22" s="281">
        <v>101</v>
      </c>
      <c r="L22" s="539" t="s">
        <v>887</v>
      </c>
      <c r="M22" t="s">
        <v>888</v>
      </c>
      <c r="N22" s="281">
        <v>5010301000</v>
      </c>
      <c r="O22" t="s">
        <v>528</v>
      </c>
      <c r="P22" s="501">
        <v>247000</v>
      </c>
    </row>
    <row r="23" spans="1:16">
      <c r="A23" t="s">
        <v>979</v>
      </c>
      <c r="B23" s="28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9" t="s">
        <v>2</v>
      </c>
      <c r="I23" s="281">
        <v>1</v>
      </c>
      <c r="J23" s="539" t="s">
        <v>2</v>
      </c>
      <c r="K23" s="281">
        <v>101</v>
      </c>
      <c r="L23" s="539" t="s">
        <v>887</v>
      </c>
      <c r="M23" t="s">
        <v>888</v>
      </c>
      <c r="N23" s="281">
        <v>5020000000</v>
      </c>
      <c r="O23" t="s">
        <v>891</v>
      </c>
      <c r="P23" s="501">
        <v>998000</v>
      </c>
    </row>
    <row r="24" spans="1:16">
      <c r="A24" t="s">
        <v>980</v>
      </c>
      <c r="B24" s="28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9" t="s">
        <v>2</v>
      </c>
      <c r="I24" s="281">
        <v>1</v>
      </c>
      <c r="J24" s="539" t="s">
        <v>2</v>
      </c>
      <c r="K24" s="281">
        <v>101</v>
      </c>
      <c r="L24" s="539" t="s">
        <v>887</v>
      </c>
      <c r="M24" t="s">
        <v>888</v>
      </c>
      <c r="N24" s="281">
        <v>5020000000</v>
      </c>
      <c r="O24" t="s">
        <v>891</v>
      </c>
      <c r="P24" s="501">
        <v>28602000</v>
      </c>
    </row>
    <row r="25" spans="1:16">
      <c r="A25" t="s">
        <v>981</v>
      </c>
      <c r="B25" s="28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9" t="s">
        <v>2</v>
      </c>
      <c r="I25" s="281">
        <v>1</v>
      </c>
      <c r="J25" s="539" t="s">
        <v>2</v>
      </c>
      <c r="K25" s="281">
        <v>101</v>
      </c>
      <c r="L25" s="539" t="s">
        <v>887</v>
      </c>
      <c r="M25" t="s">
        <v>888</v>
      </c>
      <c r="N25" s="281">
        <v>5060000000</v>
      </c>
      <c r="O25" t="s">
        <v>898</v>
      </c>
      <c r="P25" s="501">
        <v>5150000</v>
      </c>
    </row>
    <row r="26" spans="1:16">
      <c r="A26" t="s">
        <v>982</v>
      </c>
      <c r="B26" s="28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9" t="s">
        <v>2</v>
      </c>
      <c r="I26" s="281">
        <v>1</v>
      </c>
      <c r="J26" s="539" t="s">
        <v>2</v>
      </c>
      <c r="K26" s="281">
        <v>101</v>
      </c>
      <c r="L26" s="539" t="s">
        <v>887</v>
      </c>
      <c r="M26" t="s">
        <v>888</v>
      </c>
      <c r="N26" s="281">
        <v>5020000000</v>
      </c>
      <c r="O26" t="s">
        <v>891</v>
      </c>
      <c r="P26" s="501">
        <v>6894000</v>
      </c>
    </row>
    <row r="27" spans="1:16">
      <c r="A27" t="s">
        <v>983</v>
      </c>
      <c r="B27" s="28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9" t="s">
        <v>2</v>
      </c>
      <c r="I27" s="281">
        <v>1</v>
      </c>
      <c r="J27" s="539" t="s">
        <v>2</v>
      </c>
      <c r="K27" s="281">
        <v>101</v>
      </c>
      <c r="L27" s="539" t="s">
        <v>887</v>
      </c>
      <c r="M27" t="s">
        <v>888</v>
      </c>
      <c r="N27" s="281">
        <v>5020000000</v>
      </c>
      <c r="O27" t="s">
        <v>891</v>
      </c>
      <c r="P27" s="501">
        <v>4416000</v>
      </c>
    </row>
    <row r="28" spans="1:16">
      <c r="A28" t="s">
        <v>984</v>
      </c>
      <c r="B28" s="28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9" t="s">
        <v>2</v>
      </c>
      <c r="I28" s="281">
        <v>1</v>
      </c>
      <c r="J28" s="539" t="s">
        <v>2</v>
      </c>
      <c r="K28" s="281">
        <v>101</v>
      </c>
      <c r="L28" s="539" t="s">
        <v>887</v>
      </c>
      <c r="M28" t="s">
        <v>888</v>
      </c>
      <c r="N28" s="281">
        <v>5060000000</v>
      </c>
      <c r="O28" t="s">
        <v>898</v>
      </c>
      <c r="P28" s="501">
        <v>97350000</v>
      </c>
    </row>
    <row r="29" spans="1:16" ht="15" thickBot="1">
      <c r="A29" t="s">
        <v>985</v>
      </c>
      <c r="B29" s="28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9" t="s">
        <v>2</v>
      </c>
      <c r="I29" s="281">
        <v>1</v>
      </c>
      <c r="J29" s="539" t="s">
        <v>2</v>
      </c>
      <c r="K29" s="281">
        <v>101</v>
      </c>
      <c r="L29" s="539" t="s">
        <v>887</v>
      </c>
      <c r="M29" t="s">
        <v>888</v>
      </c>
      <c r="N29" s="281">
        <v>5020000000</v>
      </c>
      <c r="O29" t="s">
        <v>891</v>
      </c>
      <c r="P29" s="501">
        <v>8628000</v>
      </c>
    </row>
    <row r="30" spans="1:16" ht="15" thickBot="1">
      <c r="A30" t="s">
        <v>986</v>
      </c>
      <c r="B30" s="281">
        <v>12</v>
      </c>
      <c r="C30" s="538" t="s">
        <v>1636</v>
      </c>
      <c r="D30" t="s">
        <v>924</v>
      </c>
      <c r="E30" t="s">
        <v>926</v>
      </c>
      <c r="F30" t="s">
        <v>923</v>
      </c>
      <c r="G30" t="s">
        <v>927</v>
      </c>
      <c r="H30" s="539" t="s">
        <v>2</v>
      </c>
      <c r="I30" s="281">
        <v>1</v>
      </c>
      <c r="J30" s="539" t="s">
        <v>2</v>
      </c>
      <c r="K30" s="281">
        <v>101</v>
      </c>
      <c r="L30" s="539" t="s">
        <v>887</v>
      </c>
      <c r="M30" t="s">
        <v>888</v>
      </c>
      <c r="N30" s="281">
        <v>5020101000</v>
      </c>
      <c r="O30" t="s">
        <v>555</v>
      </c>
      <c r="P30" s="501">
        <v>213400</v>
      </c>
    </row>
    <row r="31" spans="1:16" ht="15" thickBot="1">
      <c r="A31" t="s">
        <v>987</v>
      </c>
      <c r="B31" s="281">
        <v>12</v>
      </c>
      <c r="C31" s="538" t="s">
        <v>1636</v>
      </c>
      <c r="D31" t="s">
        <v>924</v>
      </c>
      <c r="E31" t="s">
        <v>926</v>
      </c>
      <c r="F31" t="s">
        <v>923</v>
      </c>
      <c r="G31" t="s">
        <v>927</v>
      </c>
      <c r="H31" s="539" t="s">
        <v>2</v>
      </c>
      <c r="I31" s="281">
        <v>1</v>
      </c>
      <c r="J31" s="539" t="s">
        <v>2</v>
      </c>
      <c r="K31" s="281">
        <v>101</v>
      </c>
      <c r="L31" s="539" t="s">
        <v>887</v>
      </c>
      <c r="M31" t="s">
        <v>888</v>
      </c>
      <c r="N31" s="281">
        <v>5020201000</v>
      </c>
      <c r="O31" t="s">
        <v>560</v>
      </c>
      <c r="P31" s="501">
        <v>450261.72</v>
      </c>
    </row>
    <row r="32" spans="1:16" ht="15" thickBot="1">
      <c r="A32" t="s">
        <v>988</v>
      </c>
      <c r="B32" s="281">
        <v>12</v>
      </c>
      <c r="C32" s="538" t="s">
        <v>1636</v>
      </c>
      <c r="D32" t="s">
        <v>924</v>
      </c>
      <c r="E32" t="s">
        <v>926</v>
      </c>
      <c r="F32" t="s">
        <v>923</v>
      </c>
      <c r="G32" t="s">
        <v>927</v>
      </c>
      <c r="H32" s="539" t="s">
        <v>2</v>
      </c>
      <c r="I32" s="281">
        <v>1</v>
      </c>
      <c r="J32" s="539" t="s">
        <v>2</v>
      </c>
      <c r="K32" s="281">
        <v>101</v>
      </c>
      <c r="L32" s="539" t="s">
        <v>887</v>
      </c>
      <c r="M32" t="s">
        <v>888</v>
      </c>
      <c r="N32" s="281">
        <v>5020301000</v>
      </c>
      <c r="O32" t="s">
        <v>565</v>
      </c>
      <c r="P32" s="501">
        <v>20004</v>
      </c>
    </row>
    <row r="33" spans="1:16" ht="15" thickBot="1">
      <c r="A33" t="s">
        <v>989</v>
      </c>
      <c r="B33" s="281">
        <v>12</v>
      </c>
      <c r="C33" s="538" t="s">
        <v>1636</v>
      </c>
      <c r="D33" t="s">
        <v>924</v>
      </c>
      <c r="E33" t="s">
        <v>926</v>
      </c>
      <c r="F33" t="s">
        <v>923</v>
      </c>
      <c r="G33" t="s">
        <v>927</v>
      </c>
      <c r="H33" s="539" t="s">
        <v>2</v>
      </c>
      <c r="I33" s="281">
        <v>1</v>
      </c>
      <c r="J33" s="539" t="s">
        <v>2</v>
      </c>
      <c r="K33" s="281">
        <v>101</v>
      </c>
      <c r="L33" s="539" t="s">
        <v>887</v>
      </c>
      <c r="M33" t="s">
        <v>888</v>
      </c>
      <c r="N33" s="281">
        <v>5020309000</v>
      </c>
      <c r="O33" t="s">
        <v>581</v>
      </c>
      <c r="P33" s="501">
        <v>1000</v>
      </c>
    </row>
    <row r="34" spans="1:16" ht="15" thickBot="1">
      <c r="A34" t="s">
        <v>990</v>
      </c>
      <c r="B34" s="281">
        <v>12</v>
      </c>
      <c r="C34" s="538" t="s">
        <v>1636</v>
      </c>
      <c r="D34" t="s">
        <v>924</v>
      </c>
      <c r="E34" t="s">
        <v>926</v>
      </c>
      <c r="F34" t="s">
        <v>923</v>
      </c>
      <c r="G34" t="s">
        <v>927</v>
      </c>
      <c r="H34" s="539" t="s">
        <v>2</v>
      </c>
      <c r="I34" s="281">
        <v>1</v>
      </c>
      <c r="J34" s="539" t="s">
        <v>2</v>
      </c>
      <c r="K34" s="281">
        <v>101</v>
      </c>
      <c r="L34" s="539" t="s">
        <v>887</v>
      </c>
      <c r="M34" t="s">
        <v>888</v>
      </c>
      <c r="N34" s="281">
        <v>5020501000</v>
      </c>
      <c r="O34" t="s">
        <v>601</v>
      </c>
      <c r="P34" s="501">
        <v>533.28</v>
      </c>
    </row>
    <row r="35" spans="1:16" ht="15" thickBot="1">
      <c r="A35" t="s">
        <v>991</v>
      </c>
      <c r="B35" s="281">
        <v>12</v>
      </c>
      <c r="C35" s="538" t="s">
        <v>1636</v>
      </c>
      <c r="D35" t="s">
        <v>924</v>
      </c>
      <c r="E35" t="s">
        <v>926</v>
      </c>
      <c r="F35" t="s">
        <v>923</v>
      </c>
      <c r="G35" t="s">
        <v>927</v>
      </c>
      <c r="H35" s="539" t="s">
        <v>2</v>
      </c>
      <c r="I35" s="281">
        <v>1</v>
      </c>
      <c r="J35" s="539" t="s">
        <v>2</v>
      </c>
      <c r="K35" s="281">
        <v>101</v>
      </c>
      <c r="L35" s="539" t="s">
        <v>887</v>
      </c>
      <c r="M35" t="s">
        <v>888</v>
      </c>
      <c r="N35" s="281">
        <v>5020502001</v>
      </c>
      <c r="O35" t="s">
        <v>603</v>
      </c>
      <c r="P35" s="501">
        <v>7900</v>
      </c>
    </row>
    <row r="36" spans="1:16" ht="15" thickBot="1">
      <c r="A36" t="s">
        <v>992</v>
      </c>
      <c r="B36" s="281">
        <v>12</v>
      </c>
      <c r="C36" s="538" t="s">
        <v>1636</v>
      </c>
      <c r="D36" t="s">
        <v>924</v>
      </c>
      <c r="E36" t="s">
        <v>926</v>
      </c>
      <c r="F36" t="s">
        <v>923</v>
      </c>
      <c r="G36" t="s">
        <v>927</v>
      </c>
      <c r="H36" s="539" t="s">
        <v>2</v>
      </c>
      <c r="I36" s="281">
        <v>1</v>
      </c>
      <c r="J36" s="539" t="s">
        <v>2</v>
      </c>
      <c r="K36" s="281">
        <v>101</v>
      </c>
      <c r="L36" s="539" t="s">
        <v>887</v>
      </c>
      <c r="M36" t="s">
        <v>888</v>
      </c>
      <c r="N36" s="281">
        <v>5021103000</v>
      </c>
      <c r="O36" t="s">
        <v>631</v>
      </c>
      <c r="P36" s="501">
        <v>1600</v>
      </c>
    </row>
    <row r="37" spans="1:16" ht="15" thickBot="1">
      <c r="A37" t="s">
        <v>993</v>
      </c>
      <c r="B37" s="281">
        <v>12</v>
      </c>
      <c r="C37" s="538" t="s">
        <v>1636</v>
      </c>
      <c r="D37" t="s">
        <v>924</v>
      </c>
      <c r="E37" t="s">
        <v>926</v>
      </c>
      <c r="F37" t="s">
        <v>923</v>
      </c>
      <c r="G37" t="s">
        <v>927</v>
      </c>
      <c r="H37" s="539" t="s">
        <v>2</v>
      </c>
      <c r="I37" s="281">
        <v>1</v>
      </c>
      <c r="J37" s="539" t="s">
        <v>2</v>
      </c>
      <c r="K37" s="281">
        <v>101</v>
      </c>
      <c r="L37" s="539" t="s">
        <v>887</v>
      </c>
      <c r="M37" t="s">
        <v>888</v>
      </c>
      <c r="N37" s="281">
        <v>5021199000</v>
      </c>
      <c r="O37" t="s">
        <v>633</v>
      </c>
      <c r="P37" s="501">
        <v>384982.5</v>
      </c>
    </row>
    <row r="38" spans="1:16" ht="15" thickBot="1">
      <c r="A38" t="s">
        <v>994</v>
      </c>
      <c r="B38" s="281">
        <v>12</v>
      </c>
      <c r="C38" s="538" t="s">
        <v>1636</v>
      </c>
      <c r="D38" t="s">
        <v>924</v>
      </c>
      <c r="E38" t="s">
        <v>926</v>
      </c>
      <c r="F38" t="s">
        <v>923</v>
      </c>
      <c r="G38" t="s">
        <v>927</v>
      </c>
      <c r="H38" s="539" t="s">
        <v>2</v>
      </c>
      <c r="I38" s="281">
        <v>1</v>
      </c>
      <c r="J38" s="539" t="s">
        <v>2</v>
      </c>
      <c r="K38" s="281">
        <v>101</v>
      </c>
      <c r="L38" s="539" t="s">
        <v>887</v>
      </c>
      <c r="M38" t="s">
        <v>888</v>
      </c>
      <c r="N38" s="281">
        <v>5021299000</v>
      </c>
      <c r="O38" t="s">
        <v>642</v>
      </c>
      <c r="P38" s="501">
        <v>6000</v>
      </c>
    </row>
    <row r="39" spans="1:16" ht="15" thickBot="1">
      <c r="A39" t="s">
        <v>995</v>
      </c>
      <c r="B39" s="281">
        <v>12</v>
      </c>
      <c r="C39" s="538" t="s">
        <v>1636</v>
      </c>
      <c r="D39" t="s">
        <v>924</v>
      </c>
      <c r="E39" t="s">
        <v>926</v>
      </c>
      <c r="F39" t="s">
        <v>923</v>
      </c>
      <c r="G39" t="s">
        <v>927</v>
      </c>
      <c r="H39" s="539" t="s">
        <v>2</v>
      </c>
      <c r="I39" s="281">
        <v>1</v>
      </c>
      <c r="J39" s="539" t="s">
        <v>2</v>
      </c>
      <c r="K39" s="281">
        <v>101</v>
      </c>
      <c r="L39" s="539" t="s">
        <v>887</v>
      </c>
      <c r="M39" t="s">
        <v>888</v>
      </c>
      <c r="N39" s="281">
        <v>5029902000</v>
      </c>
      <c r="O39" t="s">
        <v>676</v>
      </c>
      <c r="P39" s="501">
        <v>937.5</v>
      </c>
    </row>
    <row r="40" spans="1:16" ht="15" thickBot="1">
      <c r="A40" t="s">
        <v>996</v>
      </c>
      <c r="B40" s="281">
        <v>12</v>
      </c>
      <c r="C40" s="538" t="s">
        <v>1636</v>
      </c>
      <c r="D40" t="s">
        <v>924</v>
      </c>
      <c r="E40" t="s">
        <v>926</v>
      </c>
      <c r="F40" t="s">
        <v>923</v>
      </c>
      <c r="G40" t="s">
        <v>927</v>
      </c>
      <c r="H40" s="539" t="s">
        <v>2</v>
      </c>
      <c r="I40" s="281">
        <v>1</v>
      </c>
      <c r="J40" s="539" t="s">
        <v>2</v>
      </c>
      <c r="K40" s="281">
        <v>101</v>
      </c>
      <c r="L40" s="539" t="s">
        <v>887</v>
      </c>
      <c r="M40" t="s">
        <v>888</v>
      </c>
      <c r="N40" s="281">
        <v>5029903000</v>
      </c>
      <c r="O40" t="s">
        <v>678</v>
      </c>
      <c r="P40" s="501">
        <v>2500</v>
      </c>
    </row>
    <row r="41" spans="1:16" ht="15" thickBot="1">
      <c r="A41" t="s">
        <v>997</v>
      </c>
      <c r="B41" s="281">
        <v>12</v>
      </c>
      <c r="C41" s="538" t="s">
        <v>1636</v>
      </c>
      <c r="D41" t="s">
        <v>924</v>
      </c>
      <c r="E41" t="s">
        <v>926</v>
      </c>
      <c r="F41" t="s">
        <v>923</v>
      </c>
      <c r="G41" t="s">
        <v>927</v>
      </c>
      <c r="H41" s="539" t="s">
        <v>2</v>
      </c>
      <c r="I41" s="281">
        <v>1</v>
      </c>
      <c r="J41" s="539" t="s">
        <v>2</v>
      </c>
      <c r="K41" s="281">
        <v>101</v>
      </c>
      <c r="L41" s="539" t="s">
        <v>887</v>
      </c>
      <c r="M41" t="s">
        <v>888</v>
      </c>
      <c r="N41" s="281">
        <v>5029904000</v>
      </c>
      <c r="O41" t="s">
        <v>680</v>
      </c>
      <c r="P41" s="501">
        <v>500</v>
      </c>
    </row>
    <row r="42" spans="1:16" ht="15" thickBot="1">
      <c r="A42" t="s">
        <v>998</v>
      </c>
      <c r="B42" s="281">
        <v>12</v>
      </c>
      <c r="C42" s="538" t="s">
        <v>1636</v>
      </c>
      <c r="D42" t="s">
        <v>924</v>
      </c>
      <c r="E42" t="s">
        <v>926</v>
      </c>
      <c r="F42" t="s">
        <v>923</v>
      </c>
      <c r="G42" t="s">
        <v>927</v>
      </c>
      <c r="H42" s="539" t="s">
        <v>2</v>
      </c>
      <c r="I42" s="281">
        <v>1</v>
      </c>
      <c r="J42" s="539" t="s">
        <v>2</v>
      </c>
      <c r="K42" s="281">
        <v>101</v>
      </c>
      <c r="L42" s="539" t="s">
        <v>887</v>
      </c>
      <c r="M42" t="s">
        <v>888</v>
      </c>
      <c r="N42" s="281">
        <v>5029999099</v>
      </c>
      <c r="O42" t="s">
        <v>672</v>
      </c>
      <c r="P42" s="501">
        <v>2000</v>
      </c>
    </row>
    <row r="43" spans="1:16" ht="15" thickBot="1">
      <c r="A43" t="s">
        <v>999</v>
      </c>
      <c r="B43" s="281">
        <v>13</v>
      </c>
      <c r="C43" s="538" t="s">
        <v>1636</v>
      </c>
      <c r="D43" t="s">
        <v>925</v>
      </c>
      <c r="E43" t="s">
        <v>926</v>
      </c>
      <c r="F43" t="s">
        <v>923</v>
      </c>
      <c r="G43" t="s">
        <v>927</v>
      </c>
      <c r="H43" s="539" t="s">
        <v>2</v>
      </c>
      <c r="I43" s="281">
        <v>1</v>
      </c>
      <c r="J43" s="539" t="s">
        <v>2</v>
      </c>
      <c r="K43" s="281">
        <v>101</v>
      </c>
      <c r="L43" s="539" t="s">
        <v>887</v>
      </c>
      <c r="M43" t="s">
        <v>888</v>
      </c>
      <c r="N43" s="281">
        <v>5010102000</v>
      </c>
      <c r="O43" t="s">
        <v>501</v>
      </c>
      <c r="P43" s="501">
        <v>5017266.7</v>
      </c>
    </row>
    <row r="44" spans="1:16" ht="15" thickBot="1">
      <c r="A44" t="s">
        <v>1221</v>
      </c>
      <c r="B44" s="281">
        <v>14</v>
      </c>
      <c r="C44" s="538" t="s">
        <v>1636</v>
      </c>
      <c r="D44" t="s">
        <v>1217</v>
      </c>
      <c r="E44" s="296" t="s">
        <v>1219</v>
      </c>
      <c r="F44" t="s">
        <v>1218</v>
      </c>
      <c r="G44" t="s">
        <v>1220</v>
      </c>
      <c r="H44" s="539" t="s">
        <v>2</v>
      </c>
      <c r="I44" s="281">
        <v>1</v>
      </c>
      <c r="J44" s="539" t="s">
        <v>2</v>
      </c>
      <c r="K44" s="281">
        <v>101</v>
      </c>
      <c r="L44" s="539" t="s">
        <v>887</v>
      </c>
      <c r="M44" t="s">
        <v>888</v>
      </c>
      <c r="N44" s="281">
        <v>5021199000</v>
      </c>
      <c r="O44" t="s">
        <v>633</v>
      </c>
      <c r="P44" s="501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 filterMode="1">
    <tabColor rgb="FFFF0000"/>
  </sheetPr>
  <dimension ref="A2:J357"/>
  <sheetViews>
    <sheetView tabSelected="1" workbookViewId="0">
      <pane ySplit="2" topLeftCell="A3" activePane="bottomLeft" state="frozen"/>
      <selection pane="bottomLeft" activeCell="B272" sqref="B272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1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9" t="s">
        <v>2045</v>
      </c>
      <c r="B2" s="333" t="s">
        <v>155</v>
      </c>
      <c r="C2" s="333" t="s">
        <v>156</v>
      </c>
      <c r="D2" s="549" t="s">
        <v>1993</v>
      </c>
      <c r="E2" s="549" t="s">
        <v>1992</v>
      </c>
      <c r="F2" s="549" t="s">
        <v>2047</v>
      </c>
    </row>
    <row r="3" spans="1:6" hidden="1">
      <c r="A3" s="352" t="s">
        <v>4247</v>
      </c>
      <c r="B3" s="463" t="s">
        <v>1643</v>
      </c>
      <c r="C3" s="463" t="s">
        <v>760</v>
      </c>
      <c r="D3" s="550">
        <v>150000</v>
      </c>
      <c r="E3" s="570" t="s">
        <v>816</v>
      </c>
      <c r="F3" s="550"/>
    </row>
    <row r="4" spans="1:6" ht="27.6" hidden="1">
      <c r="A4" s="352" t="s">
        <v>4248</v>
      </c>
      <c r="B4" s="463" t="s">
        <v>6</v>
      </c>
      <c r="C4" s="463" t="s">
        <v>761</v>
      </c>
      <c r="D4" s="550">
        <v>10000</v>
      </c>
      <c r="E4" s="570" t="s">
        <v>4602</v>
      </c>
      <c r="F4" s="550"/>
    </row>
    <row r="5" spans="1:6" ht="41.4" hidden="1">
      <c r="A5" s="352" t="s">
        <v>4249</v>
      </c>
      <c r="B5" s="463" t="s">
        <v>10</v>
      </c>
      <c r="C5" s="463" t="s">
        <v>762</v>
      </c>
      <c r="D5" s="550">
        <v>1935301.23</v>
      </c>
      <c r="E5" s="570" t="s">
        <v>816</v>
      </c>
      <c r="F5" s="550"/>
    </row>
    <row r="6" spans="1:6" ht="41.4" hidden="1">
      <c r="A6" s="352" t="s">
        <v>4250</v>
      </c>
      <c r="B6" s="427" t="s">
        <v>764</v>
      </c>
      <c r="C6" s="463" t="s">
        <v>762</v>
      </c>
      <c r="D6" s="550">
        <v>452644.64</v>
      </c>
      <c r="E6" s="570" t="s">
        <v>816</v>
      </c>
      <c r="F6" s="550"/>
    </row>
    <row r="7" spans="1:6" ht="41.4" hidden="1">
      <c r="A7" s="352" t="s">
        <v>4251</v>
      </c>
      <c r="B7" s="463" t="s">
        <v>765</v>
      </c>
      <c r="C7" s="463" t="s">
        <v>762</v>
      </c>
      <c r="D7" s="550">
        <v>325034.35000000003</v>
      </c>
      <c r="E7" s="570" t="s">
        <v>816</v>
      </c>
      <c r="F7" s="550"/>
    </row>
    <row r="8" spans="1:6" ht="41.4" hidden="1">
      <c r="A8" s="352" t="s">
        <v>4252</v>
      </c>
      <c r="B8" s="463" t="s">
        <v>768</v>
      </c>
      <c r="C8" s="463" t="s">
        <v>762</v>
      </c>
      <c r="D8" s="550">
        <v>666774.09000000008</v>
      </c>
      <c r="E8" s="570" t="s">
        <v>816</v>
      </c>
      <c r="F8" s="550"/>
    </row>
    <row r="9" spans="1:6" hidden="1">
      <c r="A9" s="352" t="s">
        <v>4253</v>
      </c>
      <c r="B9" s="463" t="s">
        <v>773</v>
      </c>
      <c r="C9" s="463" t="s">
        <v>774</v>
      </c>
      <c r="D9" s="550">
        <v>5000</v>
      </c>
      <c r="E9" s="570" t="s">
        <v>816</v>
      </c>
      <c r="F9" s="550"/>
    </row>
    <row r="10" spans="1:6" ht="41.4" hidden="1">
      <c r="A10" s="352" t="s">
        <v>4254</v>
      </c>
      <c r="B10" s="463" t="s">
        <v>777</v>
      </c>
      <c r="C10" s="463" t="s">
        <v>762</v>
      </c>
      <c r="D10" s="550">
        <v>452126.62</v>
      </c>
      <c r="E10" s="570" t="s">
        <v>816</v>
      </c>
      <c r="F10" s="550"/>
    </row>
    <row r="11" spans="1:6" ht="27.6" hidden="1">
      <c r="A11" s="352" t="s">
        <v>4255</v>
      </c>
      <c r="B11" s="427" t="s">
        <v>779</v>
      </c>
      <c r="C11" s="427" t="s">
        <v>850</v>
      </c>
      <c r="D11" s="550">
        <v>160190.04</v>
      </c>
      <c r="E11" s="570" t="s">
        <v>816</v>
      </c>
      <c r="F11" s="550"/>
    </row>
    <row r="12" spans="1:6" ht="27.6" hidden="1">
      <c r="A12" s="352" t="s">
        <v>4256</v>
      </c>
      <c r="B12" s="463" t="s">
        <v>779</v>
      </c>
      <c r="C12" s="463" t="s">
        <v>780</v>
      </c>
      <c r="D12" s="550">
        <v>10311.43</v>
      </c>
      <c r="E12" s="570" t="s">
        <v>816</v>
      </c>
      <c r="F12" s="550"/>
    </row>
    <row r="13" spans="1:6" ht="41.4" hidden="1">
      <c r="A13" s="352" t="s">
        <v>4257</v>
      </c>
      <c r="B13" s="463" t="s">
        <v>782</v>
      </c>
      <c r="C13" s="463" t="s">
        <v>783</v>
      </c>
      <c r="D13" s="550">
        <v>11250</v>
      </c>
      <c r="E13" s="570" t="s">
        <v>816</v>
      </c>
      <c r="F13" s="550"/>
    </row>
    <row r="14" spans="1:6" ht="41.4" hidden="1">
      <c r="A14" s="352" t="s">
        <v>4258</v>
      </c>
      <c r="B14" s="463" t="s">
        <v>789</v>
      </c>
      <c r="C14" s="463" t="s">
        <v>762</v>
      </c>
      <c r="D14" s="550">
        <v>574114.94999999995</v>
      </c>
      <c r="E14" s="570" t="s">
        <v>816</v>
      </c>
      <c r="F14" s="550"/>
    </row>
    <row r="15" spans="1:6" ht="41.4" hidden="1">
      <c r="A15" s="352" t="s">
        <v>4259</v>
      </c>
      <c r="B15" s="463" t="s">
        <v>796</v>
      </c>
      <c r="C15" s="463" t="s">
        <v>792</v>
      </c>
      <c r="D15" s="550">
        <v>2500</v>
      </c>
      <c r="E15" s="570" t="s">
        <v>816</v>
      </c>
      <c r="F15" s="550"/>
    </row>
    <row r="16" spans="1:6" ht="27.6" hidden="1">
      <c r="A16" s="352" t="s">
        <v>4260</v>
      </c>
      <c r="B16" s="463" t="s">
        <v>794</v>
      </c>
      <c r="C16" s="463" t="s">
        <v>795</v>
      </c>
      <c r="D16" s="550">
        <v>0</v>
      </c>
      <c r="E16" s="570" t="s">
        <v>816</v>
      </c>
      <c r="F16" s="550"/>
    </row>
    <row r="17" spans="1:10" hidden="1">
      <c r="A17" s="352" t="s">
        <v>4261</v>
      </c>
      <c r="B17" s="463" t="s">
        <v>773</v>
      </c>
      <c r="C17" s="463" t="s">
        <v>808</v>
      </c>
      <c r="D17" s="550">
        <v>4313.25</v>
      </c>
      <c r="E17" s="570" t="s">
        <v>816</v>
      </c>
      <c r="F17" s="550"/>
    </row>
    <row r="18" spans="1:10" ht="27.6" hidden="1">
      <c r="A18" s="352" t="s">
        <v>4262</v>
      </c>
      <c r="B18" s="463" t="s">
        <v>810</v>
      </c>
      <c r="C18" s="463" t="s">
        <v>811</v>
      </c>
      <c r="D18" s="550">
        <v>22550.49</v>
      </c>
      <c r="E18" s="570" t="s">
        <v>816</v>
      </c>
      <c r="F18" s="550"/>
    </row>
    <row r="19" spans="1:10" ht="27.6" hidden="1">
      <c r="A19" s="352" t="s">
        <v>4263</v>
      </c>
      <c r="B19" s="463" t="s">
        <v>818</v>
      </c>
      <c r="C19" s="463" t="s">
        <v>819</v>
      </c>
      <c r="D19" s="550">
        <v>7800</v>
      </c>
      <c r="E19" s="570" t="s">
        <v>816</v>
      </c>
      <c r="F19" s="550"/>
    </row>
    <row r="20" spans="1:10" ht="27.6" hidden="1">
      <c r="A20" s="352" t="s">
        <v>4264</v>
      </c>
      <c r="B20" s="463" t="s">
        <v>820</v>
      </c>
      <c r="C20" s="463" t="s">
        <v>819</v>
      </c>
      <c r="D20" s="550">
        <v>7800</v>
      </c>
      <c r="E20" s="570" t="s">
        <v>816</v>
      </c>
      <c r="F20" s="550"/>
    </row>
    <row r="21" spans="1:10" ht="27.6" hidden="1">
      <c r="A21" s="352" t="s">
        <v>4265</v>
      </c>
      <c r="B21" s="463" t="s">
        <v>821</v>
      </c>
      <c r="C21" s="463" t="s">
        <v>819</v>
      </c>
      <c r="D21" s="550">
        <v>7800</v>
      </c>
      <c r="E21" s="570" t="s">
        <v>816</v>
      </c>
      <c r="F21" s="550"/>
    </row>
    <row r="22" spans="1:10" ht="27.6" hidden="1">
      <c r="A22" s="352" t="s">
        <v>4266</v>
      </c>
      <c r="B22" s="463" t="s">
        <v>822</v>
      </c>
      <c r="C22" s="463" t="s">
        <v>819</v>
      </c>
      <c r="D22" s="550">
        <v>7800</v>
      </c>
      <c r="E22" s="570" t="s">
        <v>816</v>
      </c>
      <c r="F22" s="550"/>
    </row>
    <row r="23" spans="1:10" ht="27.6" hidden="1">
      <c r="A23" s="352" t="s">
        <v>4267</v>
      </c>
      <c r="B23" s="463" t="s">
        <v>823</v>
      </c>
      <c r="C23" s="463" t="s">
        <v>819</v>
      </c>
      <c r="D23" s="550">
        <v>7800</v>
      </c>
      <c r="E23" s="570" t="s">
        <v>816</v>
      </c>
      <c r="F23" s="550"/>
    </row>
    <row r="24" spans="1:10" ht="27.6" hidden="1">
      <c r="A24" s="352" t="s">
        <v>4268</v>
      </c>
      <c r="B24" s="463" t="s">
        <v>830</v>
      </c>
      <c r="C24" s="463" t="s">
        <v>831</v>
      </c>
      <c r="D24" s="550">
        <v>59500</v>
      </c>
      <c r="E24" s="570" t="s">
        <v>814</v>
      </c>
      <c r="F24" s="550"/>
    </row>
    <row r="25" spans="1:10" ht="27.6" hidden="1">
      <c r="A25" s="352" t="s">
        <v>4269</v>
      </c>
      <c r="B25" s="463" t="s">
        <v>833</v>
      </c>
      <c r="C25" s="463" t="s">
        <v>834</v>
      </c>
      <c r="D25" s="550">
        <v>18046.37</v>
      </c>
      <c r="E25" s="570" t="s">
        <v>816</v>
      </c>
      <c r="F25" s="550"/>
    </row>
    <row r="26" spans="1:10" ht="27.6" hidden="1">
      <c r="A26" s="352" t="s">
        <v>4270</v>
      </c>
      <c r="B26" s="463" t="s">
        <v>836</v>
      </c>
      <c r="C26" s="463" t="s">
        <v>837</v>
      </c>
      <c r="D26" s="550">
        <v>3675</v>
      </c>
      <c r="E26" s="570" t="s">
        <v>816</v>
      </c>
      <c r="F26" s="550"/>
    </row>
    <row r="27" spans="1:10" ht="41.4" hidden="1">
      <c r="A27" s="352" t="s">
        <v>4271</v>
      </c>
      <c r="B27" s="463" t="s">
        <v>839</v>
      </c>
      <c r="C27" s="463" t="s">
        <v>840</v>
      </c>
      <c r="D27" s="550">
        <v>10895.41</v>
      </c>
      <c r="E27" s="570" t="s">
        <v>816</v>
      </c>
      <c r="F27" s="550"/>
    </row>
    <row r="28" spans="1:10" ht="27.6" hidden="1">
      <c r="A28" s="352" t="s">
        <v>4272</v>
      </c>
      <c r="B28" s="463" t="s">
        <v>843</v>
      </c>
      <c r="C28" s="463" t="s">
        <v>855</v>
      </c>
      <c r="D28" s="550">
        <v>14080</v>
      </c>
      <c r="E28" s="570" t="s">
        <v>816</v>
      </c>
      <c r="F28" s="550"/>
    </row>
    <row r="29" spans="1:10" ht="55.2" hidden="1">
      <c r="A29" s="352" t="s">
        <v>4273</v>
      </c>
      <c r="B29" s="463" t="s">
        <v>847</v>
      </c>
      <c r="C29" s="463" t="s">
        <v>848</v>
      </c>
      <c r="D29" s="550">
        <v>1880</v>
      </c>
      <c r="E29" s="570" t="s">
        <v>816</v>
      </c>
      <c r="F29" s="550"/>
    </row>
    <row r="30" spans="1:10" ht="27.6" hidden="1">
      <c r="A30" s="352" t="s">
        <v>4274</v>
      </c>
      <c r="B30" s="409" t="s">
        <v>852</v>
      </c>
      <c r="C30" s="409" t="s">
        <v>853</v>
      </c>
      <c r="D30" s="550">
        <v>0</v>
      </c>
      <c r="E30" s="570" t="s">
        <v>816</v>
      </c>
      <c r="F30" s="550"/>
    </row>
    <row r="31" spans="1:10" ht="27.6" hidden="1">
      <c r="A31" s="352" t="s">
        <v>4275</v>
      </c>
      <c r="B31" s="463" t="s">
        <v>843</v>
      </c>
      <c r="C31" s="463" t="s">
        <v>855</v>
      </c>
      <c r="D31" s="550">
        <v>20061.82</v>
      </c>
      <c r="E31" s="570" t="s">
        <v>816</v>
      </c>
      <c r="F31" s="550"/>
    </row>
    <row r="32" spans="1:10" ht="27.6" hidden="1">
      <c r="A32" s="352" t="s">
        <v>4276</v>
      </c>
      <c r="B32" s="463" t="s">
        <v>843</v>
      </c>
      <c r="C32" s="463" t="s">
        <v>855</v>
      </c>
      <c r="D32" s="550">
        <v>33474</v>
      </c>
      <c r="E32" s="570" t="s">
        <v>816</v>
      </c>
      <c r="F32" s="550"/>
      <c r="J32" s="548"/>
    </row>
    <row r="33" spans="1:10" ht="27.6" hidden="1">
      <c r="A33" s="352" t="s">
        <v>4277</v>
      </c>
      <c r="B33" s="409" t="s">
        <v>859</v>
      </c>
      <c r="C33" s="409" t="s">
        <v>860</v>
      </c>
      <c r="D33" s="550">
        <v>0</v>
      </c>
      <c r="E33" s="570" t="s">
        <v>4602</v>
      </c>
      <c r="F33" s="550"/>
      <c r="J33" s="548"/>
    </row>
    <row r="34" spans="1:10" ht="41.4" hidden="1">
      <c r="A34" s="352" t="s">
        <v>4278</v>
      </c>
      <c r="B34" s="463" t="s">
        <v>863</v>
      </c>
      <c r="C34" s="463" t="s">
        <v>864</v>
      </c>
      <c r="D34" s="550">
        <v>51777.94</v>
      </c>
      <c r="E34" s="570" t="s">
        <v>816</v>
      </c>
      <c r="F34" s="550"/>
    </row>
    <row r="35" spans="1:10" ht="41.4" hidden="1">
      <c r="A35" s="352" t="s">
        <v>4279</v>
      </c>
      <c r="B35" s="463" t="s">
        <v>789</v>
      </c>
      <c r="C35" s="463" t="s">
        <v>864</v>
      </c>
      <c r="D35" s="550">
        <v>92085.57</v>
      </c>
      <c r="E35" s="570" t="s">
        <v>816</v>
      </c>
      <c r="F35" s="550"/>
    </row>
    <row r="36" spans="1:10" ht="41.4" hidden="1">
      <c r="A36" s="352" t="s">
        <v>4280</v>
      </c>
      <c r="B36" s="463" t="s">
        <v>867</v>
      </c>
      <c r="C36" s="463" t="s">
        <v>864</v>
      </c>
      <c r="D36" s="550">
        <v>40307.629999999997</v>
      </c>
      <c r="E36" s="570" t="s">
        <v>816</v>
      </c>
      <c r="F36" s="550"/>
      <c r="J36" s="548"/>
    </row>
    <row r="37" spans="1:10" ht="41.4" hidden="1">
      <c r="A37" s="352" t="s">
        <v>4281</v>
      </c>
      <c r="B37" s="463" t="s">
        <v>869</v>
      </c>
      <c r="C37" s="463" t="s">
        <v>864</v>
      </c>
      <c r="D37" s="550">
        <v>40307.629999999997</v>
      </c>
      <c r="E37" s="570" t="s">
        <v>816</v>
      </c>
      <c r="F37" s="550"/>
      <c r="J37" s="548"/>
    </row>
    <row r="38" spans="1:10" ht="41.4" hidden="1">
      <c r="A38" s="352" t="s">
        <v>4282</v>
      </c>
      <c r="B38" s="463" t="s">
        <v>768</v>
      </c>
      <c r="C38" s="463" t="s">
        <v>864</v>
      </c>
      <c r="D38" s="550">
        <v>92085.57</v>
      </c>
      <c r="E38" s="570" t="s">
        <v>816</v>
      </c>
      <c r="F38" s="550"/>
    </row>
    <row r="39" spans="1:10" ht="41.4" hidden="1">
      <c r="A39" s="352" t="s">
        <v>4283</v>
      </c>
      <c r="B39" s="463" t="s">
        <v>872</v>
      </c>
      <c r="C39" s="463" t="s">
        <v>864</v>
      </c>
      <c r="D39" s="550">
        <v>40307.629999999997</v>
      </c>
      <c r="E39" s="570" t="s">
        <v>816</v>
      </c>
      <c r="F39" s="550"/>
    </row>
    <row r="40" spans="1:10" ht="27.6" hidden="1">
      <c r="A40" s="352" t="s">
        <v>4284</v>
      </c>
      <c r="B40" s="463" t="s">
        <v>1030</v>
      </c>
      <c r="C40" s="463" t="s">
        <v>1031</v>
      </c>
      <c r="D40" s="550">
        <v>150000</v>
      </c>
      <c r="E40" s="570" t="s">
        <v>816</v>
      </c>
      <c r="F40" s="550"/>
    </row>
    <row r="41" spans="1:10" ht="27.6" hidden="1">
      <c r="A41" s="352" t="s">
        <v>4285</v>
      </c>
      <c r="B41" s="463" t="s">
        <v>6</v>
      </c>
      <c r="C41" s="463" t="s">
        <v>1033</v>
      </c>
      <c r="D41" s="550">
        <v>10000</v>
      </c>
      <c r="E41" s="570" t="s">
        <v>4602</v>
      </c>
      <c r="F41" s="550"/>
    </row>
    <row r="42" spans="1:10" ht="27.6" hidden="1">
      <c r="A42" s="352" t="s">
        <v>4286</v>
      </c>
      <c r="B42" s="463" t="s">
        <v>1030</v>
      </c>
      <c r="C42" s="463" t="s">
        <v>1035</v>
      </c>
      <c r="D42" s="550">
        <v>28636.36</v>
      </c>
      <c r="E42" s="570" t="s">
        <v>816</v>
      </c>
      <c r="F42" s="550"/>
    </row>
    <row r="43" spans="1:10" ht="27.6" hidden="1">
      <c r="A43" s="352" t="s">
        <v>4287</v>
      </c>
      <c r="B43" s="463" t="s">
        <v>1036</v>
      </c>
      <c r="C43" s="463" t="s">
        <v>1037</v>
      </c>
      <c r="D43" s="550">
        <v>2073.09</v>
      </c>
      <c r="E43" s="570" t="s">
        <v>814</v>
      </c>
      <c r="F43" s="550"/>
    </row>
    <row r="44" spans="1:10" ht="27.6" hidden="1">
      <c r="A44" s="352" t="s">
        <v>4288</v>
      </c>
      <c r="B44" s="409" t="s">
        <v>1038</v>
      </c>
      <c r="C44" s="409" t="s">
        <v>1039</v>
      </c>
      <c r="D44" s="550">
        <v>0</v>
      </c>
      <c r="E44" s="570" t="s">
        <v>814</v>
      </c>
      <c r="F44" s="550"/>
    </row>
    <row r="45" spans="1:10" ht="27.6" hidden="1">
      <c r="A45" s="352" t="s">
        <v>4289</v>
      </c>
      <c r="B45" s="439" t="s">
        <v>852</v>
      </c>
      <c r="C45" s="439" t="s">
        <v>853</v>
      </c>
      <c r="D45" s="550">
        <v>17600</v>
      </c>
      <c r="E45" s="570" t="s">
        <v>816</v>
      </c>
      <c r="F45" s="550"/>
    </row>
    <row r="46" spans="1:10" ht="41.4" hidden="1">
      <c r="A46" s="352" t="s">
        <v>4290</v>
      </c>
      <c r="B46" s="463" t="s">
        <v>818</v>
      </c>
      <c r="C46" s="463" t="s">
        <v>1040</v>
      </c>
      <c r="D46" s="550">
        <v>80000</v>
      </c>
      <c r="E46" s="570" t="s">
        <v>816</v>
      </c>
      <c r="F46" s="550"/>
    </row>
    <row r="47" spans="1:10" ht="55.2" hidden="1">
      <c r="A47" s="352" t="s">
        <v>4291</v>
      </c>
      <c r="B47" s="463" t="s">
        <v>1062</v>
      </c>
      <c r="C47" s="463" t="s">
        <v>1041</v>
      </c>
      <c r="D47" s="550">
        <v>750</v>
      </c>
      <c r="E47" s="570" t="s">
        <v>816</v>
      </c>
      <c r="F47" s="550"/>
    </row>
    <row r="48" spans="1:10" ht="55.2" hidden="1">
      <c r="A48" s="352" t="s">
        <v>4292</v>
      </c>
      <c r="B48" s="463" t="s">
        <v>1042</v>
      </c>
      <c r="C48" s="463" t="s">
        <v>1041</v>
      </c>
      <c r="D48" s="550">
        <v>750</v>
      </c>
      <c r="E48" s="570" t="s">
        <v>816</v>
      </c>
      <c r="F48" s="550"/>
    </row>
    <row r="49" spans="1:6" ht="55.2" hidden="1">
      <c r="A49" s="352" t="s">
        <v>4293</v>
      </c>
      <c r="B49" s="463" t="s">
        <v>1043</v>
      </c>
      <c r="C49" s="463" t="s">
        <v>1041</v>
      </c>
      <c r="D49" s="550">
        <v>750</v>
      </c>
      <c r="E49" s="570" t="s">
        <v>816</v>
      </c>
      <c r="F49" s="550"/>
    </row>
    <row r="50" spans="1:6" ht="27.6" hidden="1">
      <c r="A50" s="352" t="s">
        <v>4294</v>
      </c>
      <c r="B50" s="463" t="s">
        <v>818</v>
      </c>
      <c r="C50" s="463" t="s">
        <v>1044</v>
      </c>
      <c r="D50" s="550">
        <v>97200</v>
      </c>
      <c r="E50" s="570" t="s">
        <v>814</v>
      </c>
      <c r="F50" s="550"/>
    </row>
    <row r="51" spans="1:6" ht="27.6" hidden="1">
      <c r="A51" s="352" t="s">
        <v>4295</v>
      </c>
      <c r="B51" s="463" t="s">
        <v>820</v>
      </c>
      <c r="C51" s="463" t="s">
        <v>1044</v>
      </c>
      <c r="D51" s="550">
        <v>97200</v>
      </c>
      <c r="E51" s="570" t="s">
        <v>814</v>
      </c>
      <c r="F51" s="550"/>
    </row>
    <row r="52" spans="1:6" ht="27.6" hidden="1">
      <c r="A52" s="352" t="s">
        <v>4296</v>
      </c>
      <c r="B52" s="463" t="s">
        <v>821</v>
      </c>
      <c r="C52" s="463" t="s">
        <v>1044</v>
      </c>
      <c r="D52" s="550">
        <v>97200</v>
      </c>
      <c r="E52" s="570" t="s">
        <v>814</v>
      </c>
      <c r="F52" s="550"/>
    </row>
    <row r="53" spans="1:6" ht="27.6" hidden="1">
      <c r="A53" s="352" t="s">
        <v>4297</v>
      </c>
      <c r="B53" s="463" t="s">
        <v>822</v>
      </c>
      <c r="C53" s="463" t="s">
        <v>1044</v>
      </c>
      <c r="D53" s="550">
        <v>97200</v>
      </c>
      <c r="E53" s="570" t="s">
        <v>814</v>
      </c>
      <c r="F53" s="550"/>
    </row>
    <row r="54" spans="1:6" ht="27.6" hidden="1">
      <c r="A54" s="352" t="s">
        <v>4298</v>
      </c>
      <c r="B54" s="463" t="s">
        <v>823</v>
      </c>
      <c r="C54" s="463" t="s">
        <v>1044</v>
      </c>
      <c r="D54" s="550">
        <v>97200</v>
      </c>
      <c r="E54" s="570" t="s">
        <v>814</v>
      </c>
      <c r="F54" s="550"/>
    </row>
    <row r="55" spans="1:6" ht="27.6" hidden="1">
      <c r="A55" s="352" t="s">
        <v>4299</v>
      </c>
      <c r="B55" s="463" t="s">
        <v>818</v>
      </c>
      <c r="C55" s="463" t="s">
        <v>1045</v>
      </c>
      <c r="D55" s="550">
        <v>62500</v>
      </c>
      <c r="E55" s="570" t="s">
        <v>814</v>
      </c>
      <c r="F55" s="550"/>
    </row>
    <row r="56" spans="1:6" ht="27.6" hidden="1">
      <c r="A56" s="352" t="s">
        <v>4300</v>
      </c>
      <c r="B56" s="463" t="s">
        <v>820</v>
      </c>
      <c r="C56" s="463" t="s">
        <v>1045</v>
      </c>
      <c r="D56" s="550">
        <v>50000</v>
      </c>
      <c r="E56" s="570" t="s">
        <v>814</v>
      </c>
      <c r="F56" s="550"/>
    </row>
    <row r="57" spans="1:6" ht="27.6" hidden="1">
      <c r="A57" s="352" t="s">
        <v>4301</v>
      </c>
      <c r="B57" s="463" t="s">
        <v>821</v>
      </c>
      <c r="C57" s="463" t="s">
        <v>1045</v>
      </c>
      <c r="D57" s="550">
        <v>50000</v>
      </c>
      <c r="E57" s="570" t="s">
        <v>814</v>
      </c>
      <c r="F57" s="550"/>
    </row>
    <row r="58" spans="1:6" ht="27.6" hidden="1">
      <c r="A58" s="352" t="s">
        <v>4302</v>
      </c>
      <c r="B58" s="463" t="s">
        <v>822</v>
      </c>
      <c r="C58" s="463" t="s">
        <v>1045</v>
      </c>
      <c r="D58" s="550">
        <v>50000</v>
      </c>
      <c r="E58" s="570" t="s">
        <v>814</v>
      </c>
      <c r="F58" s="550"/>
    </row>
    <row r="59" spans="1:6" ht="27.6" hidden="1">
      <c r="A59" s="352" t="s">
        <v>4303</v>
      </c>
      <c r="B59" s="463" t="s">
        <v>823</v>
      </c>
      <c r="C59" s="463" t="s">
        <v>1045</v>
      </c>
      <c r="D59" s="550">
        <v>50000</v>
      </c>
      <c r="E59" s="570" t="s">
        <v>814</v>
      </c>
      <c r="F59" s="550"/>
    </row>
    <row r="60" spans="1:6" ht="27.6" hidden="1">
      <c r="A60" s="352" t="s">
        <v>4304</v>
      </c>
      <c r="B60" s="463" t="s">
        <v>773</v>
      </c>
      <c r="C60" s="463" t="s">
        <v>1064</v>
      </c>
      <c r="D60" s="550">
        <v>4734.25</v>
      </c>
      <c r="E60" s="570" t="s">
        <v>816</v>
      </c>
      <c r="F60" s="550"/>
    </row>
    <row r="61" spans="1:6" ht="27.6" hidden="1">
      <c r="A61" s="352" t="s">
        <v>4305</v>
      </c>
      <c r="B61" s="463" t="s">
        <v>1072</v>
      </c>
      <c r="C61" s="463" t="s">
        <v>1073</v>
      </c>
      <c r="D61" s="550">
        <v>1350</v>
      </c>
      <c r="E61" s="570" t="s">
        <v>816</v>
      </c>
      <c r="F61" s="550"/>
    </row>
    <row r="62" spans="1:6" ht="27.6" hidden="1">
      <c r="A62" s="352" t="s">
        <v>4306</v>
      </c>
      <c r="B62" s="460" t="s">
        <v>818</v>
      </c>
      <c r="C62" s="460" t="s">
        <v>1074</v>
      </c>
      <c r="D62" s="550">
        <v>528841.48</v>
      </c>
      <c r="E62" s="570" t="s">
        <v>816</v>
      </c>
      <c r="F62" s="550"/>
    </row>
    <row r="63" spans="1:6" ht="27.6" hidden="1">
      <c r="A63" s="352" t="s">
        <v>4307</v>
      </c>
      <c r="B63" s="460" t="s">
        <v>820</v>
      </c>
      <c r="C63" s="460" t="s">
        <v>1074</v>
      </c>
      <c r="D63" s="550">
        <v>241528.69</v>
      </c>
      <c r="E63" s="570" t="s">
        <v>816</v>
      </c>
      <c r="F63" s="550"/>
    </row>
    <row r="64" spans="1:6" ht="27.6" hidden="1">
      <c r="A64" s="352" t="s">
        <v>4308</v>
      </c>
      <c r="B64" s="460" t="s">
        <v>821</v>
      </c>
      <c r="C64" s="460" t="s">
        <v>1074</v>
      </c>
      <c r="D64" s="550">
        <v>337586.4</v>
      </c>
      <c r="E64" s="570" t="s">
        <v>816</v>
      </c>
      <c r="F64" s="550"/>
    </row>
    <row r="65" spans="1:6" ht="27.6" hidden="1">
      <c r="A65" s="352" t="s">
        <v>4309</v>
      </c>
      <c r="B65" s="460" t="s">
        <v>822</v>
      </c>
      <c r="C65" s="460" t="s">
        <v>1074</v>
      </c>
      <c r="D65" s="550">
        <v>355426.3600000001</v>
      </c>
      <c r="E65" s="570" t="s">
        <v>816</v>
      </c>
      <c r="F65" s="550"/>
    </row>
    <row r="66" spans="1:6" ht="27.6" hidden="1">
      <c r="A66" s="352" t="s">
        <v>4310</v>
      </c>
      <c r="B66" s="460" t="s">
        <v>823</v>
      </c>
      <c r="C66" s="460" t="s">
        <v>1074</v>
      </c>
      <c r="D66" s="550">
        <v>230967.52</v>
      </c>
      <c r="E66" s="570" t="s">
        <v>816</v>
      </c>
      <c r="F66" s="550"/>
    </row>
    <row r="67" spans="1:6" ht="27.6" hidden="1">
      <c r="A67" s="352" t="s">
        <v>4311</v>
      </c>
      <c r="B67" s="463" t="s">
        <v>1075</v>
      </c>
      <c r="C67" s="463" t="s">
        <v>1076</v>
      </c>
      <c r="D67" s="550">
        <v>65016.91</v>
      </c>
      <c r="E67" s="570" t="s">
        <v>816</v>
      </c>
      <c r="F67" s="550"/>
    </row>
    <row r="68" spans="1:6" ht="27.6" hidden="1">
      <c r="A68" s="352" t="s">
        <v>4312</v>
      </c>
      <c r="B68" s="463" t="s">
        <v>1075</v>
      </c>
      <c r="C68" s="463" t="s">
        <v>1076</v>
      </c>
      <c r="D68" s="550">
        <v>16881.330000000002</v>
      </c>
      <c r="E68" s="570" t="s">
        <v>816</v>
      </c>
      <c r="F68" s="550"/>
    </row>
    <row r="69" spans="1:6" ht="41.4" hidden="1">
      <c r="A69" s="352" t="s">
        <v>4313</v>
      </c>
      <c r="B69" s="463" t="s">
        <v>796</v>
      </c>
      <c r="C69" s="463" t="s">
        <v>1086</v>
      </c>
      <c r="D69" s="550">
        <v>4194.7300000000005</v>
      </c>
      <c r="E69" s="570" t="s">
        <v>816</v>
      </c>
      <c r="F69" s="550"/>
    </row>
    <row r="70" spans="1:6" ht="27.6" hidden="1">
      <c r="A70" s="352" t="s">
        <v>4314</v>
      </c>
      <c r="B70" s="463" t="s">
        <v>843</v>
      </c>
      <c r="C70" s="463" t="s">
        <v>1076</v>
      </c>
      <c r="D70" s="550">
        <v>36158</v>
      </c>
      <c r="E70" s="570" t="s">
        <v>816</v>
      </c>
      <c r="F70" s="550"/>
    </row>
    <row r="71" spans="1:6" ht="27.6" hidden="1">
      <c r="A71" s="352" t="s">
        <v>4315</v>
      </c>
      <c r="B71" s="463" t="s">
        <v>818</v>
      </c>
      <c r="C71" s="463" t="s">
        <v>1089</v>
      </c>
      <c r="D71" s="550">
        <v>1046300</v>
      </c>
      <c r="E71" s="570" t="s">
        <v>816</v>
      </c>
      <c r="F71" s="550"/>
    </row>
    <row r="72" spans="1:6" ht="27.6" hidden="1">
      <c r="A72" s="352" t="s">
        <v>4316</v>
      </c>
      <c r="B72" s="463" t="s">
        <v>820</v>
      </c>
      <c r="C72" s="463" t="s">
        <v>1089</v>
      </c>
      <c r="D72" s="550">
        <v>535050</v>
      </c>
      <c r="E72" s="570" t="s">
        <v>816</v>
      </c>
      <c r="F72" s="550"/>
    </row>
    <row r="73" spans="1:6" ht="27.6" hidden="1">
      <c r="A73" s="352" t="s">
        <v>4317</v>
      </c>
      <c r="B73" s="463" t="s">
        <v>821</v>
      </c>
      <c r="C73" s="463" t="s">
        <v>1089</v>
      </c>
      <c r="D73" s="550">
        <v>963500</v>
      </c>
      <c r="E73" s="570" t="s">
        <v>816</v>
      </c>
      <c r="F73" s="550"/>
    </row>
    <row r="74" spans="1:6" ht="27.6" hidden="1">
      <c r="A74" s="352" t="s">
        <v>4318</v>
      </c>
      <c r="B74" s="463" t="s">
        <v>822</v>
      </c>
      <c r="C74" s="463" t="s">
        <v>1089</v>
      </c>
      <c r="D74" s="550">
        <v>870350</v>
      </c>
      <c r="E74" s="570" t="s">
        <v>816</v>
      </c>
      <c r="F74" s="550"/>
    </row>
    <row r="75" spans="1:6" ht="27.6" hidden="1">
      <c r="A75" s="352" t="s">
        <v>4319</v>
      </c>
      <c r="B75" s="463" t="s">
        <v>823</v>
      </c>
      <c r="C75" s="463" t="s">
        <v>1089</v>
      </c>
      <c r="D75" s="550">
        <v>815900</v>
      </c>
      <c r="E75" s="570" t="s">
        <v>816</v>
      </c>
      <c r="F75" s="550"/>
    </row>
    <row r="76" spans="1:6" ht="27.6" hidden="1">
      <c r="A76" s="352" t="s">
        <v>4320</v>
      </c>
      <c r="B76" s="463" t="s">
        <v>10</v>
      </c>
      <c r="C76" s="463" t="s">
        <v>1095</v>
      </c>
      <c r="D76" s="550">
        <v>62014.22</v>
      </c>
      <c r="E76" s="570" t="s">
        <v>816</v>
      </c>
      <c r="F76" s="550"/>
    </row>
    <row r="77" spans="1:6" ht="27.6" hidden="1">
      <c r="A77" s="352" t="s">
        <v>4321</v>
      </c>
      <c r="B77" s="463" t="s">
        <v>789</v>
      </c>
      <c r="C77" s="463" t="s">
        <v>1095</v>
      </c>
      <c r="D77" s="550">
        <v>17167.73</v>
      </c>
      <c r="E77" s="570" t="s">
        <v>816</v>
      </c>
      <c r="F77" s="550"/>
    </row>
    <row r="78" spans="1:6" ht="27.6" hidden="1">
      <c r="A78" s="352" t="s">
        <v>4322</v>
      </c>
      <c r="B78" s="463" t="s">
        <v>777</v>
      </c>
      <c r="C78" s="463" t="s">
        <v>1095</v>
      </c>
      <c r="D78" s="550">
        <v>17698.68</v>
      </c>
      <c r="E78" s="570" t="s">
        <v>816</v>
      </c>
      <c r="F78" s="550"/>
    </row>
    <row r="79" spans="1:6" ht="27.6" hidden="1">
      <c r="A79" s="352" t="s">
        <v>4323</v>
      </c>
      <c r="B79" s="463" t="s">
        <v>764</v>
      </c>
      <c r="C79" s="463" t="s">
        <v>1095</v>
      </c>
      <c r="D79" s="550">
        <v>18167.440000000002</v>
      </c>
      <c r="E79" s="570" t="s">
        <v>816</v>
      </c>
      <c r="F79" s="550"/>
    </row>
    <row r="80" spans="1:6" ht="27.6" hidden="1">
      <c r="A80" s="352" t="s">
        <v>4324</v>
      </c>
      <c r="B80" s="463" t="s">
        <v>768</v>
      </c>
      <c r="C80" s="463" t="s">
        <v>1095</v>
      </c>
      <c r="D80" s="550">
        <v>21594.01</v>
      </c>
      <c r="E80" s="570" t="s">
        <v>816</v>
      </c>
      <c r="F80" s="550"/>
    </row>
    <row r="81" spans="1:6" ht="27.6" hidden="1">
      <c r="A81" s="352" t="s">
        <v>4325</v>
      </c>
      <c r="B81" s="463" t="s">
        <v>765</v>
      </c>
      <c r="C81" s="463" t="s">
        <v>1095</v>
      </c>
      <c r="D81" s="550">
        <v>12904.51</v>
      </c>
      <c r="E81" s="570" t="s">
        <v>816</v>
      </c>
      <c r="F81" s="550"/>
    </row>
    <row r="82" spans="1:6" ht="41.4" hidden="1">
      <c r="A82" s="352" t="s">
        <v>4326</v>
      </c>
      <c r="B82" s="463" t="s">
        <v>1102</v>
      </c>
      <c r="C82" s="463" t="s">
        <v>1103</v>
      </c>
      <c r="D82" s="550">
        <v>1200</v>
      </c>
      <c r="E82" s="570" t="s">
        <v>816</v>
      </c>
      <c r="F82" s="550"/>
    </row>
    <row r="83" spans="1:6" ht="41.4" hidden="1">
      <c r="A83" s="352" t="s">
        <v>4327</v>
      </c>
      <c r="B83" s="463" t="s">
        <v>1105</v>
      </c>
      <c r="C83" s="463" t="s">
        <v>1106</v>
      </c>
      <c r="D83" s="550">
        <v>8885.08</v>
      </c>
      <c r="E83" s="570" t="s">
        <v>816</v>
      </c>
      <c r="F83" s="550"/>
    </row>
    <row r="84" spans="1:6" ht="27.6" hidden="1">
      <c r="A84" s="352" t="s">
        <v>4328</v>
      </c>
      <c r="B84" s="463" t="s">
        <v>1108</v>
      </c>
      <c r="C84" s="463" t="s">
        <v>1109</v>
      </c>
      <c r="D84" s="550">
        <v>10600</v>
      </c>
      <c r="E84" s="570" t="s">
        <v>816</v>
      </c>
      <c r="F84" s="550"/>
    </row>
    <row r="85" spans="1:6" ht="55.2" hidden="1">
      <c r="A85" s="352" t="s">
        <v>4329</v>
      </c>
      <c r="B85" s="463" t="s">
        <v>1102</v>
      </c>
      <c r="C85" s="463" t="s">
        <v>1111</v>
      </c>
      <c r="D85" s="550">
        <v>2400</v>
      </c>
      <c r="E85" s="570" t="s">
        <v>816</v>
      </c>
      <c r="F85" s="550"/>
    </row>
    <row r="86" spans="1:6" ht="41.4" hidden="1">
      <c r="A86" s="352" t="s">
        <v>4330</v>
      </c>
      <c r="B86" s="463" t="s">
        <v>10</v>
      </c>
      <c r="C86" s="463" t="s">
        <v>1113</v>
      </c>
      <c r="D86" s="550">
        <v>2049964.0999999999</v>
      </c>
      <c r="E86" s="570" t="s">
        <v>816</v>
      </c>
      <c r="F86" s="550"/>
    </row>
    <row r="87" spans="1:6" ht="41.4" hidden="1">
      <c r="A87" s="352" t="s">
        <v>4331</v>
      </c>
      <c r="B87" s="463" t="s">
        <v>777</v>
      </c>
      <c r="C87" s="463" t="s">
        <v>1113</v>
      </c>
      <c r="D87" s="550">
        <v>429402.37</v>
      </c>
      <c r="E87" s="570" t="s">
        <v>816</v>
      </c>
      <c r="F87" s="550"/>
    </row>
    <row r="88" spans="1:6" ht="41.4" hidden="1">
      <c r="A88" s="352" t="s">
        <v>4332</v>
      </c>
      <c r="B88" s="463" t="s">
        <v>765</v>
      </c>
      <c r="C88" s="463" t="s">
        <v>1113</v>
      </c>
      <c r="D88" s="550">
        <v>389716.8</v>
      </c>
      <c r="E88" s="570" t="s">
        <v>816</v>
      </c>
      <c r="F88" s="550"/>
    </row>
    <row r="89" spans="1:6" ht="27.6" hidden="1">
      <c r="A89" s="352" t="s">
        <v>4333</v>
      </c>
      <c r="B89" s="463" t="s">
        <v>847</v>
      </c>
      <c r="C89" s="463" t="s">
        <v>1117</v>
      </c>
      <c r="D89" s="550">
        <v>457.27</v>
      </c>
      <c r="E89" s="570" t="s">
        <v>816</v>
      </c>
      <c r="F89" s="550"/>
    </row>
    <row r="90" spans="1:6" ht="27.6" hidden="1">
      <c r="A90" s="352" t="s">
        <v>4334</v>
      </c>
      <c r="B90" s="463" t="s">
        <v>1119</v>
      </c>
      <c r="C90" s="463" t="s">
        <v>1117</v>
      </c>
      <c r="D90" s="550">
        <v>258.18</v>
      </c>
      <c r="E90" s="570" t="s">
        <v>816</v>
      </c>
      <c r="F90" s="550"/>
    </row>
    <row r="91" spans="1:6" ht="27.6" hidden="1">
      <c r="A91" s="352" t="s">
        <v>4335</v>
      </c>
      <c r="B91" s="463" t="s">
        <v>833</v>
      </c>
      <c r="C91" s="463" t="s">
        <v>1121</v>
      </c>
      <c r="D91" s="550">
        <v>614.54999999999995</v>
      </c>
      <c r="E91" s="570" t="s">
        <v>816</v>
      </c>
      <c r="F91" s="550"/>
    </row>
    <row r="92" spans="1:6" ht="27.6" hidden="1">
      <c r="A92" s="352" t="s">
        <v>4336</v>
      </c>
      <c r="B92" s="463" t="s">
        <v>1030</v>
      </c>
      <c r="C92" s="463" t="s">
        <v>1123</v>
      </c>
      <c r="D92" s="550">
        <v>105049.54</v>
      </c>
      <c r="E92" s="570" t="s">
        <v>816</v>
      </c>
      <c r="F92" s="550"/>
    </row>
    <row r="93" spans="1:6" ht="27.6" hidden="1">
      <c r="A93" s="352" t="s">
        <v>4337</v>
      </c>
      <c r="B93" s="463" t="s">
        <v>872</v>
      </c>
      <c r="C93" s="463" t="s">
        <v>1125</v>
      </c>
      <c r="D93" s="550">
        <v>40307.629999999997</v>
      </c>
      <c r="E93" s="570" t="s">
        <v>816</v>
      </c>
      <c r="F93" s="550"/>
    </row>
    <row r="94" spans="1:6" ht="27.6" hidden="1">
      <c r="A94" s="352" t="s">
        <v>4338</v>
      </c>
      <c r="B94" s="463" t="s">
        <v>863</v>
      </c>
      <c r="C94" s="463" t="s">
        <v>1125</v>
      </c>
      <c r="D94" s="550">
        <v>51777.93</v>
      </c>
      <c r="E94" s="570" t="s">
        <v>816</v>
      </c>
      <c r="F94" s="550"/>
    </row>
    <row r="95" spans="1:6" ht="27.6" hidden="1">
      <c r="A95" s="352" t="s">
        <v>4339</v>
      </c>
      <c r="B95" s="409" t="s">
        <v>1128</v>
      </c>
      <c r="C95" s="409" t="s">
        <v>1129</v>
      </c>
      <c r="D95" s="550">
        <v>0</v>
      </c>
      <c r="E95" s="570" t="s">
        <v>816</v>
      </c>
      <c r="F95" s="550"/>
    </row>
    <row r="96" spans="1:6" ht="27.6" hidden="1">
      <c r="A96" s="352" t="s">
        <v>4340</v>
      </c>
      <c r="B96" s="463" t="s">
        <v>1131</v>
      </c>
      <c r="C96" s="463" t="s">
        <v>1132</v>
      </c>
      <c r="D96" s="550">
        <v>25000</v>
      </c>
      <c r="E96" s="570" t="s">
        <v>816</v>
      </c>
      <c r="F96" s="550"/>
    </row>
    <row r="97" spans="1:10" ht="27.6" hidden="1">
      <c r="A97" s="352" t="s">
        <v>4341</v>
      </c>
      <c r="B97" s="463" t="s">
        <v>1134</v>
      </c>
      <c r="C97" s="463" t="s">
        <v>1135</v>
      </c>
      <c r="D97" s="550">
        <v>1990</v>
      </c>
      <c r="E97" s="570" t="s">
        <v>816</v>
      </c>
      <c r="F97" s="550"/>
    </row>
    <row r="98" spans="1:10" ht="27.6" hidden="1">
      <c r="A98" s="352" t="s">
        <v>4342</v>
      </c>
      <c r="B98" s="463" t="s">
        <v>779</v>
      </c>
      <c r="C98" s="463" t="s">
        <v>1137</v>
      </c>
      <c r="D98" s="550">
        <v>170501.47</v>
      </c>
      <c r="E98" s="570" t="s">
        <v>816</v>
      </c>
      <c r="F98" s="550"/>
    </row>
    <row r="99" spans="1:10" ht="27.6" hidden="1">
      <c r="A99" s="352" t="s">
        <v>4343</v>
      </c>
      <c r="B99" s="409" t="s">
        <v>818</v>
      </c>
      <c r="C99" s="409" t="s">
        <v>1139</v>
      </c>
      <c r="D99" s="550">
        <v>0</v>
      </c>
      <c r="E99" s="570" t="s">
        <v>816</v>
      </c>
      <c r="F99" s="550"/>
    </row>
    <row r="100" spans="1:10" ht="27.6" hidden="1">
      <c r="A100" s="352" t="s">
        <v>4344</v>
      </c>
      <c r="B100" s="463" t="s">
        <v>820</v>
      </c>
      <c r="C100" s="463" t="s">
        <v>1139</v>
      </c>
      <c r="D100" s="550">
        <v>640000</v>
      </c>
      <c r="E100" s="570" t="s">
        <v>816</v>
      </c>
      <c r="F100" s="550"/>
    </row>
    <row r="101" spans="1:10" ht="27.6" hidden="1">
      <c r="A101" s="352" t="s">
        <v>4345</v>
      </c>
      <c r="B101" s="409" t="s">
        <v>821</v>
      </c>
      <c r="C101" s="409" t="s">
        <v>1139</v>
      </c>
      <c r="D101" s="550">
        <v>0</v>
      </c>
      <c r="E101" s="570" t="s">
        <v>816</v>
      </c>
      <c r="F101" s="550"/>
    </row>
    <row r="102" spans="1:10" ht="27.6" hidden="1">
      <c r="A102" s="352" t="s">
        <v>4346</v>
      </c>
      <c r="B102" s="409" t="s">
        <v>822</v>
      </c>
      <c r="C102" s="409" t="s">
        <v>1139</v>
      </c>
      <c r="D102" s="550">
        <v>0</v>
      </c>
      <c r="E102" s="570" t="s">
        <v>816</v>
      </c>
      <c r="F102" s="550"/>
      <c r="J102" s="548"/>
    </row>
    <row r="103" spans="1:10" ht="27.6" hidden="1">
      <c r="A103" s="352" t="s">
        <v>4347</v>
      </c>
      <c r="B103" s="409" t="s">
        <v>823</v>
      </c>
      <c r="C103" s="409" t="s">
        <v>1139</v>
      </c>
      <c r="D103" s="550">
        <v>0</v>
      </c>
      <c r="E103" s="570" t="s">
        <v>816</v>
      </c>
      <c r="F103" s="550"/>
      <c r="J103" s="548"/>
    </row>
    <row r="104" spans="1:10" hidden="1">
      <c r="A104" s="352" t="s">
        <v>4348</v>
      </c>
      <c r="B104" s="409" t="s">
        <v>818</v>
      </c>
      <c r="C104" s="409" t="s">
        <v>1145</v>
      </c>
      <c r="D104" s="550">
        <v>0</v>
      </c>
      <c r="E104" s="570" t="s">
        <v>816</v>
      </c>
      <c r="F104" s="550"/>
    </row>
    <row r="105" spans="1:10" hidden="1">
      <c r="A105" s="352" t="s">
        <v>4349</v>
      </c>
      <c r="B105" s="409" t="s">
        <v>820</v>
      </c>
      <c r="C105" s="409" t="s">
        <v>1145</v>
      </c>
      <c r="D105" s="550">
        <v>0</v>
      </c>
      <c r="E105" s="570" t="s">
        <v>816</v>
      </c>
      <c r="F105" s="550"/>
    </row>
    <row r="106" spans="1:10" hidden="1">
      <c r="A106" s="352" t="s">
        <v>4350</v>
      </c>
      <c r="B106" s="463" t="s">
        <v>821</v>
      </c>
      <c r="C106" s="463" t="s">
        <v>1145</v>
      </c>
      <c r="D106" s="550">
        <v>80335.709999999992</v>
      </c>
      <c r="E106" s="570" t="s">
        <v>816</v>
      </c>
      <c r="F106" s="550"/>
    </row>
    <row r="107" spans="1:10" hidden="1">
      <c r="A107" s="352" t="s">
        <v>4351</v>
      </c>
      <c r="B107" s="409" t="s">
        <v>822</v>
      </c>
      <c r="C107" s="409" t="s">
        <v>1145</v>
      </c>
      <c r="D107" s="550">
        <v>0</v>
      </c>
      <c r="E107" s="570" t="s">
        <v>816</v>
      </c>
      <c r="F107" s="550"/>
    </row>
    <row r="108" spans="1:10" hidden="1">
      <c r="A108" s="352" t="s">
        <v>4352</v>
      </c>
      <c r="B108" s="409" t="s">
        <v>823</v>
      </c>
      <c r="C108" s="409" t="s">
        <v>1145</v>
      </c>
      <c r="D108" s="550">
        <v>0</v>
      </c>
      <c r="E108" s="570" t="s">
        <v>816</v>
      </c>
      <c r="F108" s="550"/>
    </row>
    <row r="109" spans="1:10" ht="27.6" hidden="1">
      <c r="A109" s="352" t="s">
        <v>4353</v>
      </c>
      <c r="B109" s="409" t="s">
        <v>818</v>
      </c>
      <c r="C109" s="409" t="s">
        <v>1150</v>
      </c>
      <c r="D109" s="550">
        <v>0</v>
      </c>
      <c r="E109" s="570" t="s">
        <v>816</v>
      </c>
      <c r="F109" s="550"/>
    </row>
    <row r="110" spans="1:10" ht="27.6" hidden="1">
      <c r="A110" s="352" t="s">
        <v>4354</v>
      </c>
      <c r="B110" s="463" t="s">
        <v>820</v>
      </c>
      <c r="C110" s="463" t="s">
        <v>1150</v>
      </c>
      <c r="D110" s="550">
        <v>31356</v>
      </c>
      <c r="E110" s="570" t="s">
        <v>816</v>
      </c>
      <c r="F110" s="550"/>
    </row>
    <row r="111" spans="1:10" ht="27.6" hidden="1">
      <c r="A111" s="352" t="s">
        <v>4355</v>
      </c>
      <c r="B111" s="409" t="s">
        <v>823</v>
      </c>
      <c r="C111" s="409" t="s">
        <v>1150</v>
      </c>
      <c r="D111" s="550">
        <v>0</v>
      </c>
      <c r="E111" s="570" t="s">
        <v>816</v>
      </c>
      <c r="F111" s="550"/>
    </row>
    <row r="112" spans="1:10" ht="27.6" hidden="1">
      <c r="A112" s="352" t="s">
        <v>4356</v>
      </c>
      <c r="B112" s="409" t="s">
        <v>821</v>
      </c>
      <c r="C112" s="409" t="s">
        <v>1150</v>
      </c>
      <c r="D112" s="550">
        <v>0</v>
      </c>
      <c r="E112" s="570" t="s">
        <v>816</v>
      </c>
      <c r="F112" s="550"/>
    </row>
    <row r="113" spans="1:6" ht="27.6" hidden="1">
      <c r="A113" s="352" t="s">
        <v>4357</v>
      </c>
      <c r="B113" s="409" t="s">
        <v>822</v>
      </c>
      <c r="C113" s="409" t="s">
        <v>1150</v>
      </c>
      <c r="D113" s="550">
        <v>0</v>
      </c>
      <c r="E113" s="570" t="s">
        <v>816</v>
      </c>
      <c r="F113" s="550"/>
    </row>
    <row r="114" spans="1:6" ht="41.4" hidden="1">
      <c r="A114" s="352" t="s">
        <v>4358</v>
      </c>
      <c r="B114" s="463" t="s">
        <v>1157</v>
      </c>
      <c r="C114" s="463" t="s">
        <v>1158</v>
      </c>
      <c r="D114" s="550">
        <v>11500</v>
      </c>
      <c r="E114" s="570" t="s">
        <v>816</v>
      </c>
      <c r="F114" s="550"/>
    </row>
    <row r="115" spans="1:6" ht="41.4" hidden="1">
      <c r="A115" s="352" t="s">
        <v>4359</v>
      </c>
      <c r="B115" s="463" t="s">
        <v>789</v>
      </c>
      <c r="C115" s="463" t="s">
        <v>1113</v>
      </c>
      <c r="D115" s="550">
        <v>666486.65999999992</v>
      </c>
      <c r="E115" s="570" t="s">
        <v>816</v>
      </c>
      <c r="F115" s="550"/>
    </row>
    <row r="116" spans="1:6" ht="27.6" hidden="1">
      <c r="A116" s="352" t="s">
        <v>4360</v>
      </c>
      <c r="B116" s="463" t="s">
        <v>789</v>
      </c>
      <c r="C116" s="463" t="s">
        <v>1125</v>
      </c>
      <c r="D116" s="550">
        <v>92085.57</v>
      </c>
      <c r="E116" s="570" t="s">
        <v>816</v>
      </c>
      <c r="F116" s="550"/>
    </row>
    <row r="117" spans="1:6" ht="41.4" hidden="1">
      <c r="A117" s="352" t="s">
        <v>4361</v>
      </c>
      <c r="B117" s="463" t="s">
        <v>768</v>
      </c>
      <c r="C117" s="463" t="s">
        <v>1113</v>
      </c>
      <c r="D117" s="550">
        <v>688368.09</v>
      </c>
      <c r="E117" s="570" t="s">
        <v>816</v>
      </c>
      <c r="F117" s="550"/>
    </row>
    <row r="118" spans="1:6" ht="27.6" hidden="1">
      <c r="A118" s="352" t="s">
        <v>4362</v>
      </c>
      <c r="B118" s="463" t="s">
        <v>768</v>
      </c>
      <c r="C118" s="463" t="s">
        <v>1125</v>
      </c>
      <c r="D118" s="550">
        <v>92085.57</v>
      </c>
      <c r="E118" s="570" t="s">
        <v>816</v>
      </c>
      <c r="F118" s="550"/>
    </row>
    <row r="119" spans="1:6" ht="27.6" hidden="1">
      <c r="A119" s="352" t="s">
        <v>4363</v>
      </c>
      <c r="B119" s="463" t="s">
        <v>867</v>
      </c>
      <c r="C119" s="463" t="s">
        <v>1125</v>
      </c>
      <c r="D119" s="550">
        <v>40307.629999999997</v>
      </c>
      <c r="E119" s="570" t="s">
        <v>816</v>
      </c>
      <c r="F119" s="550"/>
    </row>
    <row r="120" spans="1:6" ht="41.4" hidden="1">
      <c r="A120" s="352" t="s">
        <v>4364</v>
      </c>
      <c r="B120" s="463" t="s">
        <v>764</v>
      </c>
      <c r="C120" s="463" t="s">
        <v>1113</v>
      </c>
      <c r="D120" s="550">
        <v>470812.07</v>
      </c>
      <c r="E120" s="570" t="s">
        <v>816</v>
      </c>
      <c r="F120" s="550"/>
    </row>
    <row r="121" spans="1:6" ht="27.6" hidden="1">
      <c r="A121" s="352" t="s">
        <v>4365</v>
      </c>
      <c r="B121" s="463" t="s">
        <v>869</v>
      </c>
      <c r="C121" s="463" t="s">
        <v>1125</v>
      </c>
      <c r="D121" s="550">
        <v>40307.629999999997</v>
      </c>
      <c r="E121" s="570" t="s">
        <v>816</v>
      </c>
      <c r="F121" s="550"/>
    </row>
    <row r="122" spans="1:6" ht="27.6" hidden="1">
      <c r="A122" s="352" t="s">
        <v>4366</v>
      </c>
      <c r="B122" s="463" t="s">
        <v>1165</v>
      </c>
      <c r="C122" s="463" t="s">
        <v>1166</v>
      </c>
      <c r="D122" s="550">
        <v>13614.41</v>
      </c>
      <c r="E122" s="570" t="s">
        <v>816</v>
      </c>
      <c r="F122" s="550"/>
    </row>
    <row r="123" spans="1:6" ht="27.6" hidden="1">
      <c r="A123" s="352" t="s">
        <v>4367</v>
      </c>
      <c r="B123" s="463" t="s">
        <v>1170</v>
      </c>
      <c r="C123" s="463" t="s">
        <v>1166</v>
      </c>
      <c r="D123" s="550">
        <v>13614.41</v>
      </c>
      <c r="E123" s="570" t="s">
        <v>816</v>
      </c>
      <c r="F123" s="550"/>
    </row>
    <row r="124" spans="1:6" ht="27.6" hidden="1">
      <c r="A124" s="352" t="s">
        <v>4368</v>
      </c>
      <c r="B124" s="463" t="s">
        <v>1172</v>
      </c>
      <c r="C124" s="463" t="s">
        <v>1166</v>
      </c>
      <c r="D124" s="550">
        <v>13614.41</v>
      </c>
      <c r="E124" s="570" t="s">
        <v>816</v>
      </c>
      <c r="F124" s="550"/>
    </row>
    <row r="125" spans="1:6" ht="27.6" hidden="1">
      <c r="A125" s="352" t="s">
        <v>4369</v>
      </c>
      <c r="B125" s="463" t="s">
        <v>1174</v>
      </c>
      <c r="C125" s="463" t="s">
        <v>1166</v>
      </c>
      <c r="D125" s="550">
        <v>13614.41</v>
      </c>
      <c r="E125" s="570" t="s">
        <v>816</v>
      </c>
      <c r="F125" s="550"/>
    </row>
    <row r="126" spans="1:6" ht="27.6" hidden="1">
      <c r="A126" s="352" t="s">
        <v>4370</v>
      </c>
      <c r="B126" s="463" t="s">
        <v>1176</v>
      </c>
      <c r="C126" s="463" t="s">
        <v>1166</v>
      </c>
      <c r="D126" s="550">
        <v>13614.41</v>
      </c>
      <c r="E126" s="570" t="s">
        <v>816</v>
      </c>
      <c r="F126" s="550"/>
    </row>
    <row r="127" spans="1:6" ht="27.6" hidden="1">
      <c r="A127" s="352" t="s">
        <v>4371</v>
      </c>
      <c r="B127" s="463" t="s">
        <v>1165</v>
      </c>
      <c r="C127" s="463" t="s">
        <v>1178</v>
      </c>
      <c r="D127" s="550">
        <v>29300.399999999998</v>
      </c>
      <c r="E127" s="570" t="s">
        <v>816</v>
      </c>
      <c r="F127" s="550"/>
    </row>
    <row r="128" spans="1:6" ht="41.4" hidden="1">
      <c r="A128" s="352" t="s">
        <v>4372</v>
      </c>
      <c r="B128" s="463" t="s">
        <v>1180</v>
      </c>
      <c r="C128" s="463" t="s">
        <v>1181</v>
      </c>
      <c r="D128" s="550">
        <v>28839.81</v>
      </c>
      <c r="E128" s="570" t="s">
        <v>816</v>
      </c>
      <c r="F128" s="550"/>
    </row>
    <row r="129" spans="1:6" ht="41.4" hidden="1">
      <c r="A129" s="352" t="s">
        <v>4373</v>
      </c>
      <c r="B129" s="463" t="s">
        <v>1180</v>
      </c>
      <c r="C129" s="463" t="s">
        <v>1183</v>
      </c>
      <c r="D129" s="550">
        <v>18000</v>
      </c>
      <c r="E129" s="570" t="s">
        <v>816</v>
      </c>
      <c r="F129" s="550"/>
    </row>
    <row r="130" spans="1:6" ht="41.4" hidden="1">
      <c r="A130" s="352" t="s">
        <v>4374</v>
      </c>
      <c r="B130" s="463" t="s">
        <v>1180</v>
      </c>
      <c r="C130" s="463" t="s">
        <v>1185</v>
      </c>
      <c r="D130" s="550">
        <v>560</v>
      </c>
      <c r="E130" s="570" t="s">
        <v>816</v>
      </c>
      <c r="F130" s="550"/>
    </row>
    <row r="131" spans="1:6" ht="41.4" hidden="1">
      <c r="A131" s="352" t="s">
        <v>4375</v>
      </c>
      <c r="B131" s="463" t="s">
        <v>1180</v>
      </c>
      <c r="C131" s="463" t="s">
        <v>1187</v>
      </c>
      <c r="D131" s="550">
        <v>918.4</v>
      </c>
      <c r="E131" s="570" t="s">
        <v>816</v>
      </c>
      <c r="F131" s="550"/>
    </row>
    <row r="132" spans="1:6" ht="55.2" hidden="1">
      <c r="A132" s="352" t="s">
        <v>4376</v>
      </c>
      <c r="B132" s="463" t="s">
        <v>1189</v>
      </c>
      <c r="C132" s="463" t="s">
        <v>1190</v>
      </c>
      <c r="D132" s="550">
        <v>14000</v>
      </c>
      <c r="E132" s="570" t="s">
        <v>816</v>
      </c>
      <c r="F132" s="550"/>
    </row>
    <row r="133" spans="1:6" ht="27.6" hidden="1">
      <c r="A133" s="352" t="s">
        <v>4377</v>
      </c>
      <c r="B133" s="463" t="s">
        <v>1192</v>
      </c>
      <c r="C133" s="463" t="s">
        <v>1193</v>
      </c>
      <c r="D133" s="550">
        <v>8774</v>
      </c>
      <c r="E133" s="570" t="s">
        <v>816</v>
      </c>
      <c r="F133" s="550"/>
    </row>
    <row r="134" spans="1:6" ht="55.2" hidden="1">
      <c r="A134" s="352" t="s">
        <v>4378</v>
      </c>
      <c r="B134" s="463" t="s">
        <v>1043</v>
      </c>
      <c r="C134" s="463" t="s">
        <v>1196</v>
      </c>
      <c r="D134" s="550">
        <v>2850</v>
      </c>
      <c r="E134" s="570" t="s">
        <v>816</v>
      </c>
      <c r="F134" s="550"/>
    </row>
    <row r="135" spans="1:6" ht="55.2" hidden="1">
      <c r="A135" s="352" t="s">
        <v>4379</v>
      </c>
      <c r="B135" s="463" t="s">
        <v>1043</v>
      </c>
      <c r="C135" s="463" t="s">
        <v>1205</v>
      </c>
      <c r="D135" s="550">
        <v>500</v>
      </c>
      <c r="E135" s="570" t="s">
        <v>816</v>
      </c>
      <c r="F135" s="550"/>
    </row>
    <row r="136" spans="1:6" ht="27.6" hidden="1">
      <c r="A136" s="352" t="s">
        <v>4380</v>
      </c>
      <c r="B136" s="463" t="s">
        <v>823</v>
      </c>
      <c r="C136" s="463" t="s">
        <v>1206</v>
      </c>
      <c r="D136" s="550">
        <v>100000</v>
      </c>
      <c r="E136" s="570" t="s">
        <v>815</v>
      </c>
      <c r="F136" s="550"/>
    </row>
    <row r="137" spans="1:6" ht="27.6" hidden="1">
      <c r="A137" s="352" t="s">
        <v>4381</v>
      </c>
      <c r="B137" s="409" t="s">
        <v>822</v>
      </c>
      <c r="C137" s="409" t="s">
        <v>1206</v>
      </c>
      <c r="D137" s="550">
        <v>0</v>
      </c>
      <c r="E137" s="570" t="s">
        <v>815</v>
      </c>
      <c r="F137" s="550"/>
    </row>
    <row r="138" spans="1:6" ht="27.6" hidden="1">
      <c r="A138" s="352" t="s">
        <v>4382</v>
      </c>
      <c r="B138" s="409" t="s">
        <v>821</v>
      </c>
      <c r="C138" s="409" t="s">
        <v>1206</v>
      </c>
      <c r="D138" s="550">
        <v>0</v>
      </c>
      <c r="E138" s="570" t="s">
        <v>815</v>
      </c>
      <c r="F138" s="550"/>
    </row>
    <row r="139" spans="1:6" ht="27.6" hidden="1">
      <c r="A139" s="352" t="s">
        <v>4383</v>
      </c>
      <c r="B139" s="463" t="s">
        <v>820</v>
      </c>
      <c r="C139" s="463" t="s">
        <v>1206</v>
      </c>
      <c r="D139" s="550">
        <v>135125</v>
      </c>
      <c r="E139" s="570" t="s">
        <v>815</v>
      </c>
      <c r="F139" s="550"/>
    </row>
    <row r="140" spans="1:6" ht="27.6" hidden="1">
      <c r="A140" s="352" t="s">
        <v>4384</v>
      </c>
      <c r="B140" s="409" t="s">
        <v>818</v>
      </c>
      <c r="C140" s="409" t="s">
        <v>1206</v>
      </c>
      <c r="D140" s="550">
        <v>0</v>
      </c>
      <c r="E140" s="570" t="s">
        <v>815</v>
      </c>
      <c r="F140" s="550"/>
    </row>
    <row r="141" spans="1:6" ht="27.6" hidden="1">
      <c r="A141" s="352" t="s">
        <v>4385</v>
      </c>
      <c r="B141" s="409" t="s">
        <v>1036</v>
      </c>
      <c r="C141" s="409" t="s">
        <v>1207</v>
      </c>
      <c r="D141" s="550">
        <v>0</v>
      </c>
      <c r="E141" s="570" t="s">
        <v>816</v>
      </c>
      <c r="F141" s="550"/>
    </row>
    <row r="142" spans="1:6" ht="27.6" hidden="1">
      <c r="A142" s="352" t="s">
        <v>4386</v>
      </c>
      <c r="B142" s="409" t="s">
        <v>823</v>
      </c>
      <c r="C142" s="409" t="s">
        <v>1213</v>
      </c>
      <c r="D142" s="550">
        <v>0</v>
      </c>
      <c r="E142" s="570" t="s">
        <v>813</v>
      </c>
      <c r="F142" s="550"/>
    </row>
    <row r="143" spans="1:6" ht="27.6" hidden="1">
      <c r="A143" s="352" t="s">
        <v>4387</v>
      </c>
      <c r="B143" s="409" t="s">
        <v>822</v>
      </c>
      <c r="C143" s="409" t="s">
        <v>1213</v>
      </c>
      <c r="D143" s="550">
        <v>0</v>
      </c>
      <c r="E143" s="570" t="s">
        <v>813</v>
      </c>
      <c r="F143" s="550"/>
    </row>
    <row r="144" spans="1:6" ht="27.6" hidden="1">
      <c r="A144" s="352" t="s">
        <v>4388</v>
      </c>
      <c r="B144" s="409" t="s">
        <v>821</v>
      </c>
      <c r="C144" s="409" t="s">
        <v>1213</v>
      </c>
      <c r="D144" s="550">
        <v>0</v>
      </c>
      <c r="E144" s="570" t="s">
        <v>813</v>
      </c>
      <c r="F144" s="550"/>
    </row>
    <row r="145" spans="1:6" ht="27.6" hidden="1">
      <c r="A145" s="352" t="s">
        <v>4389</v>
      </c>
      <c r="B145" s="409" t="s">
        <v>820</v>
      </c>
      <c r="C145" s="409" t="s">
        <v>1213</v>
      </c>
      <c r="D145" s="550">
        <v>0</v>
      </c>
      <c r="E145" s="570" t="s">
        <v>813</v>
      </c>
      <c r="F145" s="550"/>
    </row>
    <row r="146" spans="1:6" ht="27.6" hidden="1">
      <c r="A146" s="352" t="s">
        <v>4390</v>
      </c>
      <c r="B146" s="409" t="s">
        <v>818</v>
      </c>
      <c r="C146" s="409" t="s">
        <v>1213</v>
      </c>
      <c r="D146" s="550">
        <v>0</v>
      </c>
      <c r="E146" s="570" t="s">
        <v>813</v>
      </c>
      <c r="F146" s="550"/>
    </row>
    <row r="147" spans="1:6" ht="27.6" hidden="1">
      <c r="A147" s="352" t="s">
        <v>4391</v>
      </c>
      <c r="B147" s="463" t="s">
        <v>1214</v>
      </c>
      <c r="C147" s="463" t="s">
        <v>1215</v>
      </c>
      <c r="D147" s="550">
        <v>22320</v>
      </c>
      <c r="E147" s="570" t="s">
        <v>814</v>
      </c>
      <c r="F147" s="550"/>
    </row>
    <row r="148" spans="1:6" ht="27.6" hidden="1">
      <c r="A148" s="352" t="s">
        <v>4392</v>
      </c>
      <c r="B148" s="463" t="s">
        <v>1030</v>
      </c>
      <c r="C148" s="463" t="s">
        <v>1223</v>
      </c>
      <c r="D148" s="550">
        <v>144603.29</v>
      </c>
      <c r="E148" s="570" t="s">
        <v>816</v>
      </c>
      <c r="F148" s="550"/>
    </row>
    <row r="149" spans="1:6" ht="27.6" hidden="1">
      <c r="A149" s="352" t="s">
        <v>4393</v>
      </c>
      <c r="B149" s="463" t="s">
        <v>1030</v>
      </c>
      <c r="C149" s="463" t="s">
        <v>1225</v>
      </c>
      <c r="D149" s="550">
        <v>119889.07</v>
      </c>
      <c r="E149" s="570" t="s">
        <v>816</v>
      </c>
      <c r="F149" s="550"/>
    </row>
    <row r="150" spans="1:6" ht="27.6" hidden="1">
      <c r="A150" s="352" t="s">
        <v>4394</v>
      </c>
      <c r="B150" s="463" t="s">
        <v>1030</v>
      </c>
      <c r="C150" s="463" t="s">
        <v>1227</v>
      </c>
      <c r="D150" s="550">
        <v>83142.720000000001</v>
      </c>
      <c r="E150" s="570" t="s">
        <v>816</v>
      </c>
      <c r="F150" s="550"/>
    </row>
    <row r="151" spans="1:6" ht="27.6" hidden="1">
      <c r="A151" s="352" t="s">
        <v>4395</v>
      </c>
      <c r="B151" s="463" t="s">
        <v>1030</v>
      </c>
      <c r="C151" s="463" t="s">
        <v>1227</v>
      </c>
      <c r="D151" s="550">
        <v>106531.33</v>
      </c>
      <c r="E151" s="570" t="s">
        <v>816</v>
      </c>
      <c r="F151" s="550"/>
    </row>
    <row r="152" spans="1:6" ht="27.6" hidden="1">
      <c r="A152" s="352" t="s">
        <v>4396</v>
      </c>
      <c r="B152" s="409" t="s">
        <v>1230</v>
      </c>
      <c r="C152" s="409" t="s">
        <v>1231</v>
      </c>
      <c r="D152" s="550">
        <v>0</v>
      </c>
      <c r="E152" s="570" t="s">
        <v>814</v>
      </c>
      <c r="F152" s="550"/>
    </row>
    <row r="153" spans="1:6" ht="27.6" hidden="1">
      <c r="A153" s="352" t="s">
        <v>4397</v>
      </c>
      <c r="B153" s="409" t="s">
        <v>1102</v>
      </c>
      <c r="C153" s="409" t="s">
        <v>1233</v>
      </c>
      <c r="D153" s="550">
        <v>0</v>
      </c>
      <c r="E153" s="570" t="s">
        <v>816</v>
      </c>
      <c r="F153" s="550"/>
    </row>
    <row r="154" spans="1:6" ht="27.6">
      <c r="A154" s="352" t="s">
        <v>4398</v>
      </c>
      <c r="B154" s="463" t="s">
        <v>1235</v>
      </c>
      <c r="C154" s="463" t="s">
        <v>1236</v>
      </c>
      <c r="D154" s="550">
        <v>10000</v>
      </c>
      <c r="E154" s="570" t="s">
        <v>816</v>
      </c>
      <c r="F154" s="550"/>
    </row>
    <row r="155" spans="1:6" ht="27.6" hidden="1">
      <c r="A155" s="352" t="s">
        <v>4399</v>
      </c>
      <c r="B155" s="463" t="s">
        <v>1075</v>
      </c>
      <c r="C155" s="463" t="s">
        <v>1236</v>
      </c>
      <c r="D155" s="550">
        <v>10790</v>
      </c>
      <c r="E155" s="570" t="s">
        <v>816</v>
      </c>
      <c r="F155" s="550"/>
    </row>
    <row r="156" spans="1:6" ht="27.6" hidden="1">
      <c r="A156" s="352" t="s">
        <v>4400</v>
      </c>
      <c r="B156" s="463" t="s">
        <v>1075</v>
      </c>
      <c r="C156" s="463" t="s">
        <v>1236</v>
      </c>
      <c r="D156" s="550">
        <v>12352.18</v>
      </c>
      <c r="E156" s="570" t="s">
        <v>816</v>
      </c>
      <c r="F156" s="550"/>
    </row>
    <row r="157" spans="1:6" ht="27.6" hidden="1">
      <c r="A157" s="352" t="s">
        <v>4401</v>
      </c>
      <c r="B157" s="463" t="s">
        <v>1075</v>
      </c>
      <c r="C157" s="463" t="s">
        <v>1236</v>
      </c>
      <c r="D157" s="550">
        <v>23474</v>
      </c>
      <c r="E157" s="570" t="s">
        <v>816</v>
      </c>
      <c r="F157" s="550"/>
    </row>
    <row r="158" spans="1:6" ht="27.6" hidden="1">
      <c r="A158" s="352" t="s">
        <v>4402</v>
      </c>
      <c r="B158" s="463" t="s">
        <v>1075</v>
      </c>
      <c r="C158" s="463" t="s">
        <v>1236</v>
      </c>
      <c r="D158" s="550">
        <v>27256.91</v>
      </c>
      <c r="E158" s="570" t="s">
        <v>816</v>
      </c>
      <c r="F158" s="550"/>
    </row>
    <row r="159" spans="1:6" ht="27.6" hidden="1">
      <c r="A159" s="352" t="s">
        <v>4403</v>
      </c>
      <c r="B159" s="463" t="s">
        <v>1242</v>
      </c>
      <c r="C159" s="463" t="s">
        <v>1243</v>
      </c>
      <c r="D159" s="550">
        <v>7321.62</v>
      </c>
      <c r="E159" s="570" t="s">
        <v>816</v>
      </c>
      <c r="F159" s="550"/>
    </row>
    <row r="160" spans="1:6" ht="27.6" hidden="1">
      <c r="A160" s="352" t="s">
        <v>4404</v>
      </c>
      <c r="B160" s="409" t="s">
        <v>1245</v>
      </c>
      <c r="C160" s="409" t="s">
        <v>1246</v>
      </c>
      <c r="D160" s="550">
        <v>0</v>
      </c>
      <c r="E160" s="570" t="s">
        <v>816</v>
      </c>
      <c r="F160" s="550"/>
    </row>
    <row r="161" spans="1:6" ht="27.6" hidden="1">
      <c r="A161" s="352" t="s">
        <v>4405</v>
      </c>
      <c r="B161" s="409" t="s">
        <v>1245</v>
      </c>
      <c r="C161" s="409" t="s">
        <v>1248</v>
      </c>
      <c r="D161" s="550">
        <v>0</v>
      </c>
      <c r="E161" s="570" t="s">
        <v>4602</v>
      </c>
      <c r="F161" s="550"/>
    </row>
    <row r="162" spans="1:6" ht="27.6" hidden="1">
      <c r="A162" s="352" t="s">
        <v>4406</v>
      </c>
      <c r="B162" s="463" t="s">
        <v>863</v>
      </c>
      <c r="C162" s="463" t="s">
        <v>1250</v>
      </c>
      <c r="D162" s="550">
        <v>0.01</v>
      </c>
      <c r="E162" s="570" t="s">
        <v>816</v>
      </c>
      <c r="F162" s="550"/>
    </row>
    <row r="163" spans="1:6" ht="41.4" hidden="1">
      <c r="A163" s="352" t="s">
        <v>4407</v>
      </c>
      <c r="B163" s="409" t="s">
        <v>818</v>
      </c>
      <c r="C163" s="409" t="s">
        <v>1252</v>
      </c>
      <c r="D163" s="550">
        <v>0</v>
      </c>
      <c r="E163" s="570" t="s">
        <v>816</v>
      </c>
      <c r="F163" s="550"/>
    </row>
    <row r="164" spans="1:6" ht="41.4" hidden="1">
      <c r="A164" s="352" t="s">
        <v>4408</v>
      </c>
      <c r="B164" s="409" t="s">
        <v>820</v>
      </c>
      <c r="C164" s="409" t="s">
        <v>1252</v>
      </c>
      <c r="D164" s="550">
        <v>0</v>
      </c>
      <c r="E164" s="570" t="s">
        <v>816</v>
      </c>
      <c r="F164" s="550"/>
    </row>
    <row r="165" spans="1:6" ht="41.4" hidden="1">
      <c r="A165" s="352" t="s">
        <v>4409</v>
      </c>
      <c r="B165" s="409" t="s">
        <v>822</v>
      </c>
      <c r="C165" s="409" t="s">
        <v>1252</v>
      </c>
      <c r="D165" s="550">
        <v>0</v>
      </c>
      <c r="E165" s="570" t="s">
        <v>816</v>
      </c>
      <c r="F165" s="550"/>
    </row>
    <row r="166" spans="1:6" ht="69" hidden="1">
      <c r="A166" s="352" t="s">
        <v>4410</v>
      </c>
      <c r="B166" s="409" t="s">
        <v>1257</v>
      </c>
      <c r="C166" s="409" t="s">
        <v>1258</v>
      </c>
      <c r="D166" s="550">
        <v>0</v>
      </c>
      <c r="E166" s="570" t="s">
        <v>816</v>
      </c>
      <c r="F166" s="550"/>
    </row>
    <row r="167" spans="1:6" ht="27.6" hidden="1">
      <c r="A167" s="352" t="s">
        <v>4411</v>
      </c>
      <c r="B167" s="409" t="s">
        <v>1172</v>
      </c>
      <c r="C167" s="409" t="s">
        <v>1260</v>
      </c>
      <c r="D167" s="550">
        <v>0</v>
      </c>
      <c r="E167" s="570" t="s">
        <v>816</v>
      </c>
      <c r="F167" s="550"/>
    </row>
    <row r="168" spans="1:6" ht="27.6" hidden="1">
      <c r="A168" s="352" t="s">
        <v>4412</v>
      </c>
      <c r="B168" s="409" t="s">
        <v>1174</v>
      </c>
      <c r="C168" s="409" t="s">
        <v>1260</v>
      </c>
      <c r="D168" s="550">
        <v>0</v>
      </c>
      <c r="E168" s="570" t="s">
        <v>816</v>
      </c>
      <c r="F168" s="550"/>
    </row>
    <row r="169" spans="1:6" ht="27.6" hidden="1">
      <c r="A169" s="352" t="s">
        <v>4413</v>
      </c>
      <c r="B169" s="409" t="s">
        <v>1030</v>
      </c>
      <c r="C169" s="409" t="s">
        <v>1263</v>
      </c>
      <c r="D169" s="550">
        <v>0</v>
      </c>
      <c r="E169" s="570" t="s">
        <v>816</v>
      </c>
      <c r="F169" s="550"/>
    </row>
    <row r="170" spans="1:6" ht="27.6" hidden="1">
      <c r="A170" s="352" t="s">
        <v>4414</v>
      </c>
      <c r="B170" s="439" t="s">
        <v>1030</v>
      </c>
      <c r="C170" s="439" t="s">
        <v>1263</v>
      </c>
      <c r="D170" s="550">
        <v>83842.210000000006</v>
      </c>
      <c r="E170" s="570" t="s">
        <v>816</v>
      </c>
      <c r="F170" s="550"/>
    </row>
    <row r="171" spans="1:6" ht="27.6" hidden="1">
      <c r="A171" s="352" t="s">
        <v>4415</v>
      </c>
      <c r="B171" s="439" t="s">
        <v>1030</v>
      </c>
      <c r="C171" s="439" t="s">
        <v>1263</v>
      </c>
      <c r="D171" s="550">
        <v>83842.210000000006</v>
      </c>
      <c r="E171" s="570" t="s">
        <v>816</v>
      </c>
      <c r="F171" s="550"/>
    </row>
    <row r="172" spans="1:6" ht="27.6" hidden="1">
      <c r="A172" s="352" t="s">
        <v>4416</v>
      </c>
      <c r="B172" s="463" t="s">
        <v>1176</v>
      </c>
      <c r="C172" s="463" t="s">
        <v>1260</v>
      </c>
      <c r="D172" s="550">
        <v>29300.399999999998</v>
      </c>
      <c r="E172" s="570" t="s">
        <v>816</v>
      </c>
      <c r="F172" s="550"/>
    </row>
    <row r="173" spans="1:6" ht="27.6" hidden="1">
      <c r="A173" s="352" t="s">
        <v>4417</v>
      </c>
      <c r="B173" s="463" t="s">
        <v>1272</v>
      </c>
      <c r="C173" s="463" t="s">
        <v>1273</v>
      </c>
      <c r="D173" s="550">
        <v>9170</v>
      </c>
      <c r="E173" s="570" t="s">
        <v>816</v>
      </c>
      <c r="F173" s="550"/>
    </row>
    <row r="174" spans="1:6" ht="41.4" hidden="1">
      <c r="A174" s="352" t="s">
        <v>4418</v>
      </c>
      <c r="B174" s="463" t="s">
        <v>1275</v>
      </c>
      <c r="C174" s="463" t="s">
        <v>1276</v>
      </c>
      <c r="D174" s="550">
        <v>1200</v>
      </c>
      <c r="E174" s="570" t="s">
        <v>816</v>
      </c>
      <c r="F174" s="550"/>
    </row>
    <row r="175" spans="1:6" ht="27.6" hidden="1">
      <c r="A175" s="352" t="s">
        <v>4419</v>
      </c>
      <c r="B175" s="463" t="s">
        <v>1036</v>
      </c>
      <c r="C175" s="463" t="s">
        <v>1207</v>
      </c>
      <c r="D175" s="550">
        <v>2404.7800000000002</v>
      </c>
      <c r="E175" s="570" t="s">
        <v>816</v>
      </c>
      <c r="F175" s="550"/>
    </row>
    <row r="176" spans="1:6" ht="69" hidden="1">
      <c r="A176" s="352" t="s">
        <v>4420</v>
      </c>
      <c r="B176" s="439" t="s">
        <v>1257</v>
      </c>
      <c r="C176" s="439" t="s">
        <v>1258</v>
      </c>
      <c r="D176" s="550">
        <v>2800</v>
      </c>
      <c r="E176" s="570" t="s">
        <v>816</v>
      </c>
      <c r="F176" s="550"/>
    </row>
    <row r="177" spans="1:6" ht="27.6" hidden="1">
      <c r="A177" s="352" t="s">
        <v>4421</v>
      </c>
      <c r="B177" s="439" t="s">
        <v>1172</v>
      </c>
      <c r="C177" s="439" t="s">
        <v>1260</v>
      </c>
      <c r="D177" s="550">
        <v>29300.399999999998</v>
      </c>
      <c r="E177" s="570" t="s">
        <v>816</v>
      </c>
      <c r="F177" s="550"/>
    </row>
    <row r="178" spans="1:6" ht="27.6" hidden="1">
      <c r="A178" s="352" t="s">
        <v>4422</v>
      </c>
      <c r="B178" s="439" t="s">
        <v>1174</v>
      </c>
      <c r="C178" s="439" t="s">
        <v>1260</v>
      </c>
      <c r="D178" s="550">
        <v>29300.399999999998</v>
      </c>
      <c r="E178" s="570" t="s">
        <v>816</v>
      </c>
      <c r="F178" s="550"/>
    </row>
    <row r="179" spans="1:6" ht="27.6" hidden="1">
      <c r="A179" s="352" t="s">
        <v>4423</v>
      </c>
      <c r="B179" s="439" t="s">
        <v>1230</v>
      </c>
      <c r="C179" s="439" t="s">
        <v>1231</v>
      </c>
      <c r="D179" s="550">
        <v>11000</v>
      </c>
      <c r="E179" s="570" t="s">
        <v>814</v>
      </c>
      <c r="F179" s="550"/>
    </row>
    <row r="180" spans="1:6" ht="41.4" hidden="1">
      <c r="A180" s="352" t="s">
        <v>4424</v>
      </c>
      <c r="B180" s="439" t="s">
        <v>1102</v>
      </c>
      <c r="C180" s="439" t="s">
        <v>1283</v>
      </c>
      <c r="D180" s="550">
        <v>2500</v>
      </c>
      <c r="E180" s="570" t="s">
        <v>816</v>
      </c>
      <c r="F180" s="550"/>
    </row>
    <row r="181" spans="1:6" ht="27.6" hidden="1">
      <c r="A181" s="352" t="s">
        <v>4425</v>
      </c>
      <c r="B181" s="463" t="s">
        <v>773</v>
      </c>
      <c r="C181" s="463" t="s">
        <v>1285</v>
      </c>
      <c r="D181" s="550">
        <v>4223.5</v>
      </c>
      <c r="E181" s="570" t="s">
        <v>816</v>
      </c>
      <c r="F181" s="550"/>
    </row>
    <row r="182" spans="1:6" ht="27.6">
      <c r="A182" s="352" t="s">
        <v>4426</v>
      </c>
      <c r="B182" s="463" t="s">
        <v>1235</v>
      </c>
      <c r="C182" s="463" t="s">
        <v>1288</v>
      </c>
      <c r="D182" s="550">
        <v>10000</v>
      </c>
      <c r="E182" s="570" t="s">
        <v>816</v>
      </c>
      <c r="F182" s="550"/>
    </row>
    <row r="183" spans="1:6" ht="27.6" hidden="1">
      <c r="A183" s="352" t="s">
        <v>4427</v>
      </c>
      <c r="B183" s="463" t="s">
        <v>1075</v>
      </c>
      <c r="C183" s="463" t="s">
        <v>1288</v>
      </c>
      <c r="D183" s="550">
        <v>27760</v>
      </c>
      <c r="E183" s="570" t="s">
        <v>816</v>
      </c>
      <c r="F183" s="550"/>
    </row>
    <row r="184" spans="1:6" ht="27.6" hidden="1">
      <c r="A184" s="352" t="s">
        <v>4428</v>
      </c>
      <c r="B184" s="463" t="s">
        <v>1290</v>
      </c>
      <c r="C184" s="463" t="s">
        <v>1291</v>
      </c>
      <c r="D184" s="550">
        <v>16332.5</v>
      </c>
      <c r="E184" s="570" t="s">
        <v>816</v>
      </c>
      <c r="F184" s="550"/>
    </row>
    <row r="185" spans="1:6" ht="27.6" hidden="1">
      <c r="A185" s="352" t="s">
        <v>4429</v>
      </c>
      <c r="B185" s="463" t="s">
        <v>1075</v>
      </c>
      <c r="C185" s="463" t="s">
        <v>1288</v>
      </c>
      <c r="D185" s="550">
        <v>22316</v>
      </c>
      <c r="E185" s="570" t="s">
        <v>816</v>
      </c>
      <c r="F185" s="550"/>
    </row>
    <row r="186" spans="1:6" ht="27.6" hidden="1">
      <c r="A186" s="352" t="s">
        <v>4430</v>
      </c>
      <c r="B186" s="463" t="s">
        <v>1075</v>
      </c>
      <c r="C186" s="463" t="s">
        <v>1288</v>
      </c>
      <c r="D186" s="550">
        <v>13034</v>
      </c>
      <c r="E186" s="570" t="s">
        <v>816</v>
      </c>
      <c r="F186" s="550"/>
    </row>
    <row r="187" spans="1:6" hidden="1">
      <c r="A187" s="352" t="s">
        <v>4431</v>
      </c>
      <c r="B187" s="463" t="s">
        <v>1643</v>
      </c>
      <c r="C187" s="463" t="s">
        <v>1295</v>
      </c>
      <c r="D187" s="550">
        <v>150000</v>
      </c>
      <c r="E187" s="570" t="s">
        <v>816</v>
      </c>
      <c r="F187" s="550"/>
    </row>
    <row r="188" spans="1:6" ht="27.6" hidden="1">
      <c r="A188" s="352" t="s">
        <v>4432</v>
      </c>
      <c r="B188" s="463" t="s">
        <v>1297</v>
      </c>
      <c r="C188" s="463" t="s">
        <v>1298</v>
      </c>
      <c r="D188" s="550">
        <v>64106</v>
      </c>
      <c r="E188" s="570" t="s">
        <v>816</v>
      </c>
      <c r="F188" s="550"/>
    </row>
    <row r="189" spans="1:6" ht="27.6" hidden="1">
      <c r="A189" s="352" t="s">
        <v>4433</v>
      </c>
      <c r="B189" s="463" t="s">
        <v>1300</v>
      </c>
      <c r="C189" s="463" t="s">
        <v>1301</v>
      </c>
      <c r="D189" s="550">
        <v>16332.5</v>
      </c>
      <c r="E189" s="570" t="s">
        <v>816</v>
      </c>
      <c r="F189" s="550"/>
    </row>
    <row r="190" spans="1:6" ht="41.4" hidden="1">
      <c r="A190" s="352" t="s">
        <v>4434</v>
      </c>
      <c r="B190" s="463" t="s">
        <v>1303</v>
      </c>
      <c r="C190" s="463" t="s">
        <v>1304</v>
      </c>
      <c r="D190" s="550">
        <v>9900</v>
      </c>
      <c r="E190" s="570" t="s">
        <v>815</v>
      </c>
      <c r="F190" s="550"/>
    </row>
    <row r="191" spans="1:6" ht="27.6" hidden="1">
      <c r="A191" s="352" t="s">
        <v>4435</v>
      </c>
      <c r="B191" s="463" t="s">
        <v>1105</v>
      </c>
      <c r="C191" s="463" t="s">
        <v>1309</v>
      </c>
      <c r="D191" s="550">
        <v>6617.76</v>
      </c>
      <c r="E191" s="570" t="s">
        <v>816</v>
      </c>
      <c r="F191" s="550"/>
    </row>
    <row r="192" spans="1:6" ht="27.6" hidden="1">
      <c r="A192" s="352" t="s">
        <v>4436</v>
      </c>
      <c r="B192" s="463" t="s">
        <v>1307</v>
      </c>
      <c r="C192" s="463" t="s">
        <v>1308</v>
      </c>
      <c r="D192" s="550">
        <v>2179.06</v>
      </c>
      <c r="E192" s="570" t="s">
        <v>816</v>
      </c>
      <c r="F192" s="550"/>
    </row>
    <row r="193" spans="1:6" ht="27.6" hidden="1">
      <c r="A193" s="352" t="s">
        <v>4437</v>
      </c>
      <c r="B193" s="463" t="s">
        <v>1038</v>
      </c>
      <c r="C193" s="463" t="s">
        <v>1311</v>
      </c>
      <c r="D193" s="550">
        <v>3075</v>
      </c>
      <c r="E193" s="570" t="s">
        <v>814</v>
      </c>
      <c r="F193" s="550"/>
    </row>
    <row r="194" spans="1:6" ht="27.6" hidden="1">
      <c r="A194" s="352" t="s">
        <v>4438</v>
      </c>
      <c r="B194" s="463" t="s">
        <v>1245</v>
      </c>
      <c r="C194" s="463" t="s">
        <v>1313</v>
      </c>
      <c r="D194" s="550">
        <v>3048</v>
      </c>
      <c r="E194" s="570" t="s">
        <v>814</v>
      </c>
      <c r="F194" s="550"/>
    </row>
    <row r="195" spans="1:6" ht="27.6" hidden="1">
      <c r="A195" s="352" t="s">
        <v>4439</v>
      </c>
      <c r="B195" s="409" t="s">
        <v>1315</v>
      </c>
      <c r="C195" s="409" t="s">
        <v>1316</v>
      </c>
      <c r="D195" s="550">
        <v>0</v>
      </c>
      <c r="E195" s="570" t="s">
        <v>816</v>
      </c>
      <c r="F195" s="550"/>
    </row>
    <row r="196" spans="1:6" ht="27.6" hidden="1">
      <c r="A196" s="352" t="s">
        <v>4440</v>
      </c>
      <c r="B196" s="463" t="s">
        <v>794</v>
      </c>
      <c r="C196" s="463" t="s">
        <v>1318</v>
      </c>
      <c r="D196" s="550">
        <v>1080</v>
      </c>
      <c r="E196" s="570" t="s">
        <v>816</v>
      </c>
      <c r="F196" s="550"/>
    </row>
    <row r="197" spans="1:6" ht="27.6" hidden="1">
      <c r="A197" s="352" t="s">
        <v>4441</v>
      </c>
      <c r="B197" s="463" t="s">
        <v>852</v>
      </c>
      <c r="C197" s="463" t="s">
        <v>1320</v>
      </c>
      <c r="D197" s="550">
        <v>8800</v>
      </c>
      <c r="E197" s="570" t="s">
        <v>816</v>
      </c>
      <c r="F197" s="550"/>
    </row>
    <row r="198" spans="1:6" ht="27.6" hidden="1">
      <c r="A198" s="352" t="s">
        <v>4442</v>
      </c>
      <c r="B198" s="463" t="s">
        <v>1030</v>
      </c>
      <c r="C198" s="463" t="s">
        <v>1031</v>
      </c>
      <c r="D198" s="550">
        <v>29318.18</v>
      </c>
      <c r="E198" s="570" t="s">
        <v>816</v>
      </c>
      <c r="F198" s="550"/>
    </row>
    <row r="199" spans="1:6" ht="27.6" hidden="1">
      <c r="A199" s="352" t="s">
        <v>4443</v>
      </c>
      <c r="B199" s="463" t="s">
        <v>1323</v>
      </c>
      <c r="C199" s="463" t="s">
        <v>1207</v>
      </c>
      <c r="D199" s="550">
        <v>9565</v>
      </c>
      <c r="E199" s="570" t="s">
        <v>816</v>
      </c>
      <c r="F199" s="550"/>
    </row>
    <row r="200" spans="1:6" ht="27.6" hidden="1">
      <c r="A200" s="352" t="s">
        <v>4444</v>
      </c>
      <c r="B200" s="463" t="s">
        <v>1325</v>
      </c>
      <c r="C200" s="463" t="s">
        <v>1207</v>
      </c>
      <c r="D200" s="550">
        <v>1560</v>
      </c>
      <c r="E200" s="570" t="s">
        <v>816</v>
      </c>
      <c r="F200" s="550"/>
    </row>
    <row r="201" spans="1:6" ht="27.6" hidden="1">
      <c r="A201" s="352" t="s">
        <v>4445</v>
      </c>
      <c r="B201" s="463" t="s">
        <v>1327</v>
      </c>
      <c r="C201" s="463" t="s">
        <v>1207</v>
      </c>
      <c r="D201" s="550">
        <v>17820</v>
      </c>
      <c r="E201" s="570" t="s">
        <v>816</v>
      </c>
      <c r="F201" s="550"/>
    </row>
    <row r="202" spans="1:6" ht="27.6" hidden="1">
      <c r="A202" s="352" t="s">
        <v>4446</v>
      </c>
      <c r="B202" s="463" t="s">
        <v>1329</v>
      </c>
      <c r="C202" s="463" t="s">
        <v>1330</v>
      </c>
      <c r="D202" s="550">
        <v>11547.23</v>
      </c>
      <c r="E202" s="570" t="s">
        <v>816</v>
      </c>
      <c r="F202" s="550"/>
    </row>
    <row r="203" spans="1:6" ht="27.6" hidden="1">
      <c r="A203" s="352" t="s">
        <v>4447</v>
      </c>
      <c r="B203" s="463" t="s">
        <v>859</v>
      </c>
      <c r="C203" s="463" t="s">
        <v>1332</v>
      </c>
      <c r="D203" s="550">
        <v>1840</v>
      </c>
      <c r="E203" s="570" t="s">
        <v>816</v>
      </c>
      <c r="F203" s="550"/>
    </row>
    <row r="204" spans="1:6" ht="27.6" hidden="1">
      <c r="A204" s="352" t="s">
        <v>4448</v>
      </c>
      <c r="B204" s="463" t="s">
        <v>1334</v>
      </c>
      <c r="C204" s="463" t="s">
        <v>1335</v>
      </c>
      <c r="D204" s="550">
        <v>17500</v>
      </c>
      <c r="E204" s="570" t="s">
        <v>816</v>
      </c>
      <c r="F204" s="550"/>
    </row>
    <row r="205" spans="1:6" ht="41.4" hidden="1">
      <c r="A205" s="352" t="s">
        <v>4449</v>
      </c>
      <c r="B205" s="463" t="s">
        <v>1337</v>
      </c>
      <c r="C205" s="463" t="s">
        <v>1276</v>
      </c>
      <c r="D205" s="550">
        <v>1800</v>
      </c>
      <c r="E205" s="570" t="s">
        <v>816</v>
      </c>
      <c r="F205" s="550"/>
    </row>
    <row r="206" spans="1:6" ht="27.6" hidden="1">
      <c r="A206" s="352" t="s">
        <v>4450</v>
      </c>
      <c r="B206" s="463" t="s">
        <v>1339</v>
      </c>
      <c r="C206" s="463" t="s">
        <v>1340</v>
      </c>
      <c r="D206" s="550">
        <v>20626.73</v>
      </c>
      <c r="E206" s="570" t="s">
        <v>816</v>
      </c>
      <c r="F206" s="550"/>
    </row>
    <row r="207" spans="1:6" ht="27.6" hidden="1">
      <c r="A207" s="352" t="s">
        <v>4451</v>
      </c>
      <c r="B207" s="463" t="s">
        <v>1342</v>
      </c>
      <c r="C207" s="463" t="s">
        <v>1301</v>
      </c>
      <c r="D207" s="550">
        <v>16308.47</v>
      </c>
      <c r="E207" s="570" t="s">
        <v>816</v>
      </c>
      <c r="F207" s="550"/>
    </row>
    <row r="208" spans="1:6" ht="55.2" hidden="1">
      <c r="A208" s="352" t="s">
        <v>4452</v>
      </c>
      <c r="B208" s="463" t="s">
        <v>1344</v>
      </c>
      <c r="C208" s="463" t="s">
        <v>1345</v>
      </c>
      <c r="D208" s="550">
        <v>7200</v>
      </c>
      <c r="E208" s="570" t="s">
        <v>816</v>
      </c>
      <c r="F208" s="550"/>
    </row>
    <row r="209" spans="1:6" ht="27.6" hidden="1">
      <c r="A209" s="352" t="s">
        <v>4453</v>
      </c>
      <c r="B209" s="463" t="s">
        <v>1108</v>
      </c>
      <c r="C209" s="463" t="s">
        <v>1346</v>
      </c>
      <c r="D209" s="550">
        <v>12900</v>
      </c>
      <c r="E209" s="570" t="s">
        <v>815</v>
      </c>
      <c r="F209" s="550"/>
    </row>
    <row r="210" spans="1:6" ht="41.4" hidden="1">
      <c r="A210" s="352" t="s">
        <v>4454</v>
      </c>
      <c r="B210" s="463" t="s">
        <v>1108</v>
      </c>
      <c r="C210" s="463" t="s">
        <v>1347</v>
      </c>
      <c r="D210" s="550">
        <v>4950</v>
      </c>
      <c r="E210" s="570" t="s">
        <v>816</v>
      </c>
      <c r="F210" s="550"/>
    </row>
    <row r="211" spans="1:6" ht="27.6" hidden="1">
      <c r="A211" s="352" t="s">
        <v>4455</v>
      </c>
      <c r="B211" s="463" t="s">
        <v>1327</v>
      </c>
      <c r="C211" s="463" t="s">
        <v>1037</v>
      </c>
      <c r="D211" s="550">
        <v>7830</v>
      </c>
      <c r="E211" s="570" t="s">
        <v>814</v>
      </c>
      <c r="F211" s="550"/>
    </row>
    <row r="212" spans="1:6" ht="27.6" hidden="1">
      <c r="A212" s="352" t="s">
        <v>4456</v>
      </c>
      <c r="B212" s="463" t="s">
        <v>1214</v>
      </c>
      <c r="C212" s="463" t="s">
        <v>1348</v>
      </c>
      <c r="D212" s="550">
        <v>27000</v>
      </c>
      <c r="E212" s="570" t="s">
        <v>816</v>
      </c>
      <c r="F212" s="550"/>
    </row>
    <row r="213" spans="1:6" ht="27.6" hidden="1">
      <c r="A213" s="352" t="s">
        <v>4457</v>
      </c>
      <c r="B213" s="463" t="s">
        <v>1349</v>
      </c>
      <c r="C213" s="463" t="s">
        <v>1350</v>
      </c>
      <c r="D213" s="550">
        <v>3400</v>
      </c>
      <c r="E213" s="570" t="s">
        <v>814</v>
      </c>
      <c r="F213" s="550"/>
    </row>
    <row r="214" spans="1:6" ht="55.2" hidden="1">
      <c r="A214" s="352" t="s">
        <v>4458</v>
      </c>
      <c r="B214" s="463" t="s">
        <v>1038</v>
      </c>
      <c r="C214" s="463" t="s">
        <v>1351</v>
      </c>
      <c r="D214" s="550">
        <v>1800</v>
      </c>
      <c r="E214" s="570" t="s">
        <v>814</v>
      </c>
      <c r="F214" s="550"/>
    </row>
    <row r="215" spans="1:6" ht="27.6" hidden="1">
      <c r="A215" s="352" t="s">
        <v>4459</v>
      </c>
      <c r="B215" s="463" t="s">
        <v>1352</v>
      </c>
      <c r="C215" s="463" t="s">
        <v>1353</v>
      </c>
      <c r="D215" s="550">
        <v>39600</v>
      </c>
      <c r="E215" s="570" t="s">
        <v>816</v>
      </c>
      <c r="F215" s="550"/>
    </row>
    <row r="216" spans="1:6" ht="41.4" hidden="1">
      <c r="A216" s="352" t="s">
        <v>4460</v>
      </c>
      <c r="B216" s="463" t="s">
        <v>1354</v>
      </c>
      <c r="C216" s="463" t="s">
        <v>1355</v>
      </c>
      <c r="D216" s="550">
        <v>5600</v>
      </c>
      <c r="E216" s="570" t="s">
        <v>816</v>
      </c>
      <c r="F216" s="550"/>
    </row>
    <row r="217" spans="1:6" ht="27.6" hidden="1">
      <c r="A217" s="352" t="s">
        <v>4461</v>
      </c>
      <c r="B217" s="463" t="s">
        <v>1245</v>
      </c>
      <c r="C217" s="463" t="s">
        <v>1356</v>
      </c>
      <c r="D217" s="550">
        <v>4032</v>
      </c>
      <c r="E217" s="570" t="s">
        <v>816</v>
      </c>
      <c r="F217" s="550"/>
    </row>
    <row r="218" spans="1:6" ht="27.6" hidden="1">
      <c r="A218" s="352" t="s">
        <v>4462</v>
      </c>
      <c r="B218" s="463" t="s">
        <v>810</v>
      </c>
      <c r="C218" s="463" t="s">
        <v>1357</v>
      </c>
      <c r="D218" s="550">
        <v>22882.230000000003</v>
      </c>
      <c r="E218" s="570" t="s">
        <v>816</v>
      </c>
      <c r="F218" s="550"/>
    </row>
    <row r="219" spans="1:6" ht="27.6" hidden="1">
      <c r="A219" s="352" t="s">
        <v>4463</v>
      </c>
      <c r="B219" s="463" t="s">
        <v>836</v>
      </c>
      <c r="C219" s="463" t="s">
        <v>1358</v>
      </c>
      <c r="D219" s="550">
        <v>2275</v>
      </c>
      <c r="E219" s="570" t="s">
        <v>816</v>
      </c>
      <c r="F219" s="550"/>
    </row>
    <row r="220" spans="1:6" ht="27.6" hidden="1">
      <c r="A220" s="352" t="s">
        <v>4464</v>
      </c>
      <c r="B220" s="463" t="s">
        <v>1359</v>
      </c>
      <c r="C220" s="463" t="s">
        <v>1360</v>
      </c>
      <c r="D220" s="550">
        <v>6323</v>
      </c>
      <c r="E220" s="570" t="s">
        <v>816</v>
      </c>
      <c r="F220" s="550"/>
    </row>
    <row r="221" spans="1:6" ht="27.6" hidden="1">
      <c r="A221" s="352" t="s">
        <v>4465</v>
      </c>
      <c r="B221" s="463" t="s">
        <v>1072</v>
      </c>
      <c r="C221" s="463" t="s">
        <v>1361</v>
      </c>
      <c r="D221" s="550">
        <v>1242</v>
      </c>
      <c r="E221" s="570" t="s">
        <v>816</v>
      </c>
      <c r="F221" s="550"/>
    </row>
    <row r="222" spans="1:6" ht="27.6" hidden="1">
      <c r="A222" s="352" t="s">
        <v>4466</v>
      </c>
      <c r="B222" s="463" t="s">
        <v>779</v>
      </c>
      <c r="C222" s="463" t="s">
        <v>1363</v>
      </c>
      <c r="D222" s="550">
        <v>170501.47</v>
      </c>
      <c r="E222" s="570" t="s">
        <v>816</v>
      </c>
      <c r="F222" s="550"/>
    </row>
    <row r="223" spans="1:6" ht="41.4" hidden="1">
      <c r="A223" s="352" t="s">
        <v>4467</v>
      </c>
      <c r="B223" s="463" t="s">
        <v>1380</v>
      </c>
      <c r="C223" s="463" t="s">
        <v>1381</v>
      </c>
      <c r="D223" s="550">
        <v>7635</v>
      </c>
      <c r="E223" s="570" t="s">
        <v>816</v>
      </c>
      <c r="F223" s="550"/>
    </row>
    <row r="224" spans="1:6" ht="41.4" hidden="1">
      <c r="A224" s="352" t="s">
        <v>4468</v>
      </c>
      <c r="B224" s="463" t="s">
        <v>777</v>
      </c>
      <c r="C224" s="463" t="s">
        <v>1384</v>
      </c>
      <c r="D224" s="550">
        <v>429402.37</v>
      </c>
      <c r="E224" s="570" t="s">
        <v>816</v>
      </c>
      <c r="F224" s="550"/>
    </row>
    <row r="225" spans="1:6" ht="41.4" hidden="1">
      <c r="A225" s="352" t="s">
        <v>4469</v>
      </c>
      <c r="B225" s="463" t="s">
        <v>768</v>
      </c>
      <c r="C225" s="463" t="s">
        <v>1384</v>
      </c>
      <c r="D225" s="550">
        <v>688368.09</v>
      </c>
      <c r="E225" s="570" t="s">
        <v>816</v>
      </c>
      <c r="F225" s="550"/>
    </row>
    <row r="226" spans="1:6" ht="41.4" hidden="1">
      <c r="A226" s="352" t="s">
        <v>4470</v>
      </c>
      <c r="B226" s="463" t="s">
        <v>765</v>
      </c>
      <c r="C226" s="463" t="s">
        <v>1384</v>
      </c>
      <c r="D226" s="550">
        <v>389716.8</v>
      </c>
      <c r="E226" s="570" t="s">
        <v>816</v>
      </c>
      <c r="F226" s="550"/>
    </row>
    <row r="227" spans="1:6" ht="27.6" hidden="1">
      <c r="A227" s="352" t="s">
        <v>4471</v>
      </c>
      <c r="B227" s="463" t="s">
        <v>872</v>
      </c>
      <c r="C227" s="463" t="s">
        <v>1390</v>
      </c>
      <c r="D227" s="550">
        <v>40307.629999999997</v>
      </c>
      <c r="E227" s="570" t="s">
        <v>816</v>
      </c>
      <c r="F227" s="550"/>
    </row>
    <row r="228" spans="1:6" ht="27.6" hidden="1">
      <c r="A228" s="352" t="s">
        <v>4472</v>
      </c>
      <c r="B228" s="463" t="s">
        <v>863</v>
      </c>
      <c r="C228" s="463" t="s">
        <v>1390</v>
      </c>
      <c r="D228" s="550">
        <v>51777.94</v>
      </c>
      <c r="E228" s="570" t="s">
        <v>816</v>
      </c>
      <c r="F228" s="550"/>
    </row>
    <row r="229" spans="1:6" ht="27.6" hidden="1">
      <c r="A229" s="352" t="s">
        <v>4473</v>
      </c>
      <c r="B229" s="463" t="s">
        <v>768</v>
      </c>
      <c r="C229" s="463" t="s">
        <v>1390</v>
      </c>
      <c r="D229" s="550">
        <v>92085.57</v>
      </c>
      <c r="E229" s="570" t="s">
        <v>816</v>
      </c>
      <c r="F229" s="550"/>
    </row>
    <row r="230" spans="1:6" ht="27.6" hidden="1">
      <c r="A230" s="352" t="s">
        <v>4474</v>
      </c>
      <c r="B230" s="463" t="s">
        <v>867</v>
      </c>
      <c r="C230" s="463" t="s">
        <v>1390</v>
      </c>
      <c r="D230" s="550">
        <v>40307.629999999997</v>
      </c>
      <c r="E230" s="570" t="s">
        <v>816</v>
      </c>
      <c r="F230" s="550"/>
    </row>
    <row r="231" spans="1:6" ht="41.4" hidden="1">
      <c r="A231" s="352" t="s">
        <v>4475</v>
      </c>
      <c r="B231" s="463" t="s">
        <v>1165</v>
      </c>
      <c r="C231" s="463" t="s">
        <v>1394</v>
      </c>
      <c r="D231" s="550">
        <v>29300.399999999998</v>
      </c>
      <c r="E231" s="570" t="s">
        <v>816</v>
      </c>
      <c r="F231" s="550"/>
    </row>
    <row r="232" spans="1:6" ht="41.4" hidden="1">
      <c r="A232" s="352" t="s">
        <v>4476</v>
      </c>
      <c r="B232" s="463" t="s">
        <v>1170</v>
      </c>
      <c r="C232" s="463" t="s">
        <v>1394</v>
      </c>
      <c r="D232" s="550">
        <v>29300.399999999998</v>
      </c>
      <c r="E232" s="570" t="s">
        <v>816</v>
      </c>
      <c r="F232" s="550"/>
    </row>
    <row r="233" spans="1:6" ht="41.4" hidden="1">
      <c r="A233" s="352" t="s">
        <v>4477</v>
      </c>
      <c r="B233" s="463" t="s">
        <v>1174</v>
      </c>
      <c r="C233" s="463" t="s">
        <v>1394</v>
      </c>
      <c r="D233" s="550">
        <v>29300.399999999998</v>
      </c>
      <c r="E233" s="570" t="s">
        <v>816</v>
      </c>
      <c r="F233" s="550"/>
    </row>
    <row r="234" spans="1:6" ht="41.4" hidden="1">
      <c r="A234" s="352" t="s">
        <v>4478</v>
      </c>
      <c r="B234" s="463" t="s">
        <v>1176</v>
      </c>
      <c r="C234" s="463" t="s">
        <v>1394</v>
      </c>
      <c r="D234" s="550">
        <v>29300.399999999998</v>
      </c>
      <c r="E234" s="570" t="s">
        <v>816</v>
      </c>
      <c r="F234" s="550"/>
    </row>
    <row r="235" spans="1:6" ht="41.4" hidden="1">
      <c r="A235" s="352" t="s">
        <v>4479</v>
      </c>
      <c r="B235" s="463" t="s">
        <v>1382</v>
      </c>
      <c r="C235" s="463" t="s">
        <v>1399</v>
      </c>
      <c r="D235" s="550">
        <v>29300.399999999998</v>
      </c>
      <c r="E235" s="570" t="s">
        <v>816</v>
      </c>
      <c r="F235" s="550"/>
    </row>
    <row r="236" spans="1:6" ht="41.4" hidden="1">
      <c r="A236" s="352" t="s">
        <v>4480</v>
      </c>
      <c r="B236" s="463" t="s">
        <v>1382</v>
      </c>
      <c r="C236" s="463" t="s">
        <v>1394</v>
      </c>
      <c r="D236" s="550">
        <v>29300.399999999998</v>
      </c>
      <c r="E236" s="570" t="s">
        <v>816</v>
      </c>
      <c r="F236" s="550"/>
    </row>
    <row r="237" spans="1:6" ht="41.4" hidden="1">
      <c r="A237" s="352" t="s">
        <v>4481</v>
      </c>
      <c r="B237" s="463" t="s">
        <v>10</v>
      </c>
      <c r="C237" s="463" t="s">
        <v>1384</v>
      </c>
      <c r="D237" s="550">
        <v>2049964.0999999999</v>
      </c>
      <c r="E237" s="570" t="s">
        <v>816</v>
      </c>
      <c r="F237" s="550"/>
    </row>
    <row r="238" spans="1:6" ht="41.4" hidden="1">
      <c r="A238" s="352" t="s">
        <v>4482</v>
      </c>
      <c r="B238" s="463" t="s">
        <v>764</v>
      </c>
      <c r="C238" s="463" t="s">
        <v>1384</v>
      </c>
      <c r="D238" s="550">
        <v>470812.07</v>
      </c>
      <c r="E238" s="570" t="s">
        <v>816</v>
      </c>
      <c r="F238" s="550"/>
    </row>
    <row r="239" spans="1:6" ht="27.6" hidden="1">
      <c r="A239" s="352" t="s">
        <v>4483</v>
      </c>
      <c r="B239" s="463" t="s">
        <v>869</v>
      </c>
      <c r="C239" s="463" t="s">
        <v>1390</v>
      </c>
      <c r="D239" s="550">
        <v>40307.629999999997</v>
      </c>
      <c r="E239" s="570" t="s">
        <v>816</v>
      </c>
      <c r="F239" s="550"/>
    </row>
    <row r="240" spans="1:6" ht="41.4" hidden="1">
      <c r="A240" s="352" t="s">
        <v>4484</v>
      </c>
      <c r="B240" s="463" t="s">
        <v>1170</v>
      </c>
      <c r="C240" s="463" t="s">
        <v>1406</v>
      </c>
      <c r="D240" s="550">
        <v>29300.399999999998</v>
      </c>
      <c r="E240" s="570" t="s">
        <v>816</v>
      </c>
      <c r="F240" s="550"/>
    </row>
    <row r="241" spans="1:6" ht="27.6" hidden="1">
      <c r="A241" s="352" t="s">
        <v>4485</v>
      </c>
      <c r="B241" s="463" t="s">
        <v>1245</v>
      </c>
      <c r="C241" s="463" t="s">
        <v>1408</v>
      </c>
      <c r="D241" s="550">
        <v>2016</v>
      </c>
      <c r="E241" s="570" t="s">
        <v>815</v>
      </c>
      <c r="F241" s="550"/>
    </row>
    <row r="242" spans="1:6" ht="27.6" hidden="1">
      <c r="A242" s="352" t="s">
        <v>4486</v>
      </c>
      <c r="B242" s="463" t="s">
        <v>1245</v>
      </c>
      <c r="C242" s="463" t="s">
        <v>1248</v>
      </c>
      <c r="D242" s="550">
        <v>1344</v>
      </c>
      <c r="E242" s="570" t="s">
        <v>816</v>
      </c>
      <c r="F242" s="550"/>
    </row>
    <row r="243" spans="1:6" ht="27.6" hidden="1">
      <c r="A243" s="352" t="s">
        <v>4487</v>
      </c>
      <c r="B243" s="463" t="s">
        <v>1036</v>
      </c>
      <c r="C243" s="463" t="s">
        <v>1411</v>
      </c>
      <c r="D243" s="550">
        <v>1651.12</v>
      </c>
      <c r="E243" s="570" t="s">
        <v>815</v>
      </c>
      <c r="F243" s="550"/>
    </row>
    <row r="244" spans="1:6" ht="41.4" hidden="1">
      <c r="A244" s="352" t="s">
        <v>4488</v>
      </c>
      <c r="B244" s="463" t="s">
        <v>1172</v>
      </c>
      <c r="C244" s="463" t="s">
        <v>1394</v>
      </c>
      <c r="D244" s="550">
        <v>29300.399999999998</v>
      </c>
      <c r="E244" s="570" t="s">
        <v>816</v>
      </c>
      <c r="F244" s="550"/>
    </row>
    <row r="245" spans="1:6" ht="27.6" hidden="1">
      <c r="A245" s="352" t="s">
        <v>4489</v>
      </c>
      <c r="B245" s="463" t="s">
        <v>789</v>
      </c>
      <c r="C245" s="463" t="s">
        <v>1390</v>
      </c>
      <c r="D245" s="550">
        <v>92085.57</v>
      </c>
      <c r="E245" s="570" t="s">
        <v>816</v>
      </c>
      <c r="F245" s="550"/>
    </row>
    <row r="246" spans="1:6" ht="41.4" hidden="1">
      <c r="A246" s="352" t="s">
        <v>4490</v>
      </c>
      <c r="B246" s="463" t="s">
        <v>789</v>
      </c>
      <c r="C246" s="463" t="s">
        <v>1384</v>
      </c>
      <c r="D246" s="550">
        <v>666486.65999999992</v>
      </c>
      <c r="E246" s="570" t="s">
        <v>816</v>
      </c>
      <c r="F246" s="550"/>
    </row>
    <row r="247" spans="1:6" ht="27.6" hidden="1">
      <c r="A247" s="352" t="s">
        <v>4491</v>
      </c>
      <c r="B247" s="409" t="s">
        <v>822</v>
      </c>
      <c r="C247" s="409" t="s">
        <v>1416</v>
      </c>
      <c r="D247" s="550">
        <v>0</v>
      </c>
      <c r="E247" s="570" t="s">
        <v>816</v>
      </c>
      <c r="F247" s="550"/>
    </row>
    <row r="248" spans="1:6" ht="27.6" hidden="1">
      <c r="A248" s="352" t="s">
        <v>4492</v>
      </c>
      <c r="B248" s="463" t="s">
        <v>1418</v>
      </c>
      <c r="C248" s="463" t="s">
        <v>1419</v>
      </c>
      <c r="D248" s="550">
        <v>22000</v>
      </c>
      <c r="E248" s="570" t="s">
        <v>816</v>
      </c>
      <c r="F248" s="550"/>
    </row>
    <row r="249" spans="1:6" ht="41.4" hidden="1">
      <c r="A249" s="352" t="s">
        <v>4493</v>
      </c>
      <c r="B249" s="463" t="s">
        <v>1344</v>
      </c>
      <c r="C249" s="463" t="s">
        <v>1421</v>
      </c>
      <c r="D249" s="550">
        <v>14000</v>
      </c>
      <c r="E249" s="570" t="s">
        <v>816</v>
      </c>
      <c r="F249" s="550"/>
    </row>
    <row r="250" spans="1:6" ht="27.6" hidden="1">
      <c r="A250" s="352" t="s">
        <v>4494</v>
      </c>
      <c r="B250" s="463" t="s">
        <v>1359</v>
      </c>
      <c r="C250" s="463" t="s">
        <v>1423</v>
      </c>
      <c r="D250" s="550">
        <v>7873</v>
      </c>
      <c r="E250" s="570" t="s">
        <v>816</v>
      </c>
      <c r="F250" s="550"/>
    </row>
    <row r="251" spans="1:6" ht="27.6" hidden="1">
      <c r="A251" s="352" t="s">
        <v>4495</v>
      </c>
      <c r="B251" s="439" t="s">
        <v>823</v>
      </c>
      <c r="C251" s="439" t="s">
        <v>1139</v>
      </c>
      <c r="D251" s="550">
        <v>640000</v>
      </c>
      <c r="E251" s="570" t="s">
        <v>816</v>
      </c>
      <c r="F251" s="550"/>
    </row>
    <row r="252" spans="1:6" ht="27.6" hidden="1">
      <c r="A252" s="352" t="s">
        <v>4496</v>
      </c>
      <c r="B252" s="439" t="s">
        <v>818</v>
      </c>
      <c r="C252" s="439" t="s">
        <v>1206</v>
      </c>
      <c r="D252" s="550">
        <v>160000</v>
      </c>
      <c r="E252" s="570" t="s">
        <v>815</v>
      </c>
      <c r="F252" s="550"/>
    </row>
    <row r="253" spans="1:6" ht="27.6" hidden="1">
      <c r="A253" s="352" t="s">
        <v>4497</v>
      </c>
      <c r="B253" s="439" t="s">
        <v>818</v>
      </c>
      <c r="C253" s="439" t="s">
        <v>1150</v>
      </c>
      <c r="D253" s="550">
        <v>119634</v>
      </c>
      <c r="E253" s="570" t="s">
        <v>816</v>
      </c>
      <c r="F253" s="550"/>
    </row>
    <row r="254" spans="1:6" hidden="1">
      <c r="A254" s="352" t="s">
        <v>4498</v>
      </c>
      <c r="B254" s="439" t="s">
        <v>820</v>
      </c>
      <c r="C254" s="439" t="s">
        <v>1145</v>
      </c>
      <c r="D254" s="550">
        <v>94707.14</v>
      </c>
      <c r="E254" s="570" t="s">
        <v>816</v>
      </c>
      <c r="F254" s="550"/>
    </row>
    <row r="255" spans="1:6" ht="27.6" hidden="1">
      <c r="A255" s="352" t="s">
        <v>4499</v>
      </c>
      <c r="B255" s="439" t="s">
        <v>1189</v>
      </c>
      <c r="C255" s="439" t="s">
        <v>1429</v>
      </c>
      <c r="D255" s="550">
        <v>11000</v>
      </c>
      <c r="E255" s="570" t="s">
        <v>816</v>
      </c>
      <c r="F255" s="550"/>
    </row>
    <row r="256" spans="1:6" ht="41.4" hidden="1">
      <c r="A256" s="352" t="s">
        <v>4500</v>
      </c>
      <c r="B256" s="439" t="s">
        <v>1325</v>
      </c>
      <c r="C256" s="439" t="s">
        <v>1431</v>
      </c>
      <c r="D256" s="550">
        <v>3760</v>
      </c>
      <c r="E256" s="570" t="s">
        <v>816</v>
      </c>
      <c r="F256" s="550"/>
    </row>
    <row r="257" spans="1:6" ht="27.6" hidden="1">
      <c r="A257" s="352" t="s">
        <v>4501</v>
      </c>
      <c r="B257" s="439" t="s">
        <v>1433</v>
      </c>
      <c r="C257" s="439" t="s">
        <v>1434</v>
      </c>
      <c r="D257" s="550">
        <v>800</v>
      </c>
      <c r="E257" s="570" t="s">
        <v>816</v>
      </c>
      <c r="F257" s="550"/>
    </row>
    <row r="258" spans="1:6" ht="27.6" hidden="1">
      <c r="A258" s="352" t="s">
        <v>4502</v>
      </c>
      <c r="B258" s="463" t="s">
        <v>1436</v>
      </c>
      <c r="C258" s="439" t="s">
        <v>1437</v>
      </c>
      <c r="D258" s="550">
        <v>30000</v>
      </c>
      <c r="E258" s="570" t="s">
        <v>816</v>
      </c>
      <c r="F258" s="550"/>
    </row>
    <row r="259" spans="1:6" hidden="1">
      <c r="A259" s="352" t="s">
        <v>4503</v>
      </c>
      <c r="B259" s="463" t="s">
        <v>10</v>
      </c>
      <c r="C259" s="463" t="s">
        <v>1439</v>
      </c>
      <c r="D259" s="550">
        <v>216000</v>
      </c>
      <c r="E259" s="570" t="s">
        <v>816</v>
      </c>
      <c r="F259" s="550"/>
    </row>
    <row r="260" spans="1:6" hidden="1">
      <c r="A260" s="352" t="s">
        <v>4504</v>
      </c>
      <c r="B260" s="463" t="s">
        <v>789</v>
      </c>
      <c r="C260" s="463" t="s">
        <v>1439</v>
      </c>
      <c r="D260" s="550">
        <v>60000</v>
      </c>
      <c r="E260" s="570" t="s">
        <v>816</v>
      </c>
      <c r="F260" s="550"/>
    </row>
    <row r="261" spans="1:6" hidden="1">
      <c r="A261" s="352" t="s">
        <v>4505</v>
      </c>
      <c r="B261" s="463" t="s">
        <v>777</v>
      </c>
      <c r="C261" s="463" t="s">
        <v>1439</v>
      </c>
      <c r="D261" s="550">
        <v>60000</v>
      </c>
      <c r="E261" s="570" t="s">
        <v>816</v>
      </c>
      <c r="F261" s="550"/>
    </row>
    <row r="262" spans="1:6" hidden="1">
      <c r="A262" s="352" t="s">
        <v>4506</v>
      </c>
      <c r="B262" s="463" t="s">
        <v>764</v>
      </c>
      <c r="C262" s="463" t="s">
        <v>1439</v>
      </c>
      <c r="D262" s="550">
        <v>66000</v>
      </c>
      <c r="E262" s="570" t="s">
        <v>816</v>
      </c>
      <c r="F262" s="550"/>
    </row>
    <row r="263" spans="1:6" hidden="1">
      <c r="A263" s="352" t="s">
        <v>4507</v>
      </c>
      <c r="B263" s="463" t="s">
        <v>768</v>
      </c>
      <c r="C263" s="463" t="s">
        <v>1439</v>
      </c>
      <c r="D263" s="550">
        <v>72000</v>
      </c>
      <c r="E263" s="570" t="s">
        <v>816</v>
      </c>
      <c r="F263" s="550"/>
    </row>
    <row r="264" spans="1:6" hidden="1">
      <c r="A264" s="352" t="s">
        <v>4508</v>
      </c>
      <c r="B264" s="463" t="s">
        <v>765</v>
      </c>
      <c r="C264" s="463" t="s">
        <v>1439</v>
      </c>
      <c r="D264" s="550">
        <v>48000</v>
      </c>
      <c r="E264" s="570" t="s">
        <v>816</v>
      </c>
      <c r="F264" s="550"/>
    </row>
    <row r="265" spans="1:6" ht="27.6" hidden="1">
      <c r="A265" s="352" t="s">
        <v>4509</v>
      </c>
      <c r="B265" s="463" t="s">
        <v>1102</v>
      </c>
      <c r="C265" s="463" t="s">
        <v>1446</v>
      </c>
      <c r="D265" s="550">
        <v>3500</v>
      </c>
      <c r="E265" s="570" t="s">
        <v>816</v>
      </c>
      <c r="F265" s="550"/>
    </row>
    <row r="266" spans="1:6" ht="27.6" hidden="1">
      <c r="A266" s="352" t="s">
        <v>4510</v>
      </c>
      <c r="B266" s="463" t="s">
        <v>1449</v>
      </c>
      <c r="C266" s="463" t="s">
        <v>1450</v>
      </c>
      <c r="D266" s="550">
        <v>976560</v>
      </c>
      <c r="E266" s="570" t="s">
        <v>816</v>
      </c>
      <c r="F266" s="550"/>
    </row>
    <row r="267" spans="1:6" ht="27.6" hidden="1">
      <c r="A267" s="352" t="s">
        <v>4511</v>
      </c>
      <c r="B267" s="463" t="s">
        <v>859</v>
      </c>
      <c r="C267" s="463" t="s">
        <v>1452</v>
      </c>
      <c r="D267" s="550">
        <v>2000</v>
      </c>
      <c r="E267" s="570" t="s">
        <v>816</v>
      </c>
      <c r="F267" s="550"/>
    </row>
    <row r="268" spans="1:6" ht="27.6" hidden="1">
      <c r="A268" s="352" t="s">
        <v>4512</v>
      </c>
      <c r="B268" s="463" t="s">
        <v>1030</v>
      </c>
      <c r="C268" s="463" t="s">
        <v>1454</v>
      </c>
      <c r="D268" s="550">
        <v>70905.22</v>
      </c>
      <c r="E268" s="570" t="s">
        <v>816</v>
      </c>
      <c r="F268" s="550"/>
    </row>
    <row r="269" spans="1:6" ht="27.6" hidden="1">
      <c r="A269" s="352" t="s">
        <v>4513</v>
      </c>
      <c r="B269" s="463" t="s">
        <v>1030</v>
      </c>
      <c r="C269" s="463" t="s">
        <v>1456</v>
      </c>
      <c r="D269" s="550">
        <v>82098.38</v>
      </c>
      <c r="E269" s="570" t="s">
        <v>816</v>
      </c>
      <c r="F269" s="550"/>
    </row>
    <row r="270" spans="1:6" ht="41.4" hidden="1">
      <c r="A270" s="352" t="s">
        <v>4514</v>
      </c>
      <c r="B270" s="463" t="s">
        <v>1344</v>
      </c>
      <c r="C270" s="463" t="s">
        <v>1458</v>
      </c>
      <c r="D270" s="550">
        <v>9600</v>
      </c>
      <c r="E270" s="570" t="s">
        <v>816</v>
      </c>
      <c r="F270" s="550"/>
    </row>
    <row r="271" spans="1:6" ht="27.6" hidden="1">
      <c r="A271" s="352" t="s">
        <v>4515</v>
      </c>
      <c r="B271" s="463" t="s">
        <v>6</v>
      </c>
      <c r="C271" s="463" t="s">
        <v>1460</v>
      </c>
      <c r="D271" s="550">
        <v>10000</v>
      </c>
      <c r="E271" s="570" t="s">
        <v>4602</v>
      </c>
      <c r="F271" s="550"/>
    </row>
    <row r="272" spans="1:6">
      <c r="A272" s="352" t="s">
        <v>4516</v>
      </c>
      <c r="B272" s="1" t="s">
        <v>1235</v>
      </c>
      <c r="C272" s="472" t="s">
        <v>1463</v>
      </c>
      <c r="D272" s="550">
        <v>10000</v>
      </c>
      <c r="E272" s="570" t="s">
        <v>816</v>
      </c>
      <c r="F272" s="550"/>
    </row>
    <row r="273" spans="1:6" ht="27.6" hidden="1">
      <c r="A273" s="352" t="s">
        <v>4517</v>
      </c>
      <c r="B273" s="463" t="s">
        <v>1245</v>
      </c>
      <c r="C273" s="463" t="s">
        <v>1465</v>
      </c>
      <c r="D273" s="550">
        <v>6320</v>
      </c>
      <c r="E273" s="570" t="s">
        <v>814</v>
      </c>
      <c r="F273" s="550"/>
    </row>
    <row r="274" spans="1:6" ht="27.6" hidden="1">
      <c r="A274" s="352" t="s">
        <v>4518</v>
      </c>
      <c r="B274" s="463" t="s">
        <v>1467</v>
      </c>
      <c r="C274" s="463" t="s">
        <v>1465</v>
      </c>
      <c r="D274" s="550">
        <v>2800</v>
      </c>
      <c r="E274" s="570" t="s">
        <v>814</v>
      </c>
      <c r="F274" s="550"/>
    </row>
    <row r="275" spans="1:6" ht="41.4" hidden="1">
      <c r="A275" s="352" t="s">
        <v>4519</v>
      </c>
      <c r="B275" s="463" t="s">
        <v>1102</v>
      </c>
      <c r="C275" s="463" t="s">
        <v>1474</v>
      </c>
      <c r="D275" s="550">
        <v>5390.81</v>
      </c>
      <c r="E275" s="570" t="s">
        <v>816</v>
      </c>
      <c r="F275" s="550"/>
    </row>
    <row r="276" spans="1:6" ht="27.6" hidden="1">
      <c r="A276" s="352" t="s">
        <v>4520</v>
      </c>
      <c r="B276" s="463" t="s">
        <v>1325</v>
      </c>
      <c r="C276" s="463" t="s">
        <v>1475</v>
      </c>
      <c r="D276" s="550">
        <v>13600</v>
      </c>
      <c r="E276" s="570" t="s">
        <v>814</v>
      </c>
      <c r="F276" s="550"/>
    </row>
    <row r="277" spans="1:6" ht="27.6" hidden="1">
      <c r="A277" s="352" t="s">
        <v>4521</v>
      </c>
      <c r="B277" s="463" t="s">
        <v>1075</v>
      </c>
      <c r="C277" s="463" t="s">
        <v>1476</v>
      </c>
      <c r="D277" s="550">
        <v>40369.5</v>
      </c>
      <c r="E277" s="570" t="s">
        <v>816</v>
      </c>
      <c r="F277" s="550"/>
    </row>
    <row r="278" spans="1:6" ht="27.6" hidden="1">
      <c r="A278" s="352" t="s">
        <v>4522</v>
      </c>
      <c r="B278" s="463" t="s">
        <v>1075</v>
      </c>
      <c r="C278" s="463" t="s">
        <v>1476</v>
      </c>
      <c r="D278" s="550">
        <v>12300</v>
      </c>
      <c r="E278" s="570" t="s">
        <v>816</v>
      </c>
      <c r="F278" s="550"/>
    </row>
    <row r="279" spans="1:6" hidden="1">
      <c r="A279" s="352" t="s">
        <v>4523</v>
      </c>
      <c r="B279" s="463" t="s">
        <v>810</v>
      </c>
      <c r="C279" s="463" t="s">
        <v>1477</v>
      </c>
      <c r="D279" s="550">
        <v>18421.13</v>
      </c>
      <c r="E279" s="570" t="s">
        <v>816</v>
      </c>
      <c r="F279" s="550"/>
    </row>
    <row r="280" spans="1:6" ht="27.6" hidden="1">
      <c r="A280" s="352" t="s">
        <v>4524</v>
      </c>
      <c r="B280" s="463" t="s">
        <v>1433</v>
      </c>
      <c r="C280" s="463" t="s">
        <v>1478</v>
      </c>
      <c r="D280" s="550">
        <v>920</v>
      </c>
      <c r="E280" s="570" t="s">
        <v>816</v>
      </c>
      <c r="F280" s="550"/>
    </row>
    <row r="281" spans="1:6" ht="27.6" hidden="1">
      <c r="A281" s="352" t="s">
        <v>4525</v>
      </c>
      <c r="B281" s="463" t="s">
        <v>1480</v>
      </c>
      <c r="C281" s="463" t="s">
        <v>1481</v>
      </c>
      <c r="D281" s="550">
        <v>2486</v>
      </c>
      <c r="E281" s="570" t="s">
        <v>816</v>
      </c>
      <c r="F281" s="550"/>
    </row>
    <row r="282" spans="1:6" ht="41.4" hidden="1">
      <c r="A282" s="352" t="s">
        <v>4526</v>
      </c>
      <c r="B282" s="463" t="s">
        <v>1102</v>
      </c>
      <c r="C282" s="463" t="s">
        <v>1483</v>
      </c>
      <c r="D282" s="550">
        <v>1200</v>
      </c>
      <c r="E282" s="570" t="s">
        <v>816</v>
      </c>
      <c r="F282" s="550"/>
    </row>
    <row r="283" spans="1:6" ht="27.6" hidden="1">
      <c r="A283" s="352" t="s">
        <v>4527</v>
      </c>
      <c r="B283" s="463" t="s">
        <v>1075</v>
      </c>
      <c r="C283" s="463" t="s">
        <v>1476</v>
      </c>
      <c r="D283" s="550">
        <v>13034</v>
      </c>
      <c r="E283" s="570" t="s">
        <v>816</v>
      </c>
      <c r="F283" s="550"/>
    </row>
    <row r="284" spans="1:6" ht="27.6" hidden="1">
      <c r="A284" s="352" t="s">
        <v>4528</v>
      </c>
      <c r="B284" s="463" t="s">
        <v>1075</v>
      </c>
      <c r="C284" s="463" t="s">
        <v>1476</v>
      </c>
      <c r="D284" s="550">
        <v>21301.64</v>
      </c>
      <c r="E284" s="570" t="s">
        <v>816</v>
      </c>
      <c r="F284" s="550"/>
    </row>
    <row r="285" spans="1:6" ht="41.4" hidden="1">
      <c r="A285" s="352" t="s">
        <v>4529</v>
      </c>
      <c r="B285" s="463" t="s">
        <v>1102</v>
      </c>
      <c r="C285" s="463" t="s">
        <v>1487</v>
      </c>
      <c r="D285" s="550">
        <v>1200</v>
      </c>
      <c r="E285" s="570" t="s">
        <v>815</v>
      </c>
      <c r="F285" s="550"/>
    </row>
    <row r="286" spans="1:6" ht="27.6" hidden="1">
      <c r="A286" s="352" t="s">
        <v>4530</v>
      </c>
      <c r="B286" s="463" t="s">
        <v>800</v>
      </c>
      <c r="C286" s="463" t="s">
        <v>1489</v>
      </c>
      <c r="D286" s="550">
        <v>1500</v>
      </c>
      <c r="E286" s="570" t="s">
        <v>816</v>
      </c>
      <c r="F286" s="550"/>
    </row>
    <row r="287" spans="1:6" ht="27.6" hidden="1">
      <c r="A287" s="352" t="s">
        <v>4531</v>
      </c>
      <c r="B287" s="463" t="s">
        <v>798</v>
      </c>
      <c r="C287" s="463" t="s">
        <v>1491</v>
      </c>
      <c r="D287" s="550">
        <v>350</v>
      </c>
      <c r="E287" s="570" t="s">
        <v>816</v>
      </c>
      <c r="F287" s="550"/>
    </row>
    <row r="288" spans="1:6" ht="27.6" hidden="1">
      <c r="A288" s="352" t="s">
        <v>4532</v>
      </c>
      <c r="B288" s="463" t="s">
        <v>1433</v>
      </c>
      <c r="C288" s="463" t="s">
        <v>1493</v>
      </c>
      <c r="D288" s="550">
        <v>3800</v>
      </c>
      <c r="E288" s="570" t="s">
        <v>816</v>
      </c>
      <c r="F288" s="550"/>
    </row>
    <row r="289" spans="1:6" ht="27.6" hidden="1">
      <c r="A289" s="352" t="s">
        <v>4533</v>
      </c>
      <c r="B289" s="463" t="s">
        <v>1108</v>
      </c>
      <c r="C289" s="463" t="s">
        <v>1495</v>
      </c>
      <c r="D289" s="550">
        <v>31800</v>
      </c>
      <c r="E289" s="570" t="s">
        <v>816</v>
      </c>
      <c r="F289" s="550"/>
    </row>
    <row r="290" spans="1:6" ht="27.6" hidden="1">
      <c r="A290" s="352" t="s">
        <v>4534</v>
      </c>
      <c r="B290" s="463" t="s">
        <v>1433</v>
      </c>
      <c r="C290" s="463" t="s">
        <v>1497</v>
      </c>
      <c r="D290" s="550">
        <v>480</v>
      </c>
      <c r="E290" s="570" t="s">
        <v>816</v>
      </c>
      <c r="F290" s="550"/>
    </row>
    <row r="291" spans="1:6" hidden="1">
      <c r="A291" s="352" t="s">
        <v>4535</v>
      </c>
      <c r="B291" s="463" t="s">
        <v>1499</v>
      </c>
      <c r="C291" s="463" t="s">
        <v>1500</v>
      </c>
      <c r="D291" s="550">
        <v>48000</v>
      </c>
      <c r="E291" s="570" t="s">
        <v>816</v>
      </c>
      <c r="F291" s="550"/>
    </row>
    <row r="292" spans="1:6" ht="27.6" hidden="1">
      <c r="A292" s="352" t="s">
        <v>4536</v>
      </c>
      <c r="B292" s="463" t="s">
        <v>1030</v>
      </c>
      <c r="C292" s="463" t="s">
        <v>1502</v>
      </c>
      <c r="D292" s="550">
        <v>45808.9</v>
      </c>
      <c r="E292" s="570" t="s">
        <v>816</v>
      </c>
      <c r="F292" s="550"/>
    </row>
    <row r="293" spans="1:6" ht="27.6" hidden="1">
      <c r="A293" s="352" t="s">
        <v>4537</v>
      </c>
      <c r="B293" s="463" t="s">
        <v>1030</v>
      </c>
      <c r="C293" s="463" t="s">
        <v>1504</v>
      </c>
      <c r="D293" s="550">
        <v>41497.269999999997</v>
      </c>
      <c r="E293" s="570" t="s">
        <v>816</v>
      </c>
      <c r="F293" s="550"/>
    </row>
    <row r="294" spans="1:6" ht="27.6" hidden="1">
      <c r="A294" s="352" t="s">
        <v>4538</v>
      </c>
      <c r="B294" s="463" t="s">
        <v>1506</v>
      </c>
      <c r="C294" s="463" t="s">
        <v>1507</v>
      </c>
      <c r="D294" s="550">
        <v>76000</v>
      </c>
      <c r="E294" s="570" t="s">
        <v>4602</v>
      </c>
      <c r="F294" s="550"/>
    </row>
    <row r="295" spans="1:6" hidden="1">
      <c r="A295" s="352" t="s">
        <v>4539</v>
      </c>
      <c r="B295" s="463" t="s">
        <v>859</v>
      </c>
      <c r="C295" s="463" t="s">
        <v>1509</v>
      </c>
      <c r="D295" s="550">
        <v>2130</v>
      </c>
      <c r="E295" s="570" t="s">
        <v>816</v>
      </c>
      <c r="F295" s="550"/>
    </row>
    <row r="296" spans="1:6" ht="41.4" hidden="1">
      <c r="A296" s="352" t="s">
        <v>4540</v>
      </c>
      <c r="B296" s="463" t="s">
        <v>1511</v>
      </c>
      <c r="C296" s="463" t="s">
        <v>1512</v>
      </c>
      <c r="D296" s="550">
        <v>5175</v>
      </c>
      <c r="E296" s="570" t="s">
        <v>816</v>
      </c>
      <c r="F296" s="550"/>
    </row>
    <row r="297" spans="1:6" ht="41.4" hidden="1">
      <c r="A297" s="352" t="s">
        <v>4541</v>
      </c>
      <c r="B297" s="463" t="s">
        <v>799</v>
      </c>
      <c r="C297" s="463" t="s">
        <v>1515</v>
      </c>
      <c r="D297" s="550">
        <v>4200</v>
      </c>
      <c r="E297" s="570" t="s">
        <v>816</v>
      </c>
      <c r="F297" s="550"/>
    </row>
    <row r="298" spans="1:6" ht="27.6" hidden="1">
      <c r="A298" s="352" t="s">
        <v>4542</v>
      </c>
      <c r="B298" s="463" t="s">
        <v>1245</v>
      </c>
      <c r="C298" s="463" t="s">
        <v>1517</v>
      </c>
      <c r="D298" s="550">
        <v>2688</v>
      </c>
      <c r="E298" s="570" t="s">
        <v>816</v>
      </c>
      <c r="F298" s="550"/>
    </row>
    <row r="299" spans="1:6" ht="27.6" hidden="1">
      <c r="A299" s="352" t="s">
        <v>4543</v>
      </c>
      <c r="B299" s="463" t="s">
        <v>1354</v>
      </c>
      <c r="C299" s="463" t="s">
        <v>1519</v>
      </c>
      <c r="D299" s="550">
        <v>2500</v>
      </c>
      <c r="E299" s="570" t="s">
        <v>814</v>
      </c>
      <c r="F299" s="550"/>
    </row>
    <row r="300" spans="1:6" ht="27.6" hidden="1">
      <c r="A300" s="352" t="s">
        <v>4544</v>
      </c>
      <c r="B300" s="463" t="s">
        <v>1433</v>
      </c>
      <c r="C300" s="463" t="s">
        <v>1521</v>
      </c>
      <c r="D300" s="550">
        <v>640</v>
      </c>
      <c r="E300" s="570" t="s">
        <v>816</v>
      </c>
      <c r="F300" s="550"/>
    </row>
    <row r="301" spans="1:6" ht="27.6" hidden="1">
      <c r="A301" s="352" t="s">
        <v>4545</v>
      </c>
      <c r="B301" s="463" t="s">
        <v>1523</v>
      </c>
      <c r="C301" s="463" t="s">
        <v>1524</v>
      </c>
      <c r="D301" s="550">
        <v>33180</v>
      </c>
      <c r="E301" s="570" t="s">
        <v>816</v>
      </c>
      <c r="F301" s="550"/>
    </row>
    <row r="302" spans="1:6" ht="27.6" hidden="1">
      <c r="A302" s="352" t="s">
        <v>4546</v>
      </c>
      <c r="B302" s="463" t="s">
        <v>773</v>
      </c>
      <c r="C302" s="463" t="s">
        <v>1526</v>
      </c>
      <c r="D302" s="550">
        <v>4355.8500000000004</v>
      </c>
      <c r="E302" s="570" t="s">
        <v>816</v>
      </c>
      <c r="F302" s="550"/>
    </row>
    <row r="303" spans="1:6" ht="27.6" hidden="1">
      <c r="A303" s="352" t="s">
        <v>4547</v>
      </c>
      <c r="B303" s="460" t="s">
        <v>818</v>
      </c>
      <c r="C303" s="460" t="s">
        <v>1532</v>
      </c>
      <c r="D303" s="550">
        <v>792144.86</v>
      </c>
      <c r="E303" s="570" t="s">
        <v>816</v>
      </c>
      <c r="F303" s="550"/>
    </row>
    <row r="304" spans="1:6" ht="27.6" hidden="1">
      <c r="A304" s="352" t="s">
        <v>4548</v>
      </c>
      <c r="B304" s="460" t="s">
        <v>820</v>
      </c>
      <c r="C304" s="460" t="s">
        <v>1532</v>
      </c>
      <c r="D304" s="550">
        <v>361782.69999999995</v>
      </c>
      <c r="E304" s="570" t="s">
        <v>816</v>
      </c>
      <c r="F304" s="550"/>
    </row>
    <row r="305" spans="1:6" ht="27.6" hidden="1">
      <c r="A305" s="352" t="s">
        <v>4549</v>
      </c>
      <c r="B305" s="460" t="s">
        <v>821</v>
      </c>
      <c r="C305" s="460" t="s">
        <v>1532</v>
      </c>
      <c r="D305" s="550">
        <v>505666.32</v>
      </c>
      <c r="E305" s="570" t="s">
        <v>816</v>
      </c>
      <c r="F305" s="550"/>
    </row>
    <row r="306" spans="1:6" ht="27.6" hidden="1">
      <c r="A306" s="352" t="s">
        <v>4550</v>
      </c>
      <c r="B306" s="460" t="s">
        <v>822</v>
      </c>
      <c r="C306" s="460" t="s">
        <v>1532</v>
      </c>
      <c r="D306" s="550">
        <v>532388.56000000006</v>
      </c>
      <c r="E306" s="570" t="s">
        <v>816</v>
      </c>
      <c r="F306" s="550"/>
    </row>
    <row r="307" spans="1:6" ht="27.6" hidden="1">
      <c r="A307" s="352" t="s">
        <v>4551</v>
      </c>
      <c r="B307" s="460" t="s">
        <v>823</v>
      </c>
      <c r="C307" s="460" t="s">
        <v>1532</v>
      </c>
      <c r="D307" s="550">
        <v>345963.3</v>
      </c>
      <c r="E307" s="570" t="s">
        <v>816</v>
      </c>
      <c r="F307" s="550"/>
    </row>
    <row r="308" spans="1:6" ht="27.6" hidden="1">
      <c r="A308" s="352" t="s">
        <v>4552</v>
      </c>
      <c r="B308" s="439" t="s">
        <v>821</v>
      </c>
      <c r="C308" s="439" t="s">
        <v>1535</v>
      </c>
      <c r="D308" s="550">
        <v>900000</v>
      </c>
      <c r="E308" s="570" t="s">
        <v>816</v>
      </c>
      <c r="F308" s="550"/>
    </row>
    <row r="309" spans="1:6" ht="27.6" hidden="1">
      <c r="A309" s="352" t="s">
        <v>4553</v>
      </c>
      <c r="B309" s="463" t="s">
        <v>818</v>
      </c>
      <c r="C309" s="463" t="s">
        <v>1538</v>
      </c>
      <c r="D309" s="550">
        <v>345500</v>
      </c>
      <c r="E309" s="570" t="s">
        <v>815</v>
      </c>
      <c r="F309" s="550"/>
    </row>
    <row r="310" spans="1:6" ht="27.6" hidden="1">
      <c r="A310" s="352" t="s">
        <v>4554</v>
      </c>
      <c r="B310" s="463" t="s">
        <v>1539</v>
      </c>
      <c r="C310" s="463" t="s">
        <v>1543</v>
      </c>
      <c r="D310" s="550">
        <v>466200</v>
      </c>
      <c r="E310" s="570" t="s">
        <v>815</v>
      </c>
      <c r="F310" s="550"/>
    </row>
    <row r="311" spans="1:6" ht="27.6" hidden="1">
      <c r="A311" s="352" t="s">
        <v>4555</v>
      </c>
      <c r="B311" s="463" t="s">
        <v>1540</v>
      </c>
      <c r="C311" s="463" t="s">
        <v>1543</v>
      </c>
      <c r="D311" s="550">
        <v>205000</v>
      </c>
      <c r="E311" s="570" t="s">
        <v>815</v>
      </c>
      <c r="F311" s="550"/>
    </row>
    <row r="312" spans="1:6" ht="27.6" hidden="1">
      <c r="A312" s="352" t="s">
        <v>4556</v>
      </c>
      <c r="B312" s="463" t="s">
        <v>818</v>
      </c>
      <c r="C312" s="463" t="s">
        <v>1545</v>
      </c>
      <c r="D312" s="550">
        <v>455476.19</v>
      </c>
      <c r="E312" s="570" t="s">
        <v>816</v>
      </c>
      <c r="F312" s="550"/>
    </row>
    <row r="313" spans="1:6" ht="27.6" hidden="1">
      <c r="A313" s="352" t="s">
        <v>4557</v>
      </c>
      <c r="B313" s="463" t="s">
        <v>820</v>
      </c>
      <c r="C313" s="463" t="s">
        <v>1545</v>
      </c>
      <c r="D313" s="550">
        <v>284121.43</v>
      </c>
      <c r="E313" s="570" t="s">
        <v>816</v>
      </c>
      <c r="F313" s="550"/>
    </row>
    <row r="314" spans="1:6" ht="27.6" hidden="1">
      <c r="A314" s="352" t="s">
        <v>4558</v>
      </c>
      <c r="B314" s="463" t="s">
        <v>1539</v>
      </c>
      <c r="C314" s="463" t="s">
        <v>1545</v>
      </c>
      <c r="D314" s="550">
        <v>241007.14</v>
      </c>
      <c r="E314" s="570" t="s">
        <v>816</v>
      </c>
      <c r="F314" s="550"/>
    </row>
    <row r="315" spans="1:6" ht="27.6" hidden="1">
      <c r="A315" s="352" t="s">
        <v>4559</v>
      </c>
      <c r="B315" s="463" t="s">
        <v>1540</v>
      </c>
      <c r="C315" s="463" t="s">
        <v>1545</v>
      </c>
      <c r="D315" s="550">
        <v>321342.84999999998</v>
      </c>
      <c r="E315" s="570" t="s">
        <v>816</v>
      </c>
      <c r="F315" s="550"/>
    </row>
    <row r="316" spans="1:6" ht="27.6" hidden="1">
      <c r="A316" s="352" t="s">
        <v>4560</v>
      </c>
      <c r="B316" s="463" t="s">
        <v>1075</v>
      </c>
      <c r="C316" s="463" t="s">
        <v>1551</v>
      </c>
      <c r="D316" s="550">
        <v>14120</v>
      </c>
      <c r="E316" s="570" t="s">
        <v>816</v>
      </c>
      <c r="F316" s="550"/>
    </row>
    <row r="317" spans="1:6" ht="27.6" hidden="1">
      <c r="A317" s="352" t="s">
        <v>4561</v>
      </c>
      <c r="B317" s="463" t="s">
        <v>1075</v>
      </c>
      <c r="C317" s="463" t="s">
        <v>1551</v>
      </c>
      <c r="D317" s="550">
        <v>43786.5</v>
      </c>
      <c r="E317" s="570" t="s">
        <v>816</v>
      </c>
      <c r="F317" s="550"/>
    </row>
    <row r="318" spans="1:6" hidden="1">
      <c r="A318" s="352" t="s">
        <v>4562</v>
      </c>
      <c r="B318" s="463" t="s">
        <v>1102</v>
      </c>
      <c r="C318" s="463" t="s">
        <v>1553</v>
      </c>
      <c r="D318" s="550">
        <v>1200</v>
      </c>
      <c r="E318" s="570" t="s">
        <v>816</v>
      </c>
      <c r="F318" s="550"/>
    </row>
    <row r="319" spans="1:6" ht="27.6" hidden="1">
      <c r="A319" s="352" t="s">
        <v>4563</v>
      </c>
      <c r="B319" s="463" t="s">
        <v>818</v>
      </c>
      <c r="C319" s="463" t="s">
        <v>1556</v>
      </c>
      <c r="D319" s="550">
        <v>550000</v>
      </c>
      <c r="E319" s="570" t="s">
        <v>816</v>
      </c>
      <c r="F319" s="550"/>
    </row>
    <row r="320" spans="1:6" ht="27.6" hidden="1">
      <c r="A320" s="352" t="s">
        <v>4564</v>
      </c>
      <c r="B320" s="463" t="s">
        <v>820</v>
      </c>
      <c r="C320" s="463" t="s">
        <v>1556</v>
      </c>
      <c r="D320" s="550">
        <v>550000</v>
      </c>
      <c r="E320" s="570" t="s">
        <v>816</v>
      </c>
      <c r="F320" s="550"/>
    </row>
    <row r="321" spans="1:6" ht="27.6" hidden="1">
      <c r="A321" s="352" t="s">
        <v>4565</v>
      </c>
      <c r="B321" s="463" t="s">
        <v>1539</v>
      </c>
      <c r="C321" s="463" t="s">
        <v>1556</v>
      </c>
      <c r="D321" s="550">
        <v>600000</v>
      </c>
      <c r="E321" s="570" t="s">
        <v>816</v>
      </c>
      <c r="F321" s="550"/>
    </row>
    <row r="322" spans="1:6" ht="27.6" hidden="1">
      <c r="A322" s="352" t="s">
        <v>4566</v>
      </c>
      <c r="B322" s="463" t="s">
        <v>822</v>
      </c>
      <c r="C322" s="463" t="s">
        <v>1556</v>
      </c>
      <c r="D322" s="550">
        <v>550000</v>
      </c>
      <c r="E322" s="570" t="s">
        <v>816</v>
      </c>
      <c r="F322" s="550"/>
    </row>
    <row r="323" spans="1:6" ht="27.6" hidden="1">
      <c r="A323" s="352" t="s">
        <v>4567</v>
      </c>
      <c r="B323" s="463" t="s">
        <v>1540</v>
      </c>
      <c r="C323" s="463" t="s">
        <v>1556</v>
      </c>
      <c r="D323" s="550">
        <v>550000</v>
      </c>
      <c r="E323" s="570" t="s">
        <v>816</v>
      </c>
      <c r="F323" s="550"/>
    </row>
    <row r="324" spans="1:6" ht="55.2" hidden="1">
      <c r="A324" s="352" t="s">
        <v>4568</v>
      </c>
      <c r="B324" s="463" t="s">
        <v>1562</v>
      </c>
      <c r="C324" s="463" t="s">
        <v>1563</v>
      </c>
      <c r="D324" s="550">
        <v>20000</v>
      </c>
      <c r="E324" s="570" t="s">
        <v>816</v>
      </c>
      <c r="F324" s="550"/>
    </row>
    <row r="325" spans="1:6" ht="41.4" hidden="1">
      <c r="A325" s="352" t="s">
        <v>4569</v>
      </c>
      <c r="B325" s="409" t="s">
        <v>1565</v>
      </c>
      <c r="C325" s="409" t="s">
        <v>1566</v>
      </c>
      <c r="D325" s="550">
        <v>0</v>
      </c>
      <c r="E325" s="570" t="s">
        <v>816</v>
      </c>
      <c r="F325" s="550"/>
    </row>
    <row r="326" spans="1:6" hidden="1">
      <c r="A326" s="352" t="s">
        <v>4570</v>
      </c>
      <c r="B326" s="463" t="s">
        <v>1315</v>
      </c>
      <c r="C326" s="463" t="s">
        <v>1568</v>
      </c>
      <c r="D326" s="550">
        <v>101505.45</v>
      </c>
      <c r="E326" s="570" t="s">
        <v>816</v>
      </c>
      <c r="F326" s="550"/>
    </row>
    <row r="327" spans="1:6" hidden="1">
      <c r="A327" s="352" t="s">
        <v>4571</v>
      </c>
      <c r="B327" s="463" t="s">
        <v>1075</v>
      </c>
      <c r="C327" s="463" t="s">
        <v>1570</v>
      </c>
      <c r="D327" s="550">
        <v>13034</v>
      </c>
      <c r="E327" s="570" t="s">
        <v>816</v>
      </c>
      <c r="F327" s="550"/>
    </row>
    <row r="328" spans="1:6" hidden="1">
      <c r="A328" s="352" t="s">
        <v>4572</v>
      </c>
      <c r="B328" s="463" t="s">
        <v>1572</v>
      </c>
      <c r="C328" s="463" t="s">
        <v>1573</v>
      </c>
      <c r="D328" s="550">
        <v>6850</v>
      </c>
      <c r="E328" s="570" t="s">
        <v>4602</v>
      </c>
      <c r="F328" s="550"/>
    </row>
    <row r="329" spans="1:6" ht="27.6" hidden="1">
      <c r="A329" s="352" t="s">
        <v>4573</v>
      </c>
      <c r="B329" s="463" t="s">
        <v>1102</v>
      </c>
      <c r="C329" s="463" t="s">
        <v>1575</v>
      </c>
      <c r="D329" s="550">
        <v>2500</v>
      </c>
      <c r="E329" s="570" t="s">
        <v>816</v>
      </c>
      <c r="F329" s="550"/>
    </row>
    <row r="330" spans="1:6" ht="27.6" hidden="1">
      <c r="A330" s="352" t="s">
        <v>4574</v>
      </c>
      <c r="B330" s="463" t="s">
        <v>1577</v>
      </c>
      <c r="C330" s="463" t="s">
        <v>1578</v>
      </c>
      <c r="D330" s="550">
        <v>2511.36</v>
      </c>
      <c r="E330" s="570" t="s">
        <v>816</v>
      </c>
      <c r="F330" s="550"/>
    </row>
    <row r="331" spans="1:6">
      <c r="A331" s="352" t="s">
        <v>4575</v>
      </c>
      <c r="B331" s="463" t="s">
        <v>1235</v>
      </c>
      <c r="C331" s="463" t="s">
        <v>1570</v>
      </c>
      <c r="D331" s="550">
        <v>10000</v>
      </c>
      <c r="E331" s="570" t="s">
        <v>816</v>
      </c>
      <c r="F331" s="550"/>
    </row>
    <row r="332" spans="1:6" ht="27.6" hidden="1">
      <c r="A332" s="352" t="s">
        <v>4576</v>
      </c>
      <c r="B332" s="463" t="s">
        <v>779</v>
      </c>
      <c r="C332" s="463" t="s">
        <v>1581</v>
      </c>
      <c r="D332" s="550">
        <v>170501.47</v>
      </c>
      <c r="E332" s="570" t="s">
        <v>816</v>
      </c>
      <c r="F332" s="550"/>
    </row>
    <row r="333" spans="1:6" ht="27.6" hidden="1">
      <c r="A333" s="352" t="s">
        <v>4577</v>
      </c>
      <c r="B333" s="463" t="s">
        <v>839</v>
      </c>
      <c r="C333" s="463" t="s">
        <v>1583</v>
      </c>
      <c r="D333" s="550">
        <v>7712.46</v>
      </c>
      <c r="E333" s="570" t="s">
        <v>816</v>
      </c>
      <c r="F333" s="550"/>
    </row>
    <row r="334" spans="1:6" ht="27.6" hidden="1">
      <c r="A334" s="352" t="s">
        <v>4578</v>
      </c>
      <c r="B334" s="463" t="s">
        <v>1315</v>
      </c>
      <c r="C334" s="463" t="s">
        <v>1585</v>
      </c>
      <c r="D334" s="550">
        <v>9559.2900000000009</v>
      </c>
      <c r="E334" s="570" t="s">
        <v>816</v>
      </c>
      <c r="F334" s="550"/>
    </row>
    <row r="335" spans="1:6" hidden="1">
      <c r="A335" s="352" t="s">
        <v>4579</v>
      </c>
      <c r="B335" s="463" t="s">
        <v>818</v>
      </c>
      <c r="C335" s="463" t="s">
        <v>1587</v>
      </c>
      <c r="D335" s="550">
        <v>51050</v>
      </c>
      <c r="E335" s="570" t="s">
        <v>816</v>
      </c>
      <c r="F335" s="550"/>
    </row>
    <row r="336" spans="1:6" hidden="1">
      <c r="A336" s="352" t="s">
        <v>4580</v>
      </c>
      <c r="B336" s="463" t="s">
        <v>820</v>
      </c>
      <c r="C336" s="463" t="s">
        <v>1587</v>
      </c>
      <c r="D336" s="550">
        <v>100000</v>
      </c>
      <c r="E336" s="570" t="s">
        <v>816</v>
      </c>
      <c r="F336" s="550"/>
    </row>
    <row r="337" spans="1:6" hidden="1">
      <c r="A337" s="352" t="s">
        <v>4581</v>
      </c>
      <c r="B337" s="463" t="s">
        <v>1539</v>
      </c>
      <c r="C337" s="463" t="s">
        <v>1587</v>
      </c>
      <c r="D337" s="550">
        <v>99030</v>
      </c>
      <c r="E337" s="570" t="s">
        <v>816</v>
      </c>
      <c r="F337" s="550"/>
    </row>
    <row r="338" spans="1:6" hidden="1">
      <c r="A338" s="352" t="s">
        <v>4582</v>
      </c>
      <c r="B338" s="463" t="s">
        <v>1540</v>
      </c>
      <c r="C338" s="463" t="s">
        <v>1590</v>
      </c>
      <c r="D338" s="550">
        <v>10250</v>
      </c>
      <c r="E338" s="570" t="s">
        <v>816</v>
      </c>
      <c r="F338" s="550"/>
    </row>
    <row r="339" spans="1:6" ht="41.4" hidden="1">
      <c r="A339" s="352" t="s">
        <v>4583</v>
      </c>
      <c r="B339" s="463" t="s">
        <v>1030</v>
      </c>
      <c r="C339" s="463" t="s">
        <v>1593</v>
      </c>
      <c r="D339" s="550">
        <v>11455.25</v>
      </c>
      <c r="E339" s="570" t="s">
        <v>816</v>
      </c>
      <c r="F339" s="550"/>
    </row>
    <row r="340" spans="1:6" ht="41.4" hidden="1">
      <c r="A340" s="352" t="s">
        <v>4584</v>
      </c>
      <c r="B340" s="463" t="s">
        <v>1342</v>
      </c>
      <c r="C340" s="463" t="s">
        <v>1595</v>
      </c>
      <c r="D340" s="550">
        <v>8164.75</v>
      </c>
      <c r="E340" s="570" t="s">
        <v>816</v>
      </c>
      <c r="F340" s="550"/>
    </row>
    <row r="341" spans="1:6" ht="27.6" hidden="1">
      <c r="A341" s="352" t="s">
        <v>4585</v>
      </c>
      <c r="B341" s="463" t="s">
        <v>1075</v>
      </c>
      <c r="C341" s="463" t="s">
        <v>1597</v>
      </c>
      <c r="D341" s="550">
        <v>22316</v>
      </c>
      <c r="E341" s="570" t="s">
        <v>816</v>
      </c>
      <c r="F341" s="550"/>
    </row>
    <row r="342" spans="1:6" ht="27.6" hidden="1">
      <c r="A342" s="352" t="s">
        <v>4586</v>
      </c>
      <c r="B342" s="439" t="s">
        <v>823</v>
      </c>
      <c r="C342" s="439" t="s">
        <v>1600</v>
      </c>
      <c r="D342" s="550">
        <v>256101</v>
      </c>
      <c r="E342" s="570" t="s">
        <v>816</v>
      </c>
      <c r="F342" s="550"/>
    </row>
    <row r="343" spans="1:6" ht="27.6" hidden="1">
      <c r="A343" s="352" t="s">
        <v>4587</v>
      </c>
      <c r="B343" s="439" t="s">
        <v>821</v>
      </c>
      <c r="C343" s="439" t="s">
        <v>1600</v>
      </c>
      <c r="D343" s="550">
        <v>184464</v>
      </c>
      <c r="E343" s="570" t="s">
        <v>816</v>
      </c>
      <c r="F343" s="550"/>
    </row>
    <row r="344" spans="1:6" ht="27.6" hidden="1">
      <c r="A344" s="352" t="s">
        <v>4588</v>
      </c>
      <c r="B344" s="463" t="s">
        <v>820</v>
      </c>
      <c r="C344" s="439" t="s">
        <v>1602</v>
      </c>
      <c r="D344" s="550">
        <v>1464950</v>
      </c>
      <c r="E344" s="570" t="s">
        <v>816</v>
      </c>
      <c r="F344" s="550"/>
    </row>
    <row r="345" spans="1:6" ht="27.6" hidden="1">
      <c r="A345" s="352" t="s">
        <v>4589</v>
      </c>
      <c r="B345" s="463" t="s">
        <v>1539</v>
      </c>
      <c r="C345" s="463" t="s">
        <v>1602</v>
      </c>
      <c r="D345" s="550">
        <v>1266031.21</v>
      </c>
      <c r="E345" s="570" t="s">
        <v>816</v>
      </c>
      <c r="F345" s="550"/>
    </row>
    <row r="346" spans="1:6" hidden="1">
      <c r="A346" s="352" t="s">
        <v>4590</v>
      </c>
      <c r="B346" s="463" t="s">
        <v>818</v>
      </c>
      <c r="C346" s="463" t="s">
        <v>1605</v>
      </c>
      <c r="D346" s="550">
        <v>348243.76</v>
      </c>
      <c r="E346" s="570" t="s">
        <v>813</v>
      </c>
      <c r="F346" s="550"/>
    </row>
    <row r="347" spans="1:6" hidden="1">
      <c r="A347" s="352" t="s">
        <v>4591</v>
      </c>
      <c r="B347" s="463" t="s">
        <v>1539</v>
      </c>
      <c r="C347" s="463" t="s">
        <v>1605</v>
      </c>
      <c r="D347" s="550">
        <v>333817.76</v>
      </c>
      <c r="E347" s="570" t="s">
        <v>813</v>
      </c>
      <c r="F347" s="550"/>
    </row>
    <row r="348" spans="1:6" hidden="1">
      <c r="A348" s="352" t="s">
        <v>4592</v>
      </c>
      <c r="B348" s="463" t="s">
        <v>1540</v>
      </c>
      <c r="C348" s="463" t="s">
        <v>1605</v>
      </c>
      <c r="D348" s="550">
        <v>348243.76</v>
      </c>
      <c r="E348" s="570" t="s">
        <v>813</v>
      </c>
      <c r="F348" s="550"/>
    </row>
    <row r="349" spans="1:6" ht="27.6" hidden="1">
      <c r="A349" s="352" t="s">
        <v>4593</v>
      </c>
      <c r="B349" s="463" t="s">
        <v>822</v>
      </c>
      <c r="C349" s="463" t="s">
        <v>1602</v>
      </c>
      <c r="D349" s="550">
        <v>760350</v>
      </c>
      <c r="E349" s="570" t="s">
        <v>816</v>
      </c>
      <c r="F349" s="550"/>
    </row>
    <row r="350" spans="1:6" ht="27.6" hidden="1">
      <c r="A350" s="352" t="s">
        <v>4594</v>
      </c>
      <c r="B350" s="463" t="s">
        <v>818</v>
      </c>
      <c r="C350" s="463" t="s">
        <v>1610</v>
      </c>
      <c r="D350" s="550">
        <v>194400</v>
      </c>
      <c r="E350" s="570" t="s">
        <v>814</v>
      </c>
      <c r="F350" s="550"/>
    </row>
    <row r="351" spans="1:6" ht="27.6" hidden="1">
      <c r="A351" s="352" t="s">
        <v>4595</v>
      </c>
      <c r="B351" s="463" t="s">
        <v>1539</v>
      </c>
      <c r="C351" s="463" t="s">
        <v>1610</v>
      </c>
      <c r="D351" s="550">
        <v>194400</v>
      </c>
      <c r="E351" s="570" t="s">
        <v>814</v>
      </c>
      <c r="F351" s="550"/>
    </row>
    <row r="352" spans="1:6" ht="27.6" hidden="1">
      <c r="A352" s="352" t="s">
        <v>4596</v>
      </c>
      <c r="B352" s="463" t="s">
        <v>1540</v>
      </c>
      <c r="C352" s="463" t="s">
        <v>1610</v>
      </c>
      <c r="D352" s="550">
        <v>194400</v>
      </c>
      <c r="E352" s="570" t="s">
        <v>814</v>
      </c>
      <c r="F352" s="550"/>
    </row>
    <row r="353" spans="1:6" ht="27.6" hidden="1">
      <c r="A353" s="352" t="s">
        <v>4597</v>
      </c>
      <c r="B353" s="463" t="s">
        <v>822</v>
      </c>
      <c r="C353" s="463" t="s">
        <v>1615</v>
      </c>
      <c r="D353" s="550">
        <v>640000</v>
      </c>
      <c r="E353" s="570" t="s">
        <v>816</v>
      </c>
      <c r="F353" s="550"/>
    </row>
    <row r="354" spans="1:6" hidden="1">
      <c r="A354" s="352" t="s">
        <v>4598</v>
      </c>
      <c r="B354" s="463" t="s">
        <v>822</v>
      </c>
      <c r="C354" s="463" t="s">
        <v>1145</v>
      </c>
      <c r="D354" s="550">
        <v>287809.53000000003</v>
      </c>
      <c r="E354" s="570" t="s">
        <v>816</v>
      </c>
      <c r="F354" s="550"/>
    </row>
    <row r="355" spans="1:6" ht="41.4" hidden="1">
      <c r="A355" s="352" t="s">
        <v>4599</v>
      </c>
      <c r="B355" s="463" t="s">
        <v>1102</v>
      </c>
      <c r="C355" s="463" t="s">
        <v>1617</v>
      </c>
      <c r="D355" s="550">
        <v>3500</v>
      </c>
      <c r="E355" s="570" t="s">
        <v>816</v>
      </c>
      <c r="F355" s="550"/>
    </row>
    <row r="356" spans="1:6" ht="41.4" hidden="1">
      <c r="A356" s="352" t="s">
        <v>4600</v>
      </c>
      <c r="B356" s="463" t="s">
        <v>6</v>
      </c>
      <c r="C356" s="463" t="s">
        <v>1620</v>
      </c>
      <c r="D356" s="550">
        <v>12000</v>
      </c>
      <c r="E356" s="570" t="s">
        <v>4602</v>
      </c>
      <c r="F356" s="550"/>
    </row>
    <row r="357" spans="1:6" ht="27.6" hidden="1">
      <c r="A357" s="352" t="s">
        <v>4601</v>
      </c>
      <c r="B357" s="463" t="s">
        <v>797</v>
      </c>
      <c r="C357" s="463" t="s">
        <v>1621</v>
      </c>
      <c r="D357" s="550">
        <v>4800</v>
      </c>
      <c r="E357" s="570" t="s">
        <v>816</v>
      </c>
      <c r="F357" s="550"/>
    </row>
  </sheetData>
  <autoFilter ref="A2:G357" xr:uid="{00000000-0009-0000-0000-000001000000}">
    <filterColumn colId="1">
      <filters>
        <filter val="FEVI SILVOSA"/>
        <filter val="FEVI V. SILVOSA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3" bestFit="1" customWidth="1"/>
    <col min="4" max="5" width="21.5546875" style="281" customWidth="1"/>
    <col min="6" max="6" width="12.44140625" style="281" customWidth="1"/>
    <col min="7" max="7" width="15" style="281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2" bestFit="1" customWidth="1"/>
    <col min="15" max="15" width="31.33203125" hidden="1" customWidth="1"/>
  </cols>
  <sheetData>
    <row r="1" spans="1:15">
      <c r="A1" s="520" t="s">
        <v>1641</v>
      </c>
      <c r="L1" s="552">
        <f>SUBTOTAL(9,L4:L1602)</f>
        <v>45075472.159999959</v>
      </c>
    </row>
    <row r="2" spans="1:15">
      <c r="A2" s="555"/>
      <c r="B2" s="548"/>
      <c r="C2" s="556"/>
      <c r="D2" s="556"/>
      <c r="E2" s="557"/>
      <c r="F2" s="557"/>
      <c r="G2" s="557"/>
      <c r="H2" s="548"/>
      <c r="I2" t="s">
        <v>2043</v>
      </c>
      <c r="J2" t="s">
        <v>2046</v>
      </c>
      <c r="K2" t="s">
        <v>2046</v>
      </c>
      <c r="L2" s="558"/>
    </row>
    <row r="3" spans="1:15" ht="27.6">
      <c r="A3" s="326" t="s">
        <v>941</v>
      </c>
      <c r="B3" s="327" t="s">
        <v>940</v>
      </c>
      <c r="C3" s="554" t="s">
        <v>146</v>
      </c>
      <c r="D3" s="559" t="s">
        <v>2045</v>
      </c>
      <c r="E3" s="559" t="s">
        <v>2667</v>
      </c>
      <c r="F3" s="559" t="s">
        <v>2044</v>
      </c>
      <c r="G3" s="336" t="s">
        <v>4244</v>
      </c>
      <c r="H3" s="327" t="s">
        <v>4245</v>
      </c>
      <c r="I3" s="327" t="s">
        <v>4246</v>
      </c>
      <c r="J3" s="333" t="s">
        <v>155</v>
      </c>
      <c r="K3" s="333" t="s">
        <v>156</v>
      </c>
      <c r="L3" s="551" t="s">
        <v>936</v>
      </c>
      <c r="O3" s="326" t="s">
        <v>875</v>
      </c>
    </row>
    <row r="4" spans="1:15">
      <c r="A4" t="s">
        <v>942</v>
      </c>
      <c r="B4" t="s">
        <v>943</v>
      </c>
      <c r="C4" s="553">
        <v>44209</v>
      </c>
      <c r="D4" s="281" t="s">
        <v>4247</v>
      </c>
      <c r="E4" s="281" t="s">
        <v>2689</v>
      </c>
      <c r="F4" s="281">
        <v>1</v>
      </c>
      <c r="G4" s="281">
        <v>5010000000</v>
      </c>
      <c r="H4" t="s">
        <v>2024</v>
      </c>
      <c r="I4" t="s">
        <v>505</v>
      </c>
      <c r="J4" t="s">
        <v>1030</v>
      </c>
      <c r="K4" t="s">
        <v>760</v>
      </c>
      <c r="L4" s="552">
        <v>45000</v>
      </c>
      <c r="O4" t="s">
        <v>960</v>
      </c>
    </row>
    <row r="5" spans="1:15">
      <c r="A5" t="s">
        <v>942</v>
      </c>
      <c r="B5" t="s">
        <v>943</v>
      </c>
      <c r="C5" s="553">
        <v>44209</v>
      </c>
      <c r="D5" s="281" t="s">
        <v>4247</v>
      </c>
      <c r="E5" s="281" t="s">
        <v>2689</v>
      </c>
      <c r="F5" s="281">
        <v>1</v>
      </c>
      <c r="G5" s="281">
        <v>5010000000</v>
      </c>
      <c r="H5" t="s">
        <v>2025</v>
      </c>
      <c r="I5" t="s">
        <v>506</v>
      </c>
      <c r="J5" t="s">
        <v>1030</v>
      </c>
      <c r="K5" t="s">
        <v>760</v>
      </c>
      <c r="L5" s="552">
        <v>45000</v>
      </c>
      <c r="O5" t="s">
        <v>960</v>
      </c>
    </row>
    <row r="6" spans="1:15">
      <c r="A6" t="s">
        <v>942</v>
      </c>
      <c r="B6" t="s">
        <v>943</v>
      </c>
      <c r="C6" s="553">
        <v>44209</v>
      </c>
      <c r="D6" s="281" t="s">
        <v>4247</v>
      </c>
      <c r="E6" s="281" t="s">
        <v>2689</v>
      </c>
      <c r="F6" s="281">
        <v>4</v>
      </c>
      <c r="G6" s="281">
        <v>5010000000</v>
      </c>
      <c r="H6" t="s">
        <v>2024</v>
      </c>
      <c r="I6" t="s">
        <v>505</v>
      </c>
      <c r="J6" t="s">
        <v>1030</v>
      </c>
      <c r="K6" t="s">
        <v>760</v>
      </c>
      <c r="L6" s="552">
        <v>15000</v>
      </c>
      <c r="O6" t="s">
        <v>970</v>
      </c>
    </row>
    <row r="7" spans="1:15">
      <c r="A7" t="s">
        <v>942</v>
      </c>
      <c r="B7" t="s">
        <v>943</v>
      </c>
      <c r="C7" s="553">
        <v>44209</v>
      </c>
      <c r="D7" s="281" t="s">
        <v>4247</v>
      </c>
      <c r="E7" s="281" t="s">
        <v>2689</v>
      </c>
      <c r="F7" s="281">
        <v>4</v>
      </c>
      <c r="G7" s="281">
        <v>5010000000</v>
      </c>
      <c r="H7" t="s">
        <v>2025</v>
      </c>
      <c r="I7" t="s">
        <v>506</v>
      </c>
      <c r="J7" t="s">
        <v>1030</v>
      </c>
      <c r="K7" t="s">
        <v>760</v>
      </c>
      <c r="L7" s="552">
        <v>15000</v>
      </c>
      <c r="O7" t="s">
        <v>970</v>
      </c>
    </row>
    <row r="8" spans="1:15">
      <c r="A8" t="s">
        <v>942</v>
      </c>
      <c r="B8" t="s">
        <v>943</v>
      </c>
      <c r="C8" s="553">
        <v>44209</v>
      </c>
      <c r="D8" s="281" t="s">
        <v>4247</v>
      </c>
      <c r="E8" s="281" t="s">
        <v>2689</v>
      </c>
      <c r="F8" s="281">
        <v>5</v>
      </c>
      <c r="G8" s="281">
        <v>5010000000</v>
      </c>
      <c r="H8" t="s">
        <v>2024</v>
      </c>
      <c r="I8" t="s">
        <v>505</v>
      </c>
      <c r="J8" t="s">
        <v>1030</v>
      </c>
      <c r="K8" t="s">
        <v>760</v>
      </c>
      <c r="L8" s="552">
        <v>5000</v>
      </c>
      <c r="O8" t="s">
        <v>973</v>
      </c>
    </row>
    <row r="9" spans="1:15">
      <c r="A9" t="s">
        <v>942</v>
      </c>
      <c r="B9" t="s">
        <v>943</v>
      </c>
      <c r="C9" s="553">
        <v>44209</v>
      </c>
      <c r="D9" s="281" t="s">
        <v>4247</v>
      </c>
      <c r="E9" s="281" t="s">
        <v>2689</v>
      </c>
      <c r="F9" s="281">
        <v>5</v>
      </c>
      <c r="G9" s="281">
        <v>5010000000</v>
      </c>
      <c r="H9" t="s">
        <v>2025</v>
      </c>
      <c r="I9" t="s">
        <v>506</v>
      </c>
      <c r="J9" t="s">
        <v>1030</v>
      </c>
      <c r="K9" t="s">
        <v>760</v>
      </c>
      <c r="L9" s="552">
        <v>5000</v>
      </c>
      <c r="O9" t="s">
        <v>973</v>
      </c>
    </row>
    <row r="10" spans="1:15">
      <c r="A10" t="s">
        <v>942</v>
      </c>
      <c r="B10" t="s">
        <v>943</v>
      </c>
      <c r="C10" s="553">
        <v>44209</v>
      </c>
      <c r="D10" s="281" t="s">
        <v>4247</v>
      </c>
      <c r="E10" s="281" t="s">
        <v>2689</v>
      </c>
      <c r="F10" s="281">
        <v>3</v>
      </c>
      <c r="G10" s="28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2">
        <v>10000</v>
      </c>
      <c r="O10" t="s">
        <v>967</v>
      </c>
    </row>
    <row r="11" spans="1:15">
      <c r="A11" t="s">
        <v>942</v>
      </c>
      <c r="B11" t="s">
        <v>943</v>
      </c>
      <c r="C11" s="553">
        <v>44209</v>
      </c>
      <c r="D11" s="281" t="s">
        <v>4247</v>
      </c>
      <c r="E11" s="281" t="s">
        <v>2689</v>
      </c>
      <c r="F11" s="281">
        <v>3</v>
      </c>
      <c r="G11" s="28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2">
        <v>10000</v>
      </c>
      <c r="O11" t="s">
        <v>967</v>
      </c>
    </row>
    <row r="12" spans="1:15">
      <c r="A12" t="s">
        <v>942</v>
      </c>
      <c r="B12" t="s">
        <v>943</v>
      </c>
      <c r="C12" s="553">
        <v>44209</v>
      </c>
      <c r="D12" s="281" t="s">
        <v>4248</v>
      </c>
      <c r="E12" s="281" t="s">
        <v>2692</v>
      </c>
      <c r="F12" s="281">
        <v>1</v>
      </c>
      <c r="G12" s="281">
        <v>5020000000</v>
      </c>
      <c r="H12" t="s">
        <v>1995</v>
      </c>
      <c r="I12" t="s">
        <v>624</v>
      </c>
      <c r="J12" t="s">
        <v>6</v>
      </c>
      <c r="K12" t="s">
        <v>761</v>
      </c>
      <c r="L12" s="552">
        <v>10000</v>
      </c>
      <c r="O12" t="s">
        <v>961</v>
      </c>
    </row>
    <row r="13" spans="1:15">
      <c r="A13" t="s">
        <v>942</v>
      </c>
      <c r="B13" t="s">
        <v>943</v>
      </c>
      <c r="C13" s="553">
        <v>44210</v>
      </c>
      <c r="D13" s="281" t="s">
        <v>4249</v>
      </c>
      <c r="E13" s="281" t="s">
        <v>2700</v>
      </c>
      <c r="F13" s="281">
        <v>1</v>
      </c>
      <c r="G13" s="281">
        <v>5010000000</v>
      </c>
      <c r="H13" t="s">
        <v>2026</v>
      </c>
      <c r="I13" t="s">
        <v>499</v>
      </c>
      <c r="J13" t="s">
        <v>10</v>
      </c>
      <c r="K13" t="s">
        <v>762</v>
      </c>
      <c r="L13" s="552">
        <v>1634515</v>
      </c>
      <c r="O13" t="s">
        <v>960</v>
      </c>
    </row>
    <row r="14" spans="1:15">
      <c r="A14" t="s">
        <v>942</v>
      </c>
      <c r="B14" t="s">
        <v>943</v>
      </c>
      <c r="C14" s="553">
        <v>44210</v>
      </c>
      <c r="D14" s="281" t="s">
        <v>4249</v>
      </c>
      <c r="E14" s="281" t="s">
        <v>2700</v>
      </c>
      <c r="F14" s="281">
        <v>1</v>
      </c>
      <c r="G14" s="281">
        <v>5010000000</v>
      </c>
      <c r="H14" t="s">
        <v>2027</v>
      </c>
      <c r="I14" t="s">
        <v>504</v>
      </c>
      <c r="J14" t="s">
        <v>10</v>
      </c>
      <c r="K14" t="s">
        <v>762</v>
      </c>
      <c r="L14" s="552">
        <v>76000</v>
      </c>
      <c r="O14" t="s">
        <v>960</v>
      </c>
    </row>
    <row r="15" spans="1:15">
      <c r="A15" t="s">
        <v>942</v>
      </c>
      <c r="B15" t="s">
        <v>943</v>
      </c>
      <c r="C15" s="553">
        <v>44210</v>
      </c>
      <c r="D15" s="281" t="s">
        <v>4249</v>
      </c>
      <c r="E15" s="281" t="s">
        <v>2700</v>
      </c>
      <c r="F15" s="281">
        <v>1</v>
      </c>
      <c r="G15" s="281">
        <v>5010301000</v>
      </c>
      <c r="H15" t="s">
        <v>2028</v>
      </c>
      <c r="I15" t="s">
        <v>528</v>
      </c>
      <c r="J15" t="s">
        <v>10</v>
      </c>
      <c r="K15" t="s">
        <v>762</v>
      </c>
      <c r="L15" s="552">
        <v>196141.8</v>
      </c>
      <c r="O15" t="s">
        <v>962</v>
      </c>
    </row>
    <row r="16" spans="1:15">
      <c r="A16" t="s">
        <v>942</v>
      </c>
      <c r="B16" t="s">
        <v>943</v>
      </c>
      <c r="C16" s="553">
        <v>44210</v>
      </c>
      <c r="D16" s="281" t="s">
        <v>4249</v>
      </c>
      <c r="E16" s="281" t="s">
        <v>2700</v>
      </c>
      <c r="F16" s="281">
        <v>1</v>
      </c>
      <c r="G16" s="281">
        <v>5010000000</v>
      </c>
      <c r="H16" t="s">
        <v>2029</v>
      </c>
      <c r="I16" t="s">
        <v>530</v>
      </c>
      <c r="J16" t="s">
        <v>10</v>
      </c>
      <c r="K16" t="s">
        <v>762</v>
      </c>
      <c r="L16" s="552">
        <v>3800</v>
      </c>
      <c r="O16" t="s">
        <v>960</v>
      </c>
    </row>
    <row r="17" spans="1:15">
      <c r="A17" t="s">
        <v>942</v>
      </c>
      <c r="B17" t="s">
        <v>943</v>
      </c>
      <c r="C17" s="553">
        <v>44210</v>
      </c>
      <c r="D17" s="281" t="s">
        <v>4249</v>
      </c>
      <c r="E17" s="281" t="s">
        <v>2700</v>
      </c>
      <c r="F17" s="281">
        <v>1</v>
      </c>
      <c r="G17" s="281">
        <v>5010000000</v>
      </c>
      <c r="H17" t="s">
        <v>2030</v>
      </c>
      <c r="I17" t="s">
        <v>532</v>
      </c>
      <c r="J17" t="s">
        <v>10</v>
      </c>
      <c r="K17" t="s">
        <v>762</v>
      </c>
      <c r="L17" s="552">
        <v>21044.43</v>
      </c>
      <c r="O17" t="s">
        <v>960</v>
      </c>
    </row>
    <row r="18" spans="1:15">
      <c r="A18" t="s">
        <v>942</v>
      </c>
      <c r="B18" t="s">
        <v>943</v>
      </c>
      <c r="C18" s="553">
        <v>44210</v>
      </c>
      <c r="D18" s="281" t="s">
        <v>4249</v>
      </c>
      <c r="E18" s="281" t="s">
        <v>2700</v>
      </c>
      <c r="F18" s="281">
        <v>1</v>
      </c>
      <c r="G18" s="281">
        <v>5010000000</v>
      </c>
      <c r="H18" t="s">
        <v>2031</v>
      </c>
      <c r="I18" t="s">
        <v>534</v>
      </c>
      <c r="J18" t="s">
        <v>10</v>
      </c>
      <c r="K18" t="s">
        <v>762</v>
      </c>
      <c r="L18" s="552">
        <v>3800</v>
      </c>
      <c r="O18" t="s">
        <v>960</v>
      </c>
    </row>
    <row r="19" spans="1:15">
      <c r="A19" t="s">
        <v>942</v>
      </c>
      <c r="B19" t="s">
        <v>943</v>
      </c>
      <c r="C19" s="553">
        <v>44211</v>
      </c>
      <c r="D19" s="281" t="s">
        <v>4250</v>
      </c>
      <c r="E19" s="281" t="s">
        <v>2706</v>
      </c>
      <c r="F19" s="281">
        <v>2</v>
      </c>
      <c r="G19" s="281">
        <v>5010000000</v>
      </c>
      <c r="H19" t="s">
        <v>2026</v>
      </c>
      <c r="I19" t="s">
        <v>499</v>
      </c>
      <c r="J19" t="s">
        <v>764</v>
      </c>
      <c r="K19" t="s">
        <v>762</v>
      </c>
      <c r="L19" s="552">
        <v>377575</v>
      </c>
      <c r="O19" t="s">
        <v>964</v>
      </c>
    </row>
    <row r="20" spans="1:15">
      <c r="A20" t="s">
        <v>942</v>
      </c>
      <c r="B20" t="s">
        <v>943</v>
      </c>
      <c r="C20" s="553">
        <v>44211</v>
      </c>
      <c r="D20" s="281" t="s">
        <v>4250</v>
      </c>
      <c r="E20" s="281" t="s">
        <v>2706</v>
      </c>
      <c r="F20" s="281">
        <v>2</v>
      </c>
      <c r="G20" s="281">
        <v>5010000000</v>
      </c>
      <c r="H20" t="s">
        <v>2027</v>
      </c>
      <c r="I20" t="s">
        <v>504</v>
      </c>
      <c r="J20" t="s">
        <v>764</v>
      </c>
      <c r="K20" t="s">
        <v>762</v>
      </c>
      <c r="L20" s="552">
        <v>22000</v>
      </c>
      <c r="O20" t="s">
        <v>964</v>
      </c>
    </row>
    <row r="21" spans="1:15">
      <c r="A21" t="s">
        <v>942</v>
      </c>
      <c r="B21" t="s">
        <v>943</v>
      </c>
      <c r="C21" s="553">
        <v>44211</v>
      </c>
      <c r="D21" s="281" t="s">
        <v>4250</v>
      </c>
      <c r="E21" s="281" t="s">
        <v>2706</v>
      </c>
      <c r="F21" s="281">
        <v>2</v>
      </c>
      <c r="G21" s="281">
        <v>5010301000</v>
      </c>
      <c r="H21" t="s">
        <v>2028</v>
      </c>
      <c r="I21" t="s">
        <v>528</v>
      </c>
      <c r="J21" t="s">
        <v>764</v>
      </c>
      <c r="K21" t="s">
        <v>762</v>
      </c>
      <c r="L21" s="552">
        <v>45309</v>
      </c>
      <c r="O21" t="s">
        <v>966</v>
      </c>
    </row>
    <row r="22" spans="1:15">
      <c r="A22" t="s">
        <v>942</v>
      </c>
      <c r="B22" t="s">
        <v>943</v>
      </c>
      <c r="C22" s="553">
        <v>44211</v>
      </c>
      <c r="D22" s="281" t="s">
        <v>4250</v>
      </c>
      <c r="E22" s="281" t="s">
        <v>2706</v>
      </c>
      <c r="F22" s="281">
        <v>2</v>
      </c>
      <c r="G22" s="281">
        <v>5010000000</v>
      </c>
      <c r="H22" t="s">
        <v>2029</v>
      </c>
      <c r="I22" t="s">
        <v>530</v>
      </c>
      <c r="J22" t="s">
        <v>764</v>
      </c>
      <c r="K22" t="s">
        <v>762</v>
      </c>
      <c r="L22" s="552">
        <v>1100</v>
      </c>
      <c r="O22" t="s">
        <v>964</v>
      </c>
    </row>
    <row r="23" spans="1:15">
      <c r="A23" t="s">
        <v>942</v>
      </c>
      <c r="B23" t="s">
        <v>943</v>
      </c>
      <c r="C23" s="553">
        <v>44211</v>
      </c>
      <c r="D23" s="281" t="s">
        <v>4250</v>
      </c>
      <c r="E23" s="281" t="s">
        <v>2706</v>
      </c>
      <c r="F23" s="281">
        <v>2</v>
      </c>
      <c r="G23" s="281">
        <v>5010000000</v>
      </c>
      <c r="H23" t="s">
        <v>2030</v>
      </c>
      <c r="I23" t="s">
        <v>532</v>
      </c>
      <c r="J23" t="s">
        <v>764</v>
      </c>
      <c r="K23" t="s">
        <v>762</v>
      </c>
      <c r="L23" s="552">
        <v>5560.64</v>
      </c>
      <c r="O23" t="s">
        <v>964</v>
      </c>
    </row>
    <row r="24" spans="1:15">
      <c r="A24" t="s">
        <v>942</v>
      </c>
      <c r="B24" t="s">
        <v>943</v>
      </c>
      <c r="C24" s="553">
        <v>44211</v>
      </c>
      <c r="D24" s="281" t="s">
        <v>4250</v>
      </c>
      <c r="E24" s="281" t="s">
        <v>2706</v>
      </c>
      <c r="F24" s="281">
        <v>2</v>
      </c>
      <c r="G24" s="281">
        <v>5010000000</v>
      </c>
      <c r="H24" t="s">
        <v>2031</v>
      </c>
      <c r="I24" t="s">
        <v>534</v>
      </c>
      <c r="J24" t="s">
        <v>764</v>
      </c>
      <c r="K24" t="s">
        <v>762</v>
      </c>
      <c r="L24" s="552">
        <v>1100</v>
      </c>
      <c r="O24" t="s">
        <v>964</v>
      </c>
    </row>
    <row r="25" spans="1:15">
      <c r="A25" t="s">
        <v>942</v>
      </c>
      <c r="B25" t="s">
        <v>943</v>
      </c>
      <c r="C25" s="553">
        <v>44211</v>
      </c>
      <c r="D25" s="281" t="s">
        <v>4251</v>
      </c>
      <c r="E25" s="281" t="s">
        <v>2714</v>
      </c>
      <c r="F25" s="281">
        <v>2</v>
      </c>
      <c r="G25" s="281">
        <v>5010000000</v>
      </c>
      <c r="H25" t="s">
        <v>2026</v>
      </c>
      <c r="I25" t="s">
        <v>499</v>
      </c>
      <c r="J25" t="s">
        <v>765</v>
      </c>
      <c r="K25" t="s">
        <v>762</v>
      </c>
      <c r="L25" s="552">
        <v>273461</v>
      </c>
      <c r="O25" t="s">
        <v>964</v>
      </c>
    </row>
    <row r="26" spans="1:15">
      <c r="A26" t="s">
        <v>942</v>
      </c>
      <c r="B26" t="s">
        <v>943</v>
      </c>
      <c r="C26" s="553">
        <v>44211</v>
      </c>
      <c r="D26" s="281" t="s">
        <v>4251</v>
      </c>
      <c r="E26" s="281" t="s">
        <v>2714</v>
      </c>
      <c r="F26" s="281">
        <v>2</v>
      </c>
      <c r="G26" s="281">
        <v>5010000000</v>
      </c>
      <c r="H26" t="s">
        <v>2027</v>
      </c>
      <c r="I26" t="s">
        <v>504</v>
      </c>
      <c r="J26" t="s">
        <v>765</v>
      </c>
      <c r="K26" t="s">
        <v>762</v>
      </c>
      <c r="L26" s="552">
        <v>14000</v>
      </c>
      <c r="O26" t="s">
        <v>964</v>
      </c>
    </row>
    <row r="27" spans="1:15">
      <c r="A27" t="s">
        <v>942</v>
      </c>
      <c r="B27" t="s">
        <v>943</v>
      </c>
      <c r="C27" s="553">
        <v>44211</v>
      </c>
      <c r="D27" s="281" t="s">
        <v>4251</v>
      </c>
      <c r="E27" s="281" t="s">
        <v>2714</v>
      </c>
      <c r="F27" s="281">
        <v>2</v>
      </c>
      <c r="G27" s="281">
        <v>5010301000</v>
      </c>
      <c r="H27" t="s">
        <v>2028</v>
      </c>
      <c r="I27" t="s">
        <v>528</v>
      </c>
      <c r="J27" t="s">
        <v>765</v>
      </c>
      <c r="K27" t="s">
        <v>762</v>
      </c>
      <c r="L27" s="552">
        <v>32815.32</v>
      </c>
      <c r="O27" t="s">
        <v>966</v>
      </c>
    </row>
    <row r="28" spans="1:15">
      <c r="A28" t="s">
        <v>942</v>
      </c>
      <c r="B28" t="s">
        <v>943</v>
      </c>
      <c r="C28" s="553">
        <v>44211</v>
      </c>
      <c r="D28" s="281" t="s">
        <v>4251</v>
      </c>
      <c r="E28" s="281" t="s">
        <v>2714</v>
      </c>
      <c r="F28" s="281">
        <v>2</v>
      </c>
      <c r="G28" s="281">
        <v>5010000000</v>
      </c>
      <c r="H28" t="s">
        <v>2029</v>
      </c>
      <c r="I28" t="s">
        <v>530</v>
      </c>
      <c r="J28" t="s">
        <v>765</v>
      </c>
      <c r="K28" t="s">
        <v>762</v>
      </c>
      <c r="L28" s="552">
        <v>700</v>
      </c>
      <c r="O28" t="s">
        <v>964</v>
      </c>
    </row>
    <row r="29" spans="1:15">
      <c r="A29" t="s">
        <v>942</v>
      </c>
      <c r="B29" t="s">
        <v>943</v>
      </c>
      <c r="C29" s="553">
        <v>44211</v>
      </c>
      <c r="D29" s="281" t="s">
        <v>4251</v>
      </c>
      <c r="E29" s="281" t="s">
        <v>2714</v>
      </c>
      <c r="F29" s="281">
        <v>2</v>
      </c>
      <c r="G29" s="281">
        <v>5010000000</v>
      </c>
      <c r="H29" t="s">
        <v>2030</v>
      </c>
      <c r="I29" t="s">
        <v>532</v>
      </c>
      <c r="J29" t="s">
        <v>765</v>
      </c>
      <c r="K29" t="s">
        <v>762</v>
      </c>
      <c r="L29" s="552">
        <v>3358.03</v>
      </c>
      <c r="O29" t="s">
        <v>964</v>
      </c>
    </row>
    <row r="30" spans="1:15">
      <c r="A30" t="s">
        <v>942</v>
      </c>
      <c r="B30" t="s">
        <v>943</v>
      </c>
      <c r="C30" s="553">
        <v>44211</v>
      </c>
      <c r="D30" s="281" t="s">
        <v>4251</v>
      </c>
      <c r="E30" s="281" t="s">
        <v>2714</v>
      </c>
      <c r="F30" s="281">
        <v>2</v>
      </c>
      <c r="G30" s="281">
        <v>5010000000</v>
      </c>
      <c r="H30" t="s">
        <v>2031</v>
      </c>
      <c r="I30" t="s">
        <v>534</v>
      </c>
      <c r="J30" t="s">
        <v>765</v>
      </c>
      <c r="K30" t="s">
        <v>762</v>
      </c>
      <c r="L30" s="552">
        <v>700</v>
      </c>
      <c r="O30" t="s">
        <v>964</v>
      </c>
    </row>
    <row r="31" spans="1:15">
      <c r="A31" t="s">
        <v>942</v>
      </c>
      <c r="B31" t="s">
        <v>943</v>
      </c>
      <c r="C31" s="553">
        <v>44211</v>
      </c>
      <c r="D31" s="281" t="s">
        <v>4252</v>
      </c>
      <c r="E31" s="281" t="s">
        <v>2712</v>
      </c>
      <c r="F31" s="281">
        <v>2</v>
      </c>
      <c r="G31" s="281">
        <v>5010000000</v>
      </c>
      <c r="H31" t="s">
        <v>2026</v>
      </c>
      <c r="I31" t="s">
        <v>499</v>
      </c>
      <c r="J31" t="s">
        <v>768</v>
      </c>
      <c r="K31" t="s">
        <v>762</v>
      </c>
      <c r="L31" s="552">
        <v>565193</v>
      </c>
      <c r="O31" t="s">
        <v>964</v>
      </c>
    </row>
    <row r="32" spans="1:15">
      <c r="A32" t="s">
        <v>942</v>
      </c>
      <c r="B32" t="s">
        <v>943</v>
      </c>
      <c r="C32" s="553">
        <v>44211</v>
      </c>
      <c r="D32" s="281" t="s">
        <v>4252</v>
      </c>
      <c r="E32" s="281" t="s">
        <v>2712</v>
      </c>
      <c r="F32" s="281">
        <v>2</v>
      </c>
      <c r="G32" s="281">
        <v>5010000000</v>
      </c>
      <c r="H32" t="s">
        <v>2027</v>
      </c>
      <c r="I32" t="s">
        <v>504</v>
      </c>
      <c r="J32" t="s">
        <v>768</v>
      </c>
      <c r="K32" t="s">
        <v>762</v>
      </c>
      <c r="L32" s="552">
        <v>24000</v>
      </c>
      <c r="O32" t="s">
        <v>964</v>
      </c>
    </row>
    <row r="33" spans="1:15">
      <c r="A33" t="s">
        <v>942</v>
      </c>
      <c r="B33" t="s">
        <v>943</v>
      </c>
      <c r="C33" s="553">
        <v>44211</v>
      </c>
      <c r="D33" s="281" t="s">
        <v>4252</v>
      </c>
      <c r="E33" s="281" t="s">
        <v>2712</v>
      </c>
      <c r="F33" s="281">
        <v>2</v>
      </c>
      <c r="G33" s="281">
        <v>5010301000</v>
      </c>
      <c r="H33" t="s">
        <v>2028</v>
      </c>
      <c r="I33" t="s">
        <v>528</v>
      </c>
      <c r="J33" t="s">
        <v>768</v>
      </c>
      <c r="K33" t="s">
        <v>762</v>
      </c>
      <c r="L33" s="552">
        <v>67823.16</v>
      </c>
      <c r="O33" t="s">
        <v>966</v>
      </c>
    </row>
    <row r="34" spans="1:15">
      <c r="A34" t="s">
        <v>942</v>
      </c>
      <c r="B34" t="s">
        <v>943</v>
      </c>
      <c r="C34" s="553">
        <v>44211</v>
      </c>
      <c r="D34" s="281" t="s">
        <v>4252</v>
      </c>
      <c r="E34" s="281" t="s">
        <v>2712</v>
      </c>
      <c r="F34" s="281">
        <v>2</v>
      </c>
      <c r="G34" s="281">
        <v>5010000000</v>
      </c>
      <c r="H34" t="s">
        <v>2029</v>
      </c>
      <c r="I34" t="s">
        <v>530</v>
      </c>
      <c r="J34" t="s">
        <v>768</v>
      </c>
      <c r="K34" t="s">
        <v>762</v>
      </c>
      <c r="L34" s="552">
        <v>1200</v>
      </c>
      <c r="O34" t="s">
        <v>964</v>
      </c>
    </row>
    <row r="35" spans="1:15">
      <c r="A35" t="s">
        <v>942</v>
      </c>
      <c r="B35" t="s">
        <v>943</v>
      </c>
      <c r="C35" s="553">
        <v>44211</v>
      </c>
      <c r="D35" s="281" t="s">
        <v>4252</v>
      </c>
      <c r="E35" s="281" t="s">
        <v>2712</v>
      </c>
      <c r="F35" s="281">
        <v>2</v>
      </c>
      <c r="G35" s="281">
        <v>5010000000</v>
      </c>
      <c r="H35" t="s">
        <v>2030</v>
      </c>
      <c r="I35" t="s">
        <v>532</v>
      </c>
      <c r="J35" t="s">
        <v>768</v>
      </c>
      <c r="K35" t="s">
        <v>762</v>
      </c>
      <c r="L35" s="552">
        <v>7357.93</v>
      </c>
      <c r="O35" t="s">
        <v>964</v>
      </c>
    </row>
    <row r="36" spans="1:15">
      <c r="A36" t="s">
        <v>942</v>
      </c>
      <c r="B36" t="s">
        <v>943</v>
      </c>
      <c r="C36" s="553">
        <v>44211</v>
      </c>
      <c r="D36" s="281" t="s">
        <v>4252</v>
      </c>
      <c r="E36" s="281" t="s">
        <v>2712</v>
      </c>
      <c r="F36" s="281">
        <v>2</v>
      </c>
      <c r="G36" s="281">
        <v>5010000000</v>
      </c>
      <c r="H36" t="s">
        <v>2031</v>
      </c>
      <c r="I36" t="s">
        <v>534</v>
      </c>
      <c r="J36" t="s">
        <v>768</v>
      </c>
      <c r="K36" t="s">
        <v>762</v>
      </c>
      <c r="L36" s="552">
        <v>1200</v>
      </c>
      <c r="O36" t="s">
        <v>964</v>
      </c>
    </row>
    <row r="37" spans="1:15">
      <c r="A37" t="s">
        <v>942</v>
      </c>
      <c r="B37" t="s">
        <v>943</v>
      </c>
      <c r="C37" s="553">
        <v>44214</v>
      </c>
      <c r="D37" s="281" t="s">
        <v>4253</v>
      </c>
      <c r="E37" s="281" t="s">
        <v>2708</v>
      </c>
      <c r="F37" s="281">
        <v>1</v>
      </c>
      <c r="G37" s="281">
        <v>5020000000</v>
      </c>
      <c r="H37" t="s">
        <v>2032</v>
      </c>
      <c r="I37" t="s">
        <v>565</v>
      </c>
      <c r="J37" t="s">
        <v>773</v>
      </c>
      <c r="K37" t="s">
        <v>774</v>
      </c>
      <c r="L37" s="552">
        <v>1000</v>
      </c>
      <c r="O37" t="s">
        <v>961</v>
      </c>
    </row>
    <row r="38" spans="1:15">
      <c r="A38" t="s">
        <v>942</v>
      </c>
      <c r="B38" t="s">
        <v>943</v>
      </c>
      <c r="C38" s="553">
        <v>44214</v>
      </c>
      <c r="D38" s="281" t="s">
        <v>4253</v>
      </c>
      <c r="E38" s="281" t="s">
        <v>2708</v>
      </c>
      <c r="F38" s="281">
        <v>1</v>
      </c>
      <c r="G38" s="281">
        <v>5020000000</v>
      </c>
      <c r="H38" t="s">
        <v>2033</v>
      </c>
      <c r="I38" t="s">
        <v>593</v>
      </c>
      <c r="J38" t="s">
        <v>773</v>
      </c>
      <c r="K38" t="s">
        <v>774</v>
      </c>
      <c r="L38" s="552">
        <v>600</v>
      </c>
      <c r="O38" t="s">
        <v>961</v>
      </c>
    </row>
    <row r="39" spans="1:15">
      <c r="A39" t="s">
        <v>942</v>
      </c>
      <c r="B39" t="s">
        <v>943</v>
      </c>
      <c r="C39" s="553">
        <v>44214</v>
      </c>
      <c r="D39" s="281" t="s">
        <v>4253</v>
      </c>
      <c r="E39" s="281" t="s">
        <v>2708</v>
      </c>
      <c r="F39" s="281">
        <v>1</v>
      </c>
      <c r="G39" s="281">
        <v>5020000000</v>
      </c>
      <c r="H39" t="s">
        <v>1996</v>
      </c>
      <c r="I39" t="s">
        <v>676</v>
      </c>
      <c r="J39" t="s">
        <v>773</v>
      </c>
      <c r="K39" t="s">
        <v>774</v>
      </c>
      <c r="L39" s="552">
        <v>300</v>
      </c>
      <c r="O39" t="s">
        <v>961</v>
      </c>
    </row>
    <row r="40" spans="1:15">
      <c r="A40" t="s">
        <v>942</v>
      </c>
      <c r="B40" t="s">
        <v>943</v>
      </c>
      <c r="C40" s="553">
        <v>44214</v>
      </c>
      <c r="D40" s="281" t="s">
        <v>4253</v>
      </c>
      <c r="E40" s="281" t="s">
        <v>2708</v>
      </c>
      <c r="F40" s="281">
        <v>1</v>
      </c>
      <c r="G40" s="281">
        <v>5020000000</v>
      </c>
      <c r="H40" t="s">
        <v>1997</v>
      </c>
      <c r="I40" t="s">
        <v>642</v>
      </c>
      <c r="J40" t="s">
        <v>773</v>
      </c>
      <c r="K40" t="s">
        <v>774</v>
      </c>
      <c r="L40" s="552">
        <v>1500</v>
      </c>
      <c r="O40" t="s">
        <v>961</v>
      </c>
    </row>
    <row r="41" spans="1:15">
      <c r="A41" t="s">
        <v>942</v>
      </c>
      <c r="B41" t="s">
        <v>943</v>
      </c>
      <c r="C41" s="553">
        <v>44214</v>
      </c>
      <c r="D41" s="281" t="s">
        <v>4253</v>
      </c>
      <c r="E41" s="281" t="s">
        <v>2708</v>
      </c>
      <c r="F41" s="281">
        <v>1</v>
      </c>
      <c r="G41" s="281">
        <v>5020000000</v>
      </c>
      <c r="H41" t="s">
        <v>1998</v>
      </c>
      <c r="I41" t="s">
        <v>633</v>
      </c>
      <c r="J41" t="s">
        <v>773</v>
      </c>
      <c r="K41" t="s">
        <v>774</v>
      </c>
      <c r="L41" s="552">
        <v>1000</v>
      </c>
      <c r="O41" t="s">
        <v>961</v>
      </c>
    </row>
    <row r="42" spans="1:15">
      <c r="A42" t="s">
        <v>942</v>
      </c>
      <c r="B42" t="s">
        <v>943</v>
      </c>
      <c r="C42" s="553">
        <v>44214</v>
      </c>
      <c r="D42" s="281" t="s">
        <v>4253</v>
      </c>
      <c r="E42" s="281" t="s">
        <v>2708</v>
      </c>
      <c r="F42" s="281">
        <v>1</v>
      </c>
      <c r="G42" s="281">
        <v>5020000000</v>
      </c>
      <c r="H42" t="s">
        <v>1999</v>
      </c>
      <c r="I42" t="s">
        <v>672</v>
      </c>
      <c r="J42" t="s">
        <v>773</v>
      </c>
      <c r="K42" t="s">
        <v>774</v>
      </c>
      <c r="L42" s="552">
        <v>600</v>
      </c>
      <c r="O42" t="s">
        <v>961</v>
      </c>
    </row>
    <row r="43" spans="1:15">
      <c r="A43" t="s">
        <v>942</v>
      </c>
      <c r="B43" t="s">
        <v>943</v>
      </c>
      <c r="C43" s="553">
        <v>44214</v>
      </c>
      <c r="D43" s="281" t="s">
        <v>4254</v>
      </c>
      <c r="E43" s="281" t="s">
        <v>2718</v>
      </c>
      <c r="F43" s="281">
        <v>3</v>
      </c>
      <c r="G43" s="281">
        <v>5010000000</v>
      </c>
      <c r="H43" t="s">
        <v>2026</v>
      </c>
      <c r="I43" t="s">
        <v>499</v>
      </c>
      <c r="J43" t="s">
        <v>777</v>
      </c>
      <c r="K43" t="s">
        <v>762</v>
      </c>
      <c r="L43" s="552">
        <v>377147</v>
      </c>
      <c r="O43" t="s">
        <v>967</v>
      </c>
    </row>
    <row r="44" spans="1:15">
      <c r="A44" t="s">
        <v>942</v>
      </c>
      <c r="B44" t="s">
        <v>943</v>
      </c>
      <c r="C44" s="553">
        <v>44214</v>
      </c>
      <c r="D44" s="281" t="s">
        <v>4254</v>
      </c>
      <c r="E44" s="281" t="s">
        <v>2718</v>
      </c>
      <c r="F44" s="281">
        <v>3</v>
      </c>
      <c r="G44" s="281">
        <v>5010000000</v>
      </c>
      <c r="H44" t="s">
        <v>2027</v>
      </c>
      <c r="I44" t="s">
        <v>504</v>
      </c>
      <c r="J44" t="s">
        <v>777</v>
      </c>
      <c r="K44" t="s">
        <v>762</v>
      </c>
      <c r="L44" s="552">
        <v>22000</v>
      </c>
      <c r="O44" t="s">
        <v>967</v>
      </c>
    </row>
    <row r="45" spans="1:15">
      <c r="A45" t="s">
        <v>942</v>
      </c>
      <c r="B45" t="s">
        <v>943</v>
      </c>
      <c r="C45" s="553">
        <v>44214</v>
      </c>
      <c r="D45" s="281" t="s">
        <v>4254</v>
      </c>
      <c r="E45" s="281" t="s">
        <v>2718</v>
      </c>
      <c r="F45" s="281">
        <v>3</v>
      </c>
      <c r="G45" s="281">
        <v>5010301000</v>
      </c>
      <c r="H45" t="s">
        <v>2028</v>
      </c>
      <c r="I45" t="s">
        <v>528</v>
      </c>
      <c r="J45" t="s">
        <v>777</v>
      </c>
      <c r="K45" t="s">
        <v>762</v>
      </c>
      <c r="L45" s="552">
        <v>45257.64</v>
      </c>
      <c r="O45" t="s">
        <v>969</v>
      </c>
    </row>
    <row r="46" spans="1:15">
      <c r="A46" t="s">
        <v>942</v>
      </c>
      <c r="B46" t="s">
        <v>943</v>
      </c>
      <c r="C46" s="553">
        <v>44214</v>
      </c>
      <c r="D46" s="281" t="s">
        <v>4254</v>
      </c>
      <c r="E46" s="281" t="s">
        <v>2718</v>
      </c>
      <c r="F46" s="281">
        <v>3</v>
      </c>
      <c r="G46" s="281">
        <v>5010000000</v>
      </c>
      <c r="H46" t="s">
        <v>2029</v>
      </c>
      <c r="I46" t="s">
        <v>530</v>
      </c>
      <c r="J46" t="s">
        <v>777</v>
      </c>
      <c r="K46" t="s">
        <v>762</v>
      </c>
      <c r="L46" s="552">
        <v>1100</v>
      </c>
      <c r="O46" t="s">
        <v>967</v>
      </c>
    </row>
    <row r="47" spans="1:15">
      <c r="A47" t="s">
        <v>942</v>
      </c>
      <c r="B47" t="s">
        <v>943</v>
      </c>
      <c r="C47" s="553">
        <v>44214</v>
      </c>
      <c r="D47" s="281" t="s">
        <v>4254</v>
      </c>
      <c r="E47" s="281" t="s">
        <v>2718</v>
      </c>
      <c r="F47" s="281">
        <v>3</v>
      </c>
      <c r="G47" s="281">
        <v>5010000000</v>
      </c>
      <c r="H47" t="s">
        <v>2030</v>
      </c>
      <c r="I47" t="s">
        <v>532</v>
      </c>
      <c r="J47" t="s">
        <v>777</v>
      </c>
      <c r="K47" t="s">
        <v>762</v>
      </c>
      <c r="L47" s="552">
        <v>5521.98</v>
      </c>
      <c r="O47" t="s">
        <v>967</v>
      </c>
    </row>
    <row r="48" spans="1:15">
      <c r="A48" t="s">
        <v>942</v>
      </c>
      <c r="B48" t="s">
        <v>943</v>
      </c>
      <c r="C48" s="553">
        <v>44214</v>
      </c>
      <c r="D48" s="281" t="s">
        <v>4254</v>
      </c>
      <c r="E48" s="281" t="s">
        <v>2718</v>
      </c>
      <c r="F48" s="281">
        <v>3</v>
      </c>
      <c r="G48" s="281">
        <v>5010000000</v>
      </c>
      <c r="H48" t="s">
        <v>2031</v>
      </c>
      <c r="I48" t="s">
        <v>534</v>
      </c>
      <c r="J48" t="s">
        <v>777</v>
      </c>
      <c r="K48" t="s">
        <v>762</v>
      </c>
      <c r="L48" s="552">
        <v>1100</v>
      </c>
      <c r="O48" t="s">
        <v>967</v>
      </c>
    </row>
    <row r="49" spans="1:15">
      <c r="A49" t="s">
        <v>942</v>
      </c>
      <c r="B49" t="s">
        <v>943</v>
      </c>
      <c r="C49" s="553">
        <v>44214</v>
      </c>
      <c r="D49" s="281" t="s">
        <v>4255</v>
      </c>
      <c r="E49" s="281" t="s">
        <v>2668</v>
      </c>
      <c r="F49" s="281">
        <v>1</v>
      </c>
      <c r="G49" s="281">
        <v>5020000000</v>
      </c>
      <c r="H49" t="s">
        <v>2000</v>
      </c>
      <c r="I49" t="s">
        <v>683</v>
      </c>
      <c r="J49" t="s">
        <v>779</v>
      </c>
      <c r="K49" t="s">
        <v>850</v>
      </c>
      <c r="L49" s="552">
        <v>160190.04</v>
      </c>
      <c r="O49" t="s">
        <v>961</v>
      </c>
    </row>
    <row r="50" spans="1:15">
      <c r="A50" t="s">
        <v>942</v>
      </c>
      <c r="B50" t="s">
        <v>943</v>
      </c>
      <c r="C50" s="553">
        <v>44214</v>
      </c>
      <c r="D50" s="281" t="s">
        <v>4256</v>
      </c>
      <c r="E50" s="281" t="s">
        <v>2669</v>
      </c>
      <c r="F50" s="281">
        <v>1</v>
      </c>
      <c r="G50" s="281">
        <v>5020000000</v>
      </c>
      <c r="H50" t="s">
        <v>2000</v>
      </c>
      <c r="I50" t="s">
        <v>683</v>
      </c>
      <c r="J50" t="s">
        <v>779</v>
      </c>
      <c r="K50" t="s">
        <v>780</v>
      </c>
      <c r="L50" s="552">
        <v>10311.43</v>
      </c>
      <c r="O50" t="s">
        <v>961</v>
      </c>
    </row>
    <row r="51" spans="1:15">
      <c r="A51" t="s">
        <v>942</v>
      </c>
      <c r="B51" t="s">
        <v>943</v>
      </c>
      <c r="C51" s="553">
        <v>44215</v>
      </c>
      <c r="D51" s="281" t="s">
        <v>4257</v>
      </c>
      <c r="E51" s="281" t="s">
        <v>2754</v>
      </c>
      <c r="F51" s="281">
        <v>1</v>
      </c>
      <c r="G51" s="281">
        <v>5020000000</v>
      </c>
      <c r="H51" t="s">
        <v>2001</v>
      </c>
      <c r="I51" t="s">
        <v>669</v>
      </c>
      <c r="J51" t="s">
        <v>782</v>
      </c>
      <c r="K51" t="s">
        <v>783</v>
      </c>
      <c r="L51" s="552">
        <v>11250</v>
      </c>
      <c r="O51" t="s">
        <v>961</v>
      </c>
    </row>
    <row r="52" spans="1:15">
      <c r="A52" t="s">
        <v>942</v>
      </c>
      <c r="B52" t="s">
        <v>943</v>
      </c>
      <c r="C52" s="553">
        <v>44215</v>
      </c>
      <c r="D52" s="281" t="s">
        <v>4258</v>
      </c>
      <c r="E52" s="281" t="s">
        <v>2757</v>
      </c>
      <c r="F52" s="281">
        <v>4</v>
      </c>
      <c r="G52" s="281">
        <v>5010000000</v>
      </c>
      <c r="H52" t="s">
        <v>2026</v>
      </c>
      <c r="I52" t="s">
        <v>499</v>
      </c>
      <c r="J52" t="s">
        <v>789</v>
      </c>
      <c r="K52" t="s">
        <v>762</v>
      </c>
      <c r="L52" s="552">
        <v>487450</v>
      </c>
      <c r="O52" t="s">
        <v>970</v>
      </c>
    </row>
    <row r="53" spans="1:15">
      <c r="A53" t="s">
        <v>942</v>
      </c>
      <c r="B53" t="s">
        <v>943</v>
      </c>
      <c r="C53" s="553">
        <v>44215</v>
      </c>
      <c r="D53" s="281" t="s">
        <v>4258</v>
      </c>
      <c r="E53" s="281" t="s">
        <v>2757</v>
      </c>
      <c r="F53" s="281">
        <v>4</v>
      </c>
      <c r="G53" s="281">
        <v>5010000000</v>
      </c>
      <c r="H53" t="s">
        <v>2027</v>
      </c>
      <c r="I53" t="s">
        <v>504</v>
      </c>
      <c r="J53" t="s">
        <v>789</v>
      </c>
      <c r="K53" t="s">
        <v>762</v>
      </c>
      <c r="L53" s="552">
        <v>20000</v>
      </c>
      <c r="O53" t="s">
        <v>970</v>
      </c>
    </row>
    <row r="54" spans="1:15">
      <c r="A54" t="s">
        <v>942</v>
      </c>
      <c r="B54" t="s">
        <v>943</v>
      </c>
      <c r="C54" s="553">
        <v>44215</v>
      </c>
      <c r="D54" s="281" t="s">
        <v>4258</v>
      </c>
      <c r="E54" s="281" t="s">
        <v>2757</v>
      </c>
      <c r="F54" s="281">
        <v>4</v>
      </c>
      <c r="G54" s="281">
        <v>5010301000</v>
      </c>
      <c r="H54" t="s">
        <v>2028</v>
      </c>
      <c r="I54" t="s">
        <v>528</v>
      </c>
      <c r="J54" t="s">
        <v>789</v>
      </c>
      <c r="K54" t="s">
        <v>762</v>
      </c>
      <c r="L54" s="552">
        <v>58494</v>
      </c>
      <c r="O54" t="s">
        <v>972</v>
      </c>
    </row>
    <row r="55" spans="1:15">
      <c r="A55" t="s">
        <v>942</v>
      </c>
      <c r="B55" t="s">
        <v>943</v>
      </c>
      <c r="C55" s="553">
        <v>44215</v>
      </c>
      <c r="D55" s="281" t="s">
        <v>4258</v>
      </c>
      <c r="E55" s="281" t="s">
        <v>2757</v>
      </c>
      <c r="F55" s="281">
        <v>4</v>
      </c>
      <c r="G55" s="281">
        <v>5010000000</v>
      </c>
      <c r="H55" t="s">
        <v>2029</v>
      </c>
      <c r="I55" t="s">
        <v>530</v>
      </c>
      <c r="J55" t="s">
        <v>789</v>
      </c>
      <c r="K55" t="s">
        <v>762</v>
      </c>
      <c r="L55" s="552">
        <v>1000</v>
      </c>
      <c r="O55" t="s">
        <v>970</v>
      </c>
    </row>
    <row r="56" spans="1:15">
      <c r="A56" t="s">
        <v>942</v>
      </c>
      <c r="B56" t="s">
        <v>943</v>
      </c>
      <c r="C56" s="553">
        <v>44215</v>
      </c>
      <c r="D56" s="281" t="s">
        <v>4258</v>
      </c>
      <c r="E56" s="281" t="s">
        <v>2757</v>
      </c>
      <c r="F56" s="281">
        <v>4</v>
      </c>
      <c r="G56" s="281">
        <v>5010000000</v>
      </c>
      <c r="H56" t="s">
        <v>2030</v>
      </c>
      <c r="I56" t="s">
        <v>532</v>
      </c>
      <c r="J56" t="s">
        <v>789</v>
      </c>
      <c r="K56" t="s">
        <v>762</v>
      </c>
      <c r="L56" s="552">
        <v>6170.95</v>
      </c>
      <c r="O56" t="s">
        <v>970</v>
      </c>
    </row>
    <row r="57" spans="1:15">
      <c r="A57" t="s">
        <v>942</v>
      </c>
      <c r="B57" t="s">
        <v>943</v>
      </c>
      <c r="C57" s="553">
        <v>44215</v>
      </c>
      <c r="D57" s="281" t="s">
        <v>4258</v>
      </c>
      <c r="E57" s="281" t="s">
        <v>2757</v>
      </c>
      <c r="F57" s="281">
        <v>4</v>
      </c>
      <c r="G57" s="281">
        <v>5010000000</v>
      </c>
      <c r="H57" t="s">
        <v>2031</v>
      </c>
      <c r="I57" t="s">
        <v>534</v>
      </c>
      <c r="J57" t="s">
        <v>789</v>
      </c>
      <c r="K57" t="s">
        <v>762</v>
      </c>
      <c r="L57" s="552">
        <v>1000</v>
      </c>
      <c r="O57" t="s">
        <v>970</v>
      </c>
    </row>
    <row r="58" spans="1:15">
      <c r="A58" t="s">
        <v>942</v>
      </c>
      <c r="B58" t="s">
        <v>943</v>
      </c>
      <c r="C58" s="553">
        <v>44215</v>
      </c>
      <c r="D58" s="281" t="s">
        <v>4259</v>
      </c>
      <c r="E58" s="281" t="s">
        <v>2760</v>
      </c>
      <c r="F58" s="281">
        <v>1</v>
      </c>
      <c r="G58" s="281">
        <v>5020000000</v>
      </c>
      <c r="H58" t="s">
        <v>2002</v>
      </c>
      <c r="I58" t="s">
        <v>603</v>
      </c>
      <c r="J58" t="s">
        <v>791</v>
      </c>
      <c r="K58" t="s">
        <v>792</v>
      </c>
      <c r="L58" s="552">
        <v>2500</v>
      </c>
      <c r="O58" t="s">
        <v>961</v>
      </c>
    </row>
    <row r="59" spans="1:15">
      <c r="A59" t="s">
        <v>942</v>
      </c>
      <c r="B59" t="s">
        <v>943</v>
      </c>
      <c r="C59" s="553">
        <v>44215</v>
      </c>
      <c r="D59" s="281" t="s">
        <v>4260</v>
      </c>
      <c r="E59" s="281" t="s">
        <v>2764</v>
      </c>
      <c r="F59" s="281">
        <v>1</v>
      </c>
      <c r="G59" s="281">
        <v>5020000000</v>
      </c>
      <c r="H59" t="s">
        <v>2003</v>
      </c>
      <c r="I59" t="s">
        <v>609</v>
      </c>
      <c r="J59" t="s">
        <v>794</v>
      </c>
      <c r="K59" t="s">
        <v>795</v>
      </c>
      <c r="L59" s="552">
        <v>0</v>
      </c>
      <c r="O59" t="s">
        <v>961</v>
      </c>
    </row>
    <row r="60" spans="1:15">
      <c r="A60" t="s">
        <v>942</v>
      </c>
      <c r="B60" t="s">
        <v>943</v>
      </c>
      <c r="C60" s="553">
        <v>44217</v>
      </c>
      <c r="D60" s="281" t="s">
        <v>4261</v>
      </c>
      <c r="E60" s="281" t="s">
        <v>2836</v>
      </c>
      <c r="F60" s="281">
        <v>1</v>
      </c>
      <c r="G60" s="281">
        <v>5020000000</v>
      </c>
      <c r="H60" t="s">
        <v>2032</v>
      </c>
      <c r="I60" t="s">
        <v>565</v>
      </c>
      <c r="J60" t="s">
        <v>773</v>
      </c>
      <c r="K60" t="s">
        <v>808</v>
      </c>
      <c r="L60" s="552">
        <v>1834.25</v>
      </c>
      <c r="O60" t="s">
        <v>961</v>
      </c>
    </row>
    <row r="61" spans="1:15">
      <c r="A61" t="s">
        <v>942</v>
      </c>
      <c r="B61" t="s">
        <v>943</v>
      </c>
      <c r="C61" s="553">
        <v>44217</v>
      </c>
      <c r="D61" s="281" t="s">
        <v>4261</v>
      </c>
      <c r="E61" s="281" t="s">
        <v>2836</v>
      </c>
      <c r="F61" s="281">
        <v>1</v>
      </c>
      <c r="G61" s="281">
        <v>5020000000</v>
      </c>
      <c r="H61" t="s">
        <v>2004</v>
      </c>
      <c r="I61" t="s">
        <v>629</v>
      </c>
      <c r="J61" t="s">
        <v>773</v>
      </c>
      <c r="K61" t="s">
        <v>808</v>
      </c>
      <c r="L61" s="552">
        <v>219</v>
      </c>
      <c r="O61" t="s">
        <v>961</v>
      </c>
    </row>
    <row r="62" spans="1:15">
      <c r="A62" t="s">
        <v>942</v>
      </c>
      <c r="B62" t="s">
        <v>943</v>
      </c>
      <c r="C62" s="553">
        <v>44217</v>
      </c>
      <c r="D62" s="281" t="s">
        <v>4261</v>
      </c>
      <c r="E62" s="281" t="s">
        <v>2836</v>
      </c>
      <c r="F62" s="281">
        <v>1</v>
      </c>
      <c r="G62" s="281">
        <v>5020000000</v>
      </c>
      <c r="H62" t="s">
        <v>1997</v>
      </c>
      <c r="I62" t="s">
        <v>642</v>
      </c>
      <c r="J62" t="s">
        <v>773</v>
      </c>
      <c r="K62" t="s">
        <v>808</v>
      </c>
      <c r="L62" s="552">
        <v>1960</v>
      </c>
      <c r="O62" t="s">
        <v>961</v>
      </c>
    </row>
    <row r="63" spans="1:15">
      <c r="A63" t="s">
        <v>942</v>
      </c>
      <c r="B63" t="s">
        <v>943</v>
      </c>
      <c r="C63" s="553">
        <v>44217</v>
      </c>
      <c r="D63" s="281" t="s">
        <v>4261</v>
      </c>
      <c r="E63" s="281" t="s">
        <v>2836</v>
      </c>
      <c r="F63" s="281">
        <v>1</v>
      </c>
      <c r="G63" s="281">
        <v>5020000000</v>
      </c>
      <c r="H63" t="s">
        <v>1998</v>
      </c>
      <c r="I63" t="s">
        <v>633</v>
      </c>
      <c r="J63" t="s">
        <v>773</v>
      </c>
      <c r="K63" t="s">
        <v>808</v>
      </c>
      <c r="L63" s="552">
        <v>300</v>
      </c>
      <c r="O63" t="s">
        <v>961</v>
      </c>
    </row>
    <row r="64" spans="1:15">
      <c r="A64" t="s">
        <v>942</v>
      </c>
      <c r="B64" t="s">
        <v>943</v>
      </c>
      <c r="C64" s="553">
        <v>44218</v>
      </c>
      <c r="D64" s="281" t="s">
        <v>4262</v>
      </c>
      <c r="E64" s="281" t="s">
        <v>2810</v>
      </c>
      <c r="F64" s="281">
        <v>4</v>
      </c>
      <c r="G64" s="281">
        <v>5020000000</v>
      </c>
      <c r="H64" t="s">
        <v>2034</v>
      </c>
      <c r="I64" t="s">
        <v>581</v>
      </c>
      <c r="J64" t="s">
        <v>810</v>
      </c>
      <c r="K64" t="s">
        <v>811</v>
      </c>
      <c r="L64" s="552">
        <v>22550.49</v>
      </c>
      <c r="O64" t="s">
        <v>971</v>
      </c>
    </row>
    <row r="65" spans="1:15">
      <c r="A65" t="s">
        <v>942</v>
      </c>
      <c r="B65" t="s">
        <v>943</v>
      </c>
      <c r="C65" s="553">
        <v>44221</v>
      </c>
      <c r="D65" s="281" t="s">
        <v>4263</v>
      </c>
      <c r="E65" s="281" t="s">
        <v>2825</v>
      </c>
      <c r="F65" s="281">
        <v>1</v>
      </c>
      <c r="G65" s="281">
        <v>5020000000</v>
      </c>
      <c r="H65" t="s">
        <v>2005</v>
      </c>
      <c r="I65" t="s">
        <v>678</v>
      </c>
      <c r="J65" t="s">
        <v>818</v>
      </c>
      <c r="K65" t="s">
        <v>819</v>
      </c>
      <c r="L65" s="552">
        <v>7800</v>
      </c>
      <c r="O65" t="s">
        <v>961</v>
      </c>
    </row>
    <row r="66" spans="1:15">
      <c r="A66" t="s">
        <v>942</v>
      </c>
      <c r="B66" t="s">
        <v>943</v>
      </c>
      <c r="C66" s="553">
        <v>44221</v>
      </c>
      <c r="D66" s="281" t="s">
        <v>4264</v>
      </c>
      <c r="E66" s="281" t="s">
        <v>2814</v>
      </c>
      <c r="F66" s="281">
        <v>1</v>
      </c>
      <c r="G66" s="281">
        <v>5020000000</v>
      </c>
      <c r="H66" t="s">
        <v>2005</v>
      </c>
      <c r="I66" t="s">
        <v>678</v>
      </c>
      <c r="J66" t="s">
        <v>820</v>
      </c>
      <c r="K66" t="s">
        <v>819</v>
      </c>
      <c r="L66" s="552">
        <v>7800</v>
      </c>
      <c r="O66" t="s">
        <v>961</v>
      </c>
    </row>
    <row r="67" spans="1:15">
      <c r="A67" t="s">
        <v>942</v>
      </c>
      <c r="B67" t="s">
        <v>943</v>
      </c>
      <c r="C67" s="553">
        <v>44221</v>
      </c>
      <c r="D67" s="281" t="s">
        <v>4265</v>
      </c>
      <c r="E67" s="281" t="s">
        <v>2817</v>
      </c>
      <c r="F67" s="281">
        <v>1</v>
      </c>
      <c r="G67" s="281">
        <v>5020000000</v>
      </c>
      <c r="H67" t="s">
        <v>2005</v>
      </c>
      <c r="I67" t="s">
        <v>678</v>
      </c>
      <c r="J67" t="s">
        <v>821</v>
      </c>
      <c r="K67" t="s">
        <v>819</v>
      </c>
      <c r="L67" s="552">
        <v>7800</v>
      </c>
      <c r="O67" t="s">
        <v>961</v>
      </c>
    </row>
    <row r="68" spans="1:15">
      <c r="A68" t="s">
        <v>942</v>
      </c>
      <c r="B68" t="s">
        <v>943</v>
      </c>
      <c r="C68" s="553">
        <v>44221</v>
      </c>
      <c r="D68" s="281" t="s">
        <v>4266</v>
      </c>
      <c r="E68" s="281" t="s">
        <v>2819</v>
      </c>
      <c r="F68" s="281">
        <v>1</v>
      </c>
      <c r="G68" s="281">
        <v>5020000000</v>
      </c>
      <c r="H68" t="s">
        <v>2005</v>
      </c>
      <c r="I68" t="s">
        <v>678</v>
      </c>
      <c r="J68" t="s">
        <v>822</v>
      </c>
      <c r="K68" t="s">
        <v>819</v>
      </c>
      <c r="L68" s="552">
        <v>7800</v>
      </c>
      <c r="O68" t="s">
        <v>961</v>
      </c>
    </row>
    <row r="69" spans="1:15">
      <c r="A69" t="s">
        <v>942</v>
      </c>
      <c r="B69" t="s">
        <v>943</v>
      </c>
      <c r="C69" s="553">
        <v>44221</v>
      </c>
      <c r="D69" s="281" t="s">
        <v>4267</v>
      </c>
      <c r="E69" s="281" t="s">
        <v>2822</v>
      </c>
      <c r="F69" s="281">
        <v>1</v>
      </c>
      <c r="G69" s="281">
        <v>5020000000</v>
      </c>
      <c r="H69" t="s">
        <v>2005</v>
      </c>
      <c r="I69" t="s">
        <v>678</v>
      </c>
      <c r="J69" t="s">
        <v>823</v>
      </c>
      <c r="K69" t="s">
        <v>819</v>
      </c>
      <c r="L69" s="552">
        <v>7800</v>
      </c>
      <c r="O69" t="s">
        <v>961</v>
      </c>
    </row>
    <row r="70" spans="1:15">
      <c r="A70" t="s">
        <v>942</v>
      </c>
      <c r="B70" t="s">
        <v>943</v>
      </c>
      <c r="C70" s="553">
        <v>44222</v>
      </c>
      <c r="D70" s="281" t="s">
        <v>4268</v>
      </c>
      <c r="E70" s="281" t="s">
        <v>2670</v>
      </c>
      <c r="F70" s="281">
        <v>10</v>
      </c>
      <c r="G70" s="281">
        <v>5060000000</v>
      </c>
      <c r="H70" t="s">
        <v>2006</v>
      </c>
      <c r="I70" t="s">
        <v>651</v>
      </c>
      <c r="J70" t="s">
        <v>830</v>
      </c>
      <c r="K70" t="s">
        <v>831</v>
      </c>
      <c r="L70" s="552">
        <v>59500</v>
      </c>
      <c r="O70" t="s">
        <v>984</v>
      </c>
    </row>
    <row r="71" spans="1:15">
      <c r="A71" t="s">
        <v>942</v>
      </c>
      <c r="B71" t="s">
        <v>943</v>
      </c>
      <c r="C71" s="553">
        <v>44222</v>
      </c>
      <c r="D71" s="281" t="s">
        <v>4269</v>
      </c>
      <c r="E71" s="281" t="s">
        <v>2858</v>
      </c>
      <c r="F71" s="281">
        <v>1</v>
      </c>
      <c r="G71" s="281">
        <v>5010000000</v>
      </c>
      <c r="H71" t="s">
        <v>2026</v>
      </c>
      <c r="I71" t="s">
        <v>499</v>
      </c>
      <c r="J71" t="s">
        <v>833</v>
      </c>
      <c r="K71" t="s">
        <v>834</v>
      </c>
      <c r="L71" s="552">
        <v>14112.73</v>
      </c>
      <c r="O71" t="s">
        <v>960</v>
      </c>
    </row>
    <row r="72" spans="1:15">
      <c r="A72" t="s">
        <v>942</v>
      </c>
      <c r="B72" t="s">
        <v>943</v>
      </c>
      <c r="C72" s="553">
        <v>44222</v>
      </c>
      <c r="D72" s="281" t="s">
        <v>4269</v>
      </c>
      <c r="E72" s="281" t="s">
        <v>2858</v>
      </c>
      <c r="F72" s="281">
        <v>1</v>
      </c>
      <c r="G72" s="281">
        <v>5010000000</v>
      </c>
      <c r="H72" t="s">
        <v>2027</v>
      </c>
      <c r="I72" t="s">
        <v>504</v>
      </c>
      <c r="J72" t="s">
        <v>833</v>
      </c>
      <c r="K72" t="s">
        <v>834</v>
      </c>
      <c r="L72" s="552">
        <v>1818.18</v>
      </c>
      <c r="O72" t="s">
        <v>960</v>
      </c>
    </row>
    <row r="73" spans="1:15">
      <c r="A73" t="s">
        <v>942</v>
      </c>
      <c r="B73" t="s">
        <v>943</v>
      </c>
      <c r="C73" s="553">
        <v>44222</v>
      </c>
      <c r="D73" s="281" t="s">
        <v>4269</v>
      </c>
      <c r="E73" s="281" t="s">
        <v>2858</v>
      </c>
      <c r="F73" s="281">
        <v>1</v>
      </c>
      <c r="G73" s="281">
        <v>5010301000</v>
      </c>
      <c r="H73" t="s">
        <v>2028</v>
      </c>
      <c r="I73" t="s">
        <v>528</v>
      </c>
      <c r="J73" t="s">
        <v>833</v>
      </c>
      <c r="K73" t="s">
        <v>834</v>
      </c>
      <c r="L73" s="552">
        <v>1682.6</v>
      </c>
      <c r="O73" t="s">
        <v>962</v>
      </c>
    </row>
    <row r="74" spans="1:15">
      <c r="A74" t="s">
        <v>942</v>
      </c>
      <c r="B74" t="s">
        <v>943</v>
      </c>
      <c r="C74" s="553">
        <v>44222</v>
      </c>
      <c r="D74" s="281" t="s">
        <v>4269</v>
      </c>
      <c r="E74" s="281" t="s">
        <v>2858</v>
      </c>
      <c r="F74" s="281">
        <v>1</v>
      </c>
      <c r="G74" s="281">
        <v>5010000000</v>
      </c>
      <c r="H74" t="s">
        <v>2029</v>
      </c>
      <c r="I74" t="s">
        <v>530</v>
      </c>
      <c r="J74" t="s">
        <v>833</v>
      </c>
      <c r="K74" t="s">
        <v>834</v>
      </c>
      <c r="L74" s="552">
        <v>100</v>
      </c>
      <c r="O74" t="s">
        <v>960</v>
      </c>
    </row>
    <row r="75" spans="1:15">
      <c r="A75" t="s">
        <v>942</v>
      </c>
      <c r="B75" t="s">
        <v>943</v>
      </c>
      <c r="C75" s="553">
        <v>44222</v>
      </c>
      <c r="D75" s="281" t="s">
        <v>4269</v>
      </c>
      <c r="E75" s="281" t="s">
        <v>2858</v>
      </c>
      <c r="F75" s="281">
        <v>1</v>
      </c>
      <c r="G75" s="281">
        <v>5010000000</v>
      </c>
      <c r="H75" t="s">
        <v>2030</v>
      </c>
      <c r="I75" t="s">
        <v>532</v>
      </c>
      <c r="J75" t="s">
        <v>833</v>
      </c>
      <c r="K75" t="s">
        <v>834</v>
      </c>
      <c r="L75" s="552">
        <v>232.86</v>
      </c>
      <c r="O75" t="s">
        <v>960</v>
      </c>
    </row>
    <row r="76" spans="1:15">
      <c r="A76" t="s">
        <v>942</v>
      </c>
      <c r="B76" t="s">
        <v>943</v>
      </c>
      <c r="C76" s="553">
        <v>44222</v>
      </c>
      <c r="D76" s="281" t="s">
        <v>4269</v>
      </c>
      <c r="E76" s="281" t="s">
        <v>2858</v>
      </c>
      <c r="F76" s="281">
        <v>1</v>
      </c>
      <c r="G76" s="281">
        <v>5010000000</v>
      </c>
      <c r="H76" t="s">
        <v>2031</v>
      </c>
      <c r="I76" t="s">
        <v>534</v>
      </c>
      <c r="J76" t="s">
        <v>833</v>
      </c>
      <c r="K76" t="s">
        <v>834</v>
      </c>
      <c r="L76" s="552">
        <v>100</v>
      </c>
      <c r="O76" t="s">
        <v>960</v>
      </c>
    </row>
    <row r="77" spans="1:15">
      <c r="A77" t="s">
        <v>942</v>
      </c>
      <c r="B77" t="s">
        <v>943</v>
      </c>
      <c r="C77" s="553">
        <v>44223</v>
      </c>
      <c r="D77" s="281" t="s">
        <v>4270</v>
      </c>
      <c r="E77" s="281" t="s">
        <v>2919</v>
      </c>
      <c r="F77" s="281">
        <v>1</v>
      </c>
      <c r="G77" s="281">
        <v>5020000000</v>
      </c>
      <c r="H77" t="s">
        <v>2035</v>
      </c>
      <c r="I77" t="s">
        <v>596</v>
      </c>
      <c r="J77" t="s">
        <v>836</v>
      </c>
      <c r="K77" t="s">
        <v>837</v>
      </c>
      <c r="L77" s="552">
        <v>3675</v>
      </c>
      <c r="O77" t="s">
        <v>961</v>
      </c>
    </row>
    <row r="78" spans="1:15">
      <c r="A78" t="s">
        <v>942</v>
      </c>
      <c r="B78" t="s">
        <v>943</v>
      </c>
      <c r="C78" s="553">
        <v>44223</v>
      </c>
      <c r="D78" s="281" t="s">
        <v>4271</v>
      </c>
      <c r="E78" s="281" t="s">
        <v>2915</v>
      </c>
      <c r="F78" s="281">
        <v>1</v>
      </c>
      <c r="G78" s="281">
        <v>5020000000</v>
      </c>
      <c r="H78" t="s">
        <v>2035</v>
      </c>
      <c r="I78" t="s">
        <v>596</v>
      </c>
      <c r="J78" t="s">
        <v>839</v>
      </c>
      <c r="K78" t="s">
        <v>840</v>
      </c>
      <c r="L78" s="552">
        <v>10895.41</v>
      </c>
      <c r="O78" t="s">
        <v>961</v>
      </c>
    </row>
    <row r="79" spans="1:15">
      <c r="A79" t="s">
        <v>942</v>
      </c>
      <c r="B79" t="s">
        <v>943</v>
      </c>
      <c r="C79" s="553">
        <v>44223</v>
      </c>
      <c r="D79" s="281" t="s">
        <v>4272</v>
      </c>
      <c r="E79" s="281" t="s">
        <v>2672</v>
      </c>
      <c r="F79" s="281">
        <v>1</v>
      </c>
      <c r="G79" s="281">
        <v>5020000000</v>
      </c>
      <c r="H79" t="s">
        <v>1997</v>
      </c>
      <c r="I79" t="s">
        <v>642</v>
      </c>
      <c r="J79" t="s">
        <v>843</v>
      </c>
      <c r="K79" t="s">
        <v>855</v>
      </c>
      <c r="L79" s="552">
        <v>2480</v>
      </c>
      <c r="O79" t="s">
        <v>961</v>
      </c>
    </row>
    <row r="80" spans="1:15">
      <c r="A80" t="s">
        <v>942</v>
      </c>
      <c r="B80" t="s">
        <v>943</v>
      </c>
      <c r="C80" s="553">
        <v>44223</v>
      </c>
      <c r="D80" s="281" t="s">
        <v>4272</v>
      </c>
      <c r="E80" s="281" t="s">
        <v>2672</v>
      </c>
      <c r="F80" s="281">
        <v>1</v>
      </c>
      <c r="G80" s="281">
        <v>5020000000</v>
      </c>
      <c r="H80" t="s">
        <v>2007</v>
      </c>
      <c r="I80" t="s">
        <v>638</v>
      </c>
      <c r="J80" t="s">
        <v>843</v>
      </c>
      <c r="K80" t="s">
        <v>855</v>
      </c>
      <c r="L80" s="552">
        <v>7600</v>
      </c>
      <c r="O80" t="s">
        <v>961</v>
      </c>
    </row>
    <row r="81" spans="1:15">
      <c r="A81" t="s">
        <v>942</v>
      </c>
      <c r="B81" t="s">
        <v>943</v>
      </c>
      <c r="C81" s="553">
        <v>44223</v>
      </c>
      <c r="D81" s="281" t="s">
        <v>4272</v>
      </c>
      <c r="E81" s="281" t="s">
        <v>2672</v>
      </c>
      <c r="F81" s="281">
        <v>1</v>
      </c>
      <c r="G81" s="281">
        <v>5020000000</v>
      </c>
      <c r="H81" t="s">
        <v>1998</v>
      </c>
      <c r="I81" t="s">
        <v>633</v>
      </c>
      <c r="J81" t="s">
        <v>843</v>
      </c>
      <c r="K81" t="s">
        <v>855</v>
      </c>
      <c r="L81" s="552">
        <v>4000</v>
      </c>
      <c r="O81" t="s">
        <v>961</v>
      </c>
    </row>
    <row r="82" spans="1:15">
      <c r="A82" t="s">
        <v>942</v>
      </c>
      <c r="B82" t="s">
        <v>943</v>
      </c>
      <c r="C82" s="553">
        <v>44223</v>
      </c>
      <c r="D82" s="281" t="s">
        <v>4273</v>
      </c>
      <c r="E82" s="281" t="s">
        <v>2922</v>
      </c>
      <c r="F82" s="281">
        <v>1</v>
      </c>
      <c r="G82" s="281">
        <v>5020000000</v>
      </c>
      <c r="H82" t="s">
        <v>1999</v>
      </c>
      <c r="I82" t="s">
        <v>672</v>
      </c>
      <c r="J82" t="s">
        <v>847</v>
      </c>
      <c r="K82" t="s">
        <v>848</v>
      </c>
      <c r="L82" s="552">
        <v>1880</v>
      </c>
      <c r="O82" t="s">
        <v>961</v>
      </c>
    </row>
    <row r="83" spans="1:15">
      <c r="A83" t="s">
        <v>942</v>
      </c>
      <c r="B83" t="s">
        <v>943</v>
      </c>
      <c r="C83" s="553">
        <v>44224</v>
      </c>
      <c r="D83" s="281" t="s">
        <v>4274</v>
      </c>
      <c r="E83" s="281" t="s">
        <v>2911</v>
      </c>
      <c r="F83" s="281">
        <v>1</v>
      </c>
      <c r="G83" s="281">
        <v>5020000000</v>
      </c>
      <c r="H83" t="s">
        <v>2000</v>
      </c>
      <c r="I83" t="s">
        <v>683</v>
      </c>
      <c r="J83" t="s">
        <v>852</v>
      </c>
      <c r="K83" t="s">
        <v>853</v>
      </c>
      <c r="L83" s="552">
        <v>0</v>
      </c>
      <c r="O83" t="s">
        <v>961</v>
      </c>
    </row>
    <row r="84" spans="1:15">
      <c r="A84" t="s">
        <v>942</v>
      </c>
      <c r="B84" t="s">
        <v>943</v>
      </c>
      <c r="C84" s="553">
        <v>44224</v>
      </c>
      <c r="D84" s="281" t="s">
        <v>4275</v>
      </c>
      <c r="E84" s="281" t="s">
        <v>2671</v>
      </c>
      <c r="F84" s="281">
        <v>1</v>
      </c>
      <c r="G84" s="281">
        <v>5020000000</v>
      </c>
      <c r="H84" t="s">
        <v>2004</v>
      </c>
      <c r="I84" t="s">
        <v>629</v>
      </c>
      <c r="J84" t="s">
        <v>843</v>
      </c>
      <c r="K84" t="s">
        <v>855</v>
      </c>
      <c r="L84" s="552">
        <v>5534</v>
      </c>
      <c r="O84" t="s">
        <v>961</v>
      </c>
    </row>
    <row r="85" spans="1:15">
      <c r="A85" t="s">
        <v>942</v>
      </c>
      <c r="B85" t="s">
        <v>943</v>
      </c>
      <c r="C85" s="553">
        <v>44224</v>
      </c>
      <c r="D85" s="281" t="s">
        <v>4275</v>
      </c>
      <c r="E85" s="281" t="s">
        <v>2671</v>
      </c>
      <c r="F85" s="281">
        <v>1</v>
      </c>
      <c r="G85" s="281">
        <v>5020000000</v>
      </c>
      <c r="H85" t="s">
        <v>1997</v>
      </c>
      <c r="I85" t="s">
        <v>642</v>
      </c>
      <c r="J85" t="s">
        <v>843</v>
      </c>
      <c r="K85" t="s">
        <v>855</v>
      </c>
      <c r="L85" s="552">
        <v>4527.82</v>
      </c>
      <c r="O85" t="s">
        <v>961</v>
      </c>
    </row>
    <row r="86" spans="1:15">
      <c r="A86" t="s">
        <v>942</v>
      </c>
      <c r="B86" t="s">
        <v>943</v>
      </c>
      <c r="C86" s="553">
        <v>44224</v>
      </c>
      <c r="D86" s="281" t="s">
        <v>4275</v>
      </c>
      <c r="E86" s="281" t="s">
        <v>2671</v>
      </c>
      <c r="F86" s="281">
        <v>10</v>
      </c>
      <c r="G86" s="281">
        <v>5020000000</v>
      </c>
      <c r="H86" t="s">
        <v>1998</v>
      </c>
      <c r="I86" t="s">
        <v>633</v>
      </c>
      <c r="J86" t="s">
        <v>843</v>
      </c>
      <c r="K86" t="s">
        <v>855</v>
      </c>
      <c r="L86" s="552">
        <v>10000</v>
      </c>
      <c r="O86" t="s">
        <v>983</v>
      </c>
    </row>
    <row r="87" spans="1:15">
      <c r="A87" t="s">
        <v>942</v>
      </c>
      <c r="B87" t="s">
        <v>943</v>
      </c>
      <c r="C87" s="553">
        <v>44224</v>
      </c>
      <c r="D87" s="281" t="s">
        <v>4276</v>
      </c>
      <c r="E87" s="281" t="s">
        <v>2905</v>
      </c>
      <c r="F87" s="281">
        <v>9</v>
      </c>
      <c r="G87" s="281">
        <v>5020000000</v>
      </c>
      <c r="H87" t="s">
        <v>1998</v>
      </c>
      <c r="I87" t="s">
        <v>633</v>
      </c>
      <c r="J87" t="s">
        <v>843</v>
      </c>
      <c r="K87" t="s">
        <v>855</v>
      </c>
      <c r="L87" s="552">
        <v>11158</v>
      </c>
      <c r="O87" t="s">
        <v>982</v>
      </c>
    </row>
    <row r="88" spans="1:15">
      <c r="A88" t="s">
        <v>942</v>
      </c>
      <c r="B88" t="s">
        <v>943</v>
      </c>
      <c r="C88" s="553">
        <v>44224</v>
      </c>
      <c r="D88" s="281" t="s">
        <v>4276</v>
      </c>
      <c r="E88" s="281" t="s">
        <v>2905</v>
      </c>
      <c r="F88" s="281">
        <v>11</v>
      </c>
      <c r="G88" s="281">
        <v>5020000000</v>
      </c>
      <c r="H88" t="s">
        <v>1998</v>
      </c>
      <c r="I88" t="s">
        <v>633</v>
      </c>
      <c r="J88" t="s">
        <v>843</v>
      </c>
      <c r="K88" t="s">
        <v>855</v>
      </c>
      <c r="L88" s="552">
        <v>11158</v>
      </c>
      <c r="O88" t="s">
        <v>985</v>
      </c>
    </row>
    <row r="89" spans="1:15">
      <c r="A89" t="s">
        <v>942</v>
      </c>
      <c r="B89" t="s">
        <v>943</v>
      </c>
      <c r="C89" s="553">
        <v>44224</v>
      </c>
      <c r="D89" s="281" t="s">
        <v>4276</v>
      </c>
      <c r="E89" s="281" t="s">
        <v>2905</v>
      </c>
      <c r="F89" s="281">
        <v>8</v>
      </c>
      <c r="G89" s="281">
        <v>5020000000</v>
      </c>
      <c r="H89" t="s">
        <v>1998</v>
      </c>
      <c r="I89" t="s">
        <v>633</v>
      </c>
      <c r="J89" t="s">
        <v>843</v>
      </c>
      <c r="K89" t="s">
        <v>855</v>
      </c>
      <c r="L89" s="552">
        <v>11158</v>
      </c>
      <c r="O89" t="s">
        <v>980</v>
      </c>
    </row>
    <row r="90" spans="1:15">
      <c r="A90" t="s">
        <v>942</v>
      </c>
      <c r="B90" t="s">
        <v>943</v>
      </c>
      <c r="C90" s="553">
        <v>44224</v>
      </c>
      <c r="D90" s="281" t="s">
        <v>4277</v>
      </c>
      <c r="E90" s="281" t="s">
        <v>4214</v>
      </c>
      <c r="F90" s="281">
        <v>1</v>
      </c>
      <c r="G90" s="281">
        <v>5020000000</v>
      </c>
      <c r="H90" t="s">
        <v>2032</v>
      </c>
      <c r="I90" t="s">
        <v>565</v>
      </c>
      <c r="J90" t="s">
        <v>859</v>
      </c>
      <c r="K90" t="s">
        <v>860</v>
      </c>
      <c r="L90" s="552">
        <v>0</v>
      </c>
      <c r="O90" t="s">
        <v>961</v>
      </c>
    </row>
    <row r="91" spans="1:15">
      <c r="A91" t="s">
        <v>942</v>
      </c>
      <c r="B91" t="s">
        <v>943</v>
      </c>
      <c r="C91" s="553">
        <v>44224</v>
      </c>
      <c r="D91" s="281" t="s">
        <v>4278</v>
      </c>
      <c r="E91" s="281" t="s">
        <v>2954</v>
      </c>
      <c r="F91" s="281">
        <v>13</v>
      </c>
      <c r="G91" s="281" t="s">
        <v>2036</v>
      </c>
      <c r="H91" t="s">
        <v>2036</v>
      </c>
      <c r="I91" t="s">
        <v>501</v>
      </c>
      <c r="J91" t="s">
        <v>863</v>
      </c>
      <c r="K91" t="s">
        <v>864</v>
      </c>
      <c r="L91" s="552">
        <v>43681</v>
      </c>
      <c r="O91" t="s">
        <v>999</v>
      </c>
    </row>
    <row r="92" spans="1:15">
      <c r="A92" t="s">
        <v>942</v>
      </c>
      <c r="B92" t="s">
        <v>943</v>
      </c>
      <c r="C92" s="553">
        <v>44224</v>
      </c>
      <c r="D92" s="281" t="s">
        <v>4278</v>
      </c>
      <c r="E92" s="281" t="s">
        <v>2954</v>
      </c>
      <c r="F92" s="281">
        <v>13</v>
      </c>
      <c r="G92" s="281" t="s">
        <v>2036</v>
      </c>
      <c r="H92" t="s">
        <v>2027</v>
      </c>
      <c r="I92" t="s">
        <v>504</v>
      </c>
      <c r="J92" t="s">
        <v>863</v>
      </c>
      <c r="K92" t="s">
        <v>864</v>
      </c>
      <c r="L92" s="552">
        <v>2000</v>
      </c>
      <c r="O92" t="s">
        <v>999</v>
      </c>
    </row>
    <row r="93" spans="1:15">
      <c r="A93" t="s">
        <v>942</v>
      </c>
      <c r="B93" t="s">
        <v>943</v>
      </c>
      <c r="C93" s="553">
        <v>44224</v>
      </c>
      <c r="D93" s="281" t="s">
        <v>4278</v>
      </c>
      <c r="E93" s="281" t="s">
        <v>2954</v>
      </c>
      <c r="F93" s="281">
        <v>13</v>
      </c>
      <c r="G93" s="281" t="s">
        <v>2036</v>
      </c>
      <c r="H93" t="s">
        <v>2028</v>
      </c>
      <c r="I93" t="s">
        <v>528</v>
      </c>
      <c r="J93" t="s">
        <v>863</v>
      </c>
      <c r="K93" t="s">
        <v>864</v>
      </c>
      <c r="L93" s="552">
        <v>5241.72</v>
      </c>
      <c r="O93" t="s">
        <v>999</v>
      </c>
    </row>
    <row r="94" spans="1:15">
      <c r="A94" t="s">
        <v>942</v>
      </c>
      <c r="B94" t="s">
        <v>943</v>
      </c>
      <c r="C94" s="553">
        <v>44224</v>
      </c>
      <c r="D94" s="281" t="s">
        <v>4278</v>
      </c>
      <c r="E94" s="281" t="s">
        <v>2954</v>
      </c>
      <c r="F94" s="281">
        <v>13</v>
      </c>
      <c r="G94" s="281" t="s">
        <v>2036</v>
      </c>
      <c r="H94" t="s">
        <v>2029</v>
      </c>
      <c r="I94" t="s">
        <v>530</v>
      </c>
      <c r="J94" t="s">
        <v>863</v>
      </c>
      <c r="K94" t="s">
        <v>864</v>
      </c>
      <c r="L94" s="552">
        <v>100</v>
      </c>
      <c r="O94" t="s">
        <v>999</v>
      </c>
    </row>
    <row r="95" spans="1:15">
      <c r="A95" t="s">
        <v>942</v>
      </c>
      <c r="B95" t="s">
        <v>943</v>
      </c>
      <c r="C95" s="553">
        <v>44224</v>
      </c>
      <c r="D95" s="281" t="s">
        <v>4278</v>
      </c>
      <c r="E95" s="281" t="s">
        <v>2954</v>
      </c>
      <c r="F95" s="281">
        <v>13</v>
      </c>
      <c r="G95" s="281" t="s">
        <v>2036</v>
      </c>
      <c r="H95" t="s">
        <v>2030</v>
      </c>
      <c r="I95" t="s">
        <v>532</v>
      </c>
      <c r="J95" t="s">
        <v>863</v>
      </c>
      <c r="K95" t="s">
        <v>864</v>
      </c>
      <c r="L95" s="552">
        <v>655.22</v>
      </c>
      <c r="O95" t="s">
        <v>999</v>
      </c>
    </row>
    <row r="96" spans="1:15">
      <c r="A96" t="s">
        <v>942</v>
      </c>
      <c r="B96" t="s">
        <v>943</v>
      </c>
      <c r="C96" s="553">
        <v>44224</v>
      </c>
      <c r="D96" s="281" t="s">
        <v>4278</v>
      </c>
      <c r="E96" s="281" t="s">
        <v>2954</v>
      </c>
      <c r="F96" s="281">
        <v>13</v>
      </c>
      <c r="G96" s="281" t="s">
        <v>2036</v>
      </c>
      <c r="H96" t="s">
        <v>2031</v>
      </c>
      <c r="I96" t="s">
        <v>534</v>
      </c>
      <c r="J96" t="s">
        <v>863</v>
      </c>
      <c r="K96" t="s">
        <v>864</v>
      </c>
      <c r="L96" s="552">
        <v>100</v>
      </c>
      <c r="O96" t="s">
        <v>999</v>
      </c>
    </row>
    <row r="97" spans="1:15">
      <c r="A97" t="s">
        <v>942</v>
      </c>
      <c r="B97" t="s">
        <v>943</v>
      </c>
      <c r="C97" s="553">
        <v>44224</v>
      </c>
      <c r="D97" s="281" t="s">
        <v>4279</v>
      </c>
      <c r="E97" s="281" t="s">
        <v>2958</v>
      </c>
      <c r="F97" s="281">
        <v>13</v>
      </c>
      <c r="G97" s="281" t="s">
        <v>2036</v>
      </c>
      <c r="H97" t="s">
        <v>2036</v>
      </c>
      <c r="I97" t="s">
        <v>501</v>
      </c>
      <c r="J97" t="s">
        <v>789</v>
      </c>
      <c r="K97" t="s">
        <v>864</v>
      </c>
      <c r="L97" s="552">
        <v>77256</v>
      </c>
      <c r="O97" t="s">
        <v>999</v>
      </c>
    </row>
    <row r="98" spans="1:15">
      <c r="A98" t="s">
        <v>942</v>
      </c>
      <c r="B98" t="s">
        <v>943</v>
      </c>
      <c r="C98" s="553">
        <v>44224</v>
      </c>
      <c r="D98" s="281" t="s">
        <v>4279</v>
      </c>
      <c r="E98" s="281" t="s">
        <v>2958</v>
      </c>
      <c r="F98" s="281">
        <v>13</v>
      </c>
      <c r="G98" s="281" t="s">
        <v>2036</v>
      </c>
      <c r="H98" t="s">
        <v>2027</v>
      </c>
      <c r="I98" t="s">
        <v>504</v>
      </c>
      <c r="J98" t="s">
        <v>789</v>
      </c>
      <c r="K98" t="s">
        <v>864</v>
      </c>
      <c r="L98" s="552">
        <v>4000</v>
      </c>
      <c r="O98" t="s">
        <v>999</v>
      </c>
    </row>
    <row r="99" spans="1:15">
      <c r="A99" t="s">
        <v>942</v>
      </c>
      <c r="B99" t="s">
        <v>943</v>
      </c>
      <c r="C99" s="553">
        <v>44224</v>
      </c>
      <c r="D99" s="281" t="s">
        <v>4279</v>
      </c>
      <c r="E99" s="281" t="s">
        <v>2958</v>
      </c>
      <c r="F99" s="281">
        <v>13</v>
      </c>
      <c r="G99" s="281" t="s">
        <v>2036</v>
      </c>
      <c r="H99" t="s">
        <v>2028</v>
      </c>
      <c r="I99" t="s">
        <v>528</v>
      </c>
      <c r="J99" t="s">
        <v>789</v>
      </c>
      <c r="K99" t="s">
        <v>864</v>
      </c>
      <c r="L99" s="552">
        <v>9270.7199999999993</v>
      </c>
      <c r="O99" t="s">
        <v>999</v>
      </c>
    </row>
    <row r="100" spans="1:15">
      <c r="A100" t="s">
        <v>942</v>
      </c>
      <c r="B100" t="s">
        <v>943</v>
      </c>
      <c r="C100" s="553">
        <v>44224</v>
      </c>
      <c r="D100" s="281" t="s">
        <v>4279</v>
      </c>
      <c r="E100" s="281" t="s">
        <v>2958</v>
      </c>
      <c r="F100" s="281">
        <v>13</v>
      </c>
      <c r="G100" s="28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2">
        <v>200</v>
      </c>
      <c r="O100" t="s">
        <v>999</v>
      </c>
    </row>
    <row r="101" spans="1:15">
      <c r="A101" t="s">
        <v>942</v>
      </c>
      <c r="B101" t="s">
        <v>943</v>
      </c>
      <c r="C101" s="553">
        <v>44224</v>
      </c>
      <c r="D101" s="281" t="s">
        <v>4279</v>
      </c>
      <c r="E101" s="281" t="s">
        <v>2958</v>
      </c>
      <c r="F101" s="281">
        <v>13</v>
      </c>
      <c r="G101" s="28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2">
        <v>1158.8499999999999</v>
      </c>
      <c r="O101" t="s">
        <v>999</v>
      </c>
    </row>
    <row r="102" spans="1:15">
      <c r="A102" t="s">
        <v>942</v>
      </c>
      <c r="B102" t="s">
        <v>943</v>
      </c>
      <c r="C102" s="553">
        <v>44224</v>
      </c>
      <c r="D102" s="281" t="s">
        <v>4279</v>
      </c>
      <c r="E102" s="281" t="s">
        <v>2958</v>
      </c>
      <c r="F102" s="281">
        <v>13</v>
      </c>
      <c r="G102" s="28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2">
        <v>200</v>
      </c>
      <c r="O102" t="s">
        <v>999</v>
      </c>
    </row>
    <row r="103" spans="1:15">
      <c r="A103" t="s">
        <v>942</v>
      </c>
      <c r="B103" t="s">
        <v>943</v>
      </c>
      <c r="C103" s="553">
        <v>44224</v>
      </c>
      <c r="D103" s="281" t="s">
        <v>4280</v>
      </c>
      <c r="E103" s="281" t="s">
        <v>2961</v>
      </c>
      <c r="F103" s="281">
        <v>13</v>
      </c>
      <c r="G103" s="28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2">
        <v>33575</v>
      </c>
      <c r="O103" t="s">
        <v>999</v>
      </c>
    </row>
    <row r="104" spans="1:15">
      <c r="A104" t="s">
        <v>942</v>
      </c>
      <c r="B104" t="s">
        <v>943</v>
      </c>
      <c r="C104" s="553">
        <v>44224</v>
      </c>
      <c r="D104" s="281" t="s">
        <v>4280</v>
      </c>
      <c r="E104" s="281" t="s">
        <v>2961</v>
      </c>
      <c r="F104" s="281">
        <v>13</v>
      </c>
      <c r="G104" s="28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2">
        <v>2000</v>
      </c>
      <c r="O104" t="s">
        <v>999</v>
      </c>
    </row>
    <row r="105" spans="1:15">
      <c r="A105" t="s">
        <v>942</v>
      </c>
      <c r="B105" t="s">
        <v>943</v>
      </c>
      <c r="C105" s="553">
        <v>44224</v>
      </c>
      <c r="D105" s="281" t="s">
        <v>4280</v>
      </c>
      <c r="E105" s="281" t="s">
        <v>2961</v>
      </c>
      <c r="F105" s="281">
        <v>13</v>
      </c>
      <c r="G105" s="28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2">
        <v>4029</v>
      </c>
      <c r="O105" t="s">
        <v>999</v>
      </c>
    </row>
    <row r="106" spans="1:15">
      <c r="A106" t="s">
        <v>942</v>
      </c>
      <c r="B106" t="s">
        <v>943</v>
      </c>
      <c r="C106" s="553">
        <v>44224</v>
      </c>
      <c r="D106" s="281" t="s">
        <v>4280</v>
      </c>
      <c r="E106" s="281" t="s">
        <v>2961</v>
      </c>
      <c r="F106" s="281">
        <v>13</v>
      </c>
      <c r="G106" s="28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2">
        <v>100</v>
      </c>
      <c r="O106" t="s">
        <v>999</v>
      </c>
    </row>
    <row r="107" spans="1:15">
      <c r="A107" t="s">
        <v>942</v>
      </c>
      <c r="B107" t="s">
        <v>943</v>
      </c>
      <c r="C107" s="553">
        <v>44224</v>
      </c>
      <c r="D107" s="281" t="s">
        <v>4280</v>
      </c>
      <c r="E107" s="281" t="s">
        <v>2961</v>
      </c>
      <c r="F107" s="281">
        <v>13</v>
      </c>
      <c r="G107" s="28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2">
        <v>503.63</v>
      </c>
      <c r="O107" t="s">
        <v>999</v>
      </c>
    </row>
    <row r="108" spans="1:15">
      <c r="A108" t="s">
        <v>942</v>
      </c>
      <c r="B108" t="s">
        <v>943</v>
      </c>
      <c r="C108" s="553">
        <v>44224</v>
      </c>
      <c r="D108" s="281" t="s">
        <v>4280</v>
      </c>
      <c r="E108" s="281" t="s">
        <v>2961</v>
      </c>
      <c r="F108" s="281">
        <v>13</v>
      </c>
      <c r="G108" s="28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2">
        <v>100</v>
      </c>
      <c r="O108" t="s">
        <v>999</v>
      </c>
    </row>
    <row r="109" spans="1:15">
      <c r="A109" t="s">
        <v>942</v>
      </c>
      <c r="B109" t="s">
        <v>943</v>
      </c>
      <c r="C109" s="553">
        <v>44224</v>
      </c>
      <c r="D109" s="281" t="s">
        <v>4281</v>
      </c>
      <c r="E109" s="281" t="s">
        <v>2964</v>
      </c>
      <c r="F109" s="281">
        <v>13</v>
      </c>
      <c r="G109" s="28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2">
        <v>33575</v>
      </c>
      <c r="O109" t="s">
        <v>999</v>
      </c>
    </row>
    <row r="110" spans="1:15">
      <c r="A110" t="s">
        <v>942</v>
      </c>
      <c r="B110" t="s">
        <v>943</v>
      </c>
      <c r="C110" s="553">
        <v>44224</v>
      </c>
      <c r="D110" s="281" t="s">
        <v>4281</v>
      </c>
      <c r="E110" s="281" t="s">
        <v>2964</v>
      </c>
      <c r="F110" s="281">
        <v>13</v>
      </c>
      <c r="G110" s="28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2">
        <v>2000</v>
      </c>
      <c r="O110" t="s">
        <v>999</v>
      </c>
    </row>
    <row r="111" spans="1:15">
      <c r="A111" t="s">
        <v>942</v>
      </c>
      <c r="B111" t="s">
        <v>943</v>
      </c>
      <c r="C111" s="553">
        <v>44224</v>
      </c>
      <c r="D111" s="281" t="s">
        <v>4281</v>
      </c>
      <c r="E111" s="281" t="s">
        <v>2964</v>
      </c>
      <c r="F111" s="281">
        <v>13</v>
      </c>
      <c r="G111" s="28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2">
        <v>4029</v>
      </c>
      <c r="O111" t="s">
        <v>999</v>
      </c>
    </row>
    <row r="112" spans="1:15">
      <c r="A112" t="s">
        <v>942</v>
      </c>
      <c r="B112" t="s">
        <v>943</v>
      </c>
      <c r="C112" s="553">
        <v>44224</v>
      </c>
      <c r="D112" s="281" t="s">
        <v>4281</v>
      </c>
      <c r="E112" s="281" t="s">
        <v>2964</v>
      </c>
      <c r="F112" s="281">
        <v>13</v>
      </c>
      <c r="G112" s="28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2">
        <v>100</v>
      </c>
      <c r="O112" t="s">
        <v>999</v>
      </c>
    </row>
    <row r="113" spans="1:15">
      <c r="A113" t="s">
        <v>942</v>
      </c>
      <c r="B113" t="s">
        <v>943</v>
      </c>
      <c r="C113" s="553">
        <v>44224</v>
      </c>
      <c r="D113" s="281" t="s">
        <v>4281</v>
      </c>
      <c r="E113" s="281" t="s">
        <v>2964</v>
      </c>
      <c r="F113" s="281">
        <v>13</v>
      </c>
      <c r="G113" s="28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2">
        <v>503.63</v>
      </c>
      <c r="O113" t="s">
        <v>999</v>
      </c>
    </row>
    <row r="114" spans="1:15">
      <c r="A114" t="s">
        <v>942</v>
      </c>
      <c r="B114" t="s">
        <v>943</v>
      </c>
      <c r="C114" s="553">
        <v>44224</v>
      </c>
      <c r="D114" s="281" t="s">
        <v>4281</v>
      </c>
      <c r="E114" s="281" t="s">
        <v>2964</v>
      </c>
      <c r="F114" s="281">
        <v>13</v>
      </c>
      <c r="G114" s="28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2">
        <v>100</v>
      </c>
      <c r="O114" t="s">
        <v>999</v>
      </c>
    </row>
    <row r="115" spans="1:15">
      <c r="A115" t="s">
        <v>942</v>
      </c>
      <c r="B115" t="s">
        <v>943</v>
      </c>
      <c r="C115" s="553">
        <v>44224</v>
      </c>
      <c r="D115" s="281" t="s">
        <v>4282</v>
      </c>
      <c r="E115" s="281" t="s">
        <v>2966</v>
      </c>
      <c r="F115" s="281">
        <v>13</v>
      </c>
      <c r="G115" s="28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2">
        <v>77256</v>
      </c>
      <c r="O115" t="s">
        <v>999</v>
      </c>
    </row>
    <row r="116" spans="1:15">
      <c r="A116" t="s">
        <v>942</v>
      </c>
      <c r="B116" t="s">
        <v>943</v>
      </c>
      <c r="C116" s="553">
        <v>44224</v>
      </c>
      <c r="D116" s="281" t="s">
        <v>4282</v>
      </c>
      <c r="E116" s="281" t="s">
        <v>2966</v>
      </c>
      <c r="F116" s="281">
        <v>13</v>
      </c>
      <c r="G116" s="28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2">
        <v>4000</v>
      </c>
      <c r="O116" t="s">
        <v>999</v>
      </c>
    </row>
    <row r="117" spans="1:15">
      <c r="A117" t="s">
        <v>942</v>
      </c>
      <c r="B117" t="s">
        <v>943</v>
      </c>
      <c r="C117" s="553">
        <v>44224</v>
      </c>
      <c r="D117" s="281" t="s">
        <v>4282</v>
      </c>
      <c r="E117" s="281" t="s">
        <v>2966</v>
      </c>
      <c r="F117" s="281">
        <v>13</v>
      </c>
      <c r="G117" s="28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2">
        <v>9270.7199999999993</v>
      </c>
      <c r="O117" t="s">
        <v>999</v>
      </c>
    </row>
    <row r="118" spans="1:15">
      <c r="A118" t="s">
        <v>942</v>
      </c>
      <c r="B118" t="s">
        <v>943</v>
      </c>
      <c r="C118" s="553">
        <v>44224</v>
      </c>
      <c r="D118" s="281" t="s">
        <v>4282</v>
      </c>
      <c r="E118" s="281" t="s">
        <v>2966</v>
      </c>
      <c r="F118" s="281">
        <v>13</v>
      </c>
      <c r="G118" s="28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2">
        <v>200</v>
      </c>
      <c r="O118" t="s">
        <v>999</v>
      </c>
    </row>
    <row r="119" spans="1:15">
      <c r="A119" t="s">
        <v>942</v>
      </c>
      <c r="B119" t="s">
        <v>943</v>
      </c>
      <c r="C119" s="553">
        <v>44224</v>
      </c>
      <c r="D119" s="281" t="s">
        <v>4282</v>
      </c>
      <c r="E119" s="281" t="s">
        <v>2966</v>
      </c>
      <c r="F119" s="281">
        <v>13</v>
      </c>
      <c r="G119" s="28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2">
        <v>1158.8499999999999</v>
      </c>
      <c r="O119" t="s">
        <v>999</v>
      </c>
    </row>
    <row r="120" spans="1:15">
      <c r="A120" t="s">
        <v>942</v>
      </c>
      <c r="B120" t="s">
        <v>943</v>
      </c>
      <c r="C120" s="553">
        <v>44224</v>
      </c>
      <c r="D120" s="281" t="s">
        <v>4282</v>
      </c>
      <c r="E120" s="281" t="s">
        <v>2966</v>
      </c>
      <c r="F120" s="281">
        <v>13</v>
      </c>
      <c r="G120" s="28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2">
        <v>200</v>
      </c>
      <c r="O120" t="s">
        <v>999</v>
      </c>
    </row>
    <row r="121" spans="1:15">
      <c r="A121" t="s">
        <v>942</v>
      </c>
      <c r="B121" t="s">
        <v>943</v>
      </c>
      <c r="C121" s="553">
        <v>44224</v>
      </c>
      <c r="D121" s="281" t="s">
        <v>4283</v>
      </c>
      <c r="E121" s="281" t="s">
        <v>2969</v>
      </c>
      <c r="F121" s="281">
        <v>13</v>
      </c>
      <c r="G121" s="28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2">
        <v>33575</v>
      </c>
      <c r="O121" t="s">
        <v>999</v>
      </c>
    </row>
    <row r="122" spans="1:15">
      <c r="A122" t="s">
        <v>942</v>
      </c>
      <c r="B122" t="s">
        <v>943</v>
      </c>
      <c r="C122" s="553">
        <v>44224</v>
      </c>
      <c r="D122" s="281" t="s">
        <v>4283</v>
      </c>
      <c r="E122" s="281" t="s">
        <v>2969</v>
      </c>
      <c r="F122" s="281">
        <v>13</v>
      </c>
      <c r="G122" s="28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2">
        <v>2000</v>
      </c>
      <c r="O122" t="s">
        <v>999</v>
      </c>
    </row>
    <row r="123" spans="1:15">
      <c r="A123" t="s">
        <v>942</v>
      </c>
      <c r="B123" t="s">
        <v>943</v>
      </c>
      <c r="C123" s="553">
        <v>44224</v>
      </c>
      <c r="D123" s="281" t="s">
        <v>4283</v>
      </c>
      <c r="E123" s="281" t="s">
        <v>2969</v>
      </c>
      <c r="F123" s="281">
        <v>13</v>
      </c>
      <c r="G123" s="28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2">
        <v>4029</v>
      </c>
      <c r="O123" t="s">
        <v>999</v>
      </c>
    </row>
    <row r="124" spans="1:15">
      <c r="A124" t="s">
        <v>942</v>
      </c>
      <c r="B124" t="s">
        <v>943</v>
      </c>
      <c r="C124" s="553">
        <v>44224</v>
      </c>
      <c r="D124" s="281" t="s">
        <v>4283</v>
      </c>
      <c r="E124" s="281" t="s">
        <v>2969</v>
      </c>
      <c r="F124" s="281">
        <v>13</v>
      </c>
      <c r="G124" s="28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2">
        <v>100</v>
      </c>
      <c r="O124" t="s">
        <v>999</v>
      </c>
    </row>
    <row r="125" spans="1:15">
      <c r="A125" t="s">
        <v>942</v>
      </c>
      <c r="B125" t="s">
        <v>943</v>
      </c>
      <c r="C125" s="553">
        <v>44224</v>
      </c>
      <c r="D125" s="281" t="s">
        <v>4283</v>
      </c>
      <c r="E125" s="281" t="s">
        <v>2969</v>
      </c>
      <c r="F125" s="281">
        <v>13</v>
      </c>
      <c r="G125" s="28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2">
        <v>503.63</v>
      </c>
      <c r="O125" t="s">
        <v>999</v>
      </c>
    </row>
    <row r="126" spans="1:15">
      <c r="A126" t="s">
        <v>942</v>
      </c>
      <c r="B126" t="s">
        <v>943</v>
      </c>
      <c r="C126" s="553">
        <v>44224</v>
      </c>
      <c r="D126" s="281" t="s">
        <v>4283</v>
      </c>
      <c r="E126" s="281" t="s">
        <v>2969</v>
      </c>
      <c r="F126" s="281">
        <v>13</v>
      </c>
      <c r="G126" s="28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2">
        <v>100</v>
      </c>
      <c r="O126" t="s">
        <v>999</v>
      </c>
    </row>
    <row r="127" spans="1:15">
      <c r="A127" t="s">
        <v>942</v>
      </c>
      <c r="B127" t="s">
        <v>945</v>
      </c>
      <c r="C127" s="553">
        <v>44229</v>
      </c>
      <c r="D127" s="281" t="s">
        <v>4284</v>
      </c>
      <c r="E127" s="281" t="s">
        <v>3026</v>
      </c>
      <c r="F127" s="281">
        <v>1</v>
      </c>
      <c r="G127" s="28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2">
        <v>45000</v>
      </c>
      <c r="O127" t="s">
        <v>960</v>
      </c>
    </row>
    <row r="128" spans="1:15">
      <c r="A128" t="s">
        <v>942</v>
      </c>
      <c r="B128" t="s">
        <v>945</v>
      </c>
      <c r="C128" s="553">
        <v>44229</v>
      </c>
      <c r="D128" s="281" t="s">
        <v>4284</v>
      </c>
      <c r="E128" s="281" t="s">
        <v>3026</v>
      </c>
      <c r="F128" s="281">
        <v>1</v>
      </c>
      <c r="G128" s="28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2">
        <v>45000</v>
      </c>
      <c r="O128" t="s">
        <v>960</v>
      </c>
    </row>
    <row r="129" spans="1:15">
      <c r="A129" t="s">
        <v>942</v>
      </c>
      <c r="B129" t="s">
        <v>945</v>
      </c>
      <c r="C129" s="553">
        <v>44229</v>
      </c>
      <c r="D129" s="281" t="s">
        <v>4284</v>
      </c>
      <c r="E129" s="281" t="s">
        <v>3026</v>
      </c>
      <c r="F129" s="281">
        <v>2</v>
      </c>
      <c r="G129" s="28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2">
        <v>5000</v>
      </c>
      <c r="O129" t="s">
        <v>964</v>
      </c>
    </row>
    <row r="130" spans="1:15">
      <c r="A130" t="s">
        <v>942</v>
      </c>
      <c r="B130" t="s">
        <v>945</v>
      </c>
      <c r="C130" s="553">
        <v>44229</v>
      </c>
      <c r="D130" s="281" t="s">
        <v>4284</v>
      </c>
      <c r="E130" s="281" t="s">
        <v>3026</v>
      </c>
      <c r="F130" s="281">
        <v>2</v>
      </c>
      <c r="G130" s="28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2">
        <v>5000</v>
      </c>
      <c r="O130" t="s">
        <v>964</v>
      </c>
    </row>
    <row r="131" spans="1:15">
      <c r="A131" t="s">
        <v>942</v>
      </c>
      <c r="B131" t="s">
        <v>945</v>
      </c>
      <c r="C131" s="553">
        <v>44229</v>
      </c>
      <c r="D131" s="281" t="s">
        <v>4284</v>
      </c>
      <c r="E131" s="281" t="s">
        <v>3026</v>
      </c>
      <c r="F131" s="281">
        <v>3</v>
      </c>
      <c r="G131" s="28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2">
        <v>10000</v>
      </c>
      <c r="O131" t="s">
        <v>967</v>
      </c>
    </row>
    <row r="132" spans="1:15">
      <c r="A132" t="s">
        <v>942</v>
      </c>
      <c r="B132" t="s">
        <v>945</v>
      </c>
      <c r="C132" s="553">
        <v>44229</v>
      </c>
      <c r="D132" s="281" t="s">
        <v>4284</v>
      </c>
      <c r="E132" s="281" t="s">
        <v>3026</v>
      </c>
      <c r="F132" s="281">
        <v>3</v>
      </c>
      <c r="G132" s="28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2">
        <v>10000</v>
      </c>
      <c r="O132" t="s">
        <v>967</v>
      </c>
    </row>
    <row r="133" spans="1:15">
      <c r="A133" t="s">
        <v>942</v>
      </c>
      <c r="B133" t="s">
        <v>945</v>
      </c>
      <c r="C133" s="553">
        <v>44229</v>
      </c>
      <c r="D133" s="281" t="s">
        <v>4284</v>
      </c>
      <c r="E133" s="281" t="s">
        <v>3026</v>
      </c>
      <c r="F133" s="281">
        <v>4</v>
      </c>
      <c r="G133" s="28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2">
        <v>10000</v>
      </c>
      <c r="O133" t="s">
        <v>970</v>
      </c>
    </row>
    <row r="134" spans="1:15">
      <c r="A134" t="s">
        <v>942</v>
      </c>
      <c r="B134" t="s">
        <v>945</v>
      </c>
      <c r="C134" s="553">
        <v>44229</v>
      </c>
      <c r="D134" s="281" t="s">
        <v>4284</v>
      </c>
      <c r="E134" s="281" t="s">
        <v>3026</v>
      </c>
      <c r="F134" s="281">
        <v>4</v>
      </c>
      <c r="G134" s="28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2">
        <v>10000</v>
      </c>
      <c r="O134" t="s">
        <v>970</v>
      </c>
    </row>
    <row r="135" spans="1:15">
      <c r="A135" t="s">
        <v>942</v>
      </c>
      <c r="B135" t="s">
        <v>945</v>
      </c>
      <c r="C135" s="553">
        <v>44229</v>
      </c>
      <c r="D135" s="281" t="s">
        <v>4284</v>
      </c>
      <c r="E135" s="281" t="s">
        <v>3026</v>
      </c>
      <c r="F135" s="281">
        <v>5</v>
      </c>
      <c r="G135" s="28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2">
        <v>5000</v>
      </c>
      <c r="O135" t="s">
        <v>973</v>
      </c>
    </row>
    <row r="136" spans="1:15">
      <c r="A136" t="s">
        <v>942</v>
      </c>
      <c r="B136" t="s">
        <v>945</v>
      </c>
      <c r="C136" s="553">
        <v>44229</v>
      </c>
      <c r="D136" s="281" t="s">
        <v>4284</v>
      </c>
      <c r="E136" s="281" t="s">
        <v>3026</v>
      </c>
      <c r="F136" s="281">
        <v>5</v>
      </c>
      <c r="G136" s="28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2">
        <v>5000</v>
      </c>
      <c r="O136" t="s">
        <v>973</v>
      </c>
    </row>
    <row r="137" spans="1:15">
      <c r="A137" t="s">
        <v>942</v>
      </c>
      <c r="B137" t="s">
        <v>945</v>
      </c>
      <c r="C137" s="553">
        <v>44229</v>
      </c>
      <c r="D137" s="281" t="s">
        <v>4285</v>
      </c>
      <c r="E137" s="281" t="s">
        <v>3078</v>
      </c>
      <c r="F137" s="281">
        <v>1</v>
      </c>
      <c r="G137" s="28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2">
        <v>10000</v>
      </c>
      <c r="O137" t="s">
        <v>961</v>
      </c>
    </row>
    <row r="138" spans="1:15">
      <c r="A138" t="s">
        <v>942</v>
      </c>
      <c r="B138" t="s">
        <v>945</v>
      </c>
      <c r="C138" s="553">
        <v>44229</v>
      </c>
      <c r="D138" s="281" t="s">
        <v>4286</v>
      </c>
      <c r="E138" s="281" t="s">
        <v>3081</v>
      </c>
      <c r="F138" s="281">
        <v>1</v>
      </c>
      <c r="G138" s="28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2">
        <v>15000</v>
      </c>
      <c r="O138" t="s">
        <v>960</v>
      </c>
    </row>
    <row r="139" spans="1:15">
      <c r="A139" t="s">
        <v>942</v>
      </c>
      <c r="B139" t="s">
        <v>945</v>
      </c>
      <c r="C139" s="553">
        <v>44229</v>
      </c>
      <c r="D139" s="281" t="s">
        <v>4286</v>
      </c>
      <c r="E139" s="281" t="s">
        <v>3081</v>
      </c>
      <c r="F139" s="281">
        <v>1</v>
      </c>
      <c r="G139" s="28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2">
        <v>13636.36</v>
      </c>
      <c r="O139" t="s">
        <v>960</v>
      </c>
    </row>
    <row r="140" spans="1:15">
      <c r="A140" t="s">
        <v>942</v>
      </c>
      <c r="B140" t="s">
        <v>945</v>
      </c>
      <c r="C140" s="553">
        <v>44230</v>
      </c>
      <c r="D140" s="281" t="s">
        <v>4287</v>
      </c>
      <c r="E140" s="281" t="s">
        <v>3111</v>
      </c>
      <c r="F140" s="281">
        <v>3</v>
      </c>
      <c r="G140" s="28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2">
        <v>2073.09</v>
      </c>
      <c r="O140" t="s">
        <v>968</v>
      </c>
    </row>
    <row r="141" spans="1:15">
      <c r="A141" t="s">
        <v>942</v>
      </c>
      <c r="B141" t="s">
        <v>945</v>
      </c>
      <c r="C141" s="553">
        <v>44230</v>
      </c>
      <c r="D141" s="281" t="s">
        <v>4288</v>
      </c>
      <c r="E141" s="281" t="s">
        <v>3115</v>
      </c>
      <c r="F141" s="281">
        <v>3</v>
      </c>
      <c r="G141" s="28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2">
        <v>0</v>
      </c>
      <c r="O141" t="s">
        <v>968</v>
      </c>
    </row>
    <row r="142" spans="1:15">
      <c r="A142" t="s">
        <v>942</v>
      </c>
      <c r="B142" t="s">
        <v>945</v>
      </c>
      <c r="C142" s="553">
        <v>44230</v>
      </c>
      <c r="D142" s="281" t="s">
        <v>4289</v>
      </c>
      <c r="E142" s="281" t="s">
        <v>2982</v>
      </c>
      <c r="F142" s="281">
        <v>1</v>
      </c>
      <c r="G142" s="28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2">
        <v>17600</v>
      </c>
      <c r="O142" t="s">
        <v>961</v>
      </c>
    </row>
    <row r="143" spans="1:15">
      <c r="A143" t="s">
        <v>942</v>
      </c>
      <c r="B143" t="s">
        <v>945</v>
      </c>
      <c r="C143" s="553">
        <v>44230</v>
      </c>
      <c r="D143" s="281" t="s">
        <v>4290</v>
      </c>
      <c r="E143" s="281" t="s">
        <v>3031</v>
      </c>
      <c r="F143" s="281">
        <v>10</v>
      </c>
      <c r="G143" s="28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2">
        <v>50000</v>
      </c>
      <c r="O143" t="s">
        <v>983</v>
      </c>
    </row>
    <row r="144" spans="1:15">
      <c r="A144" t="s">
        <v>942</v>
      </c>
      <c r="B144" t="s">
        <v>945</v>
      </c>
      <c r="C144" s="553">
        <v>44230</v>
      </c>
      <c r="D144" s="281" t="s">
        <v>4290</v>
      </c>
      <c r="E144" s="281" t="s">
        <v>3031</v>
      </c>
      <c r="F144" s="281">
        <v>10</v>
      </c>
      <c r="G144" s="28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2">
        <v>30000</v>
      </c>
      <c r="O144" t="s">
        <v>983</v>
      </c>
    </row>
    <row r="145" spans="1:15">
      <c r="A145" t="s">
        <v>942</v>
      </c>
      <c r="B145" t="s">
        <v>945</v>
      </c>
      <c r="C145" s="553">
        <v>44230</v>
      </c>
      <c r="D145" s="281" t="s">
        <v>4291</v>
      </c>
      <c r="E145" s="281" t="s">
        <v>3092</v>
      </c>
      <c r="F145" s="281">
        <v>10</v>
      </c>
      <c r="G145" s="28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2">
        <v>750</v>
      </c>
      <c r="O145" t="s">
        <v>983</v>
      </c>
    </row>
    <row r="146" spans="1:15">
      <c r="A146" t="s">
        <v>942</v>
      </c>
      <c r="B146" t="s">
        <v>945</v>
      </c>
      <c r="C146" s="553">
        <v>44230</v>
      </c>
      <c r="D146" s="281" t="s">
        <v>4292</v>
      </c>
      <c r="E146" s="281" t="s">
        <v>3096</v>
      </c>
      <c r="F146" s="281">
        <v>10</v>
      </c>
      <c r="G146" s="28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2">
        <v>750</v>
      </c>
      <c r="O146" t="s">
        <v>983</v>
      </c>
    </row>
    <row r="147" spans="1:15">
      <c r="A147" t="s">
        <v>942</v>
      </c>
      <c r="B147" t="s">
        <v>945</v>
      </c>
      <c r="C147" s="553">
        <v>44230</v>
      </c>
      <c r="D147" s="281" t="s">
        <v>4293</v>
      </c>
      <c r="E147" s="281" t="s">
        <v>3099</v>
      </c>
      <c r="F147" s="281">
        <v>10</v>
      </c>
      <c r="G147" s="28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2">
        <v>750</v>
      </c>
      <c r="O147" t="s">
        <v>983</v>
      </c>
    </row>
    <row r="148" spans="1:15">
      <c r="A148" t="s">
        <v>942</v>
      </c>
      <c r="B148" t="s">
        <v>945</v>
      </c>
      <c r="C148" s="553">
        <v>44230</v>
      </c>
      <c r="D148" s="281" t="s">
        <v>4294</v>
      </c>
      <c r="E148" s="281" t="s">
        <v>3034</v>
      </c>
      <c r="F148" s="281">
        <v>3</v>
      </c>
      <c r="G148" s="28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2">
        <v>15000</v>
      </c>
      <c r="O148" t="s">
        <v>968</v>
      </c>
    </row>
    <row r="149" spans="1:15">
      <c r="A149" t="s">
        <v>942</v>
      </c>
      <c r="B149" t="s">
        <v>945</v>
      </c>
      <c r="C149" s="553">
        <v>44230</v>
      </c>
      <c r="D149" s="281" t="s">
        <v>4294</v>
      </c>
      <c r="E149" s="281" t="s">
        <v>3034</v>
      </c>
      <c r="F149" s="281">
        <v>3</v>
      </c>
      <c r="G149" s="28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2">
        <v>13000</v>
      </c>
      <c r="O149" t="s">
        <v>968</v>
      </c>
    </row>
    <row r="150" spans="1:15">
      <c r="A150" t="s">
        <v>942</v>
      </c>
      <c r="B150" t="s">
        <v>945</v>
      </c>
      <c r="C150" s="553">
        <v>44230</v>
      </c>
      <c r="D150" s="281" t="s">
        <v>4294</v>
      </c>
      <c r="E150" s="281" t="s">
        <v>3034</v>
      </c>
      <c r="F150" s="281">
        <v>3</v>
      </c>
      <c r="G150" s="28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2">
        <v>69200</v>
      </c>
      <c r="O150" t="s">
        <v>968</v>
      </c>
    </row>
    <row r="151" spans="1:15">
      <c r="A151" t="s">
        <v>942</v>
      </c>
      <c r="B151" t="s">
        <v>945</v>
      </c>
      <c r="C151" s="553">
        <v>44230</v>
      </c>
      <c r="D151" s="281" t="s">
        <v>4295</v>
      </c>
      <c r="E151" s="281" t="s">
        <v>3037</v>
      </c>
      <c r="F151" s="281">
        <v>3</v>
      </c>
      <c r="G151" s="28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2">
        <v>15000</v>
      </c>
      <c r="O151" t="s">
        <v>968</v>
      </c>
    </row>
    <row r="152" spans="1:15">
      <c r="A152" t="s">
        <v>942</v>
      </c>
      <c r="B152" t="s">
        <v>945</v>
      </c>
      <c r="C152" s="553">
        <v>44230</v>
      </c>
      <c r="D152" s="281" t="s">
        <v>4295</v>
      </c>
      <c r="E152" s="281" t="s">
        <v>3037</v>
      </c>
      <c r="F152" s="281">
        <v>3</v>
      </c>
      <c r="G152" s="28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2">
        <v>13000</v>
      </c>
      <c r="O152" t="s">
        <v>968</v>
      </c>
    </row>
    <row r="153" spans="1:15">
      <c r="A153" t="s">
        <v>942</v>
      </c>
      <c r="B153" t="s">
        <v>945</v>
      </c>
      <c r="C153" s="553">
        <v>44230</v>
      </c>
      <c r="D153" s="281" t="s">
        <v>4295</v>
      </c>
      <c r="E153" s="281" t="s">
        <v>3037</v>
      </c>
      <c r="F153" s="281">
        <v>3</v>
      </c>
      <c r="G153" s="28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2">
        <v>69200</v>
      </c>
      <c r="O153" t="s">
        <v>968</v>
      </c>
    </row>
    <row r="154" spans="1:15">
      <c r="A154" t="s">
        <v>942</v>
      </c>
      <c r="B154" t="s">
        <v>945</v>
      </c>
      <c r="C154" s="553">
        <v>44230</v>
      </c>
      <c r="D154" s="281" t="s">
        <v>4296</v>
      </c>
      <c r="E154" s="281" t="s">
        <v>3039</v>
      </c>
      <c r="F154" s="281">
        <v>3</v>
      </c>
      <c r="G154" s="28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2">
        <v>15000</v>
      </c>
      <c r="O154" t="s">
        <v>968</v>
      </c>
    </row>
    <row r="155" spans="1:15">
      <c r="A155" t="s">
        <v>942</v>
      </c>
      <c r="B155" t="s">
        <v>945</v>
      </c>
      <c r="C155" s="553">
        <v>44230</v>
      </c>
      <c r="D155" s="281" t="s">
        <v>4296</v>
      </c>
      <c r="E155" s="281" t="s">
        <v>3039</v>
      </c>
      <c r="F155" s="281">
        <v>3</v>
      </c>
      <c r="G155" s="28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2">
        <v>13000</v>
      </c>
      <c r="O155" t="s">
        <v>968</v>
      </c>
    </row>
    <row r="156" spans="1:15">
      <c r="A156" t="s">
        <v>942</v>
      </c>
      <c r="B156" t="s">
        <v>945</v>
      </c>
      <c r="C156" s="553">
        <v>44230</v>
      </c>
      <c r="D156" s="281" t="s">
        <v>4296</v>
      </c>
      <c r="E156" s="281" t="s">
        <v>3039</v>
      </c>
      <c r="F156" s="281">
        <v>3</v>
      </c>
      <c r="G156" s="28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2">
        <v>69200</v>
      </c>
      <c r="O156" t="s">
        <v>968</v>
      </c>
    </row>
    <row r="157" spans="1:15">
      <c r="A157" t="s">
        <v>942</v>
      </c>
      <c r="B157" t="s">
        <v>945</v>
      </c>
      <c r="C157" s="553">
        <v>44230</v>
      </c>
      <c r="D157" s="281" t="s">
        <v>4297</v>
      </c>
      <c r="E157" s="281" t="s">
        <v>3041</v>
      </c>
      <c r="F157" s="281">
        <v>3</v>
      </c>
      <c r="G157" s="28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2">
        <v>15000</v>
      </c>
      <c r="O157" t="s">
        <v>968</v>
      </c>
    </row>
    <row r="158" spans="1:15">
      <c r="A158" t="s">
        <v>942</v>
      </c>
      <c r="B158" t="s">
        <v>945</v>
      </c>
      <c r="C158" s="553">
        <v>44230</v>
      </c>
      <c r="D158" s="281" t="s">
        <v>4297</v>
      </c>
      <c r="E158" s="281" t="s">
        <v>3041</v>
      </c>
      <c r="F158" s="281">
        <v>3</v>
      </c>
      <c r="G158" s="28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2">
        <v>13000</v>
      </c>
      <c r="O158" t="s">
        <v>968</v>
      </c>
    </row>
    <row r="159" spans="1:15">
      <c r="A159" t="s">
        <v>942</v>
      </c>
      <c r="B159" t="s">
        <v>945</v>
      </c>
      <c r="C159" s="553">
        <v>44230</v>
      </c>
      <c r="D159" s="281" t="s">
        <v>4297</v>
      </c>
      <c r="E159" s="281" t="s">
        <v>3041</v>
      </c>
      <c r="F159" s="281">
        <v>3</v>
      </c>
      <c r="G159" s="28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2">
        <v>69200</v>
      </c>
      <c r="O159" t="s">
        <v>968</v>
      </c>
    </row>
    <row r="160" spans="1:15">
      <c r="A160" t="s">
        <v>942</v>
      </c>
      <c r="B160" t="s">
        <v>945</v>
      </c>
      <c r="C160" s="553">
        <v>44230</v>
      </c>
      <c r="D160" s="281" t="s">
        <v>4298</v>
      </c>
      <c r="E160" s="281" t="s">
        <v>3043</v>
      </c>
      <c r="F160" s="281">
        <v>3</v>
      </c>
      <c r="G160" s="28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2">
        <v>15000</v>
      </c>
      <c r="O160" t="s">
        <v>968</v>
      </c>
    </row>
    <row r="161" spans="1:15">
      <c r="A161" t="s">
        <v>942</v>
      </c>
      <c r="B161" t="s">
        <v>945</v>
      </c>
      <c r="C161" s="553">
        <v>44230</v>
      </c>
      <c r="D161" s="281" t="s">
        <v>4298</v>
      </c>
      <c r="E161" s="281" t="s">
        <v>3043</v>
      </c>
      <c r="F161" s="281">
        <v>3</v>
      </c>
      <c r="G161" s="28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2">
        <v>13000</v>
      </c>
      <c r="O161" t="s">
        <v>968</v>
      </c>
    </row>
    <row r="162" spans="1:15">
      <c r="A162" t="s">
        <v>942</v>
      </c>
      <c r="B162" t="s">
        <v>945</v>
      </c>
      <c r="C162" s="553">
        <v>44230</v>
      </c>
      <c r="D162" s="281" t="s">
        <v>4298</v>
      </c>
      <c r="E162" s="281" t="s">
        <v>3043</v>
      </c>
      <c r="F162" s="281">
        <v>3</v>
      </c>
      <c r="G162" s="28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2">
        <v>69200</v>
      </c>
      <c r="O162" t="s">
        <v>968</v>
      </c>
    </row>
    <row r="163" spans="1:15">
      <c r="A163" t="s">
        <v>942</v>
      </c>
      <c r="B163" t="s">
        <v>945</v>
      </c>
      <c r="C163" s="553">
        <v>44230</v>
      </c>
      <c r="D163" s="281" t="s">
        <v>4299</v>
      </c>
      <c r="E163" s="281" t="s">
        <v>3045</v>
      </c>
      <c r="F163" s="281">
        <v>2</v>
      </c>
      <c r="G163" s="28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2">
        <v>20000</v>
      </c>
      <c r="O163" t="s">
        <v>965</v>
      </c>
    </row>
    <row r="164" spans="1:15">
      <c r="A164" t="s">
        <v>942</v>
      </c>
      <c r="B164" t="s">
        <v>945</v>
      </c>
      <c r="C164" s="553">
        <v>44230</v>
      </c>
      <c r="D164" s="281" t="s">
        <v>4299</v>
      </c>
      <c r="E164" s="281" t="s">
        <v>3045</v>
      </c>
      <c r="F164" s="281">
        <v>2</v>
      </c>
      <c r="G164" s="28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2">
        <v>5000</v>
      </c>
      <c r="O164" t="s">
        <v>965</v>
      </c>
    </row>
    <row r="165" spans="1:15">
      <c r="A165" t="s">
        <v>942</v>
      </c>
      <c r="B165" t="s">
        <v>945</v>
      </c>
      <c r="C165" s="553">
        <v>44230</v>
      </c>
      <c r="D165" s="281" t="s">
        <v>4299</v>
      </c>
      <c r="E165" s="281" t="s">
        <v>3045</v>
      </c>
      <c r="F165" s="281">
        <v>2</v>
      </c>
      <c r="G165" s="28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2">
        <v>32500</v>
      </c>
      <c r="O165" t="s">
        <v>965</v>
      </c>
    </row>
    <row r="166" spans="1:15">
      <c r="A166" t="s">
        <v>942</v>
      </c>
      <c r="B166" t="s">
        <v>945</v>
      </c>
      <c r="C166" s="553">
        <v>44230</v>
      </c>
      <c r="D166" s="281" t="s">
        <v>4299</v>
      </c>
      <c r="E166" s="281" t="s">
        <v>3045</v>
      </c>
      <c r="F166" s="281">
        <v>2</v>
      </c>
      <c r="G166" s="28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2">
        <v>5000</v>
      </c>
      <c r="O166" t="s">
        <v>965</v>
      </c>
    </row>
    <row r="167" spans="1:15">
      <c r="A167" t="s">
        <v>942</v>
      </c>
      <c r="B167" t="s">
        <v>945</v>
      </c>
      <c r="C167" s="553">
        <v>44230</v>
      </c>
      <c r="D167" s="281" t="s">
        <v>4300</v>
      </c>
      <c r="E167" s="281" t="s">
        <v>3048</v>
      </c>
      <c r="F167" s="281">
        <v>2</v>
      </c>
      <c r="G167" s="28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2">
        <v>20000</v>
      </c>
      <c r="O167" t="s">
        <v>965</v>
      </c>
    </row>
    <row r="168" spans="1:15">
      <c r="A168" t="s">
        <v>942</v>
      </c>
      <c r="B168" t="s">
        <v>945</v>
      </c>
      <c r="C168" s="553">
        <v>44230</v>
      </c>
      <c r="D168" s="281" t="s">
        <v>4300</v>
      </c>
      <c r="E168" s="281" t="s">
        <v>3048</v>
      </c>
      <c r="F168" s="281">
        <v>2</v>
      </c>
      <c r="G168" s="28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2">
        <v>5000</v>
      </c>
      <c r="O168" t="s">
        <v>965</v>
      </c>
    </row>
    <row r="169" spans="1:15">
      <c r="A169" t="s">
        <v>942</v>
      </c>
      <c r="B169" t="s">
        <v>945</v>
      </c>
      <c r="C169" s="553">
        <v>44230</v>
      </c>
      <c r="D169" s="281" t="s">
        <v>4300</v>
      </c>
      <c r="E169" s="281" t="s">
        <v>3048</v>
      </c>
      <c r="F169" s="281">
        <v>2</v>
      </c>
      <c r="G169" s="28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2">
        <v>20000</v>
      </c>
      <c r="O169" t="s">
        <v>965</v>
      </c>
    </row>
    <row r="170" spans="1:15">
      <c r="A170" t="s">
        <v>942</v>
      </c>
      <c r="B170" t="s">
        <v>945</v>
      </c>
      <c r="C170" s="553">
        <v>44230</v>
      </c>
      <c r="D170" s="281" t="s">
        <v>4300</v>
      </c>
      <c r="E170" s="281" t="s">
        <v>3048</v>
      </c>
      <c r="F170" s="281">
        <v>2</v>
      </c>
      <c r="G170" s="28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2">
        <v>5000</v>
      </c>
      <c r="O170" t="s">
        <v>965</v>
      </c>
    </row>
    <row r="171" spans="1:15">
      <c r="A171" t="s">
        <v>942</v>
      </c>
      <c r="B171" t="s">
        <v>945</v>
      </c>
      <c r="C171" s="553">
        <v>44230</v>
      </c>
      <c r="D171" s="281" t="s">
        <v>4301</v>
      </c>
      <c r="E171" s="281" t="s">
        <v>3050</v>
      </c>
      <c r="F171" s="281">
        <v>2</v>
      </c>
      <c r="G171" s="28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2">
        <v>20000</v>
      </c>
      <c r="O171" t="s">
        <v>965</v>
      </c>
    </row>
    <row r="172" spans="1:15">
      <c r="A172" t="s">
        <v>942</v>
      </c>
      <c r="B172" t="s">
        <v>945</v>
      </c>
      <c r="C172" s="553">
        <v>44230</v>
      </c>
      <c r="D172" s="281" t="s">
        <v>4301</v>
      </c>
      <c r="E172" s="281" t="s">
        <v>3050</v>
      </c>
      <c r="F172" s="281">
        <v>2</v>
      </c>
      <c r="G172" s="28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2">
        <v>5000</v>
      </c>
      <c r="O172" t="s">
        <v>965</v>
      </c>
    </row>
    <row r="173" spans="1:15">
      <c r="A173" t="s">
        <v>942</v>
      </c>
      <c r="B173" t="s">
        <v>945</v>
      </c>
      <c r="C173" s="553">
        <v>44230</v>
      </c>
      <c r="D173" s="281" t="s">
        <v>4301</v>
      </c>
      <c r="E173" s="281" t="s">
        <v>3050</v>
      </c>
      <c r="F173" s="281">
        <v>2</v>
      </c>
      <c r="G173" s="28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2">
        <v>20000</v>
      </c>
      <c r="O173" t="s">
        <v>965</v>
      </c>
    </row>
    <row r="174" spans="1:15">
      <c r="A174" t="s">
        <v>942</v>
      </c>
      <c r="B174" t="s">
        <v>945</v>
      </c>
      <c r="C174" s="553">
        <v>44230</v>
      </c>
      <c r="D174" s="281" t="s">
        <v>4301</v>
      </c>
      <c r="E174" s="281" t="s">
        <v>3050</v>
      </c>
      <c r="F174" s="281">
        <v>2</v>
      </c>
      <c r="G174" s="28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2">
        <v>5000</v>
      </c>
      <c r="O174" t="s">
        <v>965</v>
      </c>
    </row>
    <row r="175" spans="1:15">
      <c r="A175" t="s">
        <v>942</v>
      </c>
      <c r="B175" t="s">
        <v>945</v>
      </c>
      <c r="C175" s="553">
        <v>44230</v>
      </c>
      <c r="D175" s="281" t="s">
        <v>4302</v>
      </c>
      <c r="E175" s="281" t="s">
        <v>3052</v>
      </c>
      <c r="F175" s="281">
        <v>2</v>
      </c>
      <c r="G175" s="28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2">
        <v>20000</v>
      </c>
      <c r="O175" t="s">
        <v>965</v>
      </c>
    </row>
    <row r="176" spans="1:15">
      <c r="A176" t="s">
        <v>942</v>
      </c>
      <c r="B176" t="s">
        <v>945</v>
      </c>
      <c r="C176" s="553">
        <v>44230</v>
      </c>
      <c r="D176" s="281" t="s">
        <v>4302</v>
      </c>
      <c r="E176" s="281" t="s">
        <v>3052</v>
      </c>
      <c r="F176" s="281">
        <v>2</v>
      </c>
      <c r="G176" s="28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2">
        <v>5000</v>
      </c>
      <c r="O176" t="s">
        <v>965</v>
      </c>
    </row>
    <row r="177" spans="1:15">
      <c r="A177" t="s">
        <v>942</v>
      </c>
      <c r="B177" t="s">
        <v>945</v>
      </c>
      <c r="C177" s="553">
        <v>44230</v>
      </c>
      <c r="D177" s="281" t="s">
        <v>4302</v>
      </c>
      <c r="E177" s="281" t="s">
        <v>3052</v>
      </c>
      <c r="F177" s="281">
        <v>2</v>
      </c>
      <c r="G177" s="28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2">
        <v>20000</v>
      </c>
      <c r="O177" t="s">
        <v>965</v>
      </c>
    </row>
    <row r="178" spans="1:15">
      <c r="A178" t="s">
        <v>942</v>
      </c>
      <c r="B178" t="s">
        <v>945</v>
      </c>
      <c r="C178" s="553">
        <v>44230</v>
      </c>
      <c r="D178" s="281" t="s">
        <v>4302</v>
      </c>
      <c r="E178" s="281" t="s">
        <v>3052</v>
      </c>
      <c r="F178" s="281">
        <v>2</v>
      </c>
      <c r="G178" s="28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2">
        <v>5000</v>
      </c>
      <c r="O178" t="s">
        <v>965</v>
      </c>
    </row>
    <row r="179" spans="1:15">
      <c r="A179" t="s">
        <v>942</v>
      </c>
      <c r="B179" t="s">
        <v>945</v>
      </c>
      <c r="C179" s="553">
        <v>44230</v>
      </c>
      <c r="D179" s="281" t="s">
        <v>4303</v>
      </c>
      <c r="E179" s="281" t="s">
        <v>3054</v>
      </c>
      <c r="F179" s="281">
        <v>2</v>
      </c>
      <c r="G179" s="28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2">
        <v>20000</v>
      </c>
      <c r="O179" t="s">
        <v>965</v>
      </c>
    </row>
    <row r="180" spans="1:15">
      <c r="A180" t="s">
        <v>942</v>
      </c>
      <c r="B180" t="s">
        <v>945</v>
      </c>
      <c r="C180" s="553">
        <v>44230</v>
      </c>
      <c r="D180" s="281" t="s">
        <v>4303</v>
      </c>
      <c r="E180" s="281" t="s">
        <v>3054</v>
      </c>
      <c r="F180" s="281">
        <v>2</v>
      </c>
      <c r="G180" s="28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2">
        <v>5000</v>
      </c>
      <c r="O180" t="s">
        <v>965</v>
      </c>
    </row>
    <row r="181" spans="1:15">
      <c r="A181" t="s">
        <v>942</v>
      </c>
      <c r="B181" t="s">
        <v>945</v>
      </c>
      <c r="C181" s="553">
        <v>44230</v>
      </c>
      <c r="D181" s="281" t="s">
        <v>4303</v>
      </c>
      <c r="E181" s="281" t="s">
        <v>3054</v>
      </c>
      <c r="F181" s="281">
        <v>2</v>
      </c>
      <c r="G181" s="28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2">
        <v>20000</v>
      </c>
      <c r="O181" t="s">
        <v>965</v>
      </c>
    </row>
    <row r="182" spans="1:15">
      <c r="A182" t="s">
        <v>942</v>
      </c>
      <c r="B182" t="s">
        <v>945</v>
      </c>
      <c r="C182" s="553">
        <v>44230</v>
      </c>
      <c r="D182" s="281" t="s">
        <v>4303</v>
      </c>
      <c r="E182" s="281" t="s">
        <v>3054</v>
      </c>
      <c r="F182" s="281">
        <v>2</v>
      </c>
      <c r="G182" s="28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2">
        <v>5000</v>
      </c>
      <c r="O182" t="s">
        <v>965</v>
      </c>
    </row>
    <row r="183" spans="1:15">
      <c r="A183" t="s">
        <v>942</v>
      </c>
      <c r="B183" t="s">
        <v>945</v>
      </c>
      <c r="C183" s="553">
        <v>44230</v>
      </c>
      <c r="D183" s="281" t="s">
        <v>4304</v>
      </c>
      <c r="E183" s="281" t="s">
        <v>3086</v>
      </c>
      <c r="F183" s="281">
        <v>1</v>
      </c>
      <c r="G183" s="28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2">
        <v>1074.25</v>
      </c>
      <c r="O183" t="s">
        <v>961</v>
      </c>
    </row>
    <row r="184" spans="1:15">
      <c r="A184" t="s">
        <v>942</v>
      </c>
      <c r="B184" t="s">
        <v>945</v>
      </c>
      <c r="C184" s="553">
        <v>44230</v>
      </c>
      <c r="D184" s="281" t="s">
        <v>4304</v>
      </c>
      <c r="E184" s="281" t="s">
        <v>3086</v>
      </c>
      <c r="F184" s="281">
        <v>1</v>
      </c>
      <c r="G184" s="28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2">
        <v>960</v>
      </c>
      <c r="O184" t="s">
        <v>961</v>
      </c>
    </row>
    <row r="185" spans="1:15">
      <c r="A185" t="s">
        <v>942</v>
      </c>
      <c r="B185" t="s">
        <v>945</v>
      </c>
      <c r="C185" s="553">
        <v>44230</v>
      </c>
      <c r="D185" s="281" t="s">
        <v>4304</v>
      </c>
      <c r="E185" s="281" t="s">
        <v>3086</v>
      </c>
      <c r="F185" s="281">
        <v>1</v>
      </c>
      <c r="G185" s="28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2">
        <v>2700</v>
      </c>
      <c r="O185" t="s">
        <v>961</v>
      </c>
    </row>
    <row r="186" spans="1:15">
      <c r="A186" t="s">
        <v>942</v>
      </c>
      <c r="B186" t="s">
        <v>945</v>
      </c>
      <c r="C186" s="553">
        <v>44230</v>
      </c>
      <c r="D186" s="281" t="s">
        <v>4305</v>
      </c>
      <c r="E186" s="281" t="s">
        <v>3089</v>
      </c>
      <c r="F186" s="281">
        <v>2</v>
      </c>
      <c r="G186" s="28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2">
        <v>1350</v>
      </c>
      <c r="O186" t="s">
        <v>965</v>
      </c>
    </row>
    <row r="187" spans="1:15">
      <c r="A187" t="s">
        <v>942</v>
      </c>
      <c r="B187" t="s">
        <v>945</v>
      </c>
      <c r="C187" s="553">
        <v>44230</v>
      </c>
      <c r="D187" s="281" t="s">
        <v>4306</v>
      </c>
      <c r="E187" s="281" t="s">
        <v>3056</v>
      </c>
      <c r="F187" s="281">
        <v>1</v>
      </c>
      <c r="G187" s="28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2">
        <v>1660</v>
      </c>
      <c r="O187" t="s">
        <v>961</v>
      </c>
    </row>
    <row r="188" spans="1:15">
      <c r="A188" t="s">
        <v>942</v>
      </c>
      <c r="B188" t="s">
        <v>945</v>
      </c>
      <c r="C188" s="553">
        <v>44230</v>
      </c>
      <c r="D188" s="281" t="s">
        <v>4306</v>
      </c>
      <c r="E188" s="281" t="s">
        <v>3056</v>
      </c>
      <c r="F188" s="281">
        <v>1</v>
      </c>
      <c r="G188" s="28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2">
        <v>10790</v>
      </c>
      <c r="O188" t="s">
        <v>961</v>
      </c>
    </row>
    <row r="189" spans="1:15">
      <c r="A189" t="s">
        <v>942</v>
      </c>
      <c r="B189" t="s">
        <v>945</v>
      </c>
      <c r="C189" s="553">
        <v>44230</v>
      </c>
      <c r="D189" s="281" t="s">
        <v>4306</v>
      </c>
      <c r="E189" s="281" t="s">
        <v>3056</v>
      </c>
      <c r="F189" s="281">
        <v>1</v>
      </c>
      <c r="G189" s="28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2">
        <v>8509.99</v>
      </c>
      <c r="O189" t="s">
        <v>961</v>
      </c>
    </row>
    <row r="190" spans="1:15">
      <c r="A190" t="s">
        <v>942</v>
      </c>
      <c r="B190" t="s">
        <v>945</v>
      </c>
      <c r="C190" s="553">
        <v>44230</v>
      </c>
      <c r="D190" s="281" t="s">
        <v>4306</v>
      </c>
      <c r="E190" s="281" t="s">
        <v>3056</v>
      </c>
      <c r="F190" s="281">
        <v>1</v>
      </c>
      <c r="G190" s="28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2">
        <v>4731</v>
      </c>
      <c r="O190" t="s">
        <v>961</v>
      </c>
    </row>
    <row r="191" spans="1:15">
      <c r="A191" t="s">
        <v>942</v>
      </c>
      <c r="B191" t="s">
        <v>945</v>
      </c>
      <c r="C191" s="553">
        <v>44230</v>
      </c>
      <c r="D191" s="281" t="s">
        <v>4306</v>
      </c>
      <c r="E191" s="281" t="s">
        <v>3056</v>
      </c>
      <c r="F191" s="281">
        <v>1</v>
      </c>
      <c r="G191" s="28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2">
        <v>42745</v>
      </c>
      <c r="O191" t="s">
        <v>961</v>
      </c>
    </row>
    <row r="192" spans="1:15">
      <c r="A192" t="s">
        <v>942</v>
      </c>
      <c r="B192" t="s">
        <v>945</v>
      </c>
      <c r="C192" s="553">
        <v>44230</v>
      </c>
      <c r="D192" s="281" t="s">
        <v>4306</v>
      </c>
      <c r="E192" s="281" t="s">
        <v>3056</v>
      </c>
      <c r="F192" s="281">
        <v>1</v>
      </c>
      <c r="G192" s="28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2">
        <v>2075</v>
      </c>
      <c r="O192" t="s">
        <v>961</v>
      </c>
    </row>
    <row r="193" spans="1:15">
      <c r="A193" t="s">
        <v>942</v>
      </c>
      <c r="B193" t="s">
        <v>945</v>
      </c>
      <c r="C193" s="553">
        <v>44230</v>
      </c>
      <c r="D193" s="281" t="s">
        <v>4306</v>
      </c>
      <c r="E193" s="281" t="s">
        <v>3056</v>
      </c>
      <c r="F193" s="281">
        <v>1</v>
      </c>
      <c r="G193" s="28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2">
        <v>762.27</v>
      </c>
      <c r="O193" t="s">
        <v>961</v>
      </c>
    </row>
    <row r="194" spans="1:15">
      <c r="A194" t="s">
        <v>942</v>
      </c>
      <c r="B194" t="s">
        <v>945</v>
      </c>
      <c r="C194" s="553">
        <v>44230</v>
      </c>
      <c r="D194" s="281" t="s">
        <v>4306</v>
      </c>
      <c r="E194" s="281" t="s">
        <v>3056</v>
      </c>
      <c r="F194" s="281">
        <v>1</v>
      </c>
      <c r="G194" s="28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2">
        <v>6972</v>
      </c>
      <c r="O194" t="s">
        <v>961</v>
      </c>
    </row>
    <row r="195" spans="1:15">
      <c r="A195" t="s">
        <v>942</v>
      </c>
      <c r="B195" t="s">
        <v>945</v>
      </c>
      <c r="C195" s="553">
        <v>44230</v>
      </c>
      <c r="D195" s="281" t="s">
        <v>4306</v>
      </c>
      <c r="E195" s="281" t="s">
        <v>3056</v>
      </c>
      <c r="F195" s="281">
        <v>1</v>
      </c>
      <c r="G195" s="28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2">
        <v>539.5</v>
      </c>
      <c r="O195" t="s">
        <v>961</v>
      </c>
    </row>
    <row r="196" spans="1:15">
      <c r="A196" t="s">
        <v>942</v>
      </c>
      <c r="B196" t="s">
        <v>945</v>
      </c>
      <c r="C196" s="553">
        <v>44230</v>
      </c>
      <c r="D196" s="281" t="s">
        <v>4306</v>
      </c>
      <c r="E196" s="281" t="s">
        <v>3056</v>
      </c>
      <c r="F196" s="281">
        <v>1</v>
      </c>
      <c r="G196" s="28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2">
        <v>498</v>
      </c>
      <c r="O196" t="s">
        <v>961</v>
      </c>
    </row>
    <row r="197" spans="1:15">
      <c r="A197" t="s">
        <v>942</v>
      </c>
      <c r="B197" t="s">
        <v>945</v>
      </c>
      <c r="C197" s="553">
        <v>44230</v>
      </c>
      <c r="D197" s="281" t="s">
        <v>4306</v>
      </c>
      <c r="E197" s="281" t="s">
        <v>3056</v>
      </c>
      <c r="F197" s="281">
        <v>1</v>
      </c>
      <c r="G197" s="28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2">
        <v>169498.73</v>
      </c>
      <c r="O197" t="s">
        <v>961</v>
      </c>
    </row>
    <row r="198" spans="1:15">
      <c r="A198" t="s">
        <v>942</v>
      </c>
      <c r="B198" t="s">
        <v>945</v>
      </c>
      <c r="C198" s="553">
        <v>44230</v>
      </c>
      <c r="D198" s="281" t="s">
        <v>4306</v>
      </c>
      <c r="E198" s="281" t="s">
        <v>3056</v>
      </c>
      <c r="F198" s="281">
        <v>4</v>
      </c>
      <c r="G198" s="28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2">
        <v>2766.67</v>
      </c>
      <c r="O198" t="s">
        <v>971</v>
      </c>
    </row>
    <row r="199" spans="1:15">
      <c r="A199" t="s">
        <v>942</v>
      </c>
      <c r="B199" t="s">
        <v>945</v>
      </c>
      <c r="C199" s="553">
        <v>44230</v>
      </c>
      <c r="D199" s="281" t="s">
        <v>4306</v>
      </c>
      <c r="E199" s="281" t="s">
        <v>3056</v>
      </c>
      <c r="F199" s="281">
        <v>3</v>
      </c>
      <c r="G199" s="28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2">
        <v>2766.67</v>
      </c>
      <c r="O199" t="s">
        <v>968</v>
      </c>
    </row>
    <row r="200" spans="1:15">
      <c r="A200" t="s">
        <v>942</v>
      </c>
      <c r="B200" t="s">
        <v>945</v>
      </c>
      <c r="C200" s="553">
        <v>44230</v>
      </c>
      <c r="D200" s="281" t="s">
        <v>4306</v>
      </c>
      <c r="E200" s="281" t="s">
        <v>3056</v>
      </c>
      <c r="F200" s="281">
        <v>3</v>
      </c>
      <c r="G200" s="28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2">
        <v>1383.33</v>
      </c>
      <c r="O200" t="s">
        <v>968</v>
      </c>
    </row>
    <row r="201" spans="1:15">
      <c r="A201" t="s">
        <v>942</v>
      </c>
      <c r="B201" t="s">
        <v>945</v>
      </c>
      <c r="C201" s="553">
        <v>44230</v>
      </c>
      <c r="D201" s="281" t="s">
        <v>4306</v>
      </c>
      <c r="E201" s="281" t="s">
        <v>3056</v>
      </c>
      <c r="F201" s="281">
        <v>1</v>
      </c>
      <c r="G201" s="28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2">
        <v>13833.33</v>
      </c>
      <c r="O201" t="s">
        <v>961</v>
      </c>
    </row>
    <row r="202" spans="1:15">
      <c r="A202" t="s">
        <v>942</v>
      </c>
      <c r="B202" t="s">
        <v>945</v>
      </c>
      <c r="C202" s="553">
        <v>44230</v>
      </c>
      <c r="D202" s="281" t="s">
        <v>4306</v>
      </c>
      <c r="E202" s="281" t="s">
        <v>3056</v>
      </c>
      <c r="F202" s="281">
        <v>1</v>
      </c>
      <c r="G202" s="28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2">
        <v>691.67</v>
      </c>
      <c r="O202" t="s">
        <v>961</v>
      </c>
    </row>
    <row r="203" spans="1:15">
      <c r="A203" t="s">
        <v>942</v>
      </c>
      <c r="B203" t="s">
        <v>945</v>
      </c>
      <c r="C203" s="553">
        <v>44230</v>
      </c>
      <c r="D203" s="281" t="s">
        <v>4306</v>
      </c>
      <c r="E203" s="281" t="s">
        <v>3056</v>
      </c>
      <c r="F203" s="281">
        <v>1</v>
      </c>
      <c r="G203" s="28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2">
        <v>1909.52</v>
      </c>
      <c r="O203" t="s">
        <v>961</v>
      </c>
    </row>
    <row r="204" spans="1:15">
      <c r="A204" t="s">
        <v>942</v>
      </c>
      <c r="B204" t="s">
        <v>945</v>
      </c>
      <c r="C204" s="553">
        <v>44230</v>
      </c>
      <c r="D204" s="281" t="s">
        <v>4306</v>
      </c>
      <c r="E204" s="281" t="s">
        <v>3056</v>
      </c>
      <c r="F204" s="281">
        <v>1</v>
      </c>
      <c r="G204" s="28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2">
        <v>4810.3100000000004</v>
      </c>
      <c r="O204" t="s">
        <v>961</v>
      </c>
    </row>
    <row r="205" spans="1:15">
      <c r="A205" t="s">
        <v>942</v>
      </c>
      <c r="B205" t="s">
        <v>945</v>
      </c>
      <c r="C205" s="553">
        <v>44230</v>
      </c>
      <c r="D205" s="281" t="s">
        <v>4306</v>
      </c>
      <c r="E205" s="281" t="s">
        <v>3056</v>
      </c>
      <c r="F205" s="281">
        <v>1</v>
      </c>
      <c r="G205" s="28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2">
        <v>220858.58</v>
      </c>
      <c r="O205" t="s">
        <v>961</v>
      </c>
    </row>
    <row r="206" spans="1:15">
      <c r="A206" t="s">
        <v>942</v>
      </c>
      <c r="B206" t="s">
        <v>945</v>
      </c>
      <c r="C206" s="553">
        <v>44230</v>
      </c>
      <c r="D206" s="281" t="s">
        <v>4306</v>
      </c>
      <c r="E206" s="281" t="s">
        <v>3056</v>
      </c>
      <c r="F206" s="281">
        <v>1</v>
      </c>
      <c r="G206" s="28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2">
        <v>1521.67</v>
      </c>
      <c r="O206" t="s">
        <v>961</v>
      </c>
    </row>
    <row r="207" spans="1:15">
      <c r="A207" t="s">
        <v>942</v>
      </c>
      <c r="B207" t="s">
        <v>945</v>
      </c>
      <c r="C207" s="553">
        <v>44230</v>
      </c>
      <c r="D207" s="281" t="s">
        <v>4306</v>
      </c>
      <c r="E207" s="281" t="s">
        <v>3056</v>
      </c>
      <c r="F207" s="281">
        <v>1</v>
      </c>
      <c r="G207" s="28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2">
        <v>1383.33</v>
      </c>
      <c r="O207" t="s">
        <v>961</v>
      </c>
    </row>
    <row r="208" spans="1:15">
      <c r="A208" t="s">
        <v>942</v>
      </c>
      <c r="B208" t="s">
        <v>945</v>
      </c>
      <c r="C208" s="553">
        <v>44230</v>
      </c>
      <c r="D208" s="281" t="s">
        <v>4306</v>
      </c>
      <c r="E208" s="281" t="s">
        <v>3056</v>
      </c>
      <c r="F208" s="281">
        <v>1</v>
      </c>
      <c r="G208" s="28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2">
        <v>6916.67</v>
      </c>
      <c r="O208" t="s">
        <v>961</v>
      </c>
    </row>
    <row r="209" spans="1:15">
      <c r="A209" t="s">
        <v>942</v>
      </c>
      <c r="B209" t="s">
        <v>945</v>
      </c>
      <c r="C209" s="553">
        <v>44230</v>
      </c>
      <c r="D209" s="281" t="s">
        <v>4306</v>
      </c>
      <c r="E209" s="281" t="s">
        <v>3056</v>
      </c>
      <c r="F209" s="281">
        <v>1</v>
      </c>
      <c r="G209" s="28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2">
        <v>4980</v>
      </c>
      <c r="O209" t="s">
        <v>961</v>
      </c>
    </row>
    <row r="210" spans="1:15">
      <c r="A210" t="s">
        <v>942</v>
      </c>
      <c r="B210" t="s">
        <v>945</v>
      </c>
      <c r="C210" s="553">
        <v>44230</v>
      </c>
      <c r="D210" s="281" t="s">
        <v>4306</v>
      </c>
      <c r="E210" s="281" t="s">
        <v>3056</v>
      </c>
      <c r="F210" s="281">
        <v>1</v>
      </c>
      <c r="G210" s="28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2">
        <v>3541.33</v>
      </c>
      <c r="O210" t="s">
        <v>961</v>
      </c>
    </row>
    <row r="211" spans="1:15">
      <c r="A211" t="s">
        <v>942</v>
      </c>
      <c r="B211" t="s">
        <v>945</v>
      </c>
      <c r="C211" s="553">
        <v>44230</v>
      </c>
      <c r="D211" s="281" t="s">
        <v>4306</v>
      </c>
      <c r="E211" s="281" t="s">
        <v>3056</v>
      </c>
      <c r="F211" s="281">
        <v>3</v>
      </c>
      <c r="G211" s="28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2">
        <v>3320</v>
      </c>
      <c r="O211" t="s">
        <v>968</v>
      </c>
    </row>
    <row r="212" spans="1:15">
      <c r="A212" t="s">
        <v>942</v>
      </c>
      <c r="B212" t="s">
        <v>945</v>
      </c>
      <c r="C212" s="553">
        <v>44230</v>
      </c>
      <c r="D212" s="281" t="s">
        <v>4306</v>
      </c>
      <c r="E212" s="281" t="s">
        <v>3056</v>
      </c>
      <c r="F212" s="281">
        <v>1</v>
      </c>
      <c r="G212" s="28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2">
        <v>9376.91</v>
      </c>
      <c r="O212" t="s">
        <v>961</v>
      </c>
    </row>
    <row r="213" spans="1:15">
      <c r="A213" t="s">
        <v>942</v>
      </c>
      <c r="B213" t="s">
        <v>945</v>
      </c>
      <c r="C213" s="553">
        <v>44230</v>
      </c>
      <c r="D213" s="281" t="s">
        <v>4307</v>
      </c>
      <c r="E213" s="281" t="s">
        <v>3059</v>
      </c>
      <c r="F213" s="281">
        <v>1</v>
      </c>
      <c r="G213" s="28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2">
        <v>1660</v>
      </c>
      <c r="O213" t="s">
        <v>961</v>
      </c>
    </row>
    <row r="214" spans="1:15">
      <c r="A214" t="s">
        <v>942</v>
      </c>
      <c r="B214" t="s">
        <v>945</v>
      </c>
      <c r="C214" s="553">
        <v>44230</v>
      </c>
      <c r="D214" s="281" t="s">
        <v>4307</v>
      </c>
      <c r="E214" s="281" t="s">
        <v>3059</v>
      </c>
      <c r="F214" s="281">
        <v>1</v>
      </c>
      <c r="G214" s="28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2">
        <v>9960</v>
      </c>
      <c r="O214" t="s">
        <v>961</v>
      </c>
    </row>
    <row r="215" spans="1:15">
      <c r="A215" t="s">
        <v>942</v>
      </c>
      <c r="B215" t="s">
        <v>945</v>
      </c>
      <c r="C215" s="553">
        <v>44230</v>
      </c>
      <c r="D215" s="281" t="s">
        <v>4307</v>
      </c>
      <c r="E215" s="281" t="s">
        <v>3059</v>
      </c>
      <c r="F215" s="281">
        <v>1</v>
      </c>
      <c r="G215" s="28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2">
        <v>11066.67</v>
      </c>
      <c r="O215" t="s">
        <v>961</v>
      </c>
    </row>
    <row r="216" spans="1:15">
      <c r="A216" t="s">
        <v>942</v>
      </c>
      <c r="B216" t="s">
        <v>945</v>
      </c>
      <c r="C216" s="553">
        <v>44230</v>
      </c>
      <c r="D216" s="281" t="s">
        <v>4307</v>
      </c>
      <c r="E216" s="281" t="s">
        <v>3059</v>
      </c>
      <c r="F216" s="281">
        <v>1</v>
      </c>
      <c r="G216" s="28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2">
        <v>2158</v>
      </c>
      <c r="O216" t="s">
        <v>961</v>
      </c>
    </row>
    <row r="217" spans="1:15">
      <c r="A217" t="s">
        <v>942</v>
      </c>
      <c r="B217" t="s">
        <v>945</v>
      </c>
      <c r="C217" s="553">
        <v>44230</v>
      </c>
      <c r="D217" s="281" t="s">
        <v>4307</v>
      </c>
      <c r="E217" s="281" t="s">
        <v>3059</v>
      </c>
      <c r="F217" s="281">
        <v>1</v>
      </c>
      <c r="G217" s="28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2">
        <v>38180</v>
      </c>
      <c r="O217" t="s">
        <v>961</v>
      </c>
    </row>
    <row r="218" spans="1:15">
      <c r="A218" t="s">
        <v>942</v>
      </c>
      <c r="B218" t="s">
        <v>945</v>
      </c>
      <c r="C218" s="553">
        <v>44230</v>
      </c>
      <c r="D218" s="281" t="s">
        <v>4307</v>
      </c>
      <c r="E218" s="281" t="s">
        <v>3059</v>
      </c>
      <c r="F218" s="281">
        <v>1</v>
      </c>
      <c r="G218" s="28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2">
        <v>4150</v>
      </c>
      <c r="O218" t="s">
        <v>961</v>
      </c>
    </row>
    <row r="219" spans="1:15">
      <c r="A219" t="s">
        <v>942</v>
      </c>
      <c r="B219" t="s">
        <v>945</v>
      </c>
      <c r="C219" s="553">
        <v>44230</v>
      </c>
      <c r="D219" s="281" t="s">
        <v>4307</v>
      </c>
      <c r="E219" s="281" t="s">
        <v>3059</v>
      </c>
      <c r="F219" s="281">
        <v>1</v>
      </c>
      <c r="G219" s="28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2">
        <v>2988</v>
      </c>
      <c r="O219" t="s">
        <v>961</v>
      </c>
    </row>
    <row r="220" spans="1:15">
      <c r="A220" t="s">
        <v>942</v>
      </c>
      <c r="B220" t="s">
        <v>945</v>
      </c>
      <c r="C220" s="553">
        <v>44230</v>
      </c>
      <c r="D220" s="281" t="s">
        <v>4307</v>
      </c>
      <c r="E220" s="281" t="s">
        <v>3059</v>
      </c>
      <c r="F220" s="281">
        <v>1</v>
      </c>
      <c r="G220" s="28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2">
        <v>830</v>
      </c>
      <c r="O220" t="s">
        <v>961</v>
      </c>
    </row>
    <row r="221" spans="1:15">
      <c r="A221" t="s">
        <v>942</v>
      </c>
      <c r="B221" t="s">
        <v>945</v>
      </c>
      <c r="C221" s="553">
        <v>44230</v>
      </c>
      <c r="D221" s="281" t="s">
        <v>4307</v>
      </c>
      <c r="E221" s="281" t="s">
        <v>3059</v>
      </c>
      <c r="F221" s="281">
        <v>1</v>
      </c>
      <c r="G221" s="28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2">
        <v>498</v>
      </c>
      <c r="O221" t="s">
        <v>961</v>
      </c>
    </row>
    <row r="222" spans="1:15">
      <c r="A222" t="s">
        <v>942</v>
      </c>
      <c r="B222" t="s">
        <v>945</v>
      </c>
      <c r="C222" s="553">
        <v>44230</v>
      </c>
      <c r="D222" s="281" t="s">
        <v>4307</v>
      </c>
      <c r="E222" s="281" t="s">
        <v>3059</v>
      </c>
      <c r="F222" s="281">
        <v>1</v>
      </c>
      <c r="G222" s="28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2">
        <v>13847.17</v>
      </c>
      <c r="O222" t="s">
        <v>961</v>
      </c>
    </row>
    <row r="223" spans="1:15">
      <c r="A223" t="s">
        <v>942</v>
      </c>
      <c r="B223" t="s">
        <v>945</v>
      </c>
      <c r="C223" s="553">
        <v>44230</v>
      </c>
      <c r="D223" s="281" t="s">
        <v>4307</v>
      </c>
      <c r="E223" s="281" t="s">
        <v>3059</v>
      </c>
      <c r="F223" s="281">
        <v>1</v>
      </c>
      <c r="G223" s="28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2">
        <v>66782.91</v>
      </c>
      <c r="O223" t="s">
        <v>961</v>
      </c>
    </row>
    <row r="224" spans="1:15">
      <c r="A224" t="s">
        <v>942</v>
      </c>
      <c r="B224" t="s">
        <v>945</v>
      </c>
      <c r="C224" s="553">
        <v>44230</v>
      </c>
      <c r="D224" s="281" t="s">
        <v>4307</v>
      </c>
      <c r="E224" s="281" t="s">
        <v>3059</v>
      </c>
      <c r="F224" s="281">
        <v>3</v>
      </c>
      <c r="G224" s="28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2">
        <v>39807.910000000003</v>
      </c>
      <c r="O224" t="s">
        <v>968</v>
      </c>
    </row>
    <row r="225" spans="1:15">
      <c r="A225" t="s">
        <v>942</v>
      </c>
      <c r="B225" t="s">
        <v>945</v>
      </c>
      <c r="C225" s="553">
        <v>44230</v>
      </c>
      <c r="D225" s="281" t="s">
        <v>4307</v>
      </c>
      <c r="E225" s="281" t="s">
        <v>3059</v>
      </c>
      <c r="F225" s="281">
        <v>4</v>
      </c>
      <c r="G225" s="28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2">
        <v>2766.67</v>
      </c>
      <c r="O225" t="s">
        <v>971</v>
      </c>
    </row>
    <row r="226" spans="1:15">
      <c r="A226" t="s">
        <v>942</v>
      </c>
      <c r="B226" t="s">
        <v>945</v>
      </c>
      <c r="C226" s="553">
        <v>44230</v>
      </c>
      <c r="D226" s="281" t="s">
        <v>4307</v>
      </c>
      <c r="E226" s="281" t="s">
        <v>3059</v>
      </c>
      <c r="F226" s="281">
        <v>3</v>
      </c>
      <c r="G226" s="28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2">
        <v>2766.67</v>
      </c>
      <c r="O226" t="s">
        <v>968</v>
      </c>
    </row>
    <row r="227" spans="1:15">
      <c r="A227" t="s">
        <v>942</v>
      </c>
      <c r="B227" t="s">
        <v>945</v>
      </c>
      <c r="C227" s="553">
        <v>44230</v>
      </c>
      <c r="D227" s="281" t="s">
        <v>4307</v>
      </c>
      <c r="E227" s="281" t="s">
        <v>3059</v>
      </c>
      <c r="F227" s="281">
        <v>3</v>
      </c>
      <c r="G227" s="28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2">
        <v>1383.33</v>
      </c>
      <c r="O227" t="s">
        <v>968</v>
      </c>
    </row>
    <row r="228" spans="1:15">
      <c r="A228" t="s">
        <v>942</v>
      </c>
      <c r="B228" t="s">
        <v>945</v>
      </c>
      <c r="C228" s="553">
        <v>44230</v>
      </c>
      <c r="D228" s="281" t="s">
        <v>4307</v>
      </c>
      <c r="E228" s="281" t="s">
        <v>3059</v>
      </c>
      <c r="F228" s="281">
        <v>1</v>
      </c>
      <c r="G228" s="28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2">
        <v>13833.33</v>
      </c>
      <c r="O228" t="s">
        <v>961</v>
      </c>
    </row>
    <row r="229" spans="1:15">
      <c r="A229" t="s">
        <v>942</v>
      </c>
      <c r="B229" t="s">
        <v>945</v>
      </c>
      <c r="C229" s="553">
        <v>44230</v>
      </c>
      <c r="D229" s="281" t="s">
        <v>4307</v>
      </c>
      <c r="E229" s="281" t="s">
        <v>3059</v>
      </c>
      <c r="F229" s="281">
        <v>1</v>
      </c>
      <c r="G229" s="28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2">
        <v>691.67</v>
      </c>
      <c r="O229" t="s">
        <v>961</v>
      </c>
    </row>
    <row r="230" spans="1:15">
      <c r="A230" t="s">
        <v>942</v>
      </c>
      <c r="B230" t="s">
        <v>945</v>
      </c>
      <c r="C230" s="553">
        <v>44230</v>
      </c>
      <c r="D230" s="281" t="s">
        <v>4307</v>
      </c>
      <c r="E230" s="281" t="s">
        <v>3059</v>
      </c>
      <c r="F230" s="281">
        <v>1</v>
      </c>
      <c r="G230" s="28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2">
        <v>1798.33</v>
      </c>
      <c r="O230" t="s">
        <v>961</v>
      </c>
    </row>
    <row r="231" spans="1:15">
      <c r="A231" t="s">
        <v>942</v>
      </c>
      <c r="B231" t="s">
        <v>945</v>
      </c>
      <c r="C231" s="553">
        <v>44230</v>
      </c>
      <c r="D231" s="281" t="s">
        <v>4307</v>
      </c>
      <c r="E231" s="281" t="s">
        <v>3059</v>
      </c>
      <c r="F231" s="281">
        <v>1</v>
      </c>
      <c r="G231" s="28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2">
        <v>3609.82</v>
      </c>
      <c r="O231" t="s">
        <v>961</v>
      </c>
    </row>
    <row r="232" spans="1:15">
      <c r="A232" t="s">
        <v>942</v>
      </c>
      <c r="B232" t="s">
        <v>945</v>
      </c>
      <c r="C232" s="553">
        <v>44230</v>
      </c>
      <c r="D232" s="281" t="s">
        <v>4307</v>
      </c>
      <c r="E232" s="281" t="s">
        <v>3059</v>
      </c>
      <c r="F232" s="281">
        <v>1</v>
      </c>
      <c r="G232" s="28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2">
        <v>1383.33</v>
      </c>
      <c r="O232" t="s">
        <v>961</v>
      </c>
    </row>
    <row r="233" spans="1:15">
      <c r="A233" t="s">
        <v>942</v>
      </c>
      <c r="B233" t="s">
        <v>945</v>
      </c>
      <c r="C233" s="553">
        <v>44230</v>
      </c>
      <c r="D233" s="281" t="s">
        <v>4307</v>
      </c>
      <c r="E233" s="281" t="s">
        <v>3059</v>
      </c>
      <c r="F233" s="281">
        <v>1</v>
      </c>
      <c r="G233" s="28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2">
        <v>6916.67</v>
      </c>
      <c r="O233" t="s">
        <v>961</v>
      </c>
    </row>
    <row r="234" spans="1:15">
      <c r="A234" t="s">
        <v>942</v>
      </c>
      <c r="B234" t="s">
        <v>945</v>
      </c>
      <c r="C234" s="553">
        <v>44230</v>
      </c>
      <c r="D234" s="281" t="s">
        <v>4307</v>
      </c>
      <c r="E234" s="281" t="s">
        <v>3059</v>
      </c>
      <c r="F234" s="281">
        <v>1</v>
      </c>
      <c r="G234" s="28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2">
        <v>2075</v>
      </c>
      <c r="O234" t="s">
        <v>961</v>
      </c>
    </row>
    <row r="235" spans="1:15">
      <c r="A235" t="s">
        <v>942</v>
      </c>
      <c r="B235" t="s">
        <v>945</v>
      </c>
      <c r="C235" s="553">
        <v>44230</v>
      </c>
      <c r="D235" s="281" t="s">
        <v>4307</v>
      </c>
      <c r="E235" s="281" t="s">
        <v>3059</v>
      </c>
      <c r="F235" s="281">
        <v>1</v>
      </c>
      <c r="G235" s="28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2">
        <v>3375.33</v>
      </c>
      <c r="O235" t="s">
        <v>961</v>
      </c>
    </row>
    <row r="236" spans="1:15">
      <c r="A236" t="s">
        <v>942</v>
      </c>
      <c r="B236" t="s">
        <v>945</v>
      </c>
      <c r="C236" s="553">
        <v>44230</v>
      </c>
      <c r="D236" s="281" t="s">
        <v>4307</v>
      </c>
      <c r="E236" s="281" t="s">
        <v>3059</v>
      </c>
      <c r="F236" s="281">
        <v>3</v>
      </c>
      <c r="G236" s="28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2">
        <v>691.67</v>
      </c>
      <c r="O236" t="s">
        <v>968</v>
      </c>
    </row>
    <row r="237" spans="1:15">
      <c r="A237" t="s">
        <v>942</v>
      </c>
      <c r="B237" t="s">
        <v>945</v>
      </c>
      <c r="C237" s="553">
        <v>44230</v>
      </c>
      <c r="D237" s="281" t="s">
        <v>4307</v>
      </c>
      <c r="E237" s="281" t="s">
        <v>3059</v>
      </c>
      <c r="F237" s="281">
        <v>1</v>
      </c>
      <c r="G237" s="28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2">
        <v>8308.2099999999991</v>
      </c>
      <c r="O237" t="s">
        <v>961</v>
      </c>
    </row>
    <row r="238" spans="1:15">
      <c r="A238" t="s">
        <v>942</v>
      </c>
      <c r="B238" t="s">
        <v>945</v>
      </c>
      <c r="C238" s="553">
        <v>44230</v>
      </c>
      <c r="D238" s="281" t="s">
        <v>4308</v>
      </c>
      <c r="E238" s="281" t="s">
        <v>3061</v>
      </c>
      <c r="F238" s="281">
        <v>1</v>
      </c>
      <c r="G238" s="28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2">
        <v>1245</v>
      </c>
      <c r="O238" t="s">
        <v>961</v>
      </c>
    </row>
    <row r="239" spans="1:15">
      <c r="A239" t="s">
        <v>942</v>
      </c>
      <c r="B239" t="s">
        <v>945</v>
      </c>
      <c r="C239" s="553">
        <v>44230</v>
      </c>
      <c r="D239" s="281" t="s">
        <v>4308</v>
      </c>
      <c r="E239" s="281" t="s">
        <v>3061</v>
      </c>
      <c r="F239" s="281">
        <v>1</v>
      </c>
      <c r="G239" s="28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2">
        <v>9960</v>
      </c>
      <c r="O239" t="s">
        <v>961</v>
      </c>
    </row>
    <row r="240" spans="1:15">
      <c r="A240" t="s">
        <v>942</v>
      </c>
      <c r="B240" t="s">
        <v>945</v>
      </c>
      <c r="C240" s="553">
        <v>44230</v>
      </c>
      <c r="D240" s="281" t="s">
        <v>4308</v>
      </c>
      <c r="E240" s="281" t="s">
        <v>3061</v>
      </c>
      <c r="F240" s="281">
        <v>1</v>
      </c>
      <c r="G240" s="28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2">
        <v>7211.11</v>
      </c>
      <c r="O240" t="s">
        <v>961</v>
      </c>
    </row>
    <row r="241" spans="1:15">
      <c r="A241" t="s">
        <v>942</v>
      </c>
      <c r="B241" t="s">
        <v>945</v>
      </c>
      <c r="C241" s="553">
        <v>44230</v>
      </c>
      <c r="D241" s="281" t="s">
        <v>4308</v>
      </c>
      <c r="E241" s="281" t="s">
        <v>3061</v>
      </c>
      <c r="F241" s="281">
        <v>1</v>
      </c>
      <c r="G241" s="28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2">
        <v>1412.1</v>
      </c>
      <c r="O241" t="s">
        <v>961</v>
      </c>
    </row>
    <row r="242" spans="1:15">
      <c r="A242" t="s">
        <v>942</v>
      </c>
      <c r="B242" t="s">
        <v>945</v>
      </c>
      <c r="C242" s="553">
        <v>44230</v>
      </c>
      <c r="D242" s="281" t="s">
        <v>4308</v>
      </c>
      <c r="E242" s="281" t="s">
        <v>3061</v>
      </c>
      <c r="F242" s="281">
        <v>1</v>
      </c>
      <c r="G242" s="28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2">
        <v>31391.81</v>
      </c>
      <c r="O242" t="s">
        <v>961</v>
      </c>
    </row>
    <row r="243" spans="1:15">
      <c r="A243" t="s">
        <v>942</v>
      </c>
      <c r="B243" t="s">
        <v>945</v>
      </c>
      <c r="C243" s="553">
        <v>44230</v>
      </c>
      <c r="D243" s="281" t="s">
        <v>4308</v>
      </c>
      <c r="E243" s="281" t="s">
        <v>3061</v>
      </c>
      <c r="F243" s="281">
        <v>1</v>
      </c>
      <c r="G243" s="28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2">
        <v>830</v>
      </c>
      <c r="O243" t="s">
        <v>961</v>
      </c>
    </row>
    <row r="244" spans="1:15">
      <c r="A244" t="s">
        <v>942</v>
      </c>
      <c r="B244" t="s">
        <v>945</v>
      </c>
      <c r="C244" s="553">
        <v>44230</v>
      </c>
      <c r="D244" s="281" t="s">
        <v>4308</v>
      </c>
      <c r="E244" s="281" t="s">
        <v>3061</v>
      </c>
      <c r="F244" s="281">
        <v>1</v>
      </c>
      <c r="G244" s="28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2">
        <v>5057.87</v>
      </c>
      <c r="O244" t="s">
        <v>961</v>
      </c>
    </row>
    <row r="245" spans="1:15">
      <c r="A245" t="s">
        <v>942</v>
      </c>
      <c r="B245" t="s">
        <v>945</v>
      </c>
      <c r="C245" s="553">
        <v>44230</v>
      </c>
      <c r="D245" s="281" t="s">
        <v>4308</v>
      </c>
      <c r="E245" s="281" t="s">
        <v>3061</v>
      </c>
      <c r="F245" s="281">
        <v>1</v>
      </c>
      <c r="G245" s="28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2">
        <v>2988</v>
      </c>
      <c r="O245" t="s">
        <v>961</v>
      </c>
    </row>
    <row r="246" spans="1:15">
      <c r="A246" t="s">
        <v>942</v>
      </c>
      <c r="B246" t="s">
        <v>945</v>
      </c>
      <c r="C246" s="553">
        <v>44230</v>
      </c>
      <c r="D246" s="281" t="s">
        <v>4308</v>
      </c>
      <c r="E246" s="281" t="s">
        <v>3061</v>
      </c>
      <c r="F246" s="281">
        <v>1</v>
      </c>
      <c r="G246" s="28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2">
        <v>581</v>
      </c>
      <c r="O246" t="s">
        <v>961</v>
      </c>
    </row>
    <row r="247" spans="1:15">
      <c r="A247" t="s">
        <v>942</v>
      </c>
      <c r="B247" t="s">
        <v>945</v>
      </c>
      <c r="C247" s="553">
        <v>44230</v>
      </c>
      <c r="D247" s="281" t="s">
        <v>4308</v>
      </c>
      <c r="E247" s="281" t="s">
        <v>3061</v>
      </c>
      <c r="F247" s="281">
        <v>1</v>
      </c>
      <c r="G247" s="28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2">
        <v>498</v>
      </c>
      <c r="O247" t="s">
        <v>961</v>
      </c>
    </row>
    <row r="248" spans="1:15">
      <c r="A248" t="s">
        <v>942</v>
      </c>
      <c r="B248" t="s">
        <v>945</v>
      </c>
      <c r="C248" s="553">
        <v>44230</v>
      </c>
      <c r="D248" s="281" t="s">
        <v>4308</v>
      </c>
      <c r="E248" s="281" t="s">
        <v>3061</v>
      </c>
      <c r="F248" s="281">
        <v>1</v>
      </c>
      <c r="G248" s="28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2">
        <v>14386.67</v>
      </c>
      <c r="O248" t="s">
        <v>961</v>
      </c>
    </row>
    <row r="249" spans="1:15">
      <c r="A249" t="s">
        <v>942</v>
      </c>
      <c r="B249" t="s">
        <v>945</v>
      </c>
      <c r="C249" s="553">
        <v>44230</v>
      </c>
      <c r="D249" s="281" t="s">
        <v>4308</v>
      </c>
      <c r="E249" s="281" t="s">
        <v>3061</v>
      </c>
      <c r="F249" s="281">
        <v>1</v>
      </c>
      <c r="G249" s="28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2">
        <v>109583.24</v>
      </c>
      <c r="O249" t="s">
        <v>961</v>
      </c>
    </row>
    <row r="250" spans="1:15">
      <c r="A250" t="s">
        <v>942</v>
      </c>
      <c r="B250" t="s">
        <v>945</v>
      </c>
      <c r="C250" s="553">
        <v>44230</v>
      </c>
      <c r="D250" s="281" t="s">
        <v>4308</v>
      </c>
      <c r="E250" s="281" t="s">
        <v>3061</v>
      </c>
      <c r="F250" s="281">
        <v>3</v>
      </c>
      <c r="G250" s="28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2">
        <v>16600</v>
      </c>
      <c r="O250" t="s">
        <v>968</v>
      </c>
    </row>
    <row r="251" spans="1:15">
      <c r="A251" t="s">
        <v>942</v>
      </c>
      <c r="B251" t="s">
        <v>945</v>
      </c>
      <c r="C251" s="553">
        <v>44230</v>
      </c>
      <c r="D251" s="281" t="s">
        <v>4308</v>
      </c>
      <c r="E251" s="281" t="s">
        <v>3061</v>
      </c>
      <c r="F251" s="281">
        <v>4</v>
      </c>
      <c r="G251" s="28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2">
        <v>2766.67</v>
      </c>
      <c r="O251" t="s">
        <v>971</v>
      </c>
    </row>
    <row r="252" spans="1:15">
      <c r="A252" t="s">
        <v>942</v>
      </c>
      <c r="B252" t="s">
        <v>945</v>
      </c>
      <c r="C252" s="553">
        <v>44230</v>
      </c>
      <c r="D252" s="281" t="s">
        <v>4308</v>
      </c>
      <c r="E252" s="281" t="s">
        <v>3061</v>
      </c>
      <c r="F252" s="281">
        <v>3</v>
      </c>
      <c r="G252" s="28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2">
        <v>2766.67</v>
      </c>
      <c r="O252" t="s">
        <v>968</v>
      </c>
    </row>
    <row r="253" spans="1:15">
      <c r="A253" t="s">
        <v>942</v>
      </c>
      <c r="B253" t="s">
        <v>945</v>
      </c>
      <c r="C253" s="553">
        <v>44230</v>
      </c>
      <c r="D253" s="281" t="s">
        <v>4308</v>
      </c>
      <c r="E253" s="281" t="s">
        <v>3061</v>
      </c>
      <c r="F253" s="281">
        <v>3</v>
      </c>
      <c r="G253" s="28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2">
        <v>1383.33</v>
      </c>
      <c r="O253" t="s">
        <v>968</v>
      </c>
    </row>
    <row r="254" spans="1:15">
      <c r="A254" t="s">
        <v>942</v>
      </c>
      <c r="B254" t="s">
        <v>945</v>
      </c>
      <c r="C254" s="553">
        <v>44230</v>
      </c>
      <c r="D254" s="281" t="s">
        <v>4308</v>
      </c>
      <c r="E254" s="281" t="s">
        <v>3061</v>
      </c>
      <c r="F254" s="281">
        <v>1</v>
      </c>
      <c r="G254" s="28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2">
        <v>13833.33</v>
      </c>
      <c r="O254" t="s">
        <v>961</v>
      </c>
    </row>
    <row r="255" spans="1:15">
      <c r="A255" t="s">
        <v>942</v>
      </c>
      <c r="B255" t="s">
        <v>945</v>
      </c>
      <c r="C255" s="553">
        <v>44230</v>
      </c>
      <c r="D255" s="281" t="s">
        <v>4308</v>
      </c>
      <c r="E255" s="281" t="s">
        <v>3061</v>
      </c>
      <c r="F255" s="281">
        <v>1</v>
      </c>
      <c r="G255" s="28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2">
        <v>1037.5</v>
      </c>
      <c r="O255" t="s">
        <v>961</v>
      </c>
    </row>
    <row r="256" spans="1:15">
      <c r="A256" t="s">
        <v>942</v>
      </c>
      <c r="B256" t="s">
        <v>945</v>
      </c>
      <c r="C256" s="553">
        <v>44230</v>
      </c>
      <c r="D256" s="281" t="s">
        <v>4308</v>
      </c>
      <c r="E256" s="281" t="s">
        <v>3061</v>
      </c>
      <c r="F256" s="281">
        <v>1</v>
      </c>
      <c r="G256" s="28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2">
        <v>1390.25</v>
      </c>
      <c r="O256" t="s">
        <v>961</v>
      </c>
    </row>
    <row r="257" spans="1:15">
      <c r="A257" t="s">
        <v>942</v>
      </c>
      <c r="B257" t="s">
        <v>945</v>
      </c>
      <c r="C257" s="553">
        <v>44230</v>
      </c>
      <c r="D257" s="281" t="s">
        <v>4308</v>
      </c>
      <c r="E257" s="281" t="s">
        <v>3061</v>
      </c>
      <c r="F257" s="281">
        <v>1</v>
      </c>
      <c r="G257" s="28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2">
        <v>3043.33</v>
      </c>
      <c r="O257" t="s">
        <v>961</v>
      </c>
    </row>
    <row r="258" spans="1:15">
      <c r="A258" t="s">
        <v>942</v>
      </c>
      <c r="B258" t="s">
        <v>945</v>
      </c>
      <c r="C258" s="553">
        <v>44230</v>
      </c>
      <c r="D258" s="281" t="s">
        <v>4308</v>
      </c>
      <c r="E258" s="281" t="s">
        <v>3061</v>
      </c>
      <c r="F258" s="281">
        <v>1</v>
      </c>
      <c r="G258" s="28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2">
        <v>85490</v>
      </c>
      <c r="O258" t="s">
        <v>961</v>
      </c>
    </row>
    <row r="259" spans="1:15">
      <c r="A259" t="s">
        <v>942</v>
      </c>
      <c r="B259" t="s">
        <v>945</v>
      </c>
      <c r="C259" s="553">
        <v>44230</v>
      </c>
      <c r="D259" s="281" t="s">
        <v>4308</v>
      </c>
      <c r="E259" s="281" t="s">
        <v>3061</v>
      </c>
      <c r="F259" s="281">
        <v>1</v>
      </c>
      <c r="G259" s="28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2">
        <v>1383.33</v>
      </c>
      <c r="O259" t="s">
        <v>961</v>
      </c>
    </row>
    <row r="260" spans="1:15">
      <c r="A260" t="s">
        <v>942</v>
      </c>
      <c r="B260" t="s">
        <v>945</v>
      </c>
      <c r="C260" s="553">
        <v>44230</v>
      </c>
      <c r="D260" s="281" t="s">
        <v>4308</v>
      </c>
      <c r="E260" s="281" t="s">
        <v>3061</v>
      </c>
      <c r="F260" s="281">
        <v>1</v>
      </c>
      <c r="G260" s="28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2">
        <v>6916.67</v>
      </c>
      <c r="O260" t="s">
        <v>961</v>
      </c>
    </row>
    <row r="261" spans="1:15">
      <c r="A261" t="s">
        <v>942</v>
      </c>
      <c r="B261" t="s">
        <v>945</v>
      </c>
      <c r="C261" s="553">
        <v>44230</v>
      </c>
      <c r="D261" s="281" t="s">
        <v>4308</v>
      </c>
      <c r="E261" s="281" t="s">
        <v>3061</v>
      </c>
      <c r="F261" s="281">
        <v>1</v>
      </c>
      <c r="G261" s="28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2">
        <v>691.67</v>
      </c>
      <c r="O261" t="s">
        <v>961</v>
      </c>
    </row>
    <row r="262" spans="1:15">
      <c r="A262" t="s">
        <v>942</v>
      </c>
      <c r="B262" t="s">
        <v>945</v>
      </c>
      <c r="C262" s="553">
        <v>44230</v>
      </c>
      <c r="D262" s="281" t="s">
        <v>4308</v>
      </c>
      <c r="E262" s="281" t="s">
        <v>3061</v>
      </c>
      <c r="F262" s="281">
        <v>1</v>
      </c>
      <c r="G262" s="28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2">
        <v>3375.33</v>
      </c>
      <c r="O262" t="s">
        <v>961</v>
      </c>
    </row>
    <row r="263" spans="1:15">
      <c r="A263" t="s">
        <v>942</v>
      </c>
      <c r="B263" t="s">
        <v>945</v>
      </c>
      <c r="C263" s="553">
        <v>44230</v>
      </c>
      <c r="D263" s="281" t="s">
        <v>4308</v>
      </c>
      <c r="E263" s="281" t="s">
        <v>3061</v>
      </c>
      <c r="F263" s="281">
        <v>3</v>
      </c>
      <c r="G263" s="28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2">
        <v>3320</v>
      </c>
      <c r="O263" t="s">
        <v>968</v>
      </c>
    </row>
    <row r="264" spans="1:15">
      <c r="A264" t="s">
        <v>942</v>
      </c>
      <c r="B264" t="s">
        <v>945</v>
      </c>
      <c r="C264" s="553">
        <v>44230</v>
      </c>
      <c r="D264" s="281" t="s">
        <v>4308</v>
      </c>
      <c r="E264" s="281" t="s">
        <v>3061</v>
      </c>
      <c r="F264" s="281">
        <v>1</v>
      </c>
      <c r="G264" s="28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2">
        <v>8443.52</v>
      </c>
      <c r="O264" t="s">
        <v>961</v>
      </c>
    </row>
    <row r="265" spans="1:15">
      <c r="A265" t="s">
        <v>942</v>
      </c>
      <c r="B265" t="s">
        <v>945</v>
      </c>
      <c r="C265" s="553">
        <v>44230</v>
      </c>
      <c r="D265" s="281" t="s">
        <v>4309</v>
      </c>
      <c r="E265" s="281" t="s">
        <v>3063</v>
      </c>
      <c r="F265" s="281">
        <v>1</v>
      </c>
      <c r="G265" s="28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2">
        <v>1660</v>
      </c>
      <c r="O265" t="s">
        <v>961</v>
      </c>
    </row>
    <row r="266" spans="1:15">
      <c r="A266" t="s">
        <v>942</v>
      </c>
      <c r="B266" t="s">
        <v>945</v>
      </c>
      <c r="C266" s="553">
        <v>44230</v>
      </c>
      <c r="D266" s="281" t="s">
        <v>4309</v>
      </c>
      <c r="E266" s="281" t="s">
        <v>3063</v>
      </c>
      <c r="F266" s="281">
        <v>1</v>
      </c>
      <c r="G266" s="28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2">
        <v>9960</v>
      </c>
      <c r="O266" t="s">
        <v>961</v>
      </c>
    </row>
    <row r="267" spans="1:15">
      <c r="A267" t="s">
        <v>942</v>
      </c>
      <c r="B267" t="s">
        <v>945</v>
      </c>
      <c r="C267" s="553">
        <v>44230</v>
      </c>
      <c r="D267" s="281" t="s">
        <v>4309</v>
      </c>
      <c r="E267" s="281" t="s">
        <v>3063</v>
      </c>
      <c r="F267" s="281">
        <v>1</v>
      </c>
      <c r="G267" s="28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2">
        <v>4980</v>
      </c>
      <c r="O267" t="s">
        <v>961</v>
      </c>
    </row>
    <row r="268" spans="1:15">
      <c r="A268" t="s">
        <v>942</v>
      </c>
      <c r="B268" t="s">
        <v>945</v>
      </c>
      <c r="C268" s="553">
        <v>44230</v>
      </c>
      <c r="D268" s="281" t="s">
        <v>4309</v>
      </c>
      <c r="E268" s="281" t="s">
        <v>3063</v>
      </c>
      <c r="F268" s="281">
        <v>1</v>
      </c>
      <c r="G268" s="28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2">
        <v>1328</v>
      </c>
      <c r="O268" t="s">
        <v>961</v>
      </c>
    </row>
    <row r="269" spans="1:15">
      <c r="A269" t="s">
        <v>942</v>
      </c>
      <c r="B269" t="s">
        <v>945</v>
      </c>
      <c r="C269" s="553">
        <v>44230</v>
      </c>
      <c r="D269" s="281" t="s">
        <v>4309</v>
      </c>
      <c r="E269" s="281" t="s">
        <v>3063</v>
      </c>
      <c r="F269" s="281">
        <v>1</v>
      </c>
      <c r="G269" s="28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2">
        <v>48416.67</v>
      </c>
      <c r="O269" t="s">
        <v>961</v>
      </c>
    </row>
    <row r="270" spans="1:15">
      <c r="A270" t="s">
        <v>942</v>
      </c>
      <c r="B270" t="s">
        <v>945</v>
      </c>
      <c r="C270" s="553">
        <v>44230</v>
      </c>
      <c r="D270" s="281" t="s">
        <v>4309</v>
      </c>
      <c r="E270" s="281" t="s">
        <v>3063</v>
      </c>
      <c r="F270" s="281">
        <v>1</v>
      </c>
      <c r="G270" s="28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2">
        <v>8300</v>
      </c>
      <c r="O270" t="s">
        <v>961</v>
      </c>
    </row>
    <row r="271" spans="1:15">
      <c r="A271" t="s">
        <v>942</v>
      </c>
      <c r="B271" t="s">
        <v>945</v>
      </c>
      <c r="C271" s="553">
        <v>44230</v>
      </c>
      <c r="D271" s="281" t="s">
        <v>4309</v>
      </c>
      <c r="E271" s="281" t="s">
        <v>3063</v>
      </c>
      <c r="F271" s="281">
        <v>1</v>
      </c>
      <c r="G271" s="28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2">
        <v>2490</v>
      </c>
      <c r="O271" t="s">
        <v>961</v>
      </c>
    </row>
    <row r="272" spans="1:15">
      <c r="A272" t="s">
        <v>942</v>
      </c>
      <c r="B272" t="s">
        <v>945</v>
      </c>
      <c r="C272" s="553">
        <v>44230</v>
      </c>
      <c r="D272" s="281" t="s">
        <v>4309</v>
      </c>
      <c r="E272" s="281" t="s">
        <v>3063</v>
      </c>
      <c r="F272" s="281">
        <v>1</v>
      </c>
      <c r="G272" s="28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2">
        <v>4980</v>
      </c>
      <c r="O272" t="s">
        <v>961</v>
      </c>
    </row>
    <row r="273" spans="1:15">
      <c r="A273" t="s">
        <v>942</v>
      </c>
      <c r="B273" t="s">
        <v>945</v>
      </c>
      <c r="C273" s="553">
        <v>44230</v>
      </c>
      <c r="D273" s="281" t="s">
        <v>4309</v>
      </c>
      <c r="E273" s="281" t="s">
        <v>3063</v>
      </c>
      <c r="F273" s="281">
        <v>1</v>
      </c>
      <c r="G273" s="28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2">
        <v>1668.3</v>
      </c>
      <c r="O273" t="s">
        <v>961</v>
      </c>
    </row>
    <row r="274" spans="1:15">
      <c r="A274" t="s">
        <v>942</v>
      </c>
      <c r="B274" t="s">
        <v>945</v>
      </c>
      <c r="C274" s="553">
        <v>44230</v>
      </c>
      <c r="D274" s="281" t="s">
        <v>4309</v>
      </c>
      <c r="E274" s="281" t="s">
        <v>3063</v>
      </c>
      <c r="F274" s="281">
        <v>1</v>
      </c>
      <c r="G274" s="28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2">
        <v>332</v>
      </c>
      <c r="O274" t="s">
        <v>961</v>
      </c>
    </row>
    <row r="275" spans="1:15">
      <c r="A275" t="s">
        <v>942</v>
      </c>
      <c r="B275" t="s">
        <v>945</v>
      </c>
      <c r="C275" s="553">
        <v>44230</v>
      </c>
      <c r="D275" s="281" t="s">
        <v>4309</v>
      </c>
      <c r="E275" s="281" t="s">
        <v>3063</v>
      </c>
      <c r="F275" s="281">
        <v>1</v>
      </c>
      <c r="G275" s="28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2">
        <v>27694.33</v>
      </c>
      <c r="O275" t="s">
        <v>961</v>
      </c>
    </row>
    <row r="276" spans="1:15">
      <c r="A276" t="s">
        <v>942</v>
      </c>
      <c r="B276" t="s">
        <v>945</v>
      </c>
      <c r="C276" s="553">
        <v>44230</v>
      </c>
      <c r="D276" s="281" t="s">
        <v>4309</v>
      </c>
      <c r="E276" s="281" t="s">
        <v>3063</v>
      </c>
      <c r="F276" s="281">
        <v>2</v>
      </c>
      <c r="G276" s="28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2">
        <v>111561.41</v>
      </c>
      <c r="O276" t="s">
        <v>965</v>
      </c>
    </row>
    <row r="277" spans="1:15">
      <c r="A277" t="s">
        <v>942</v>
      </c>
      <c r="B277" t="s">
        <v>945</v>
      </c>
      <c r="C277" s="553">
        <v>44230</v>
      </c>
      <c r="D277" s="281" t="s">
        <v>4309</v>
      </c>
      <c r="E277" s="281" t="s">
        <v>3063</v>
      </c>
      <c r="F277" s="281">
        <v>4</v>
      </c>
      <c r="G277" s="28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2">
        <v>2766.67</v>
      </c>
      <c r="O277" t="s">
        <v>971</v>
      </c>
    </row>
    <row r="278" spans="1:15">
      <c r="A278" t="s">
        <v>942</v>
      </c>
      <c r="B278" t="s">
        <v>945</v>
      </c>
      <c r="C278" s="553">
        <v>44230</v>
      </c>
      <c r="D278" s="281" t="s">
        <v>4309</v>
      </c>
      <c r="E278" s="281" t="s">
        <v>3063</v>
      </c>
      <c r="F278" s="281">
        <v>3</v>
      </c>
      <c r="G278" s="28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2">
        <v>2766.67</v>
      </c>
      <c r="O278" t="s">
        <v>968</v>
      </c>
    </row>
    <row r="279" spans="1:15">
      <c r="A279" t="s">
        <v>942</v>
      </c>
      <c r="B279" t="s">
        <v>945</v>
      </c>
      <c r="C279" s="553">
        <v>44230</v>
      </c>
      <c r="D279" s="281" t="s">
        <v>4309</v>
      </c>
      <c r="E279" s="281" t="s">
        <v>3063</v>
      </c>
      <c r="F279" s="281">
        <v>3</v>
      </c>
      <c r="G279" s="28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2">
        <v>1383.33</v>
      </c>
      <c r="O279" t="s">
        <v>968</v>
      </c>
    </row>
    <row r="280" spans="1:15">
      <c r="A280" t="s">
        <v>942</v>
      </c>
      <c r="B280" t="s">
        <v>945</v>
      </c>
      <c r="C280" s="553">
        <v>44230</v>
      </c>
      <c r="D280" s="281" t="s">
        <v>4309</v>
      </c>
      <c r="E280" s="281" t="s">
        <v>3063</v>
      </c>
      <c r="F280" s="281">
        <v>1</v>
      </c>
      <c r="G280" s="28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2">
        <v>11066.67</v>
      </c>
      <c r="O280" t="s">
        <v>961</v>
      </c>
    </row>
    <row r="281" spans="1:15">
      <c r="A281" t="s">
        <v>942</v>
      </c>
      <c r="B281" t="s">
        <v>945</v>
      </c>
      <c r="C281" s="553">
        <v>44230</v>
      </c>
      <c r="D281" s="281" t="s">
        <v>4309</v>
      </c>
      <c r="E281" s="281" t="s">
        <v>3063</v>
      </c>
      <c r="F281" s="281">
        <v>1</v>
      </c>
      <c r="G281" s="28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2">
        <v>691.67</v>
      </c>
      <c r="O281" t="s">
        <v>961</v>
      </c>
    </row>
    <row r="282" spans="1:15">
      <c r="A282" t="s">
        <v>942</v>
      </c>
      <c r="B282" t="s">
        <v>945</v>
      </c>
      <c r="C282" s="553">
        <v>44230</v>
      </c>
      <c r="D282" s="281" t="s">
        <v>4309</v>
      </c>
      <c r="E282" s="281" t="s">
        <v>3063</v>
      </c>
      <c r="F282" s="281">
        <v>1</v>
      </c>
      <c r="G282" s="28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2">
        <v>1383.33</v>
      </c>
      <c r="O282" t="s">
        <v>961</v>
      </c>
    </row>
    <row r="283" spans="1:15">
      <c r="A283" t="s">
        <v>942</v>
      </c>
      <c r="B283" t="s">
        <v>945</v>
      </c>
      <c r="C283" s="553">
        <v>44230</v>
      </c>
      <c r="D283" s="281" t="s">
        <v>4309</v>
      </c>
      <c r="E283" s="281" t="s">
        <v>3063</v>
      </c>
      <c r="F283" s="281">
        <v>1</v>
      </c>
      <c r="G283" s="28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2">
        <v>3043.33</v>
      </c>
      <c r="O283" t="s">
        <v>961</v>
      </c>
    </row>
    <row r="284" spans="1:15">
      <c r="A284" t="s">
        <v>942</v>
      </c>
      <c r="B284" t="s">
        <v>945</v>
      </c>
      <c r="C284" s="553">
        <v>44230</v>
      </c>
      <c r="D284" s="281" t="s">
        <v>4309</v>
      </c>
      <c r="E284" s="281" t="s">
        <v>3063</v>
      </c>
      <c r="F284" s="281">
        <v>1</v>
      </c>
      <c r="G284" s="28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2">
        <v>82446.67</v>
      </c>
      <c r="O284" t="s">
        <v>961</v>
      </c>
    </row>
    <row r="285" spans="1:15">
      <c r="A285" t="s">
        <v>942</v>
      </c>
      <c r="B285" t="s">
        <v>945</v>
      </c>
      <c r="C285" s="553">
        <v>44230</v>
      </c>
      <c r="D285" s="281" t="s">
        <v>4309</v>
      </c>
      <c r="E285" s="281" t="s">
        <v>3063</v>
      </c>
      <c r="F285" s="281">
        <v>1</v>
      </c>
      <c r="G285" s="28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2">
        <v>1660</v>
      </c>
      <c r="O285" t="s">
        <v>961</v>
      </c>
    </row>
    <row r="286" spans="1:15">
      <c r="A286" t="s">
        <v>942</v>
      </c>
      <c r="B286" t="s">
        <v>945</v>
      </c>
      <c r="C286" s="553">
        <v>44230</v>
      </c>
      <c r="D286" s="281" t="s">
        <v>4309</v>
      </c>
      <c r="E286" s="281" t="s">
        <v>3063</v>
      </c>
      <c r="F286" s="281">
        <v>1</v>
      </c>
      <c r="G286" s="28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2">
        <v>1383.33</v>
      </c>
      <c r="O286" t="s">
        <v>961</v>
      </c>
    </row>
    <row r="287" spans="1:15">
      <c r="A287" t="s">
        <v>942</v>
      </c>
      <c r="B287" t="s">
        <v>945</v>
      </c>
      <c r="C287" s="553">
        <v>44230</v>
      </c>
      <c r="D287" s="281" t="s">
        <v>4309</v>
      </c>
      <c r="E287" s="281" t="s">
        <v>3063</v>
      </c>
      <c r="F287" s="281">
        <v>1</v>
      </c>
      <c r="G287" s="28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2">
        <v>6916.67</v>
      </c>
      <c r="O287" t="s">
        <v>961</v>
      </c>
    </row>
    <row r="288" spans="1:15">
      <c r="A288" t="s">
        <v>942</v>
      </c>
      <c r="B288" t="s">
        <v>945</v>
      </c>
      <c r="C288" s="553">
        <v>44230</v>
      </c>
      <c r="D288" s="281" t="s">
        <v>4309</v>
      </c>
      <c r="E288" s="281" t="s">
        <v>3063</v>
      </c>
      <c r="F288" s="281">
        <v>1</v>
      </c>
      <c r="G288" s="28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2">
        <v>1383.33</v>
      </c>
      <c r="O288" t="s">
        <v>961</v>
      </c>
    </row>
    <row r="289" spans="1:15">
      <c r="A289" t="s">
        <v>942</v>
      </c>
      <c r="B289" t="s">
        <v>945</v>
      </c>
      <c r="C289" s="553">
        <v>44230</v>
      </c>
      <c r="D289" s="281" t="s">
        <v>4309</v>
      </c>
      <c r="E289" s="281" t="s">
        <v>3063</v>
      </c>
      <c r="F289" s="281">
        <v>1</v>
      </c>
      <c r="G289" s="28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2">
        <v>3375.33</v>
      </c>
      <c r="O289" t="s">
        <v>961</v>
      </c>
    </row>
    <row r="290" spans="1:15">
      <c r="A290" t="s">
        <v>942</v>
      </c>
      <c r="B290" t="s">
        <v>945</v>
      </c>
      <c r="C290" s="553">
        <v>44230</v>
      </c>
      <c r="D290" s="281" t="s">
        <v>4309</v>
      </c>
      <c r="E290" s="281" t="s">
        <v>3063</v>
      </c>
      <c r="F290" s="281">
        <v>3</v>
      </c>
      <c r="G290" s="28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2">
        <v>3320</v>
      </c>
      <c r="O290" t="s">
        <v>968</v>
      </c>
    </row>
    <row r="291" spans="1:15">
      <c r="A291" t="s">
        <v>942</v>
      </c>
      <c r="B291" t="s">
        <v>945</v>
      </c>
      <c r="C291" s="553">
        <v>44230</v>
      </c>
      <c r="D291" s="281" t="s">
        <v>4309</v>
      </c>
      <c r="E291" s="281" t="s">
        <v>3063</v>
      </c>
      <c r="F291" s="281">
        <v>1</v>
      </c>
      <c r="G291" s="28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2">
        <v>8468.65</v>
      </c>
      <c r="O291" t="s">
        <v>961</v>
      </c>
    </row>
    <row r="292" spans="1:15">
      <c r="A292" t="s">
        <v>942</v>
      </c>
      <c r="B292" t="s">
        <v>945</v>
      </c>
      <c r="C292" s="553">
        <v>44230</v>
      </c>
      <c r="D292" s="281" t="s">
        <v>4310</v>
      </c>
      <c r="E292" s="281" t="s">
        <v>3065</v>
      </c>
      <c r="F292" s="281">
        <v>1</v>
      </c>
      <c r="G292" s="28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2">
        <v>996</v>
      </c>
      <c r="O292" t="s">
        <v>961</v>
      </c>
    </row>
    <row r="293" spans="1:15">
      <c r="A293" t="s">
        <v>942</v>
      </c>
      <c r="B293" t="s">
        <v>945</v>
      </c>
      <c r="C293" s="553">
        <v>44230</v>
      </c>
      <c r="D293" s="281" t="s">
        <v>4310</v>
      </c>
      <c r="E293" s="281" t="s">
        <v>3065</v>
      </c>
      <c r="F293" s="281">
        <v>1</v>
      </c>
      <c r="G293" s="28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2">
        <v>7470</v>
      </c>
      <c r="O293" t="s">
        <v>961</v>
      </c>
    </row>
    <row r="294" spans="1:15">
      <c r="A294" t="s">
        <v>942</v>
      </c>
      <c r="B294" t="s">
        <v>945</v>
      </c>
      <c r="C294" s="553">
        <v>44230</v>
      </c>
      <c r="D294" s="281" t="s">
        <v>4310</v>
      </c>
      <c r="E294" s="281" t="s">
        <v>3065</v>
      </c>
      <c r="F294" s="281">
        <v>1</v>
      </c>
      <c r="G294" s="28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2">
        <v>4150</v>
      </c>
      <c r="O294" t="s">
        <v>961</v>
      </c>
    </row>
    <row r="295" spans="1:15">
      <c r="A295" t="s">
        <v>942</v>
      </c>
      <c r="B295" t="s">
        <v>945</v>
      </c>
      <c r="C295" s="553">
        <v>44230</v>
      </c>
      <c r="D295" s="281" t="s">
        <v>4310</v>
      </c>
      <c r="E295" s="281" t="s">
        <v>3065</v>
      </c>
      <c r="F295" s="281">
        <v>1</v>
      </c>
      <c r="G295" s="28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2">
        <v>1660</v>
      </c>
      <c r="O295" t="s">
        <v>961</v>
      </c>
    </row>
    <row r="296" spans="1:15">
      <c r="A296" t="s">
        <v>942</v>
      </c>
      <c r="B296" t="s">
        <v>945</v>
      </c>
      <c r="C296" s="553">
        <v>44230</v>
      </c>
      <c r="D296" s="281" t="s">
        <v>4310</v>
      </c>
      <c r="E296" s="281" t="s">
        <v>3065</v>
      </c>
      <c r="F296" s="281">
        <v>1</v>
      </c>
      <c r="G296" s="28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2">
        <v>6640</v>
      </c>
      <c r="O296" t="s">
        <v>961</v>
      </c>
    </row>
    <row r="297" spans="1:15">
      <c r="A297" t="s">
        <v>942</v>
      </c>
      <c r="B297" t="s">
        <v>945</v>
      </c>
      <c r="C297" s="553">
        <v>44230</v>
      </c>
      <c r="D297" s="281" t="s">
        <v>4310</v>
      </c>
      <c r="E297" s="281" t="s">
        <v>3065</v>
      </c>
      <c r="F297" s="281">
        <v>1</v>
      </c>
      <c r="G297" s="28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2">
        <v>3320</v>
      </c>
      <c r="O297" t="s">
        <v>961</v>
      </c>
    </row>
    <row r="298" spans="1:15">
      <c r="A298" t="s">
        <v>942</v>
      </c>
      <c r="B298" t="s">
        <v>945</v>
      </c>
      <c r="C298" s="553">
        <v>44230</v>
      </c>
      <c r="D298" s="281" t="s">
        <v>4310</v>
      </c>
      <c r="E298" s="281" t="s">
        <v>3065</v>
      </c>
      <c r="F298" s="281">
        <v>1</v>
      </c>
      <c r="G298" s="28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2">
        <v>1660</v>
      </c>
      <c r="O298" t="s">
        <v>961</v>
      </c>
    </row>
    <row r="299" spans="1:15">
      <c r="A299" t="s">
        <v>942</v>
      </c>
      <c r="B299" t="s">
        <v>945</v>
      </c>
      <c r="C299" s="553">
        <v>44230</v>
      </c>
      <c r="D299" s="281" t="s">
        <v>4310</v>
      </c>
      <c r="E299" s="281" t="s">
        <v>3065</v>
      </c>
      <c r="F299" s="281">
        <v>1</v>
      </c>
      <c r="G299" s="28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2">
        <v>2988</v>
      </c>
      <c r="O299" t="s">
        <v>961</v>
      </c>
    </row>
    <row r="300" spans="1:15">
      <c r="A300" t="s">
        <v>942</v>
      </c>
      <c r="B300" t="s">
        <v>945</v>
      </c>
      <c r="C300" s="553">
        <v>44230</v>
      </c>
      <c r="D300" s="281" t="s">
        <v>4310</v>
      </c>
      <c r="E300" s="281" t="s">
        <v>3065</v>
      </c>
      <c r="F300" s="281">
        <v>1</v>
      </c>
      <c r="G300" s="28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2">
        <v>581</v>
      </c>
      <c r="O300" t="s">
        <v>961</v>
      </c>
    </row>
    <row r="301" spans="1:15">
      <c r="A301" t="s">
        <v>942</v>
      </c>
      <c r="B301" t="s">
        <v>945</v>
      </c>
      <c r="C301" s="553">
        <v>44230</v>
      </c>
      <c r="D301" s="281" t="s">
        <v>4310</v>
      </c>
      <c r="E301" s="281" t="s">
        <v>3065</v>
      </c>
      <c r="F301" s="281">
        <v>1</v>
      </c>
      <c r="G301" s="28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2">
        <v>1590.83</v>
      </c>
      <c r="O301" t="s">
        <v>961</v>
      </c>
    </row>
    <row r="302" spans="1:15">
      <c r="A302" t="s">
        <v>942</v>
      </c>
      <c r="B302" t="s">
        <v>945</v>
      </c>
      <c r="C302" s="553">
        <v>44230</v>
      </c>
      <c r="D302" s="281" t="s">
        <v>4310</v>
      </c>
      <c r="E302" s="281" t="s">
        <v>3065</v>
      </c>
      <c r="F302" s="281">
        <v>1</v>
      </c>
      <c r="G302" s="28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2">
        <v>15825.33</v>
      </c>
      <c r="O302" t="s">
        <v>961</v>
      </c>
    </row>
    <row r="303" spans="1:15">
      <c r="A303" t="s">
        <v>942</v>
      </c>
      <c r="B303" t="s">
        <v>945</v>
      </c>
      <c r="C303" s="553">
        <v>44230</v>
      </c>
      <c r="D303" s="281" t="s">
        <v>4310</v>
      </c>
      <c r="E303" s="281" t="s">
        <v>3065</v>
      </c>
      <c r="F303" s="281">
        <v>2</v>
      </c>
      <c r="G303" s="28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2">
        <v>86564.57</v>
      </c>
      <c r="O303" t="s">
        <v>965</v>
      </c>
    </row>
    <row r="304" spans="1:15">
      <c r="A304" t="s">
        <v>942</v>
      </c>
      <c r="B304" t="s">
        <v>945</v>
      </c>
      <c r="C304" s="553">
        <v>44230</v>
      </c>
      <c r="D304" s="281" t="s">
        <v>4310</v>
      </c>
      <c r="E304" s="281" t="s">
        <v>3065</v>
      </c>
      <c r="F304" s="281">
        <v>4</v>
      </c>
      <c r="G304" s="28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2">
        <v>6916.67</v>
      </c>
      <c r="O304" t="s">
        <v>971</v>
      </c>
    </row>
    <row r="305" spans="1:15">
      <c r="A305" t="s">
        <v>942</v>
      </c>
      <c r="B305" t="s">
        <v>945</v>
      </c>
      <c r="C305" s="553">
        <v>44230</v>
      </c>
      <c r="D305" s="281" t="s">
        <v>4310</v>
      </c>
      <c r="E305" s="281" t="s">
        <v>3065</v>
      </c>
      <c r="F305" s="281">
        <v>3</v>
      </c>
      <c r="G305" s="28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2">
        <v>2766.67</v>
      </c>
      <c r="O305" t="s">
        <v>968</v>
      </c>
    </row>
    <row r="306" spans="1:15">
      <c r="A306" t="s">
        <v>942</v>
      </c>
      <c r="B306" t="s">
        <v>945</v>
      </c>
      <c r="C306" s="553">
        <v>44230</v>
      </c>
      <c r="D306" s="281" t="s">
        <v>4310</v>
      </c>
      <c r="E306" s="281" t="s">
        <v>3065</v>
      </c>
      <c r="F306" s="281">
        <v>3</v>
      </c>
      <c r="G306" s="28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2">
        <v>1383.33</v>
      </c>
      <c r="O306" t="s">
        <v>968</v>
      </c>
    </row>
    <row r="307" spans="1:15">
      <c r="A307" t="s">
        <v>942</v>
      </c>
      <c r="B307" t="s">
        <v>945</v>
      </c>
      <c r="C307" s="553">
        <v>44230</v>
      </c>
      <c r="D307" s="281" t="s">
        <v>4310</v>
      </c>
      <c r="E307" s="281" t="s">
        <v>3065</v>
      </c>
      <c r="F307" s="281">
        <v>1</v>
      </c>
      <c r="G307" s="28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2">
        <v>20750</v>
      </c>
      <c r="O307" t="s">
        <v>961</v>
      </c>
    </row>
    <row r="308" spans="1:15">
      <c r="A308" t="s">
        <v>942</v>
      </c>
      <c r="B308" t="s">
        <v>945</v>
      </c>
      <c r="C308" s="553">
        <v>44230</v>
      </c>
      <c r="D308" s="281" t="s">
        <v>4310</v>
      </c>
      <c r="E308" s="281" t="s">
        <v>3065</v>
      </c>
      <c r="F308" s="281">
        <v>1</v>
      </c>
      <c r="G308" s="28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2">
        <v>691.67</v>
      </c>
      <c r="O308" t="s">
        <v>961</v>
      </c>
    </row>
    <row r="309" spans="1:15">
      <c r="A309" t="s">
        <v>942</v>
      </c>
      <c r="B309" t="s">
        <v>945</v>
      </c>
      <c r="C309" s="553">
        <v>44230</v>
      </c>
      <c r="D309" s="281" t="s">
        <v>4310</v>
      </c>
      <c r="E309" s="281" t="s">
        <v>3065</v>
      </c>
      <c r="F309" s="281">
        <v>1</v>
      </c>
      <c r="G309" s="28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2">
        <v>1746.46</v>
      </c>
      <c r="O309" t="s">
        <v>961</v>
      </c>
    </row>
    <row r="310" spans="1:15">
      <c r="A310" t="s">
        <v>942</v>
      </c>
      <c r="B310" t="s">
        <v>945</v>
      </c>
      <c r="C310" s="553">
        <v>44230</v>
      </c>
      <c r="D310" s="281" t="s">
        <v>4310</v>
      </c>
      <c r="E310" s="281" t="s">
        <v>3065</v>
      </c>
      <c r="F310" s="281">
        <v>1</v>
      </c>
      <c r="G310" s="28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2">
        <v>3043.33</v>
      </c>
      <c r="O310" t="s">
        <v>961</v>
      </c>
    </row>
    <row r="311" spans="1:15">
      <c r="A311" t="s">
        <v>942</v>
      </c>
      <c r="B311" t="s">
        <v>945</v>
      </c>
      <c r="C311" s="553">
        <v>44230</v>
      </c>
      <c r="D311" s="281" t="s">
        <v>4310</v>
      </c>
      <c r="E311" s="281" t="s">
        <v>3065</v>
      </c>
      <c r="F311" s="281">
        <v>1</v>
      </c>
      <c r="G311" s="28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2">
        <v>36520</v>
      </c>
      <c r="O311" t="s">
        <v>961</v>
      </c>
    </row>
    <row r="312" spans="1:15">
      <c r="A312" t="s">
        <v>942</v>
      </c>
      <c r="B312" t="s">
        <v>945</v>
      </c>
      <c r="C312" s="553">
        <v>44230</v>
      </c>
      <c r="D312" s="281" t="s">
        <v>4310</v>
      </c>
      <c r="E312" s="281" t="s">
        <v>3065</v>
      </c>
      <c r="F312" s="281">
        <v>1</v>
      </c>
      <c r="G312" s="28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2">
        <v>1383.33</v>
      </c>
      <c r="O312" t="s">
        <v>961</v>
      </c>
    </row>
    <row r="313" spans="1:15">
      <c r="A313" t="s">
        <v>942</v>
      </c>
      <c r="B313" t="s">
        <v>945</v>
      </c>
      <c r="C313" s="553">
        <v>44230</v>
      </c>
      <c r="D313" s="281" t="s">
        <v>4310</v>
      </c>
      <c r="E313" s="281" t="s">
        <v>3065</v>
      </c>
      <c r="F313" s="281">
        <v>1</v>
      </c>
      <c r="G313" s="28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2">
        <v>6916.67</v>
      </c>
      <c r="O313" t="s">
        <v>961</v>
      </c>
    </row>
    <row r="314" spans="1:15">
      <c r="A314" t="s">
        <v>942</v>
      </c>
      <c r="B314" t="s">
        <v>945</v>
      </c>
      <c r="C314" s="553">
        <v>44230</v>
      </c>
      <c r="D314" s="281" t="s">
        <v>4310</v>
      </c>
      <c r="E314" s="281" t="s">
        <v>3065</v>
      </c>
      <c r="F314" s="281">
        <v>1</v>
      </c>
      <c r="G314" s="28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2">
        <v>691.67</v>
      </c>
      <c r="O314" t="s">
        <v>961</v>
      </c>
    </row>
    <row r="315" spans="1:15">
      <c r="A315" t="s">
        <v>942</v>
      </c>
      <c r="B315" t="s">
        <v>945</v>
      </c>
      <c r="C315" s="553">
        <v>44230</v>
      </c>
      <c r="D315" s="281" t="s">
        <v>4310</v>
      </c>
      <c r="E315" s="281" t="s">
        <v>3065</v>
      </c>
      <c r="F315" s="281">
        <v>1</v>
      </c>
      <c r="G315" s="28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2">
        <v>2877.33</v>
      </c>
      <c r="O315" t="s">
        <v>961</v>
      </c>
    </row>
    <row r="316" spans="1:15">
      <c r="A316" t="s">
        <v>942</v>
      </c>
      <c r="B316" t="s">
        <v>945</v>
      </c>
      <c r="C316" s="553">
        <v>44230</v>
      </c>
      <c r="D316" s="281" t="s">
        <v>4310</v>
      </c>
      <c r="E316" s="281" t="s">
        <v>3065</v>
      </c>
      <c r="F316" s="281">
        <v>3</v>
      </c>
      <c r="G316" s="28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2">
        <v>5533.33</v>
      </c>
      <c r="O316" t="s">
        <v>968</v>
      </c>
    </row>
    <row r="317" spans="1:15">
      <c r="A317" t="s">
        <v>942</v>
      </c>
      <c r="B317" t="s">
        <v>945</v>
      </c>
      <c r="C317" s="553">
        <v>44230</v>
      </c>
      <c r="D317" s="281" t="s">
        <v>4310</v>
      </c>
      <c r="E317" s="281" t="s">
        <v>3065</v>
      </c>
      <c r="F317" s="281">
        <v>1</v>
      </c>
      <c r="G317" s="28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2">
        <v>6301.33</v>
      </c>
      <c r="O317" t="s">
        <v>961</v>
      </c>
    </row>
    <row r="318" spans="1:15">
      <c r="A318" t="s">
        <v>942</v>
      </c>
      <c r="B318" t="s">
        <v>945</v>
      </c>
      <c r="C318" s="553">
        <v>44230</v>
      </c>
      <c r="D318" s="281" t="s">
        <v>4311</v>
      </c>
      <c r="E318" s="281" t="s">
        <v>3067</v>
      </c>
      <c r="F318" s="281">
        <v>4</v>
      </c>
      <c r="G318" s="28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2">
        <v>33384</v>
      </c>
      <c r="O318" t="s">
        <v>971</v>
      </c>
    </row>
    <row r="319" spans="1:15">
      <c r="A319" t="s">
        <v>942</v>
      </c>
      <c r="B319" t="s">
        <v>945</v>
      </c>
      <c r="C319" s="553">
        <v>44230</v>
      </c>
      <c r="D319" s="281" t="s">
        <v>4311</v>
      </c>
      <c r="E319" s="281" t="s">
        <v>3067</v>
      </c>
      <c r="F319" s="281">
        <v>10</v>
      </c>
      <c r="G319" s="28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2">
        <v>20564.91</v>
      </c>
      <c r="O319" t="s">
        <v>983</v>
      </c>
    </row>
    <row r="320" spans="1:15">
      <c r="A320" t="s">
        <v>942</v>
      </c>
      <c r="B320" t="s">
        <v>945</v>
      </c>
      <c r="C320" s="553">
        <v>44230</v>
      </c>
      <c r="D320" s="281" t="s">
        <v>4311</v>
      </c>
      <c r="E320" s="281" t="s">
        <v>3067</v>
      </c>
      <c r="F320" s="281">
        <v>1</v>
      </c>
      <c r="G320" s="28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2">
        <v>5534</v>
      </c>
      <c r="O320" t="s">
        <v>961</v>
      </c>
    </row>
    <row r="321" spans="1:15">
      <c r="A321" t="s">
        <v>942</v>
      </c>
      <c r="B321" t="s">
        <v>945</v>
      </c>
      <c r="C321" s="553">
        <v>44230</v>
      </c>
      <c r="D321" s="281" t="s">
        <v>4311</v>
      </c>
      <c r="E321" s="281" t="s">
        <v>3067</v>
      </c>
      <c r="F321" s="281">
        <v>1</v>
      </c>
      <c r="G321" s="28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2">
        <v>5534</v>
      </c>
      <c r="O321" t="s">
        <v>961</v>
      </c>
    </row>
    <row r="322" spans="1:15">
      <c r="A322" t="s">
        <v>942</v>
      </c>
      <c r="B322" t="s">
        <v>945</v>
      </c>
      <c r="C322" s="553">
        <v>44230</v>
      </c>
      <c r="D322" s="281" t="s">
        <v>4312</v>
      </c>
      <c r="E322" s="281" t="s">
        <v>3070</v>
      </c>
      <c r="F322" s="281">
        <v>4</v>
      </c>
      <c r="G322" s="28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2">
        <v>5000</v>
      </c>
      <c r="O322" t="s">
        <v>971</v>
      </c>
    </row>
    <row r="323" spans="1:15">
      <c r="A323" t="s">
        <v>942</v>
      </c>
      <c r="B323" t="s">
        <v>945</v>
      </c>
      <c r="C323" s="553">
        <v>44230</v>
      </c>
      <c r="D323" s="281" t="s">
        <v>4312</v>
      </c>
      <c r="E323" s="281" t="s">
        <v>3070</v>
      </c>
      <c r="F323" s="281">
        <v>1</v>
      </c>
      <c r="G323" s="28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2">
        <v>6281.33</v>
      </c>
      <c r="O323" t="s">
        <v>961</v>
      </c>
    </row>
    <row r="324" spans="1:15">
      <c r="A324" t="s">
        <v>942</v>
      </c>
      <c r="B324" t="s">
        <v>945</v>
      </c>
      <c r="C324" s="553">
        <v>44230</v>
      </c>
      <c r="D324" s="281" t="s">
        <v>4312</v>
      </c>
      <c r="E324" s="281" t="s">
        <v>3070</v>
      </c>
      <c r="F324" s="281">
        <v>1</v>
      </c>
      <c r="G324" s="28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2">
        <v>5600</v>
      </c>
      <c r="O324" t="s">
        <v>961</v>
      </c>
    </row>
    <row r="325" spans="1:15">
      <c r="A325" t="s">
        <v>942</v>
      </c>
      <c r="B325" t="s">
        <v>945</v>
      </c>
      <c r="C325" s="553">
        <v>44231</v>
      </c>
      <c r="D325" s="281" t="s">
        <v>4313</v>
      </c>
      <c r="E325" s="281" t="s">
        <v>3119</v>
      </c>
      <c r="F325" s="281">
        <v>1</v>
      </c>
      <c r="G325" s="28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2">
        <v>3952.09</v>
      </c>
      <c r="O325" t="s">
        <v>960</v>
      </c>
    </row>
    <row r="326" spans="1:15">
      <c r="A326" t="s">
        <v>942</v>
      </c>
      <c r="B326" t="s">
        <v>945</v>
      </c>
      <c r="C326" s="553">
        <v>44231</v>
      </c>
      <c r="D326" s="281" t="s">
        <v>4313</v>
      </c>
      <c r="E326" s="281" t="s">
        <v>3119</v>
      </c>
      <c r="F326" s="281">
        <v>1</v>
      </c>
      <c r="G326" s="28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2">
        <v>242.64</v>
      </c>
      <c r="O326" t="s">
        <v>962</v>
      </c>
    </row>
    <row r="327" spans="1:15">
      <c r="A327" t="s">
        <v>942</v>
      </c>
      <c r="B327" t="s">
        <v>945</v>
      </c>
      <c r="C327" s="553">
        <v>44231</v>
      </c>
      <c r="D327" s="281" t="s">
        <v>4314</v>
      </c>
      <c r="E327" s="281" t="s">
        <v>3128</v>
      </c>
      <c r="F327" s="281">
        <v>9</v>
      </c>
      <c r="G327" s="28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2">
        <v>11158</v>
      </c>
      <c r="O327" t="s">
        <v>982</v>
      </c>
    </row>
    <row r="328" spans="1:15">
      <c r="A328" t="s">
        <v>942</v>
      </c>
      <c r="B328" t="s">
        <v>945</v>
      </c>
      <c r="C328" s="553">
        <v>44231</v>
      </c>
      <c r="D328" s="281" t="s">
        <v>4314</v>
      </c>
      <c r="E328" s="281" t="s">
        <v>3128</v>
      </c>
      <c r="F328" s="281">
        <v>11</v>
      </c>
      <c r="G328" s="28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2">
        <v>10000</v>
      </c>
      <c r="O328" t="s">
        <v>985</v>
      </c>
    </row>
    <row r="329" spans="1:15">
      <c r="A329" t="s">
        <v>942</v>
      </c>
      <c r="B329" t="s">
        <v>945</v>
      </c>
      <c r="C329" s="553">
        <v>44231</v>
      </c>
      <c r="D329" s="281" t="s">
        <v>4314</v>
      </c>
      <c r="E329" s="281" t="s">
        <v>3128</v>
      </c>
      <c r="F329" s="281">
        <v>4</v>
      </c>
      <c r="G329" s="28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2">
        <v>15000</v>
      </c>
      <c r="O329" t="s">
        <v>971</v>
      </c>
    </row>
    <row r="330" spans="1:15">
      <c r="A330" t="s">
        <v>942</v>
      </c>
      <c r="B330" t="s">
        <v>945</v>
      </c>
      <c r="C330" s="553">
        <v>44231</v>
      </c>
      <c r="D330" s="281" t="s">
        <v>4315</v>
      </c>
      <c r="E330" s="281" t="s">
        <v>3131</v>
      </c>
      <c r="F330" s="281">
        <v>8</v>
      </c>
      <c r="G330" s="28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2">
        <v>546300</v>
      </c>
      <c r="O330" t="s">
        <v>980</v>
      </c>
    </row>
    <row r="331" spans="1:15">
      <c r="A331" t="s">
        <v>942</v>
      </c>
      <c r="B331" t="s">
        <v>945</v>
      </c>
      <c r="C331" s="553">
        <v>44231</v>
      </c>
      <c r="D331" s="281" t="s">
        <v>4315</v>
      </c>
      <c r="E331" s="281" t="s">
        <v>3131</v>
      </c>
      <c r="F331" s="281">
        <v>8</v>
      </c>
      <c r="G331" s="28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2">
        <v>500000</v>
      </c>
      <c r="O331" t="s">
        <v>981</v>
      </c>
    </row>
    <row r="332" spans="1:15">
      <c r="A332" t="s">
        <v>942</v>
      </c>
      <c r="B332" t="s">
        <v>945</v>
      </c>
      <c r="C332" s="553">
        <v>44231</v>
      </c>
      <c r="D332" s="281" t="s">
        <v>4316</v>
      </c>
      <c r="E332" s="281" t="s">
        <v>3134</v>
      </c>
      <c r="F332" s="281">
        <v>8</v>
      </c>
      <c r="G332" s="28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2">
        <v>535050</v>
      </c>
      <c r="O332" t="s">
        <v>980</v>
      </c>
    </row>
    <row r="333" spans="1:15">
      <c r="A333" t="s">
        <v>942</v>
      </c>
      <c r="B333" t="s">
        <v>945</v>
      </c>
      <c r="C333" s="553">
        <v>44231</v>
      </c>
      <c r="D333" s="281" t="s">
        <v>4317</v>
      </c>
      <c r="E333" s="281" t="s">
        <v>3136</v>
      </c>
      <c r="F333" s="281">
        <v>8</v>
      </c>
      <c r="G333" s="28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2">
        <v>463500</v>
      </c>
      <c r="O333" t="s">
        <v>980</v>
      </c>
    </row>
    <row r="334" spans="1:15">
      <c r="A334" t="s">
        <v>942</v>
      </c>
      <c r="B334" t="s">
        <v>945</v>
      </c>
      <c r="C334" s="553">
        <v>44231</v>
      </c>
      <c r="D334" s="281" t="s">
        <v>4317</v>
      </c>
      <c r="E334" s="281" t="s">
        <v>3136</v>
      </c>
      <c r="F334" s="281">
        <v>8</v>
      </c>
      <c r="G334" s="28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2">
        <v>500000</v>
      </c>
      <c r="O334" t="s">
        <v>981</v>
      </c>
    </row>
    <row r="335" spans="1:15">
      <c r="A335" t="s">
        <v>942</v>
      </c>
      <c r="B335" t="s">
        <v>945</v>
      </c>
      <c r="C335" s="553">
        <v>44231</v>
      </c>
      <c r="D335" s="281" t="s">
        <v>4318</v>
      </c>
      <c r="E335" s="281" t="s">
        <v>3138</v>
      </c>
      <c r="F335" s="281">
        <v>8</v>
      </c>
      <c r="G335" s="28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2">
        <v>370350</v>
      </c>
      <c r="O335" t="s">
        <v>980</v>
      </c>
    </row>
    <row r="336" spans="1:15">
      <c r="A336" t="s">
        <v>942</v>
      </c>
      <c r="B336" t="s">
        <v>945</v>
      </c>
      <c r="C336" s="553">
        <v>44231</v>
      </c>
      <c r="D336" s="281" t="s">
        <v>4318</v>
      </c>
      <c r="E336" s="281" t="s">
        <v>3138</v>
      </c>
      <c r="F336" s="281">
        <v>8</v>
      </c>
      <c r="G336" s="28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2">
        <v>500000</v>
      </c>
      <c r="O336" t="s">
        <v>981</v>
      </c>
    </row>
    <row r="337" spans="1:15">
      <c r="A337" t="s">
        <v>942</v>
      </c>
      <c r="B337" t="s">
        <v>945</v>
      </c>
      <c r="C337" s="553">
        <v>44231</v>
      </c>
      <c r="D337" s="281" t="s">
        <v>4319</v>
      </c>
      <c r="E337" s="281" t="s">
        <v>3140</v>
      </c>
      <c r="F337" s="281">
        <v>8</v>
      </c>
      <c r="G337" s="28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2">
        <v>315900</v>
      </c>
      <c r="O337" t="s">
        <v>980</v>
      </c>
    </row>
    <row r="338" spans="1:15">
      <c r="A338" t="s">
        <v>942</v>
      </c>
      <c r="B338" t="s">
        <v>945</v>
      </c>
      <c r="C338" s="553">
        <v>44231</v>
      </c>
      <c r="D338" s="281" t="s">
        <v>4319</v>
      </c>
      <c r="E338" s="281" t="s">
        <v>3140</v>
      </c>
      <c r="F338" s="281">
        <v>8</v>
      </c>
      <c r="G338" s="28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2">
        <v>500000</v>
      </c>
      <c r="O338" t="s">
        <v>981</v>
      </c>
    </row>
    <row r="339" spans="1:15">
      <c r="A339" t="s">
        <v>942</v>
      </c>
      <c r="B339" t="s">
        <v>945</v>
      </c>
      <c r="C339" s="553">
        <v>44235</v>
      </c>
      <c r="D339" s="281" t="s">
        <v>4320</v>
      </c>
      <c r="E339" s="281" t="s">
        <v>3147</v>
      </c>
      <c r="F339" s="281">
        <v>1</v>
      </c>
      <c r="G339" s="28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2">
        <v>54795</v>
      </c>
      <c r="O339" t="s">
        <v>960</v>
      </c>
    </row>
    <row r="340" spans="1:15">
      <c r="A340" t="s">
        <v>942</v>
      </c>
      <c r="B340" t="s">
        <v>945</v>
      </c>
      <c r="C340" s="553">
        <v>44235</v>
      </c>
      <c r="D340" s="281" t="s">
        <v>4320</v>
      </c>
      <c r="E340" s="281" t="s">
        <v>3147</v>
      </c>
      <c r="F340" s="281">
        <v>1</v>
      </c>
      <c r="G340" s="28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2">
        <v>6575.4</v>
      </c>
      <c r="O340" t="s">
        <v>962</v>
      </c>
    </row>
    <row r="341" spans="1:15">
      <c r="A341" t="s">
        <v>942</v>
      </c>
      <c r="B341" t="s">
        <v>945</v>
      </c>
      <c r="C341" s="553">
        <v>44235</v>
      </c>
      <c r="D341" s="281" t="s">
        <v>4320</v>
      </c>
      <c r="E341" s="281" t="s">
        <v>3147</v>
      </c>
      <c r="F341" s="281">
        <v>1</v>
      </c>
      <c r="G341" s="28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2">
        <v>643.82000000000005</v>
      </c>
      <c r="O341" t="s">
        <v>960</v>
      </c>
    </row>
    <row r="342" spans="1:15">
      <c r="A342" t="s">
        <v>942</v>
      </c>
      <c r="B342" t="s">
        <v>945</v>
      </c>
      <c r="C342" s="553">
        <v>44235</v>
      </c>
      <c r="D342" s="281" t="s">
        <v>4321</v>
      </c>
      <c r="E342" s="281" t="s">
        <v>3150</v>
      </c>
      <c r="F342" s="281">
        <v>1</v>
      </c>
      <c r="G342" s="28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2">
        <v>15120</v>
      </c>
      <c r="O342" t="s">
        <v>960</v>
      </c>
    </row>
    <row r="343" spans="1:15">
      <c r="A343" t="s">
        <v>942</v>
      </c>
      <c r="B343" t="s">
        <v>945</v>
      </c>
      <c r="C343" s="553">
        <v>44235</v>
      </c>
      <c r="D343" s="281" t="s">
        <v>4321</v>
      </c>
      <c r="E343" s="281" t="s">
        <v>3150</v>
      </c>
      <c r="F343" s="281">
        <v>1</v>
      </c>
      <c r="G343" s="28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2">
        <v>1878.6</v>
      </c>
      <c r="O343" t="s">
        <v>962</v>
      </c>
    </row>
    <row r="344" spans="1:15">
      <c r="A344" t="s">
        <v>942</v>
      </c>
      <c r="B344" t="s">
        <v>945</v>
      </c>
      <c r="C344" s="553">
        <v>44235</v>
      </c>
      <c r="D344" s="281" t="s">
        <v>4321</v>
      </c>
      <c r="E344" s="281" t="s">
        <v>3150</v>
      </c>
      <c r="F344" s="281">
        <v>1</v>
      </c>
      <c r="G344" s="28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2">
        <v>169.13</v>
      </c>
      <c r="O344" t="s">
        <v>960</v>
      </c>
    </row>
    <row r="345" spans="1:15">
      <c r="A345" t="s">
        <v>942</v>
      </c>
      <c r="B345" t="s">
        <v>945</v>
      </c>
      <c r="C345" s="553">
        <v>44235</v>
      </c>
      <c r="D345" s="281" t="s">
        <v>4322</v>
      </c>
      <c r="E345" s="281" t="s">
        <v>3153</v>
      </c>
      <c r="F345" s="281">
        <v>1</v>
      </c>
      <c r="G345" s="28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2">
        <v>15614</v>
      </c>
      <c r="O345" t="s">
        <v>960</v>
      </c>
    </row>
    <row r="346" spans="1:15">
      <c r="A346" t="s">
        <v>942</v>
      </c>
      <c r="B346" t="s">
        <v>945</v>
      </c>
      <c r="C346" s="553">
        <v>44235</v>
      </c>
      <c r="D346" s="281" t="s">
        <v>4322</v>
      </c>
      <c r="E346" s="281" t="s">
        <v>3153</v>
      </c>
      <c r="F346" s="281">
        <v>1</v>
      </c>
      <c r="G346" s="28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2">
        <v>1873.68</v>
      </c>
      <c r="O346" t="s">
        <v>962</v>
      </c>
    </row>
    <row r="347" spans="1:15">
      <c r="A347" t="s">
        <v>942</v>
      </c>
      <c r="B347" t="s">
        <v>945</v>
      </c>
      <c r="C347" s="553">
        <v>44235</v>
      </c>
      <c r="D347" s="281" t="s">
        <v>4322</v>
      </c>
      <c r="E347" s="281" t="s">
        <v>3153</v>
      </c>
      <c r="F347" s="281">
        <v>1</v>
      </c>
      <c r="G347" s="28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2">
        <v>211</v>
      </c>
      <c r="O347" t="s">
        <v>960</v>
      </c>
    </row>
    <row r="348" spans="1:15">
      <c r="A348" t="s">
        <v>942</v>
      </c>
      <c r="B348" t="s">
        <v>945</v>
      </c>
      <c r="C348" s="553">
        <v>44235</v>
      </c>
      <c r="D348" s="281" t="s">
        <v>4323</v>
      </c>
      <c r="E348" s="281" t="s">
        <v>3155</v>
      </c>
      <c r="F348" s="281">
        <v>1</v>
      </c>
      <c r="G348" s="28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2">
        <v>16027</v>
      </c>
      <c r="O348" t="s">
        <v>960</v>
      </c>
    </row>
    <row r="349" spans="1:15">
      <c r="A349" t="s">
        <v>942</v>
      </c>
      <c r="B349" t="s">
        <v>945</v>
      </c>
      <c r="C349" s="553">
        <v>44235</v>
      </c>
      <c r="D349" s="281" t="s">
        <v>4323</v>
      </c>
      <c r="E349" s="281" t="s">
        <v>3155</v>
      </c>
      <c r="F349" s="281">
        <v>1</v>
      </c>
      <c r="G349" s="28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2">
        <v>1923.24</v>
      </c>
      <c r="O349" t="s">
        <v>962</v>
      </c>
    </row>
    <row r="350" spans="1:15">
      <c r="A350" t="s">
        <v>942</v>
      </c>
      <c r="B350" t="s">
        <v>945</v>
      </c>
      <c r="C350" s="553">
        <v>44235</v>
      </c>
      <c r="D350" s="281" t="s">
        <v>4323</v>
      </c>
      <c r="E350" s="281" t="s">
        <v>3155</v>
      </c>
      <c r="F350" s="281">
        <v>1</v>
      </c>
      <c r="G350" s="28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2">
        <v>217.2</v>
      </c>
      <c r="O350" t="s">
        <v>960</v>
      </c>
    </row>
    <row r="351" spans="1:15">
      <c r="A351" t="s">
        <v>942</v>
      </c>
      <c r="B351" t="s">
        <v>945</v>
      </c>
      <c r="C351" s="553">
        <v>44235</v>
      </c>
      <c r="D351" s="281" t="s">
        <v>4324</v>
      </c>
      <c r="E351" s="281" t="s">
        <v>3157</v>
      </c>
      <c r="F351" s="281">
        <v>1</v>
      </c>
      <c r="G351" s="28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2">
        <v>19076</v>
      </c>
      <c r="O351" t="s">
        <v>960</v>
      </c>
    </row>
    <row r="352" spans="1:15">
      <c r="A352" t="s">
        <v>942</v>
      </c>
      <c r="B352" t="s">
        <v>945</v>
      </c>
      <c r="C352" s="553">
        <v>44235</v>
      </c>
      <c r="D352" s="281" t="s">
        <v>4324</v>
      </c>
      <c r="E352" s="281" t="s">
        <v>3157</v>
      </c>
      <c r="F352" s="281">
        <v>1</v>
      </c>
      <c r="G352" s="28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2">
        <v>2289.12</v>
      </c>
      <c r="O352" t="s">
        <v>962</v>
      </c>
    </row>
    <row r="353" spans="1:15">
      <c r="A353" t="s">
        <v>942</v>
      </c>
      <c r="B353" t="s">
        <v>945</v>
      </c>
      <c r="C353" s="553">
        <v>44235</v>
      </c>
      <c r="D353" s="281" t="s">
        <v>4324</v>
      </c>
      <c r="E353" s="281" t="s">
        <v>3157</v>
      </c>
      <c r="F353" s="281">
        <v>1</v>
      </c>
      <c r="G353" s="28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2">
        <v>228.89</v>
      </c>
      <c r="O353" t="s">
        <v>960</v>
      </c>
    </row>
    <row r="354" spans="1:15">
      <c r="A354" t="s">
        <v>942</v>
      </c>
      <c r="B354" t="s">
        <v>945</v>
      </c>
      <c r="C354" s="553">
        <v>44235</v>
      </c>
      <c r="D354" s="281" t="s">
        <v>4325</v>
      </c>
      <c r="E354" s="281" t="s">
        <v>3159</v>
      </c>
      <c r="F354" s="281">
        <v>1</v>
      </c>
      <c r="G354" s="28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2">
        <v>11398</v>
      </c>
      <c r="O354" t="s">
        <v>960</v>
      </c>
    </row>
    <row r="355" spans="1:15">
      <c r="A355" t="s">
        <v>942</v>
      </c>
      <c r="B355" t="s">
        <v>945</v>
      </c>
      <c r="C355" s="553">
        <v>44235</v>
      </c>
      <c r="D355" s="281" t="s">
        <v>4325</v>
      </c>
      <c r="E355" s="281" t="s">
        <v>3159</v>
      </c>
      <c r="F355" s="281">
        <v>1</v>
      </c>
      <c r="G355" s="28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2">
        <v>1367.76</v>
      </c>
      <c r="O355" t="s">
        <v>962</v>
      </c>
    </row>
    <row r="356" spans="1:15">
      <c r="A356" t="s">
        <v>942</v>
      </c>
      <c r="B356" t="s">
        <v>945</v>
      </c>
      <c r="C356" s="553">
        <v>44235</v>
      </c>
      <c r="D356" s="281" t="s">
        <v>4325</v>
      </c>
      <c r="E356" s="281" t="s">
        <v>3159</v>
      </c>
      <c r="F356" s="281">
        <v>1</v>
      </c>
      <c r="G356" s="28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2">
        <v>138.75</v>
      </c>
      <c r="O356" t="s">
        <v>960</v>
      </c>
    </row>
    <row r="357" spans="1:15">
      <c r="A357" t="s">
        <v>942</v>
      </c>
      <c r="B357" t="s">
        <v>945</v>
      </c>
      <c r="C357" s="553">
        <v>44235</v>
      </c>
      <c r="D357" s="281" t="s">
        <v>4326</v>
      </c>
      <c r="E357" s="281" t="s">
        <v>3161</v>
      </c>
      <c r="F357" s="281">
        <v>5</v>
      </c>
      <c r="G357" s="28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2">
        <v>1200</v>
      </c>
      <c r="O357" t="s">
        <v>974</v>
      </c>
    </row>
    <row r="358" spans="1:15">
      <c r="A358" t="s">
        <v>942</v>
      </c>
      <c r="B358" t="s">
        <v>945</v>
      </c>
      <c r="C358" s="553">
        <v>44235</v>
      </c>
      <c r="D358" s="281" t="s">
        <v>4327</v>
      </c>
      <c r="E358" s="281" t="s">
        <v>3165</v>
      </c>
      <c r="F358" s="281">
        <v>1</v>
      </c>
      <c r="G358" s="28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2">
        <v>8885.08</v>
      </c>
      <c r="O358" t="s">
        <v>961</v>
      </c>
    </row>
    <row r="359" spans="1:15">
      <c r="A359" t="s">
        <v>942</v>
      </c>
      <c r="B359" t="s">
        <v>945</v>
      </c>
      <c r="C359" s="553">
        <v>44235</v>
      </c>
      <c r="D359" s="281" t="s">
        <v>4328</v>
      </c>
      <c r="E359" s="281" t="s">
        <v>3171</v>
      </c>
      <c r="F359" s="281">
        <v>4</v>
      </c>
      <c r="G359" s="28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2">
        <v>10600</v>
      </c>
      <c r="O359" t="s">
        <v>971</v>
      </c>
    </row>
    <row r="360" spans="1:15">
      <c r="A360" t="s">
        <v>942</v>
      </c>
      <c r="B360" t="s">
        <v>945</v>
      </c>
      <c r="C360" s="553">
        <v>44235</v>
      </c>
      <c r="D360" s="281" t="s">
        <v>4329</v>
      </c>
      <c r="E360" s="281" t="s">
        <v>3168</v>
      </c>
      <c r="F360" s="281">
        <v>4</v>
      </c>
      <c r="G360" s="28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2">
        <v>2400</v>
      </c>
      <c r="O360" t="s">
        <v>971</v>
      </c>
    </row>
    <row r="361" spans="1:15">
      <c r="A361" t="s">
        <v>942</v>
      </c>
      <c r="B361" t="s">
        <v>945</v>
      </c>
      <c r="C361" s="553">
        <v>44237</v>
      </c>
      <c r="D361" s="281" t="s">
        <v>4330</v>
      </c>
      <c r="E361" s="281" t="s">
        <v>3174</v>
      </c>
      <c r="F361" s="281">
        <v>1</v>
      </c>
      <c r="G361" s="28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2">
        <v>1057756</v>
      </c>
      <c r="O361" t="s">
        <v>960</v>
      </c>
    </row>
    <row r="362" spans="1:15">
      <c r="A362" t="s">
        <v>942</v>
      </c>
      <c r="B362" t="s">
        <v>945</v>
      </c>
      <c r="C362" s="553">
        <v>44237</v>
      </c>
      <c r="D362" s="281" t="s">
        <v>4330</v>
      </c>
      <c r="E362" s="281" t="s">
        <v>3174</v>
      </c>
      <c r="F362" s="281">
        <v>1</v>
      </c>
      <c r="G362" s="28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2">
        <v>44000</v>
      </c>
      <c r="O362" t="s">
        <v>960</v>
      </c>
    </row>
    <row r="363" spans="1:15">
      <c r="A363" t="s">
        <v>942</v>
      </c>
      <c r="B363" t="s">
        <v>945</v>
      </c>
      <c r="C363" s="553">
        <v>44237</v>
      </c>
      <c r="D363" s="281" t="s">
        <v>4330</v>
      </c>
      <c r="E363" s="281" t="s">
        <v>3174</v>
      </c>
      <c r="F363" s="281">
        <v>1</v>
      </c>
      <c r="G363" s="28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2">
        <v>126930.72</v>
      </c>
      <c r="O363" t="s">
        <v>962</v>
      </c>
    </row>
    <row r="364" spans="1:15">
      <c r="A364" t="s">
        <v>942</v>
      </c>
      <c r="B364" t="s">
        <v>945</v>
      </c>
      <c r="C364" s="553">
        <v>44237</v>
      </c>
      <c r="D364" s="281" t="s">
        <v>4330</v>
      </c>
      <c r="E364" s="281" t="s">
        <v>3174</v>
      </c>
      <c r="F364" s="281">
        <v>1</v>
      </c>
      <c r="G364" s="28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2">
        <v>2200</v>
      </c>
      <c r="O364" t="s">
        <v>960</v>
      </c>
    </row>
    <row r="365" spans="1:15">
      <c r="A365" t="s">
        <v>942</v>
      </c>
      <c r="B365" t="s">
        <v>945</v>
      </c>
      <c r="C365" s="553">
        <v>44237</v>
      </c>
      <c r="D365" s="281" t="s">
        <v>4330</v>
      </c>
      <c r="E365" s="281" t="s">
        <v>3174</v>
      </c>
      <c r="F365" s="281">
        <v>1</v>
      </c>
      <c r="G365" s="28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2">
        <v>12310.77</v>
      </c>
      <c r="O365" t="s">
        <v>960</v>
      </c>
    </row>
    <row r="366" spans="1:15">
      <c r="A366" t="s">
        <v>942</v>
      </c>
      <c r="B366" t="s">
        <v>945</v>
      </c>
      <c r="C366" s="553">
        <v>44237</v>
      </c>
      <c r="D366" s="281" t="s">
        <v>4330</v>
      </c>
      <c r="E366" s="281" t="s">
        <v>3174</v>
      </c>
      <c r="F366" s="281">
        <v>1</v>
      </c>
      <c r="G366" s="28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2">
        <v>2200</v>
      </c>
      <c r="O366" t="s">
        <v>960</v>
      </c>
    </row>
    <row r="367" spans="1:15">
      <c r="A367" t="s">
        <v>942</v>
      </c>
      <c r="B367" t="s">
        <v>945</v>
      </c>
      <c r="C367" s="553">
        <v>44237</v>
      </c>
      <c r="D367" s="281" t="s">
        <v>4330</v>
      </c>
      <c r="E367" s="281" t="s">
        <v>3174</v>
      </c>
      <c r="F367" s="281">
        <v>2</v>
      </c>
      <c r="G367" s="28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2">
        <v>80214</v>
      </c>
      <c r="O367" t="s">
        <v>964</v>
      </c>
    </row>
    <row r="368" spans="1:15">
      <c r="A368" t="s">
        <v>942</v>
      </c>
      <c r="B368" t="s">
        <v>945</v>
      </c>
      <c r="C368" s="553">
        <v>44237</v>
      </c>
      <c r="D368" s="281" t="s">
        <v>4330</v>
      </c>
      <c r="E368" s="281" t="s">
        <v>3174</v>
      </c>
      <c r="F368" s="281">
        <v>2</v>
      </c>
      <c r="G368" s="28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2">
        <v>4000</v>
      </c>
      <c r="O368" t="s">
        <v>964</v>
      </c>
    </row>
    <row r="369" spans="1:15">
      <c r="A369" t="s">
        <v>942</v>
      </c>
      <c r="B369" t="s">
        <v>945</v>
      </c>
      <c r="C369" s="553">
        <v>44237</v>
      </c>
      <c r="D369" s="281" t="s">
        <v>4330</v>
      </c>
      <c r="E369" s="281" t="s">
        <v>3174</v>
      </c>
      <c r="F369" s="281">
        <v>2</v>
      </c>
      <c r="G369" s="28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2">
        <v>9625.68</v>
      </c>
      <c r="O369" t="s">
        <v>966</v>
      </c>
    </row>
    <row r="370" spans="1:15">
      <c r="A370" t="s">
        <v>942</v>
      </c>
      <c r="B370" t="s">
        <v>945</v>
      </c>
      <c r="C370" s="553">
        <v>44237</v>
      </c>
      <c r="D370" s="281" t="s">
        <v>4330</v>
      </c>
      <c r="E370" s="281" t="s">
        <v>3174</v>
      </c>
      <c r="F370" s="281">
        <v>2</v>
      </c>
      <c r="G370" s="28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2">
        <v>200</v>
      </c>
      <c r="O370" t="s">
        <v>964</v>
      </c>
    </row>
    <row r="371" spans="1:15">
      <c r="A371" t="s">
        <v>942</v>
      </c>
      <c r="B371" t="s">
        <v>945</v>
      </c>
      <c r="C371" s="553">
        <v>44237</v>
      </c>
      <c r="D371" s="281" t="s">
        <v>4330</v>
      </c>
      <c r="E371" s="281" t="s">
        <v>3174</v>
      </c>
      <c r="F371" s="281">
        <v>2</v>
      </c>
      <c r="G371" s="28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2">
        <v>1203.22</v>
      </c>
      <c r="O371" t="s">
        <v>964</v>
      </c>
    </row>
    <row r="372" spans="1:15">
      <c r="A372" t="s">
        <v>942</v>
      </c>
      <c r="B372" t="s">
        <v>945</v>
      </c>
      <c r="C372" s="553">
        <v>44237</v>
      </c>
      <c r="D372" s="281" t="s">
        <v>4330</v>
      </c>
      <c r="E372" s="281" t="s">
        <v>3174</v>
      </c>
      <c r="F372" s="281">
        <v>2</v>
      </c>
      <c r="G372" s="28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2">
        <v>200</v>
      </c>
      <c r="O372" t="s">
        <v>964</v>
      </c>
    </row>
    <row r="373" spans="1:15">
      <c r="A373" t="s">
        <v>942</v>
      </c>
      <c r="B373" t="s">
        <v>945</v>
      </c>
      <c r="C373" s="553">
        <v>44237</v>
      </c>
      <c r="D373" s="281" t="s">
        <v>4330</v>
      </c>
      <c r="E373" s="281" t="s">
        <v>3174</v>
      </c>
      <c r="F373" s="281">
        <v>3</v>
      </c>
      <c r="G373" s="28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2">
        <v>199631</v>
      </c>
      <c r="O373" t="s">
        <v>967</v>
      </c>
    </row>
    <row r="374" spans="1:15">
      <c r="A374" t="s">
        <v>942</v>
      </c>
      <c r="B374" t="s">
        <v>945</v>
      </c>
      <c r="C374" s="553">
        <v>44237</v>
      </c>
      <c r="D374" s="281" t="s">
        <v>4330</v>
      </c>
      <c r="E374" s="281" t="s">
        <v>3174</v>
      </c>
      <c r="F374" s="281">
        <v>3</v>
      </c>
      <c r="G374" s="28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2">
        <v>10000</v>
      </c>
      <c r="O374" t="s">
        <v>967</v>
      </c>
    </row>
    <row r="375" spans="1:15">
      <c r="A375" t="s">
        <v>942</v>
      </c>
      <c r="B375" t="s">
        <v>945</v>
      </c>
      <c r="C375" s="553">
        <v>44237</v>
      </c>
      <c r="D375" s="281" t="s">
        <v>4330</v>
      </c>
      <c r="E375" s="281" t="s">
        <v>3174</v>
      </c>
      <c r="F375" s="281">
        <v>3</v>
      </c>
      <c r="G375" s="28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2">
        <v>23955.72</v>
      </c>
      <c r="O375" t="s">
        <v>969</v>
      </c>
    </row>
    <row r="376" spans="1:15">
      <c r="A376" t="s">
        <v>942</v>
      </c>
      <c r="B376" t="s">
        <v>945</v>
      </c>
      <c r="C376" s="553">
        <v>44237</v>
      </c>
      <c r="D376" s="281" t="s">
        <v>4330</v>
      </c>
      <c r="E376" s="281" t="s">
        <v>3174</v>
      </c>
      <c r="F376" s="281">
        <v>3</v>
      </c>
      <c r="G376" s="28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2">
        <v>500</v>
      </c>
      <c r="O376" t="s">
        <v>967</v>
      </c>
    </row>
    <row r="377" spans="1:15">
      <c r="A377" t="s">
        <v>942</v>
      </c>
      <c r="B377" t="s">
        <v>945</v>
      </c>
      <c r="C377" s="553">
        <v>44237</v>
      </c>
      <c r="D377" s="281" t="s">
        <v>4330</v>
      </c>
      <c r="E377" s="281" t="s">
        <v>3174</v>
      </c>
      <c r="F377" s="281">
        <v>3</v>
      </c>
      <c r="G377" s="28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2">
        <v>2593.35</v>
      </c>
      <c r="O377" t="s">
        <v>967</v>
      </c>
    </row>
    <row r="378" spans="1:15">
      <c r="A378" t="s">
        <v>942</v>
      </c>
      <c r="B378" t="s">
        <v>945</v>
      </c>
      <c r="C378" s="553">
        <v>44237</v>
      </c>
      <c r="D378" s="281" t="s">
        <v>4330</v>
      </c>
      <c r="E378" s="281" t="s">
        <v>3174</v>
      </c>
      <c r="F378" s="281">
        <v>3</v>
      </c>
      <c r="G378" s="28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2">
        <v>500</v>
      </c>
      <c r="O378" t="s">
        <v>967</v>
      </c>
    </row>
    <row r="379" spans="1:15">
      <c r="A379" t="s">
        <v>942</v>
      </c>
      <c r="B379" t="s">
        <v>945</v>
      </c>
      <c r="C379" s="553">
        <v>44237</v>
      </c>
      <c r="D379" s="281" t="s">
        <v>4330</v>
      </c>
      <c r="E379" s="281" t="s">
        <v>3174</v>
      </c>
      <c r="F379" s="281">
        <v>4</v>
      </c>
      <c r="G379" s="28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2">
        <v>190370</v>
      </c>
      <c r="O379" t="s">
        <v>970</v>
      </c>
    </row>
    <row r="380" spans="1:15">
      <c r="A380" t="s">
        <v>942</v>
      </c>
      <c r="B380" t="s">
        <v>945</v>
      </c>
      <c r="C380" s="553">
        <v>44237</v>
      </c>
      <c r="D380" s="281" t="s">
        <v>4330</v>
      </c>
      <c r="E380" s="281" t="s">
        <v>3174</v>
      </c>
      <c r="F380" s="281">
        <v>4</v>
      </c>
      <c r="G380" s="28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2">
        <v>10000</v>
      </c>
      <c r="O380" t="s">
        <v>970</v>
      </c>
    </row>
    <row r="381" spans="1:15">
      <c r="A381" t="s">
        <v>942</v>
      </c>
      <c r="B381" t="s">
        <v>945</v>
      </c>
      <c r="C381" s="553">
        <v>44237</v>
      </c>
      <c r="D381" s="281" t="s">
        <v>4330</v>
      </c>
      <c r="E381" s="281" t="s">
        <v>3174</v>
      </c>
      <c r="F381" s="281">
        <v>4</v>
      </c>
      <c r="G381" s="28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2">
        <v>22844.400000000001</v>
      </c>
      <c r="O381" t="s">
        <v>972</v>
      </c>
    </row>
    <row r="382" spans="1:15">
      <c r="A382" t="s">
        <v>942</v>
      </c>
      <c r="B382" t="s">
        <v>945</v>
      </c>
      <c r="C382" s="553">
        <v>44237</v>
      </c>
      <c r="D382" s="281" t="s">
        <v>4330</v>
      </c>
      <c r="E382" s="281" t="s">
        <v>3174</v>
      </c>
      <c r="F382" s="281">
        <v>4</v>
      </c>
      <c r="G382" s="28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2">
        <v>500</v>
      </c>
      <c r="O382" t="s">
        <v>970</v>
      </c>
    </row>
    <row r="383" spans="1:15">
      <c r="A383" t="s">
        <v>942</v>
      </c>
      <c r="B383" t="s">
        <v>945</v>
      </c>
      <c r="C383" s="553">
        <v>44237</v>
      </c>
      <c r="D383" s="281" t="s">
        <v>4330</v>
      </c>
      <c r="E383" s="281" t="s">
        <v>3174</v>
      </c>
      <c r="F383" s="281">
        <v>4</v>
      </c>
      <c r="G383" s="28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2">
        <v>2855.56</v>
      </c>
      <c r="O383" t="s">
        <v>970</v>
      </c>
    </row>
    <row r="384" spans="1:15">
      <c r="A384" t="s">
        <v>942</v>
      </c>
      <c r="B384" t="s">
        <v>945</v>
      </c>
      <c r="C384" s="553">
        <v>44237</v>
      </c>
      <c r="D384" s="281" t="s">
        <v>4330</v>
      </c>
      <c r="E384" s="281" t="s">
        <v>3174</v>
      </c>
      <c r="F384" s="281">
        <v>4</v>
      </c>
      <c r="G384" s="28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2">
        <v>500</v>
      </c>
      <c r="O384" t="s">
        <v>970</v>
      </c>
    </row>
    <row r="385" spans="1:15">
      <c r="A385" t="s">
        <v>942</v>
      </c>
      <c r="B385" t="s">
        <v>945</v>
      </c>
      <c r="C385" s="553">
        <v>44237</v>
      </c>
      <c r="D385" s="281" t="s">
        <v>4330</v>
      </c>
      <c r="E385" s="281" t="s">
        <v>3174</v>
      </c>
      <c r="F385" s="281">
        <v>5</v>
      </c>
      <c r="G385" s="28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2">
        <v>206068</v>
      </c>
      <c r="O385" t="s">
        <v>973</v>
      </c>
    </row>
    <row r="386" spans="1:15">
      <c r="A386" t="s">
        <v>942</v>
      </c>
      <c r="B386" t="s">
        <v>945</v>
      </c>
      <c r="C386" s="553">
        <v>44237</v>
      </c>
      <c r="D386" s="281" t="s">
        <v>4330</v>
      </c>
      <c r="E386" s="281" t="s">
        <v>3174</v>
      </c>
      <c r="F386" s="281">
        <v>5</v>
      </c>
      <c r="G386" s="28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2">
        <v>10000</v>
      </c>
      <c r="O386" t="s">
        <v>973</v>
      </c>
    </row>
    <row r="387" spans="1:15">
      <c r="A387" t="s">
        <v>942</v>
      </c>
      <c r="B387" t="s">
        <v>945</v>
      </c>
      <c r="C387" s="553">
        <v>44237</v>
      </c>
      <c r="D387" s="281" t="s">
        <v>4330</v>
      </c>
      <c r="E387" s="281" t="s">
        <v>3174</v>
      </c>
      <c r="F387" s="281">
        <v>5</v>
      </c>
      <c r="G387" s="28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2">
        <v>24728.16</v>
      </c>
      <c r="O387" t="s">
        <v>975</v>
      </c>
    </row>
    <row r="388" spans="1:15">
      <c r="A388" t="s">
        <v>942</v>
      </c>
      <c r="B388" t="s">
        <v>945</v>
      </c>
      <c r="C388" s="553">
        <v>44237</v>
      </c>
      <c r="D388" s="281" t="s">
        <v>4330</v>
      </c>
      <c r="E388" s="281" t="s">
        <v>3174</v>
      </c>
      <c r="F388" s="281">
        <v>5</v>
      </c>
      <c r="G388" s="28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2">
        <v>500</v>
      </c>
      <c r="O388" t="s">
        <v>973</v>
      </c>
    </row>
    <row r="389" spans="1:15">
      <c r="A389" t="s">
        <v>942</v>
      </c>
      <c r="B389" t="s">
        <v>945</v>
      </c>
      <c r="C389" s="553">
        <v>44237</v>
      </c>
      <c r="D389" s="281" t="s">
        <v>4330</v>
      </c>
      <c r="E389" s="281" t="s">
        <v>3174</v>
      </c>
      <c r="F389" s="281">
        <v>5</v>
      </c>
      <c r="G389" s="28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2">
        <v>3077.52</v>
      </c>
      <c r="O389" t="s">
        <v>973</v>
      </c>
    </row>
    <row r="390" spans="1:15">
      <c r="A390" t="s">
        <v>942</v>
      </c>
      <c r="B390" t="s">
        <v>945</v>
      </c>
      <c r="C390" s="553">
        <v>44237</v>
      </c>
      <c r="D390" s="281" t="s">
        <v>4330</v>
      </c>
      <c r="E390" s="281" t="s">
        <v>3174</v>
      </c>
      <c r="F390" s="281">
        <v>5</v>
      </c>
      <c r="G390" s="28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2">
        <v>500</v>
      </c>
      <c r="O390" t="s">
        <v>973</v>
      </c>
    </row>
    <row r="391" spans="1:15">
      <c r="A391" t="s">
        <v>942</v>
      </c>
      <c r="B391" t="s">
        <v>945</v>
      </c>
      <c r="C391" s="553">
        <v>44237</v>
      </c>
      <c r="D391" s="281" t="s">
        <v>4331</v>
      </c>
      <c r="E391" s="281" t="s">
        <v>3177</v>
      </c>
      <c r="F391" s="281">
        <v>1</v>
      </c>
      <c r="G391" s="28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2">
        <v>97270</v>
      </c>
      <c r="O391" t="s">
        <v>960</v>
      </c>
    </row>
    <row r="392" spans="1:15">
      <c r="A392" t="s">
        <v>942</v>
      </c>
      <c r="B392" t="s">
        <v>945</v>
      </c>
      <c r="C392" s="553">
        <v>44237</v>
      </c>
      <c r="D392" s="281" t="s">
        <v>4331</v>
      </c>
      <c r="E392" s="281" t="s">
        <v>3177</v>
      </c>
      <c r="F392" s="281">
        <v>1</v>
      </c>
      <c r="G392" s="28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2">
        <v>8000</v>
      </c>
      <c r="O392" t="s">
        <v>960</v>
      </c>
    </row>
    <row r="393" spans="1:15">
      <c r="A393" t="s">
        <v>942</v>
      </c>
      <c r="B393" t="s">
        <v>945</v>
      </c>
      <c r="C393" s="553">
        <v>44237</v>
      </c>
      <c r="D393" s="281" t="s">
        <v>4331</v>
      </c>
      <c r="E393" s="281" t="s">
        <v>3177</v>
      </c>
      <c r="F393" s="281">
        <v>1</v>
      </c>
      <c r="G393" s="28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2">
        <v>11672.4</v>
      </c>
      <c r="O393" t="s">
        <v>962</v>
      </c>
    </row>
    <row r="394" spans="1:15">
      <c r="A394" t="s">
        <v>942</v>
      </c>
      <c r="B394" t="s">
        <v>945</v>
      </c>
      <c r="C394" s="553">
        <v>44237</v>
      </c>
      <c r="D394" s="281" t="s">
        <v>4331</v>
      </c>
      <c r="E394" s="281" t="s">
        <v>3177</v>
      </c>
      <c r="F394" s="281">
        <v>1</v>
      </c>
      <c r="G394" s="28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2">
        <v>400</v>
      </c>
      <c r="O394" t="s">
        <v>960</v>
      </c>
    </row>
    <row r="395" spans="1:15">
      <c r="A395" t="s">
        <v>942</v>
      </c>
      <c r="B395" t="s">
        <v>945</v>
      </c>
      <c r="C395" s="553">
        <v>44237</v>
      </c>
      <c r="D395" s="281" t="s">
        <v>4331</v>
      </c>
      <c r="E395" s="281" t="s">
        <v>3177</v>
      </c>
      <c r="F395" s="281">
        <v>1</v>
      </c>
      <c r="G395" s="28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2">
        <v>1450.46</v>
      </c>
      <c r="O395" t="s">
        <v>960</v>
      </c>
    </row>
    <row r="396" spans="1:15">
      <c r="A396" t="s">
        <v>942</v>
      </c>
      <c r="B396" t="s">
        <v>945</v>
      </c>
      <c r="C396" s="553">
        <v>44237</v>
      </c>
      <c r="D396" s="281" t="s">
        <v>4331</v>
      </c>
      <c r="E396" s="281" t="s">
        <v>3177</v>
      </c>
      <c r="F396" s="281">
        <v>1</v>
      </c>
      <c r="G396" s="28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2">
        <v>400</v>
      </c>
      <c r="O396" t="s">
        <v>960</v>
      </c>
    </row>
    <row r="397" spans="1:15">
      <c r="A397" t="s">
        <v>942</v>
      </c>
      <c r="B397" t="s">
        <v>945</v>
      </c>
      <c r="C397" s="553">
        <v>44237</v>
      </c>
      <c r="D397" s="281" t="s">
        <v>4331</v>
      </c>
      <c r="E397" s="281" t="s">
        <v>3177</v>
      </c>
      <c r="F397" s="281">
        <v>2</v>
      </c>
      <c r="G397" s="28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2">
        <v>44184</v>
      </c>
      <c r="O397" t="s">
        <v>964</v>
      </c>
    </row>
    <row r="398" spans="1:15">
      <c r="A398" t="s">
        <v>942</v>
      </c>
      <c r="B398" t="s">
        <v>945</v>
      </c>
      <c r="C398" s="553">
        <v>44237</v>
      </c>
      <c r="D398" s="281" t="s">
        <v>4331</v>
      </c>
      <c r="E398" s="281" t="s">
        <v>3177</v>
      </c>
      <c r="F398" s="281">
        <v>2</v>
      </c>
      <c r="G398" s="28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2">
        <v>2000</v>
      </c>
      <c r="O398" t="s">
        <v>964</v>
      </c>
    </row>
    <row r="399" spans="1:15">
      <c r="A399" t="s">
        <v>942</v>
      </c>
      <c r="B399" t="s">
        <v>945</v>
      </c>
      <c r="C399" s="553">
        <v>44237</v>
      </c>
      <c r="D399" s="281" t="s">
        <v>4331</v>
      </c>
      <c r="E399" s="281" t="s">
        <v>3177</v>
      </c>
      <c r="F399" s="281">
        <v>2</v>
      </c>
      <c r="G399" s="28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2">
        <v>5302.08</v>
      </c>
      <c r="O399" t="s">
        <v>966</v>
      </c>
    </row>
    <row r="400" spans="1:15">
      <c r="A400" t="s">
        <v>942</v>
      </c>
      <c r="B400" t="s">
        <v>945</v>
      </c>
      <c r="C400" s="553">
        <v>44237</v>
      </c>
      <c r="D400" s="281" t="s">
        <v>4331</v>
      </c>
      <c r="E400" s="281" t="s">
        <v>3177</v>
      </c>
      <c r="F400" s="281">
        <v>2</v>
      </c>
      <c r="G400" s="28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2">
        <v>100</v>
      </c>
      <c r="O400" t="s">
        <v>964</v>
      </c>
    </row>
    <row r="401" spans="1:15">
      <c r="A401" t="s">
        <v>942</v>
      </c>
      <c r="B401" t="s">
        <v>945</v>
      </c>
      <c r="C401" s="553">
        <v>44237</v>
      </c>
      <c r="D401" s="281" t="s">
        <v>4331</v>
      </c>
      <c r="E401" s="281" t="s">
        <v>3177</v>
      </c>
      <c r="F401" s="281">
        <v>2</v>
      </c>
      <c r="G401" s="28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2">
        <v>662.76</v>
      </c>
      <c r="O401" t="s">
        <v>964</v>
      </c>
    </row>
    <row r="402" spans="1:15">
      <c r="A402" t="s">
        <v>942</v>
      </c>
      <c r="B402" t="s">
        <v>945</v>
      </c>
      <c r="C402" s="553">
        <v>44237</v>
      </c>
      <c r="D402" s="281" t="s">
        <v>4331</v>
      </c>
      <c r="E402" s="281" t="s">
        <v>3177</v>
      </c>
      <c r="F402" s="281">
        <v>2</v>
      </c>
      <c r="G402" s="28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2">
        <v>100</v>
      </c>
      <c r="O402" t="s">
        <v>964</v>
      </c>
    </row>
    <row r="403" spans="1:15">
      <c r="A403" t="s">
        <v>942</v>
      </c>
      <c r="B403" t="s">
        <v>945</v>
      </c>
      <c r="C403" s="553">
        <v>44237</v>
      </c>
      <c r="D403" s="281" t="s">
        <v>4331</v>
      </c>
      <c r="E403" s="281" t="s">
        <v>3177</v>
      </c>
      <c r="F403" s="281">
        <v>4</v>
      </c>
      <c r="G403" s="28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2">
        <v>67911</v>
      </c>
      <c r="O403" t="s">
        <v>970</v>
      </c>
    </row>
    <row r="404" spans="1:15">
      <c r="A404" t="s">
        <v>942</v>
      </c>
      <c r="B404" t="s">
        <v>945</v>
      </c>
      <c r="C404" s="553">
        <v>44237</v>
      </c>
      <c r="D404" s="281" t="s">
        <v>4331</v>
      </c>
      <c r="E404" s="281" t="s">
        <v>3177</v>
      </c>
      <c r="F404" s="281">
        <v>4</v>
      </c>
      <c r="G404" s="28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2">
        <v>4000</v>
      </c>
      <c r="O404" t="s">
        <v>970</v>
      </c>
    </row>
    <row r="405" spans="1:15">
      <c r="A405" t="s">
        <v>942</v>
      </c>
      <c r="B405" t="s">
        <v>945</v>
      </c>
      <c r="C405" s="553">
        <v>44237</v>
      </c>
      <c r="D405" s="281" t="s">
        <v>4331</v>
      </c>
      <c r="E405" s="281" t="s">
        <v>3177</v>
      </c>
      <c r="F405" s="281">
        <v>4</v>
      </c>
      <c r="G405" s="28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2">
        <v>8149.32</v>
      </c>
      <c r="O405" t="s">
        <v>972</v>
      </c>
    </row>
    <row r="406" spans="1:15">
      <c r="A406" t="s">
        <v>942</v>
      </c>
      <c r="B406" t="s">
        <v>945</v>
      </c>
      <c r="C406" s="553">
        <v>44237</v>
      </c>
      <c r="D406" s="281" t="s">
        <v>4331</v>
      </c>
      <c r="E406" s="281" t="s">
        <v>3177</v>
      </c>
      <c r="F406" s="281">
        <v>4</v>
      </c>
      <c r="G406" s="28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2">
        <v>200</v>
      </c>
      <c r="O406" t="s">
        <v>970</v>
      </c>
    </row>
    <row r="407" spans="1:15">
      <c r="A407" t="s">
        <v>942</v>
      </c>
      <c r="B407" t="s">
        <v>945</v>
      </c>
      <c r="C407" s="553">
        <v>44237</v>
      </c>
      <c r="D407" s="281" t="s">
        <v>4331</v>
      </c>
      <c r="E407" s="281" t="s">
        <v>3177</v>
      </c>
      <c r="F407" s="281">
        <v>4</v>
      </c>
      <c r="G407" s="28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2">
        <v>1018.67</v>
      </c>
      <c r="O407" t="s">
        <v>970</v>
      </c>
    </row>
    <row r="408" spans="1:15">
      <c r="A408" t="s">
        <v>942</v>
      </c>
      <c r="B408" t="s">
        <v>945</v>
      </c>
      <c r="C408" s="553">
        <v>44237</v>
      </c>
      <c r="D408" s="281" t="s">
        <v>4331</v>
      </c>
      <c r="E408" s="281" t="s">
        <v>3177</v>
      </c>
      <c r="F408" s="281">
        <v>4</v>
      </c>
      <c r="G408" s="28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2">
        <v>200</v>
      </c>
      <c r="O408" t="s">
        <v>970</v>
      </c>
    </row>
    <row r="409" spans="1:15">
      <c r="A409" t="s">
        <v>942</v>
      </c>
      <c r="B409" t="s">
        <v>945</v>
      </c>
      <c r="C409" s="553">
        <v>44237</v>
      </c>
      <c r="D409" s="281" t="s">
        <v>4331</v>
      </c>
      <c r="E409" s="281" t="s">
        <v>3177</v>
      </c>
      <c r="F409" s="281">
        <v>5</v>
      </c>
      <c r="G409" s="28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2">
        <v>149727</v>
      </c>
      <c r="O409" t="s">
        <v>973</v>
      </c>
    </row>
    <row r="410" spans="1:15">
      <c r="A410" t="s">
        <v>942</v>
      </c>
      <c r="B410" t="s">
        <v>945</v>
      </c>
      <c r="C410" s="553">
        <v>44237</v>
      </c>
      <c r="D410" s="281" t="s">
        <v>4331</v>
      </c>
      <c r="E410" s="281" t="s">
        <v>3177</v>
      </c>
      <c r="F410" s="281">
        <v>5</v>
      </c>
      <c r="G410" s="28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2">
        <v>6000</v>
      </c>
      <c r="O410" t="s">
        <v>973</v>
      </c>
    </row>
    <row r="411" spans="1:15">
      <c r="A411" t="s">
        <v>942</v>
      </c>
      <c r="B411" t="s">
        <v>945</v>
      </c>
      <c r="C411" s="553">
        <v>44237</v>
      </c>
      <c r="D411" s="281" t="s">
        <v>4331</v>
      </c>
      <c r="E411" s="281" t="s">
        <v>3177</v>
      </c>
      <c r="F411" s="281">
        <v>5</v>
      </c>
      <c r="G411" s="28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2">
        <v>17967.240000000002</v>
      </c>
      <c r="O411" t="s">
        <v>975</v>
      </c>
    </row>
    <row r="412" spans="1:15">
      <c r="A412" t="s">
        <v>942</v>
      </c>
      <c r="B412" t="s">
        <v>945</v>
      </c>
      <c r="C412" s="553">
        <v>44237</v>
      </c>
      <c r="D412" s="281" t="s">
        <v>4331</v>
      </c>
      <c r="E412" s="281" t="s">
        <v>3177</v>
      </c>
      <c r="F412" s="281">
        <v>5</v>
      </c>
      <c r="G412" s="28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2">
        <v>300</v>
      </c>
      <c r="O412" t="s">
        <v>973</v>
      </c>
    </row>
    <row r="413" spans="1:15">
      <c r="A413" t="s">
        <v>942</v>
      </c>
      <c r="B413" t="s">
        <v>945</v>
      </c>
      <c r="C413" s="553">
        <v>44237</v>
      </c>
      <c r="D413" s="281" t="s">
        <v>4331</v>
      </c>
      <c r="E413" s="281" t="s">
        <v>3177</v>
      </c>
      <c r="F413" s="281">
        <v>5</v>
      </c>
      <c r="G413" s="28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2">
        <v>2087.44</v>
      </c>
      <c r="O413" t="s">
        <v>973</v>
      </c>
    </row>
    <row r="414" spans="1:15">
      <c r="A414" t="s">
        <v>942</v>
      </c>
      <c r="B414" t="s">
        <v>945</v>
      </c>
      <c r="C414" s="553">
        <v>44237</v>
      </c>
      <c r="D414" s="281" t="s">
        <v>4331</v>
      </c>
      <c r="E414" s="281" t="s">
        <v>3177</v>
      </c>
      <c r="F414" s="281">
        <v>5</v>
      </c>
      <c r="G414" s="28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2">
        <v>300</v>
      </c>
      <c r="O414" t="s">
        <v>973</v>
      </c>
    </row>
    <row r="415" spans="1:15">
      <c r="A415" t="s">
        <v>942</v>
      </c>
      <c r="B415" t="s">
        <v>945</v>
      </c>
      <c r="C415" s="553">
        <v>44237</v>
      </c>
      <c r="D415" s="281" t="s">
        <v>4332</v>
      </c>
      <c r="E415" s="281" t="s">
        <v>3179</v>
      </c>
      <c r="F415" s="281">
        <v>1</v>
      </c>
      <c r="G415" s="28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2">
        <v>57452</v>
      </c>
      <c r="O415" t="s">
        <v>960</v>
      </c>
    </row>
    <row r="416" spans="1:15">
      <c r="A416" t="s">
        <v>942</v>
      </c>
      <c r="B416" t="s">
        <v>945</v>
      </c>
      <c r="C416" s="553">
        <v>44237</v>
      </c>
      <c r="D416" s="281" t="s">
        <v>4332</v>
      </c>
      <c r="E416" s="281" t="s">
        <v>3179</v>
      </c>
      <c r="F416" s="281">
        <v>1</v>
      </c>
      <c r="G416" s="28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2">
        <v>4000</v>
      </c>
      <c r="O416" t="s">
        <v>960</v>
      </c>
    </row>
    <row r="417" spans="1:15">
      <c r="A417" t="s">
        <v>942</v>
      </c>
      <c r="B417" t="s">
        <v>945</v>
      </c>
      <c r="C417" s="553">
        <v>44237</v>
      </c>
      <c r="D417" s="281" t="s">
        <v>4332</v>
      </c>
      <c r="E417" s="281" t="s">
        <v>3179</v>
      </c>
      <c r="F417" s="281">
        <v>1</v>
      </c>
      <c r="G417" s="28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2">
        <v>6894.24</v>
      </c>
      <c r="O417" t="s">
        <v>962</v>
      </c>
    </row>
    <row r="418" spans="1:15">
      <c r="A418" t="s">
        <v>942</v>
      </c>
      <c r="B418" t="s">
        <v>945</v>
      </c>
      <c r="C418" s="553">
        <v>44237</v>
      </c>
      <c r="D418" s="281" t="s">
        <v>4332</v>
      </c>
      <c r="E418" s="281" t="s">
        <v>3179</v>
      </c>
      <c r="F418" s="281">
        <v>1</v>
      </c>
      <c r="G418" s="28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2">
        <v>200</v>
      </c>
      <c r="O418" t="s">
        <v>960</v>
      </c>
    </row>
    <row r="419" spans="1:15">
      <c r="A419" t="s">
        <v>942</v>
      </c>
      <c r="B419" t="s">
        <v>945</v>
      </c>
      <c r="C419" s="553">
        <v>44237</v>
      </c>
      <c r="D419" s="281" t="s">
        <v>4332</v>
      </c>
      <c r="E419" s="281" t="s">
        <v>3179</v>
      </c>
      <c r="F419" s="281">
        <v>1</v>
      </c>
      <c r="G419" s="28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2">
        <v>861.79</v>
      </c>
      <c r="O419" t="s">
        <v>960</v>
      </c>
    </row>
    <row r="420" spans="1:15">
      <c r="A420" t="s">
        <v>942</v>
      </c>
      <c r="B420" t="s">
        <v>945</v>
      </c>
      <c r="C420" s="553">
        <v>44237</v>
      </c>
      <c r="D420" s="281" t="s">
        <v>4332</v>
      </c>
      <c r="E420" s="281" t="s">
        <v>3179</v>
      </c>
      <c r="F420" s="281">
        <v>1</v>
      </c>
      <c r="G420" s="28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2">
        <v>200</v>
      </c>
      <c r="O420" t="s">
        <v>960</v>
      </c>
    </row>
    <row r="421" spans="1:15">
      <c r="A421" t="s">
        <v>942</v>
      </c>
      <c r="B421" t="s">
        <v>945</v>
      </c>
      <c r="C421" s="553">
        <v>44237</v>
      </c>
      <c r="D421" s="281" t="s">
        <v>4332</v>
      </c>
      <c r="E421" s="281" t="s">
        <v>3179</v>
      </c>
      <c r="F421" s="281">
        <v>2</v>
      </c>
      <c r="G421" s="28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2">
        <v>111742</v>
      </c>
      <c r="O421" t="s">
        <v>964</v>
      </c>
    </row>
    <row r="422" spans="1:15">
      <c r="A422" t="s">
        <v>942</v>
      </c>
      <c r="B422" t="s">
        <v>945</v>
      </c>
      <c r="C422" s="553">
        <v>44237</v>
      </c>
      <c r="D422" s="281" t="s">
        <v>4332</v>
      </c>
      <c r="E422" s="281" t="s">
        <v>3179</v>
      </c>
      <c r="F422" s="281">
        <v>2</v>
      </c>
      <c r="G422" s="28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2">
        <v>2000</v>
      </c>
      <c r="O422" t="s">
        <v>964</v>
      </c>
    </row>
    <row r="423" spans="1:15">
      <c r="A423" t="s">
        <v>942</v>
      </c>
      <c r="B423" t="s">
        <v>945</v>
      </c>
      <c r="C423" s="553">
        <v>44237</v>
      </c>
      <c r="D423" s="281" t="s">
        <v>4332</v>
      </c>
      <c r="E423" s="281" t="s">
        <v>3179</v>
      </c>
      <c r="F423" s="281">
        <v>2</v>
      </c>
      <c r="G423" s="28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2">
        <v>13409.04</v>
      </c>
      <c r="O423" t="s">
        <v>966</v>
      </c>
    </row>
    <row r="424" spans="1:15">
      <c r="A424" t="s">
        <v>942</v>
      </c>
      <c r="B424" t="s">
        <v>945</v>
      </c>
      <c r="C424" s="553">
        <v>44237</v>
      </c>
      <c r="D424" s="281" t="s">
        <v>4332</v>
      </c>
      <c r="E424" s="281" t="s">
        <v>3179</v>
      </c>
      <c r="F424" s="281">
        <v>2</v>
      </c>
      <c r="G424" s="28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2">
        <v>100</v>
      </c>
      <c r="O424" t="s">
        <v>964</v>
      </c>
    </row>
    <row r="425" spans="1:15">
      <c r="A425" t="s">
        <v>942</v>
      </c>
      <c r="B425" t="s">
        <v>945</v>
      </c>
      <c r="C425" s="553">
        <v>44237</v>
      </c>
      <c r="D425" s="281" t="s">
        <v>4332</v>
      </c>
      <c r="E425" s="281" t="s">
        <v>3179</v>
      </c>
      <c r="F425" s="281">
        <v>2</v>
      </c>
      <c r="G425" s="28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2">
        <v>900</v>
      </c>
      <c r="O425" t="s">
        <v>964</v>
      </c>
    </row>
    <row r="426" spans="1:15">
      <c r="A426" t="s">
        <v>942</v>
      </c>
      <c r="B426" t="s">
        <v>945</v>
      </c>
      <c r="C426" s="553">
        <v>44237</v>
      </c>
      <c r="D426" s="281" t="s">
        <v>4332</v>
      </c>
      <c r="E426" s="281" t="s">
        <v>3179</v>
      </c>
      <c r="F426" s="281">
        <v>2</v>
      </c>
      <c r="G426" s="28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2">
        <v>100</v>
      </c>
      <c r="O426" t="s">
        <v>964</v>
      </c>
    </row>
    <row r="427" spans="1:15">
      <c r="A427" t="s">
        <v>942</v>
      </c>
      <c r="B427" t="s">
        <v>945</v>
      </c>
      <c r="C427" s="553">
        <v>44237</v>
      </c>
      <c r="D427" s="281" t="s">
        <v>4332</v>
      </c>
      <c r="E427" s="281" t="s">
        <v>3179</v>
      </c>
      <c r="F427" s="281">
        <v>3</v>
      </c>
      <c r="G427" s="28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2">
        <v>81329</v>
      </c>
      <c r="O427" t="s">
        <v>967</v>
      </c>
    </row>
    <row r="428" spans="1:15">
      <c r="A428" t="s">
        <v>942</v>
      </c>
      <c r="B428" t="s">
        <v>945</v>
      </c>
      <c r="C428" s="553">
        <v>44237</v>
      </c>
      <c r="D428" s="281" t="s">
        <v>4332</v>
      </c>
      <c r="E428" s="281" t="s">
        <v>3179</v>
      </c>
      <c r="F428" s="281">
        <v>3</v>
      </c>
      <c r="G428" s="28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2">
        <v>6000</v>
      </c>
      <c r="O428" t="s">
        <v>967</v>
      </c>
    </row>
    <row r="429" spans="1:15">
      <c r="A429" t="s">
        <v>942</v>
      </c>
      <c r="B429" t="s">
        <v>945</v>
      </c>
      <c r="C429" s="553">
        <v>44237</v>
      </c>
      <c r="D429" s="281" t="s">
        <v>4332</v>
      </c>
      <c r="E429" s="281" t="s">
        <v>3179</v>
      </c>
      <c r="F429" s="281">
        <v>3</v>
      </c>
      <c r="G429" s="28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2">
        <v>9759.48</v>
      </c>
      <c r="O429" t="s">
        <v>969</v>
      </c>
    </row>
    <row r="430" spans="1:15">
      <c r="A430" t="s">
        <v>942</v>
      </c>
      <c r="B430" t="s">
        <v>945</v>
      </c>
      <c r="C430" s="553">
        <v>44237</v>
      </c>
      <c r="D430" s="281" t="s">
        <v>4332</v>
      </c>
      <c r="E430" s="281" t="s">
        <v>3179</v>
      </c>
      <c r="F430" s="281">
        <v>3</v>
      </c>
      <c r="G430" s="28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2">
        <v>300</v>
      </c>
      <c r="O430" t="s">
        <v>967</v>
      </c>
    </row>
    <row r="431" spans="1:15">
      <c r="A431" t="s">
        <v>942</v>
      </c>
      <c r="B431" t="s">
        <v>945</v>
      </c>
      <c r="C431" s="553">
        <v>44237</v>
      </c>
      <c r="D431" s="281" t="s">
        <v>4332</v>
      </c>
      <c r="E431" s="281" t="s">
        <v>3179</v>
      </c>
      <c r="F431" s="281">
        <v>3</v>
      </c>
      <c r="G431" s="28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2">
        <v>1219.95</v>
      </c>
      <c r="O431" t="s">
        <v>967</v>
      </c>
    </row>
    <row r="432" spans="1:15">
      <c r="A432" t="s">
        <v>942</v>
      </c>
      <c r="B432" t="s">
        <v>945</v>
      </c>
      <c r="C432" s="553">
        <v>44237</v>
      </c>
      <c r="D432" s="281" t="s">
        <v>4332</v>
      </c>
      <c r="E432" s="281" t="s">
        <v>3179</v>
      </c>
      <c r="F432" s="281">
        <v>3</v>
      </c>
      <c r="G432" s="28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2">
        <v>300</v>
      </c>
      <c r="O432" t="s">
        <v>967</v>
      </c>
    </row>
    <row r="433" spans="1:15">
      <c r="A433" t="s">
        <v>942</v>
      </c>
      <c r="B433" t="s">
        <v>945</v>
      </c>
      <c r="C433" s="553">
        <v>44237</v>
      </c>
      <c r="D433" s="281" t="s">
        <v>4332</v>
      </c>
      <c r="E433" s="281" t="s">
        <v>3179</v>
      </c>
      <c r="F433" s="281">
        <v>4</v>
      </c>
      <c r="G433" s="28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2">
        <v>78017</v>
      </c>
      <c r="O433" t="s">
        <v>970</v>
      </c>
    </row>
    <row r="434" spans="1:15">
      <c r="A434" t="s">
        <v>942</v>
      </c>
      <c r="B434" t="s">
        <v>945</v>
      </c>
      <c r="C434" s="553">
        <v>44237</v>
      </c>
      <c r="D434" s="281" t="s">
        <v>4332</v>
      </c>
      <c r="E434" s="281" t="s">
        <v>3179</v>
      </c>
      <c r="F434" s="281">
        <v>4</v>
      </c>
      <c r="G434" s="28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2">
        <v>4000</v>
      </c>
      <c r="O434" t="s">
        <v>970</v>
      </c>
    </row>
    <row r="435" spans="1:15">
      <c r="A435" t="s">
        <v>942</v>
      </c>
      <c r="B435" t="s">
        <v>945</v>
      </c>
      <c r="C435" s="553">
        <v>44237</v>
      </c>
      <c r="D435" s="281" t="s">
        <v>4332</v>
      </c>
      <c r="E435" s="281" t="s">
        <v>3179</v>
      </c>
      <c r="F435" s="281">
        <v>4</v>
      </c>
      <c r="G435" s="28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2">
        <v>9362.0400000000009</v>
      </c>
      <c r="O435" t="s">
        <v>972</v>
      </c>
    </row>
    <row r="436" spans="1:15">
      <c r="A436" t="s">
        <v>942</v>
      </c>
      <c r="B436" t="s">
        <v>945</v>
      </c>
      <c r="C436" s="553">
        <v>44237</v>
      </c>
      <c r="D436" s="281" t="s">
        <v>4332</v>
      </c>
      <c r="E436" s="281" t="s">
        <v>3179</v>
      </c>
      <c r="F436" s="281">
        <v>4</v>
      </c>
      <c r="G436" s="28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2">
        <v>200</v>
      </c>
      <c r="O436" t="s">
        <v>970</v>
      </c>
    </row>
    <row r="437" spans="1:15">
      <c r="A437" t="s">
        <v>942</v>
      </c>
      <c r="B437" t="s">
        <v>945</v>
      </c>
      <c r="C437" s="553">
        <v>44237</v>
      </c>
      <c r="D437" s="281" t="s">
        <v>4332</v>
      </c>
      <c r="E437" s="281" t="s">
        <v>3179</v>
      </c>
      <c r="F437" s="281">
        <v>4</v>
      </c>
      <c r="G437" s="28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2">
        <v>1170.26</v>
      </c>
      <c r="O437" t="s">
        <v>970</v>
      </c>
    </row>
    <row r="438" spans="1:15">
      <c r="A438" t="s">
        <v>942</v>
      </c>
      <c r="B438" t="s">
        <v>945</v>
      </c>
      <c r="C438" s="553">
        <v>44237</v>
      </c>
      <c r="D438" s="281" t="s">
        <v>4332</v>
      </c>
      <c r="E438" s="281" t="s">
        <v>3179</v>
      </c>
      <c r="F438" s="281">
        <v>4</v>
      </c>
      <c r="G438" s="28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2">
        <v>200</v>
      </c>
      <c r="O438" t="s">
        <v>970</v>
      </c>
    </row>
    <row r="439" spans="1:15">
      <c r="A439" t="s">
        <v>942</v>
      </c>
      <c r="B439" t="s">
        <v>945</v>
      </c>
      <c r="C439" s="553">
        <v>44237</v>
      </c>
      <c r="D439" s="281" t="s">
        <v>4333</v>
      </c>
      <c r="E439" s="281" t="s">
        <v>3181</v>
      </c>
      <c r="F439" s="281">
        <v>1</v>
      </c>
      <c r="G439" s="28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2">
        <v>457.27</v>
      </c>
      <c r="O439" t="s">
        <v>960</v>
      </c>
    </row>
    <row r="440" spans="1:15">
      <c r="A440" t="s">
        <v>942</v>
      </c>
      <c r="B440" t="s">
        <v>945</v>
      </c>
      <c r="C440" s="553">
        <v>44237</v>
      </c>
      <c r="D440" s="281" t="s">
        <v>4333</v>
      </c>
      <c r="E440" s="281" t="s">
        <v>3181</v>
      </c>
      <c r="F440" s="281">
        <v>1</v>
      </c>
      <c r="G440" s="28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2">
        <v>0</v>
      </c>
      <c r="O440" t="s">
        <v>962</v>
      </c>
    </row>
    <row r="441" spans="1:15">
      <c r="A441" t="s">
        <v>942</v>
      </c>
      <c r="B441" t="s">
        <v>945</v>
      </c>
      <c r="C441" s="553">
        <v>44237</v>
      </c>
      <c r="D441" s="281" t="s">
        <v>4334</v>
      </c>
      <c r="E441" s="281" t="s">
        <v>3184</v>
      </c>
      <c r="F441" s="281">
        <v>1</v>
      </c>
      <c r="G441" s="28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2">
        <v>258.18</v>
      </c>
      <c r="O441" t="s">
        <v>960</v>
      </c>
    </row>
    <row r="442" spans="1:15">
      <c r="A442" t="s">
        <v>942</v>
      </c>
      <c r="B442" t="s">
        <v>945</v>
      </c>
      <c r="C442" s="553">
        <v>44237</v>
      </c>
      <c r="D442" s="281" t="s">
        <v>4334</v>
      </c>
      <c r="E442" s="281" t="s">
        <v>3184</v>
      </c>
      <c r="F442" s="281">
        <v>1</v>
      </c>
      <c r="G442" s="28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2">
        <v>0</v>
      </c>
      <c r="O442" t="s">
        <v>962</v>
      </c>
    </row>
    <row r="443" spans="1:15">
      <c r="A443" t="s">
        <v>942</v>
      </c>
      <c r="B443" t="s">
        <v>945</v>
      </c>
      <c r="C443" s="553">
        <v>44237</v>
      </c>
      <c r="D443" s="281" t="s">
        <v>4335</v>
      </c>
      <c r="E443" s="281" t="s">
        <v>3187</v>
      </c>
      <c r="F443" s="281">
        <v>1</v>
      </c>
      <c r="G443" s="28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2">
        <v>614.54999999999995</v>
      </c>
      <c r="O443" t="s">
        <v>960</v>
      </c>
    </row>
    <row r="444" spans="1:15">
      <c r="A444" t="s">
        <v>942</v>
      </c>
      <c r="B444" t="s">
        <v>945</v>
      </c>
      <c r="C444" s="553">
        <v>44237</v>
      </c>
      <c r="D444" s="281" t="s">
        <v>4335</v>
      </c>
      <c r="E444" s="281" t="s">
        <v>3187</v>
      </c>
      <c r="F444" s="281">
        <v>1</v>
      </c>
      <c r="G444" s="28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2">
        <v>0</v>
      </c>
      <c r="O444" t="s">
        <v>962</v>
      </c>
    </row>
    <row r="445" spans="1:15">
      <c r="A445" t="s">
        <v>942</v>
      </c>
      <c r="B445" t="s">
        <v>945</v>
      </c>
      <c r="C445" s="553">
        <v>44237</v>
      </c>
      <c r="D445" s="281" t="s">
        <v>4336</v>
      </c>
      <c r="E445" s="281" t="s">
        <v>3189</v>
      </c>
      <c r="F445" s="281">
        <v>1</v>
      </c>
      <c r="G445" s="28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2">
        <v>93091.81</v>
      </c>
      <c r="O445" t="s">
        <v>960</v>
      </c>
    </row>
    <row r="446" spans="1:15">
      <c r="A446" t="s">
        <v>942</v>
      </c>
      <c r="B446" t="s">
        <v>945</v>
      </c>
      <c r="C446" s="553">
        <v>44237</v>
      </c>
      <c r="D446" s="281" t="s">
        <v>4336</v>
      </c>
      <c r="E446" s="281" t="s">
        <v>3189</v>
      </c>
      <c r="F446" s="281">
        <v>1</v>
      </c>
      <c r="G446" s="28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2">
        <v>11098.96</v>
      </c>
      <c r="O446" t="s">
        <v>962</v>
      </c>
    </row>
    <row r="447" spans="1:15">
      <c r="A447" t="s">
        <v>942</v>
      </c>
      <c r="B447" t="s">
        <v>945</v>
      </c>
      <c r="C447" s="553">
        <v>44237</v>
      </c>
      <c r="D447" s="281" t="s">
        <v>4336</v>
      </c>
      <c r="E447" s="281" t="s">
        <v>3189</v>
      </c>
      <c r="F447" s="281">
        <v>1</v>
      </c>
      <c r="G447" s="28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2">
        <v>858.77</v>
      </c>
      <c r="O447" t="s">
        <v>960</v>
      </c>
    </row>
    <row r="448" spans="1:15">
      <c r="A448" t="s">
        <v>942</v>
      </c>
      <c r="B448" t="s">
        <v>945</v>
      </c>
      <c r="C448" s="553">
        <v>44237</v>
      </c>
      <c r="D448" s="281" t="s">
        <v>4337</v>
      </c>
      <c r="E448" s="281" t="s">
        <v>3192</v>
      </c>
      <c r="F448" s="281">
        <v>13</v>
      </c>
      <c r="G448" s="28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2">
        <v>33575</v>
      </c>
      <c r="O448" t="s">
        <v>999</v>
      </c>
    </row>
    <row r="449" spans="1:15">
      <c r="A449" t="s">
        <v>942</v>
      </c>
      <c r="B449" t="s">
        <v>945</v>
      </c>
      <c r="C449" s="553">
        <v>44237</v>
      </c>
      <c r="D449" s="281" t="s">
        <v>4337</v>
      </c>
      <c r="E449" s="281" t="s">
        <v>3192</v>
      </c>
      <c r="F449" s="281">
        <v>13</v>
      </c>
      <c r="G449" s="28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2">
        <v>2000</v>
      </c>
      <c r="O449" t="s">
        <v>999</v>
      </c>
    </row>
    <row r="450" spans="1:15">
      <c r="A450" t="s">
        <v>942</v>
      </c>
      <c r="B450" t="s">
        <v>945</v>
      </c>
      <c r="C450" s="553">
        <v>44237</v>
      </c>
      <c r="D450" s="281" t="s">
        <v>4337</v>
      </c>
      <c r="E450" s="281" t="s">
        <v>3192</v>
      </c>
      <c r="F450" s="281">
        <v>13</v>
      </c>
      <c r="G450" s="28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2">
        <v>4029</v>
      </c>
      <c r="O450" t="s">
        <v>999</v>
      </c>
    </row>
    <row r="451" spans="1:15">
      <c r="A451" t="s">
        <v>942</v>
      </c>
      <c r="B451" t="s">
        <v>945</v>
      </c>
      <c r="C451" s="553">
        <v>44237</v>
      </c>
      <c r="D451" s="281" t="s">
        <v>4337</v>
      </c>
      <c r="E451" s="281" t="s">
        <v>3192</v>
      </c>
      <c r="F451" s="281">
        <v>13</v>
      </c>
      <c r="G451" s="28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2">
        <v>100</v>
      </c>
      <c r="O451" t="s">
        <v>999</v>
      </c>
    </row>
    <row r="452" spans="1:15">
      <c r="A452" t="s">
        <v>942</v>
      </c>
      <c r="B452" t="s">
        <v>945</v>
      </c>
      <c r="C452" s="553">
        <v>44237</v>
      </c>
      <c r="D452" s="281" t="s">
        <v>4337</v>
      </c>
      <c r="E452" s="281" t="s">
        <v>3192</v>
      </c>
      <c r="F452" s="281">
        <v>13</v>
      </c>
      <c r="G452" s="28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2">
        <v>503.63</v>
      </c>
      <c r="O452" t="s">
        <v>999</v>
      </c>
    </row>
    <row r="453" spans="1:15">
      <c r="A453" t="s">
        <v>942</v>
      </c>
      <c r="B453" t="s">
        <v>945</v>
      </c>
      <c r="C453" s="553">
        <v>44237</v>
      </c>
      <c r="D453" s="281" t="s">
        <v>4337</v>
      </c>
      <c r="E453" s="281" t="s">
        <v>3192</v>
      </c>
      <c r="F453" s="281">
        <v>13</v>
      </c>
      <c r="G453" s="28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2">
        <v>100</v>
      </c>
      <c r="O453" t="s">
        <v>999</v>
      </c>
    </row>
    <row r="454" spans="1:15">
      <c r="A454" t="s">
        <v>942</v>
      </c>
      <c r="B454" t="s">
        <v>945</v>
      </c>
      <c r="C454" s="553">
        <v>44237</v>
      </c>
      <c r="D454" s="281" t="s">
        <v>4338</v>
      </c>
      <c r="E454" s="281" t="s">
        <v>3194</v>
      </c>
      <c r="F454" s="281">
        <v>13</v>
      </c>
      <c r="G454" s="28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2">
        <v>43681</v>
      </c>
      <c r="O454" t="s">
        <v>999</v>
      </c>
    </row>
    <row r="455" spans="1:15">
      <c r="A455" t="s">
        <v>942</v>
      </c>
      <c r="B455" t="s">
        <v>945</v>
      </c>
      <c r="C455" s="553">
        <v>44237</v>
      </c>
      <c r="D455" s="281" t="s">
        <v>4338</v>
      </c>
      <c r="E455" s="281" t="s">
        <v>3194</v>
      </c>
      <c r="F455" s="281">
        <v>13</v>
      </c>
      <c r="G455" s="28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2">
        <v>2000</v>
      </c>
      <c r="O455" t="s">
        <v>999</v>
      </c>
    </row>
    <row r="456" spans="1:15">
      <c r="A456" t="s">
        <v>942</v>
      </c>
      <c r="B456" t="s">
        <v>945</v>
      </c>
      <c r="C456" s="553">
        <v>44237</v>
      </c>
      <c r="D456" s="281" t="s">
        <v>4338</v>
      </c>
      <c r="E456" s="281" t="s">
        <v>3194</v>
      </c>
      <c r="F456" s="281">
        <v>13</v>
      </c>
      <c r="G456" s="28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2">
        <v>5241.72</v>
      </c>
      <c r="O456" t="s">
        <v>999</v>
      </c>
    </row>
    <row r="457" spans="1:15">
      <c r="A457" t="s">
        <v>942</v>
      </c>
      <c r="B457" t="s">
        <v>945</v>
      </c>
      <c r="C457" s="553">
        <v>44237</v>
      </c>
      <c r="D457" s="281" t="s">
        <v>4338</v>
      </c>
      <c r="E457" s="281" t="s">
        <v>3194</v>
      </c>
      <c r="F457" s="281">
        <v>13</v>
      </c>
      <c r="G457" s="28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2">
        <v>100</v>
      </c>
      <c r="O457" t="s">
        <v>999</v>
      </c>
    </row>
    <row r="458" spans="1:15">
      <c r="A458" t="s">
        <v>942</v>
      </c>
      <c r="B458" t="s">
        <v>945</v>
      </c>
      <c r="C458" s="553">
        <v>44237</v>
      </c>
      <c r="D458" s="281" t="s">
        <v>4338</v>
      </c>
      <c r="E458" s="281" t="s">
        <v>3194</v>
      </c>
      <c r="F458" s="281">
        <v>13</v>
      </c>
      <c r="G458" s="28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2">
        <v>655.21</v>
      </c>
      <c r="O458" t="s">
        <v>999</v>
      </c>
    </row>
    <row r="459" spans="1:15">
      <c r="A459" t="s">
        <v>942</v>
      </c>
      <c r="B459" t="s">
        <v>945</v>
      </c>
      <c r="C459" s="553">
        <v>44237</v>
      </c>
      <c r="D459" s="281" t="s">
        <v>4338</v>
      </c>
      <c r="E459" s="281" t="s">
        <v>3194</v>
      </c>
      <c r="F459" s="281">
        <v>13</v>
      </c>
      <c r="G459" s="28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2">
        <v>100</v>
      </c>
      <c r="O459" t="s">
        <v>999</v>
      </c>
    </row>
    <row r="460" spans="1:15">
      <c r="A460" t="s">
        <v>942</v>
      </c>
      <c r="B460" t="s">
        <v>945</v>
      </c>
      <c r="C460" s="553">
        <v>44237</v>
      </c>
      <c r="D460" s="281" t="s">
        <v>4339</v>
      </c>
      <c r="E460" s="281" t="s">
        <v>4215</v>
      </c>
      <c r="F460" s="281">
        <v>1</v>
      </c>
      <c r="G460" s="28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2">
        <v>0</v>
      </c>
      <c r="O460" t="s">
        <v>961</v>
      </c>
    </row>
    <row r="461" spans="1:15">
      <c r="A461" t="s">
        <v>942</v>
      </c>
      <c r="B461" t="s">
        <v>945</v>
      </c>
      <c r="C461" s="553">
        <v>44237</v>
      </c>
      <c r="D461" s="281" t="s">
        <v>4340</v>
      </c>
      <c r="E461" s="281" t="s">
        <v>3291</v>
      </c>
      <c r="F461" s="281">
        <v>1</v>
      </c>
      <c r="G461" s="28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2">
        <v>25000</v>
      </c>
      <c r="O461" t="s">
        <v>961</v>
      </c>
    </row>
    <row r="462" spans="1:15">
      <c r="A462" t="s">
        <v>942</v>
      </c>
      <c r="B462" t="s">
        <v>945</v>
      </c>
      <c r="C462" s="553">
        <v>44237</v>
      </c>
      <c r="D462" s="281" t="s">
        <v>4341</v>
      </c>
      <c r="E462" s="281" t="s">
        <v>3295</v>
      </c>
      <c r="F462" s="281">
        <v>2</v>
      </c>
      <c r="G462" s="28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2">
        <v>1990</v>
      </c>
      <c r="O462" t="s">
        <v>965</v>
      </c>
    </row>
    <row r="463" spans="1:15">
      <c r="A463" t="s">
        <v>942</v>
      </c>
      <c r="B463" t="s">
        <v>945</v>
      </c>
      <c r="C463" s="553">
        <v>44237</v>
      </c>
      <c r="D463" s="281" t="s">
        <v>4342</v>
      </c>
      <c r="E463" s="281" t="s">
        <v>3248</v>
      </c>
      <c r="F463" s="281">
        <v>2</v>
      </c>
      <c r="G463" s="28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2">
        <v>170501.47</v>
      </c>
      <c r="O463" t="s">
        <v>965</v>
      </c>
    </row>
    <row r="464" spans="1:15">
      <c r="A464" t="s">
        <v>942</v>
      </c>
      <c r="B464" t="s">
        <v>945</v>
      </c>
      <c r="C464" s="553">
        <v>44237</v>
      </c>
      <c r="D464" s="281" t="s">
        <v>4343</v>
      </c>
      <c r="E464" s="281" t="s">
        <v>3233</v>
      </c>
      <c r="F464" s="281">
        <v>11</v>
      </c>
      <c r="G464" s="28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2">
        <v>0</v>
      </c>
      <c r="O464" t="s">
        <v>985</v>
      </c>
    </row>
    <row r="465" spans="1:15">
      <c r="A465" t="s">
        <v>942</v>
      </c>
      <c r="B465" t="s">
        <v>945</v>
      </c>
      <c r="C465" s="553">
        <v>44237</v>
      </c>
      <c r="D465" s="281" t="s">
        <v>4343</v>
      </c>
      <c r="E465" s="281" t="s">
        <v>3233</v>
      </c>
      <c r="F465" s="281">
        <v>11</v>
      </c>
      <c r="G465" s="28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2">
        <v>0</v>
      </c>
      <c r="O465" t="s">
        <v>985</v>
      </c>
    </row>
    <row r="466" spans="1:15">
      <c r="A466" t="s">
        <v>942</v>
      </c>
      <c r="B466" t="s">
        <v>945</v>
      </c>
      <c r="C466" s="553">
        <v>44237</v>
      </c>
      <c r="D466" s="281" t="s">
        <v>4343</v>
      </c>
      <c r="E466" s="281" t="s">
        <v>3233</v>
      </c>
      <c r="F466" s="281">
        <v>11</v>
      </c>
      <c r="G466" s="28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2">
        <v>0</v>
      </c>
      <c r="O466" t="s">
        <v>985</v>
      </c>
    </row>
    <row r="467" spans="1:15">
      <c r="A467" t="s">
        <v>942</v>
      </c>
      <c r="B467" t="s">
        <v>945</v>
      </c>
      <c r="C467" s="553">
        <v>44237</v>
      </c>
      <c r="D467" s="281" t="s">
        <v>4343</v>
      </c>
      <c r="E467" s="281" t="s">
        <v>3233</v>
      </c>
      <c r="F467" s="281">
        <v>11</v>
      </c>
      <c r="G467" s="28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2">
        <v>0</v>
      </c>
      <c r="O467" t="s">
        <v>985</v>
      </c>
    </row>
    <row r="468" spans="1:15">
      <c r="A468" t="s">
        <v>942</v>
      </c>
      <c r="B468" t="s">
        <v>945</v>
      </c>
      <c r="C468" s="553">
        <v>44237</v>
      </c>
      <c r="D468" s="281" t="s">
        <v>4344</v>
      </c>
      <c r="E468" s="281" t="s">
        <v>3237</v>
      </c>
      <c r="F468" s="281">
        <v>11</v>
      </c>
      <c r="G468" s="28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2">
        <v>57498</v>
      </c>
      <c r="O468" t="s">
        <v>985</v>
      </c>
    </row>
    <row r="469" spans="1:15">
      <c r="A469" t="s">
        <v>942</v>
      </c>
      <c r="B469" t="s">
        <v>945</v>
      </c>
      <c r="C469" s="553">
        <v>44237</v>
      </c>
      <c r="D469" s="281" t="s">
        <v>4344</v>
      </c>
      <c r="E469" s="281" t="s">
        <v>3237</v>
      </c>
      <c r="F469" s="281">
        <v>11</v>
      </c>
      <c r="G469" s="28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2">
        <v>525004</v>
      </c>
      <c r="O469" t="s">
        <v>985</v>
      </c>
    </row>
    <row r="470" spans="1:15">
      <c r="A470" t="s">
        <v>942</v>
      </c>
      <c r="B470" t="s">
        <v>945</v>
      </c>
      <c r="C470" s="553">
        <v>44237</v>
      </c>
      <c r="D470" s="281" t="s">
        <v>4344</v>
      </c>
      <c r="E470" s="281" t="s">
        <v>3237</v>
      </c>
      <c r="F470" s="281">
        <v>11</v>
      </c>
      <c r="G470" s="28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2">
        <v>19166</v>
      </c>
      <c r="O470" t="s">
        <v>985</v>
      </c>
    </row>
    <row r="471" spans="1:15">
      <c r="A471" t="s">
        <v>942</v>
      </c>
      <c r="B471" t="s">
        <v>945</v>
      </c>
      <c r="C471" s="553">
        <v>44237</v>
      </c>
      <c r="D471" s="281" t="s">
        <v>4344</v>
      </c>
      <c r="E471" s="281" t="s">
        <v>3237</v>
      </c>
      <c r="F471" s="281">
        <v>11</v>
      </c>
      <c r="G471" s="28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2">
        <v>38332</v>
      </c>
      <c r="O471" t="s">
        <v>985</v>
      </c>
    </row>
    <row r="472" spans="1:15">
      <c r="A472" t="s">
        <v>942</v>
      </c>
      <c r="B472" t="s">
        <v>945</v>
      </c>
      <c r="C472" s="553">
        <v>44237</v>
      </c>
      <c r="D472" s="281" t="s">
        <v>4345</v>
      </c>
      <c r="E472" s="281" t="s">
        <v>3239</v>
      </c>
      <c r="F472" s="281">
        <v>11</v>
      </c>
      <c r="G472" s="28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2">
        <v>0</v>
      </c>
      <c r="O472" t="s">
        <v>985</v>
      </c>
    </row>
    <row r="473" spans="1:15">
      <c r="A473" t="s">
        <v>942</v>
      </c>
      <c r="B473" t="s">
        <v>945</v>
      </c>
      <c r="C473" s="553">
        <v>44237</v>
      </c>
      <c r="D473" s="281" t="s">
        <v>4345</v>
      </c>
      <c r="E473" s="281" t="s">
        <v>3239</v>
      </c>
      <c r="F473" s="281">
        <v>11</v>
      </c>
      <c r="G473" s="28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2">
        <v>0</v>
      </c>
      <c r="O473" t="s">
        <v>985</v>
      </c>
    </row>
    <row r="474" spans="1:15">
      <c r="A474" t="s">
        <v>942</v>
      </c>
      <c r="B474" t="s">
        <v>945</v>
      </c>
      <c r="C474" s="553">
        <v>44237</v>
      </c>
      <c r="D474" s="281" t="s">
        <v>4345</v>
      </c>
      <c r="E474" s="281" t="s">
        <v>3239</v>
      </c>
      <c r="F474" s="281">
        <v>11</v>
      </c>
      <c r="G474" s="28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2">
        <v>0</v>
      </c>
      <c r="O474" t="s">
        <v>985</v>
      </c>
    </row>
    <row r="475" spans="1:15">
      <c r="A475" t="s">
        <v>942</v>
      </c>
      <c r="B475" t="s">
        <v>945</v>
      </c>
      <c r="C475" s="553">
        <v>44237</v>
      </c>
      <c r="D475" s="281" t="s">
        <v>4345</v>
      </c>
      <c r="E475" s="281" t="s">
        <v>3239</v>
      </c>
      <c r="F475" s="281">
        <v>11</v>
      </c>
      <c r="G475" s="28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2">
        <v>0</v>
      </c>
      <c r="O475" t="s">
        <v>985</v>
      </c>
    </row>
    <row r="476" spans="1:15">
      <c r="A476" t="s">
        <v>942</v>
      </c>
      <c r="B476" t="s">
        <v>945</v>
      </c>
      <c r="C476" s="553">
        <v>44237</v>
      </c>
      <c r="D476" s="281" t="s">
        <v>4346</v>
      </c>
      <c r="E476" s="281" t="s">
        <v>3241</v>
      </c>
      <c r="F476" s="281">
        <v>11</v>
      </c>
      <c r="G476" s="28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2">
        <v>0</v>
      </c>
      <c r="O476" t="s">
        <v>985</v>
      </c>
    </row>
    <row r="477" spans="1:15">
      <c r="A477" t="s">
        <v>942</v>
      </c>
      <c r="B477" t="s">
        <v>945</v>
      </c>
      <c r="C477" s="553">
        <v>44237</v>
      </c>
      <c r="D477" s="281" t="s">
        <v>4346</v>
      </c>
      <c r="E477" s="281" t="s">
        <v>3241</v>
      </c>
      <c r="F477" s="281">
        <v>11</v>
      </c>
      <c r="G477" s="28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2">
        <v>0</v>
      </c>
      <c r="O477" t="s">
        <v>985</v>
      </c>
    </row>
    <row r="478" spans="1:15">
      <c r="A478" t="s">
        <v>942</v>
      </c>
      <c r="B478" t="s">
        <v>945</v>
      </c>
      <c r="C478" s="553">
        <v>44237</v>
      </c>
      <c r="D478" s="281" t="s">
        <v>4346</v>
      </c>
      <c r="E478" s="281" t="s">
        <v>3241</v>
      </c>
      <c r="F478" s="281">
        <v>11</v>
      </c>
      <c r="G478" s="28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2">
        <v>0</v>
      </c>
      <c r="O478" t="s">
        <v>985</v>
      </c>
    </row>
    <row r="479" spans="1:15">
      <c r="A479" t="s">
        <v>942</v>
      </c>
      <c r="B479" t="s">
        <v>945</v>
      </c>
      <c r="C479" s="553">
        <v>44237</v>
      </c>
      <c r="D479" s="281" t="s">
        <v>4346</v>
      </c>
      <c r="E479" s="281" t="s">
        <v>3241</v>
      </c>
      <c r="F479" s="281">
        <v>11</v>
      </c>
      <c r="G479" s="28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2">
        <v>0</v>
      </c>
      <c r="O479" t="s">
        <v>985</v>
      </c>
    </row>
    <row r="480" spans="1:15">
      <c r="A480" t="s">
        <v>942</v>
      </c>
      <c r="B480" t="s">
        <v>945</v>
      </c>
      <c r="C480" s="553">
        <v>44237</v>
      </c>
      <c r="D480" s="281" t="s">
        <v>4347</v>
      </c>
      <c r="E480" s="281" t="s">
        <v>3243</v>
      </c>
      <c r="F480" s="281">
        <v>11</v>
      </c>
      <c r="G480" s="28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2">
        <v>0</v>
      </c>
      <c r="O480" t="s">
        <v>985</v>
      </c>
    </row>
    <row r="481" spans="1:15">
      <c r="A481" t="s">
        <v>942</v>
      </c>
      <c r="B481" t="s">
        <v>945</v>
      </c>
      <c r="C481" s="553">
        <v>44237</v>
      </c>
      <c r="D481" s="281" t="s">
        <v>4347</v>
      </c>
      <c r="E481" s="281" t="s">
        <v>3243</v>
      </c>
      <c r="F481" s="281">
        <v>11</v>
      </c>
      <c r="G481" s="28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2">
        <v>0</v>
      </c>
      <c r="O481" t="s">
        <v>985</v>
      </c>
    </row>
    <row r="482" spans="1:15">
      <c r="A482" t="s">
        <v>942</v>
      </c>
      <c r="B482" t="s">
        <v>945</v>
      </c>
      <c r="C482" s="553">
        <v>44237</v>
      </c>
      <c r="D482" s="281" t="s">
        <v>4347</v>
      </c>
      <c r="E482" s="281" t="s">
        <v>3243</v>
      </c>
      <c r="F482" s="281">
        <v>11</v>
      </c>
      <c r="G482" s="28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2">
        <v>0</v>
      </c>
      <c r="O482" t="s">
        <v>985</v>
      </c>
    </row>
    <row r="483" spans="1:15">
      <c r="A483" t="s">
        <v>942</v>
      </c>
      <c r="B483" t="s">
        <v>945</v>
      </c>
      <c r="C483" s="553">
        <v>44237</v>
      </c>
      <c r="D483" s="281" t="s">
        <v>4347</v>
      </c>
      <c r="E483" s="281" t="s">
        <v>3243</v>
      </c>
      <c r="F483" s="281">
        <v>11</v>
      </c>
      <c r="G483" s="28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2">
        <v>0</v>
      </c>
      <c r="O483" t="s">
        <v>985</v>
      </c>
    </row>
    <row r="484" spans="1:15">
      <c r="A484" t="s">
        <v>942</v>
      </c>
      <c r="B484" t="s">
        <v>945</v>
      </c>
      <c r="C484" s="553">
        <v>44237</v>
      </c>
      <c r="D484" s="281" t="s">
        <v>4348</v>
      </c>
      <c r="E484" s="281" t="s">
        <v>4216</v>
      </c>
      <c r="F484" s="281">
        <v>10</v>
      </c>
      <c r="G484" s="28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2">
        <v>0</v>
      </c>
      <c r="O484" t="s">
        <v>983</v>
      </c>
    </row>
    <row r="485" spans="1:15">
      <c r="A485" t="s">
        <v>942</v>
      </c>
      <c r="B485" t="s">
        <v>945</v>
      </c>
      <c r="C485" s="553">
        <v>44237</v>
      </c>
      <c r="D485" s="281" t="s">
        <v>4348</v>
      </c>
      <c r="E485" s="281" t="s">
        <v>4216</v>
      </c>
      <c r="F485" s="281">
        <v>10</v>
      </c>
      <c r="G485" s="28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2">
        <v>0</v>
      </c>
      <c r="O485" t="s">
        <v>983</v>
      </c>
    </row>
    <row r="486" spans="1:15">
      <c r="A486" t="s">
        <v>942</v>
      </c>
      <c r="B486" t="s">
        <v>945</v>
      </c>
      <c r="C486" s="553">
        <v>44237</v>
      </c>
      <c r="D486" s="281" t="s">
        <v>4348</v>
      </c>
      <c r="E486" s="281" t="s">
        <v>4216</v>
      </c>
      <c r="F486" s="281">
        <v>10</v>
      </c>
      <c r="G486" s="28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2">
        <v>0</v>
      </c>
      <c r="O486" t="s">
        <v>983</v>
      </c>
    </row>
    <row r="487" spans="1:15">
      <c r="A487" t="s">
        <v>942</v>
      </c>
      <c r="B487" t="s">
        <v>945</v>
      </c>
      <c r="C487" s="553">
        <v>44237</v>
      </c>
      <c r="D487" s="281" t="s">
        <v>4348</v>
      </c>
      <c r="E487" s="281" t="s">
        <v>4216</v>
      </c>
      <c r="F487" s="281">
        <v>10</v>
      </c>
      <c r="G487" s="28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2">
        <v>0</v>
      </c>
      <c r="O487" t="s">
        <v>983</v>
      </c>
    </row>
    <row r="488" spans="1:15">
      <c r="A488" t="s">
        <v>942</v>
      </c>
      <c r="B488" t="s">
        <v>945</v>
      </c>
      <c r="C488" s="553">
        <v>44237</v>
      </c>
      <c r="D488" s="281" t="s">
        <v>4349</v>
      </c>
      <c r="E488" s="281" t="s">
        <v>4217</v>
      </c>
      <c r="F488" s="281">
        <v>10</v>
      </c>
      <c r="G488" s="28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2">
        <v>0</v>
      </c>
      <c r="O488" t="s">
        <v>983</v>
      </c>
    </row>
    <row r="489" spans="1:15">
      <c r="A489" t="s">
        <v>942</v>
      </c>
      <c r="B489" t="s">
        <v>945</v>
      </c>
      <c r="C489" s="553">
        <v>44237</v>
      </c>
      <c r="D489" s="281" t="s">
        <v>4349</v>
      </c>
      <c r="E489" s="281" t="s">
        <v>4217</v>
      </c>
      <c r="F489" s="281">
        <v>10</v>
      </c>
      <c r="G489" s="28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2">
        <v>0</v>
      </c>
      <c r="O489" t="s">
        <v>983</v>
      </c>
    </row>
    <row r="490" spans="1:15">
      <c r="A490" t="s">
        <v>942</v>
      </c>
      <c r="B490" t="s">
        <v>945</v>
      </c>
      <c r="C490" s="553">
        <v>44237</v>
      </c>
      <c r="D490" s="281" t="s">
        <v>4349</v>
      </c>
      <c r="E490" s="281" t="s">
        <v>4217</v>
      </c>
      <c r="F490" s="281">
        <v>10</v>
      </c>
      <c r="G490" s="28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2">
        <v>0</v>
      </c>
      <c r="O490" t="s">
        <v>983</v>
      </c>
    </row>
    <row r="491" spans="1:15">
      <c r="A491" t="s">
        <v>942</v>
      </c>
      <c r="B491" t="s">
        <v>945</v>
      </c>
      <c r="C491" s="553">
        <v>44237</v>
      </c>
      <c r="D491" s="281" t="s">
        <v>4349</v>
      </c>
      <c r="E491" s="281" t="s">
        <v>4217</v>
      </c>
      <c r="F491" s="281">
        <v>10</v>
      </c>
      <c r="G491" s="28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2">
        <v>0</v>
      </c>
      <c r="O491" t="s">
        <v>983</v>
      </c>
    </row>
    <row r="492" spans="1:15">
      <c r="A492" t="s">
        <v>942</v>
      </c>
      <c r="B492" t="s">
        <v>945</v>
      </c>
      <c r="C492" s="553">
        <v>44237</v>
      </c>
      <c r="D492" s="281" t="s">
        <v>4350</v>
      </c>
      <c r="E492" s="281" t="s">
        <v>3311</v>
      </c>
      <c r="F492" s="281">
        <v>10</v>
      </c>
      <c r="G492" s="28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2">
        <v>25000</v>
      </c>
      <c r="O492" t="s">
        <v>983</v>
      </c>
    </row>
    <row r="493" spans="1:15">
      <c r="A493" t="s">
        <v>942</v>
      </c>
      <c r="B493" t="s">
        <v>945</v>
      </c>
      <c r="C493" s="553">
        <v>44237</v>
      </c>
      <c r="D493" s="281" t="s">
        <v>4350</v>
      </c>
      <c r="E493" s="281" t="s">
        <v>3311</v>
      </c>
      <c r="F493" s="281">
        <v>10</v>
      </c>
      <c r="G493" s="28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2">
        <v>40000</v>
      </c>
      <c r="O493" t="s">
        <v>983</v>
      </c>
    </row>
    <row r="494" spans="1:15">
      <c r="A494" t="s">
        <v>942</v>
      </c>
      <c r="B494" t="s">
        <v>945</v>
      </c>
      <c r="C494" s="553">
        <v>44237</v>
      </c>
      <c r="D494" s="281" t="s">
        <v>4350</v>
      </c>
      <c r="E494" s="281" t="s">
        <v>3311</v>
      </c>
      <c r="F494" s="281">
        <v>10</v>
      </c>
      <c r="G494" s="28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2">
        <v>5000</v>
      </c>
      <c r="O494" t="s">
        <v>983</v>
      </c>
    </row>
    <row r="495" spans="1:15">
      <c r="A495" t="s">
        <v>942</v>
      </c>
      <c r="B495" t="s">
        <v>945</v>
      </c>
      <c r="C495" s="553">
        <v>44237</v>
      </c>
      <c r="D495" s="281" t="s">
        <v>4350</v>
      </c>
      <c r="E495" s="281" t="s">
        <v>3311</v>
      </c>
      <c r="F495" s="281">
        <v>10</v>
      </c>
      <c r="G495" s="28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2">
        <v>10335.709999999999</v>
      </c>
      <c r="O495" t="s">
        <v>983</v>
      </c>
    </row>
    <row r="496" spans="1:15">
      <c r="A496" t="s">
        <v>942</v>
      </c>
      <c r="B496" t="s">
        <v>945</v>
      </c>
      <c r="C496" s="553">
        <v>44237</v>
      </c>
      <c r="D496" s="281" t="s">
        <v>4351</v>
      </c>
      <c r="E496" s="281" t="s">
        <v>4218</v>
      </c>
      <c r="F496" s="281">
        <v>10</v>
      </c>
      <c r="G496" s="28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2">
        <v>0</v>
      </c>
      <c r="O496" t="s">
        <v>983</v>
      </c>
    </row>
    <row r="497" spans="1:15">
      <c r="A497" t="s">
        <v>942</v>
      </c>
      <c r="B497" t="s">
        <v>945</v>
      </c>
      <c r="C497" s="553">
        <v>44237</v>
      </c>
      <c r="D497" s="281" t="s">
        <v>4351</v>
      </c>
      <c r="E497" s="281" t="s">
        <v>4218</v>
      </c>
      <c r="F497" s="281">
        <v>10</v>
      </c>
      <c r="G497" s="28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2">
        <v>0</v>
      </c>
      <c r="O497" t="s">
        <v>983</v>
      </c>
    </row>
    <row r="498" spans="1:15">
      <c r="A498" t="s">
        <v>942</v>
      </c>
      <c r="B498" t="s">
        <v>945</v>
      </c>
      <c r="C498" s="553">
        <v>44237</v>
      </c>
      <c r="D498" s="281" t="s">
        <v>4351</v>
      </c>
      <c r="E498" s="281" t="s">
        <v>4218</v>
      </c>
      <c r="F498" s="281">
        <v>10</v>
      </c>
      <c r="G498" s="28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2">
        <v>0</v>
      </c>
      <c r="O498" t="s">
        <v>983</v>
      </c>
    </row>
    <row r="499" spans="1:15">
      <c r="A499" t="s">
        <v>942</v>
      </c>
      <c r="B499" t="s">
        <v>945</v>
      </c>
      <c r="C499" s="553">
        <v>44237</v>
      </c>
      <c r="D499" s="281" t="s">
        <v>4351</v>
      </c>
      <c r="E499" s="281" t="s">
        <v>4218</v>
      </c>
      <c r="F499" s="281">
        <v>10</v>
      </c>
      <c r="G499" s="28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2">
        <v>0</v>
      </c>
      <c r="O499" t="s">
        <v>983</v>
      </c>
    </row>
    <row r="500" spans="1:15">
      <c r="A500" t="s">
        <v>942</v>
      </c>
      <c r="B500" t="s">
        <v>945</v>
      </c>
      <c r="C500" s="553">
        <v>44237</v>
      </c>
      <c r="D500" s="281" t="s">
        <v>4352</v>
      </c>
      <c r="E500" s="281" t="s">
        <v>4219</v>
      </c>
      <c r="F500" s="281">
        <v>10</v>
      </c>
      <c r="G500" s="28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2">
        <v>0</v>
      </c>
      <c r="O500" t="s">
        <v>983</v>
      </c>
    </row>
    <row r="501" spans="1:15">
      <c r="A501" t="s">
        <v>942</v>
      </c>
      <c r="B501" t="s">
        <v>945</v>
      </c>
      <c r="C501" s="553">
        <v>44237</v>
      </c>
      <c r="D501" s="281" t="s">
        <v>4352</v>
      </c>
      <c r="E501" s="281" t="s">
        <v>4219</v>
      </c>
      <c r="F501" s="281">
        <v>10</v>
      </c>
      <c r="G501" s="28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2">
        <v>0</v>
      </c>
      <c r="O501" t="s">
        <v>983</v>
      </c>
    </row>
    <row r="502" spans="1:15">
      <c r="A502" t="s">
        <v>942</v>
      </c>
      <c r="B502" t="s">
        <v>945</v>
      </c>
      <c r="C502" s="553">
        <v>44237</v>
      </c>
      <c r="D502" s="281" t="s">
        <v>4352</v>
      </c>
      <c r="E502" s="281" t="s">
        <v>4219</v>
      </c>
      <c r="F502" s="281">
        <v>10</v>
      </c>
      <c r="G502" s="28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2">
        <v>0</v>
      </c>
      <c r="O502" t="s">
        <v>983</v>
      </c>
    </row>
    <row r="503" spans="1:15">
      <c r="A503" t="s">
        <v>942</v>
      </c>
      <c r="B503" t="s">
        <v>945</v>
      </c>
      <c r="C503" s="553">
        <v>44237</v>
      </c>
      <c r="D503" s="281" t="s">
        <v>4352</v>
      </c>
      <c r="E503" s="281" t="s">
        <v>4219</v>
      </c>
      <c r="F503" s="281">
        <v>10</v>
      </c>
      <c r="G503" s="28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2">
        <v>0</v>
      </c>
      <c r="O503" t="s">
        <v>983</v>
      </c>
    </row>
    <row r="504" spans="1:15">
      <c r="A504" t="s">
        <v>942</v>
      </c>
      <c r="B504" t="s">
        <v>945</v>
      </c>
      <c r="C504" s="553">
        <v>44237</v>
      </c>
      <c r="D504" s="281" t="s">
        <v>4353</v>
      </c>
      <c r="E504" s="281" t="s">
        <v>4220</v>
      </c>
      <c r="F504" s="281">
        <v>12</v>
      </c>
      <c r="G504" s="28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2">
        <v>0</v>
      </c>
      <c r="O504" t="s">
        <v>986</v>
      </c>
    </row>
    <row r="505" spans="1:15">
      <c r="A505" t="s">
        <v>942</v>
      </c>
      <c r="B505" t="s">
        <v>945</v>
      </c>
      <c r="C505" s="553">
        <v>44237</v>
      </c>
      <c r="D505" s="281" t="s">
        <v>4353</v>
      </c>
      <c r="E505" s="281" t="s">
        <v>4220</v>
      </c>
      <c r="F505" s="281">
        <v>12</v>
      </c>
      <c r="G505" s="28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2">
        <v>0</v>
      </c>
      <c r="O505" t="s">
        <v>987</v>
      </c>
    </row>
    <row r="506" spans="1:15">
      <c r="A506" t="s">
        <v>942</v>
      </c>
      <c r="B506" t="s">
        <v>945</v>
      </c>
      <c r="C506" s="553">
        <v>44237</v>
      </c>
      <c r="D506" s="281" t="s">
        <v>4353</v>
      </c>
      <c r="E506" s="281" t="s">
        <v>4220</v>
      </c>
      <c r="F506" s="281">
        <v>12</v>
      </c>
      <c r="G506" s="28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2">
        <v>0</v>
      </c>
      <c r="O506" t="s">
        <v>988</v>
      </c>
    </row>
    <row r="507" spans="1:15">
      <c r="A507" t="s">
        <v>942</v>
      </c>
      <c r="B507" t="s">
        <v>945</v>
      </c>
      <c r="C507" s="553">
        <v>44237</v>
      </c>
      <c r="D507" s="281" t="s">
        <v>4353</v>
      </c>
      <c r="E507" s="281" t="s">
        <v>4220</v>
      </c>
      <c r="F507" s="281">
        <v>12</v>
      </c>
      <c r="G507" s="28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2">
        <v>0</v>
      </c>
      <c r="O507" t="s">
        <v>991</v>
      </c>
    </row>
    <row r="508" spans="1:15">
      <c r="A508" t="s">
        <v>942</v>
      </c>
      <c r="B508" t="s">
        <v>945</v>
      </c>
      <c r="C508" s="553">
        <v>44237</v>
      </c>
      <c r="D508" s="281" t="s">
        <v>4353</v>
      </c>
      <c r="E508" s="281" t="s">
        <v>4220</v>
      </c>
      <c r="F508" s="281">
        <v>12</v>
      </c>
      <c r="G508" s="28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2">
        <v>0</v>
      </c>
      <c r="O508" t="s">
        <v>993</v>
      </c>
    </row>
    <row r="509" spans="1:15">
      <c r="A509" t="s">
        <v>942</v>
      </c>
      <c r="B509" t="s">
        <v>945</v>
      </c>
      <c r="C509" s="553">
        <v>44237</v>
      </c>
      <c r="D509" s="281" t="s">
        <v>4353</v>
      </c>
      <c r="E509" s="281" t="s">
        <v>4220</v>
      </c>
      <c r="F509" s="281">
        <v>12</v>
      </c>
      <c r="G509" s="28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2">
        <v>0</v>
      </c>
      <c r="O509" t="s">
        <v>994</v>
      </c>
    </row>
    <row r="510" spans="1:15">
      <c r="A510" t="s">
        <v>942</v>
      </c>
      <c r="B510" t="s">
        <v>945</v>
      </c>
      <c r="C510" s="553">
        <v>44237</v>
      </c>
      <c r="D510" s="281" t="s">
        <v>4354</v>
      </c>
      <c r="E510" s="281" t="s">
        <v>3315</v>
      </c>
      <c r="F510" s="281">
        <v>12</v>
      </c>
      <c r="G510" s="28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2">
        <v>8800</v>
      </c>
      <c r="O510" t="s">
        <v>986</v>
      </c>
    </row>
    <row r="511" spans="1:15">
      <c r="A511" t="s">
        <v>942</v>
      </c>
      <c r="B511" t="s">
        <v>945</v>
      </c>
      <c r="C511" s="553">
        <v>44237</v>
      </c>
      <c r="D511" s="281" t="s">
        <v>4354</v>
      </c>
      <c r="E511" s="281" t="s">
        <v>3315</v>
      </c>
      <c r="F511" s="281">
        <v>12</v>
      </c>
      <c r="G511" s="28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2">
        <v>5000</v>
      </c>
      <c r="O511" t="s">
        <v>987</v>
      </c>
    </row>
    <row r="512" spans="1:15">
      <c r="A512" t="s">
        <v>942</v>
      </c>
      <c r="B512" t="s">
        <v>945</v>
      </c>
      <c r="C512" s="553">
        <v>44237</v>
      </c>
      <c r="D512" s="281" t="s">
        <v>4354</v>
      </c>
      <c r="E512" s="281" t="s">
        <v>3315</v>
      </c>
      <c r="F512" s="281">
        <v>12</v>
      </c>
      <c r="G512" s="28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2">
        <v>1256</v>
      </c>
      <c r="O512" t="s">
        <v>988</v>
      </c>
    </row>
    <row r="513" spans="1:15">
      <c r="A513" t="s">
        <v>942</v>
      </c>
      <c r="B513" t="s">
        <v>945</v>
      </c>
      <c r="C513" s="553">
        <v>44237</v>
      </c>
      <c r="D513" s="281" t="s">
        <v>4354</v>
      </c>
      <c r="E513" s="281" t="s">
        <v>3315</v>
      </c>
      <c r="F513" s="281">
        <v>12</v>
      </c>
      <c r="G513" s="28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2">
        <v>300</v>
      </c>
      <c r="O513" t="s">
        <v>991</v>
      </c>
    </row>
    <row r="514" spans="1:15">
      <c r="A514" t="s">
        <v>942</v>
      </c>
      <c r="B514" t="s">
        <v>945</v>
      </c>
      <c r="C514" s="553">
        <v>44237</v>
      </c>
      <c r="D514" s="281" t="s">
        <v>4354</v>
      </c>
      <c r="E514" s="281" t="s">
        <v>3315</v>
      </c>
      <c r="F514" s="281">
        <v>12</v>
      </c>
      <c r="G514" s="28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2">
        <v>15000</v>
      </c>
      <c r="O514" t="s">
        <v>993</v>
      </c>
    </row>
    <row r="515" spans="1:15">
      <c r="A515" t="s">
        <v>942</v>
      </c>
      <c r="B515" t="s">
        <v>945</v>
      </c>
      <c r="C515" s="553">
        <v>44237</v>
      </c>
      <c r="D515" s="281" t="s">
        <v>4354</v>
      </c>
      <c r="E515" s="281" t="s">
        <v>3315</v>
      </c>
      <c r="F515" s="281">
        <v>12</v>
      </c>
      <c r="G515" s="28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2">
        <v>1000</v>
      </c>
      <c r="O515" t="s">
        <v>994</v>
      </c>
    </row>
    <row r="516" spans="1:15">
      <c r="A516" t="s">
        <v>942</v>
      </c>
      <c r="B516" t="s">
        <v>945</v>
      </c>
      <c r="C516" s="553">
        <v>44237</v>
      </c>
      <c r="D516" s="281" t="s">
        <v>4355</v>
      </c>
      <c r="E516" s="281" t="s">
        <v>4221</v>
      </c>
      <c r="F516" s="281">
        <v>12</v>
      </c>
      <c r="G516" s="28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2">
        <v>0</v>
      </c>
      <c r="O516" t="s">
        <v>986</v>
      </c>
    </row>
    <row r="517" spans="1:15">
      <c r="A517" t="s">
        <v>942</v>
      </c>
      <c r="B517" t="s">
        <v>945</v>
      </c>
      <c r="C517" s="553">
        <v>44237</v>
      </c>
      <c r="D517" s="281" t="s">
        <v>4355</v>
      </c>
      <c r="E517" s="281" t="s">
        <v>4221</v>
      </c>
      <c r="F517" s="281">
        <v>12</v>
      </c>
      <c r="G517" s="28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2">
        <v>0</v>
      </c>
      <c r="O517" t="s">
        <v>987</v>
      </c>
    </row>
    <row r="518" spans="1:15">
      <c r="A518" t="s">
        <v>942</v>
      </c>
      <c r="B518" t="s">
        <v>945</v>
      </c>
      <c r="C518" s="553">
        <v>44237</v>
      </c>
      <c r="D518" s="281" t="s">
        <v>4355</v>
      </c>
      <c r="E518" s="281" t="s">
        <v>4221</v>
      </c>
      <c r="F518" s="281">
        <v>12</v>
      </c>
      <c r="G518" s="28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2">
        <v>0</v>
      </c>
      <c r="O518" t="s">
        <v>988</v>
      </c>
    </row>
    <row r="519" spans="1:15">
      <c r="A519" t="s">
        <v>942</v>
      </c>
      <c r="B519" t="s">
        <v>945</v>
      </c>
      <c r="C519" s="553">
        <v>44237</v>
      </c>
      <c r="D519" s="281" t="s">
        <v>4355</v>
      </c>
      <c r="E519" s="281" t="s">
        <v>4221</v>
      </c>
      <c r="F519" s="281">
        <v>12</v>
      </c>
      <c r="G519" s="28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2">
        <v>0</v>
      </c>
      <c r="O519" t="s">
        <v>991</v>
      </c>
    </row>
    <row r="520" spans="1:15">
      <c r="A520" t="s">
        <v>942</v>
      </c>
      <c r="B520" t="s">
        <v>945</v>
      </c>
      <c r="C520" s="553">
        <v>44237</v>
      </c>
      <c r="D520" s="281" t="s">
        <v>4355</v>
      </c>
      <c r="E520" s="281" t="s">
        <v>4221</v>
      </c>
      <c r="F520" s="281">
        <v>12</v>
      </c>
      <c r="G520" s="28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2">
        <v>0</v>
      </c>
      <c r="O520" t="s">
        <v>992</v>
      </c>
    </row>
    <row r="521" spans="1:15">
      <c r="A521" t="s">
        <v>942</v>
      </c>
      <c r="B521" t="s">
        <v>945</v>
      </c>
      <c r="C521" s="553">
        <v>44237</v>
      </c>
      <c r="D521" s="281" t="s">
        <v>4355</v>
      </c>
      <c r="E521" s="281" t="s">
        <v>4221</v>
      </c>
      <c r="F521" s="281">
        <v>12</v>
      </c>
      <c r="G521" s="28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2">
        <v>0</v>
      </c>
      <c r="O521" t="s">
        <v>993</v>
      </c>
    </row>
    <row r="522" spans="1:15">
      <c r="A522" t="s">
        <v>942</v>
      </c>
      <c r="B522" t="s">
        <v>945</v>
      </c>
      <c r="C522" s="553">
        <v>44237</v>
      </c>
      <c r="D522" s="281" t="s">
        <v>4355</v>
      </c>
      <c r="E522" s="281" t="s">
        <v>4221</v>
      </c>
      <c r="F522" s="281">
        <v>12</v>
      </c>
      <c r="G522" s="28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2">
        <v>0</v>
      </c>
      <c r="O522" t="s">
        <v>994</v>
      </c>
    </row>
    <row r="523" spans="1:15">
      <c r="A523" t="s">
        <v>942</v>
      </c>
      <c r="B523" t="s">
        <v>945</v>
      </c>
      <c r="C523" s="553">
        <v>44237</v>
      </c>
      <c r="D523" s="281" t="s">
        <v>4356</v>
      </c>
      <c r="E523" s="281" t="s">
        <v>4222</v>
      </c>
      <c r="F523" s="281">
        <v>12</v>
      </c>
      <c r="G523" s="28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2">
        <v>0</v>
      </c>
      <c r="O523" t="s">
        <v>986</v>
      </c>
    </row>
    <row r="524" spans="1:15">
      <c r="A524" t="s">
        <v>942</v>
      </c>
      <c r="B524" t="s">
        <v>945</v>
      </c>
      <c r="C524" s="553">
        <v>44237</v>
      </c>
      <c r="D524" s="281" t="s">
        <v>4356</v>
      </c>
      <c r="E524" s="281" t="s">
        <v>4222</v>
      </c>
      <c r="F524" s="281">
        <v>12</v>
      </c>
      <c r="G524" s="28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2">
        <v>0</v>
      </c>
      <c r="O524" t="s">
        <v>987</v>
      </c>
    </row>
    <row r="525" spans="1:15">
      <c r="A525" t="s">
        <v>942</v>
      </c>
      <c r="B525" t="s">
        <v>945</v>
      </c>
      <c r="C525" s="553">
        <v>44237</v>
      </c>
      <c r="D525" s="281" t="s">
        <v>4356</v>
      </c>
      <c r="E525" s="281" t="s">
        <v>4222</v>
      </c>
      <c r="F525" s="281">
        <v>12</v>
      </c>
      <c r="G525" s="28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2">
        <v>0</v>
      </c>
      <c r="O525" t="s">
        <v>988</v>
      </c>
    </row>
    <row r="526" spans="1:15">
      <c r="A526" t="s">
        <v>942</v>
      </c>
      <c r="B526" t="s">
        <v>945</v>
      </c>
      <c r="C526" s="553">
        <v>44237</v>
      </c>
      <c r="D526" s="281" t="s">
        <v>4356</v>
      </c>
      <c r="E526" s="281" t="s">
        <v>4222</v>
      </c>
      <c r="F526" s="281">
        <v>12</v>
      </c>
      <c r="G526" s="28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2">
        <v>0</v>
      </c>
      <c r="O526" t="s">
        <v>991</v>
      </c>
    </row>
    <row r="527" spans="1:15">
      <c r="A527" t="s">
        <v>942</v>
      </c>
      <c r="B527" t="s">
        <v>945</v>
      </c>
      <c r="C527" s="553">
        <v>44237</v>
      </c>
      <c r="D527" s="281" t="s">
        <v>4356</v>
      </c>
      <c r="E527" s="281" t="s">
        <v>4222</v>
      </c>
      <c r="F527" s="281">
        <v>12</v>
      </c>
      <c r="G527" s="28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2">
        <v>0</v>
      </c>
      <c r="O527" t="s">
        <v>994</v>
      </c>
    </row>
    <row r="528" spans="1:15">
      <c r="A528" t="s">
        <v>942</v>
      </c>
      <c r="B528" t="s">
        <v>945</v>
      </c>
      <c r="C528" s="553">
        <v>44237</v>
      </c>
      <c r="D528" s="281" t="s">
        <v>4357</v>
      </c>
      <c r="E528" s="281" t="s">
        <v>4223</v>
      </c>
      <c r="F528" s="281">
        <v>12</v>
      </c>
      <c r="G528" s="28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2">
        <v>0</v>
      </c>
      <c r="O528" t="s">
        <v>986</v>
      </c>
    </row>
    <row r="529" spans="1:15">
      <c r="A529" t="s">
        <v>942</v>
      </c>
      <c r="B529" t="s">
        <v>945</v>
      </c>
      <c r="C529" s="553">
        <v>44237</v>
      </c>
      <c r="D529" s="281" t="s">
        <v>4357</v>
      </c>
      <c r="E529" s="281" t="s">
        <v>4223</v>
      </c>
      <c r="F529" s="281">
        <v>12</v>
      </c>
      <c r="G529" s="28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2">
        <v>0</v>
      </c>
      <c r="O529" t="s">
        <v>987</v>
      </c>
    </row>
    <row r="530" spans="1:15">
      <c r="A530" t="s">
        <v>942</v>
      </c>
      <c r="B530" t="s">
        <v>945</v>
      </c>
      <c r="C530" s="553">
        <v>44237</v>
      </c>
      <c r="D530" s="281" t="s">
        <v>4357</v>
      </c>
      <c r="E530" s="281" t="s">
        <v>4223</v>
      </c>
      <c r="F530" s="281">
        <v>12</v>
      </c>
      <c r="G530" s="28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2">
        <v>0</v>
      </c>
      <c r="O530" t="s">
        <v>988</v>
      </c>
    </row>
    <row r="531" spans="1:15">
      <c r="A531" t="s">
        <v>942</v>
      </c>
      <c r="B531" t="s">
        <v>945</v>
      </c>
      <c r="C531" s="553">
        <v>44237</v>
      </c>
      <c r="D531" s="281" t="s">
        <v>4357</v>
      </c>
      <c r="E531" s="281" t="s">
        <v>4223</v>
      </c>
      <c r="F531" s="281">
        <v>12</v>
      </c>
      <c r="G531" s="28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2">
        <v>0</v>
      </c>
      <c r="O531" t="s">
        <v>991</v>
      </c>
    </row>
    <row r="532" spans="1:15">
      <c r="A532" t="s">
        <v>942</v>
      </c>
      <c r="B532" t="s">
        <v>945</v>
      </c>
      <c r="C532" s="553">
        <v>44237</v>
      </c>
      <c r="D532" s="281" t="s">
        <v>4357</v>
      </c>
      <c r="E532" s="281" t="s">
        <v>4223</v>
      </c>
      <c r="F532" s="281">
        <v>12</v>
      </c>
      <c r="G532" s="28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2">
        <v>0</v>
      </c>
      <c r="O532" t="s">
        <v>993</v>
      </c>
    </row>
    <row r="533" spans="1:15">
      <c r="A533" t="s">
        <v>942</v>
      </c>
      <c r="B533" t="s">
        <v>945</v>
      </c>
      <c r="C533" s="553">
        <v>44237</v>
      </c>
      <c r="D533" s="281" t="s">
        <v>4358</v>
      </c>
      <c r="E533" s="281" t="s">
        <v>3251</v>
      </c>
      <c r="F533" s="281">
        <v>9</v>
      </c>
      <c r="G533" s="28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2">
        <v>11500</v>
      </c>
      <c r="O533" t="s">
        <v>982</v>
      </c>
    </row>
    <row r="534" spans="1:15">
      <c r="A534" t="s">
        <v>942</v>
      </c>
      <c r="B534" t="s">
        <v>945</v>
      </c>
      <c r="C534" s="553">
        <v>44238</v>
      </c>
      <c r="D534" s="281" t="s">
        <v>4359</v>
      </c>
      <c r="E534" s="281" t="s">
        <v>3205</v>
      </c>
      <c r="F534" s="281">
        <v>1</v>
      </c>
      <c r="G534" s="28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2">
        <v>57452</v>
      </c>
      <c r="O534" t="s">
        <v>960</v>
      </c>
    </row>
    <row r="535" spans="1:15">
      <c r="A535" t="s">
        <v>942</v>
      </c>
      <c r="B535" t="s">
        <v>945</v>
      </c>
      <c r="C535" s="553">
        <v>44238</v>
      </c>
      <c r="D535" s="281" t="s">
        <v>4359</v>
      </c>
      <c r="E535" s="281" t="s">
        <v>3205</v>
      </c>
      <c r="F535" s="281">
        <v>1</v>
      </c>
      <c r="G535" s="28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2">
        <v>4000</v>
      </c>
      <c r="O535" t="s">
        <v>960</v>
      </c>
    </row>
    <row r="536" spans="1:15">
      <c r="A536" t="s">
        <v>942</v>
      </c>
      <c r="B536" t="s">
        <v>945</v>
      </c>
      <c r="C536" s="553">
        <v>44238</v>
      </c>
      <c r="D536" s="281" t="s">
        <v>4359</v>
      </c>
      <c r="E536" s="281" t="s">
        <v>3205</v>
      </c>
      <c r="F536" s="281">
        <v>1</v>
      </c>
      <c r="G536" s="28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2">
        <v>6894.24</v>
      </c>
      <c r="O536" t="s">
        <v>962</v>
      </c>
    </row>
    <row r="537" spans="1:15">
      <c r="A537" t="s">
        <v>942</v>
      </c>
      <c r="B537" t="s">
        <v>945</v>
      </c>
      <c r="C537" s="553">
        <v>44238</v>
      </c>
      <c r="D537" s="281" t="s">
        <v>4359</v>
      </c>
      <c r="E537" s="281" t="s">
        <v>3205</v>
      </c>
      <c r="F537" s="281">
        <v>1</v>
      </c>
      <c r="G537" s="28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2">
        <v>200</v>
      </c>
      <c r="O537" t="s">
        <v>960</v>
      </c>
    </row>
    <row r="538" spans="1:15">
      <c r="A538" t="s">
        <v>942</v>
      </c>
      <c r="B538" t="s">
        <v>945</v>
      </c>
      <c r="C538" s="553">
        <v>44238</v>
      </c>
      <c r="D538" s="281" t="s">
        <v>4359</v>
      </c>
      <c r="E538" s="281" t="s">
        <v>3205</v>
      </c>
      <c r="F538" s="281">
        <v>1</v>
      </c>
      <c r="G538" s="28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2">
        <v>861.79</v>
      </c>
      <c r="O538" t="s">
        <v>960</v>
      </c>
    </row>
    <row r="539" spans="1:15">
      <c r="A539" t="s">
        <v>942</v>
      </c>
      <c r="B539" t="s">
        <v>945</v>
      </c>
      <c r="C539" s="553">
        <v>44238</v>
      </c>
      <c r="D539" s="281" t="s">
        <v>4359</v>
      </c>
      <c r="E539" s="281" t="s">
        <v>3205</v>
      </c>
      <c r="F539" s="281">
        <v>1</v>
      </c>
      <c r="G539" s="28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2">
        <v>200</v>
      </c>
      <c r="O539" t="s">
        <v>960</v>
      </c>
    </row>
    <row r="540" spans="1:15">
      <c r="A540" t="s">
        <v>942</v>
      </c>
      <c r="B540" t="s">
        <v>945</v>
      </c>
      <c r="C540" s="553">
        <v>44238</v>
      </c>
      <c r="D540" s="281" t="s">
        <v>4359</v>
      </c>
      <c r="E540" s="281" t="s">
        <v>3205</v>
      </c>
      <c r="F540" s="281">
        <v>2</v>
      </c>
      <c r="G540" s="28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2">
        <v>130423</v>
      </c>
      <c r="O540" t="s">
        <v>964</v>
      </c>
    </row>
    <row r="541" spans="1:15">
      <c r="A541" t="s">
        <v>942</v>
      </c>
      <c r="B541" t="s">
        <v>945</v>
      </c>
      <c r="C541" s="553">
        <v>44238</v>
      </c>
      <c r="D541" s="281" t="s">
        <v>4359</v>
      </c>
      <c r="E541" s="281" t="s">
        <v>3205</v>
      </c>
      <c r="F541" s="281">
        <v>2</v>
      </c>
      <c r="G541" s="28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2">
        <v>4000</v>
      </c>
      <c r="O541" t="s">
        <v>964</v>
      </c>
    </row>
    <row r="542" spans="1:15">
      <c r="A542" t="s">
        <v>942</v>
      </c>
      <c r="B542" t="s">
        <v>945</v>
      </c>
      <c r="C542" s="553">
        <v>44238</v>
      </c>
      <c r="D542" s="281" t="s">
        <v>4359</v>
      </c>
      <c r="E542" s="281" t="s">
        <v>3205</v>
      </c>
      <c r="F542" s="281">
        <v>2</v>
      </c>
      <c r="G542" s="28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2">
        <v>15650.76</v>
      </c>
      <c r="O542" t="s">
        <v>966</v>
      </c>
    </row>
    <row r="543" spans="1:15">
      <c r="A543" t="s">
        <v>942</v>
      </c>
      <c r="B543" t="s">
        <v>945</v>
      </c>
      <c r="C543" s="553">
        <v>44238</v>
      </c>
      <c r="D543" s="281" t="s">
        <v>4359</v>
      </c>
      <c r="E543" s="281" t="s">
        <v>3205</v>
      </c>
      <c r="F543" s="281">
        <v>2</v>
      </c>
      <c r="G543" s="28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2">
        <v>200</v>
      </c>
      <c r="O543" t="s">
        <v>964</v>
      </c>
    </row>
    <row r="544" spans="1:15">
      <c r="A544" t="s">
        <v>942</v>
      </c>
      <c r="B544" t="s">
        <v>945</v>
      </c>
      <c r="C544" s="553">
        <v>44238</v>
      </c>
      <c r="D544" s="281" t="s">
        <v>4359</v>
      </c>
      <c r="E544" s="281" t="s">
        <v>3205</v>
      </c>
      <c r="F544" s="281">
        <v>2</v>
      </c>
      <c r="G544" s="28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2">
        <v>1555.22</v>
      </c>
      <c r="O544" t="s">
        <v>964</v>
      </c>
    </row>
    <row r="545" spans="1:15">
      <c r="A545" t="s">
        <v>942</v>
      </c>
      <c r="B545" t="s">
        <v>945</v>
      </c>
      <c r="C545" s="553">
        <v>44238</v>
      </c>
      <c r="D545" s="281" t="s">
        <v>4359</v>
      </c>
      <c r="E545" s="281" t="s">
        <v>3205</v>
      </c>
      <c r="F545" s="281">
        <v>2</v>
      </c>
      <c r="G545" s="28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2">
        <v>200</v>
      </c>
      <c r="O545" t="s">
        <v>964</v>
      </c>
    </row>
    <row r="546" spans="1:15">
      <c r="A546" t="s">
        <v>942</v>
      </c>
      <c r="B546" t="s">
        <v>945</v>
      </c>
      <c r="C546" s="553">
        <v>44238</v>
      </c>
      <c r="D546" s="281" t="s">
        <v>4359</v>
      </c>
      <c r="E546" s="281" t="s">
        <v>3205</v>
      </c>
      <c r="F546" s="281">
        <v>3</v>
      </c>
      <c r="G546" s="28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2">
        <v>111742</v>
      </c>
      <c r="O546" t="s">
        <v>967</v>
      </c>
    </row>
    <row r="547" spans="1:15">
      <c r="A547" t="s">
        <v>942</v>
      </c>
      <c r="B547" t="s">
        <v>945</v>
      </c>
      <c r="C547" s="553">
        <v>44238</v>
      </c>
      <c r="D547" s="281" t="s">
        <v>4359</v>
      </c>
      <c r="E547" s="281" t="s">
        <v>3205</v>
      </c>
      <c r="F547" s="281">
        <v>3</v>
      </c>
      <c r="G547" s="28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2">
        <v>2000</v>
      </c>
      <c r="O547" t="s">
        <v>967</v>
      </c>
    </row>
    <row r="548" spans="1:15">
      <c r="A548" t="s">
        <v>942</v>
      </c>
      <c r="B548" t="s">
        <v>945</v>
      </c>
      <c r="C548" s="553">
        <v>44238</v>
      </c>
      <c r="D548" s="281" t="s">
        <v>4359</v>
      </c>
      <c r="E548" s="281" t="s">
        <v>3205</v>
      </c>
      <c r="F548" s="281">
        <v>3</v>
      </c>
      <c r="G548" s="28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2">
        <v>13409.04</v>
      </c>
      <c r="O548" t="s">
        <v>969</v>
      </c>
    </row>
    <row r="549" spans="1:15">
      <c r="A549" t="s">
        <v>942</v>
      </c>
      <c r="B549" t="s">
        <v>945</v>
      </c>
      <c r="C549" s="553">
        <v>44238</v>
      </c>
      <c r="D549" s="281" t="s">
        <v>4359</v>
      </c>
      <c r="E549" s="281" t="s">
        <v>3205</v>
      </c>
      <c r="F549" s="281">
        <v>3</v>
      </c>
      <c r="G549" s="28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2">
        <v>100</v>
      </c>
      <c r="O549" t="s">
        <v>967</v>
      </c>
    </row>
    <row r="550" spans="1:15">
      <c r="A550" t="s">
        <v>942</v>
      </c>
      <c r="B550" t="s">
        <v>945</v>
      </c>
      <c r="C550" s="553">
        <v>44238</v>
      </c>
      <c r="D550" s="281" t="s">
        <v>4359</v>
      </c>
      <c r="E550" s="281" t="s">
        <v>3205</v>
      </c>
      <c r="F550" s="281">
        <v>3</v>
      </c>
      <c r="G550" s="28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2">
        <v>900</v>
      </c>
      <c r="O550" t="s">
        <v>967</v>
      </c>
    </row>
    <row r="551" spans="1:15">
      <c r="A551" t="s">
        <v>942</v>
      </c>
      <c r="B551" t="s">
        <v>945</v>
      </c>
      <c r="C551" s="553">
        <v>44238</v>
      </c>
      <c r="D551" s="281" t="s">
        <v>4359</v>
      </c>
      <c r="E551" s="281" t="s">
        <v>3205</v>
      </c>
      <c r="F551" s="281">
        <v>3</v>
      </c>
      <c r="G551" s="28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2">
        <v>100</v>
      </c>
      <c r="O551" t="s">
        <v>967</v>
      </c>
    </row>
    <row r="552" spans="1:15">
      <c r="A552" t="s">
        <v>942</v>
      </c>
      <c r="B552" t="s">
        <v>945</v>
      </c>
      <c r="C552" s="553">
        <v>44238</v>
      </c>
      <c r="D552" s="281" t="s">
        <v>4359</v>
      </c>
      <c r="E552" s="281" t="s">
        <v>3205</v>
      </c>
      <c r="F552" s="281">
        <v>4</v>
      </c>
      <c r="G552" s="28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2">
        <v>134419</v>
      </c>
      <c r="O552" t="s">
        <v>970</v>
      </c>
    </row>
    <row r="553" spans="1:15">
      <c r="A553" t="s">
        <v>942</v>
      </c>
      <c r="B553" t="s">
        <v>945</v>
      </c>
      <c r="C553" s="553">
        <v>44238</v>
      </c>
      <c r="D553" s="281" t="s">
        <v>4359</v>
      </c>
      <c r="E553" s="281" t="s">
        <v>3205</v>
      </c>
      <c r="F553" s="281">
        <v>4</v>
      </c>
      <c r="G553" s="28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2">
        <v>4000</v>
      </c>
      <c r="O553" t="s">
        <v>970</v>
      </c>
    </row>
    <row r="554" spans="1:15">
      <c r="A554" t="s">
        <v>942</v>
      </c>
      <c r="B554" t="s">
        <v>945</v>
      </c>
      <c r="C554" s="553">
        <v>44238</v>
      </c>
      <c r="D554" s="281" t="s">
        <v>4359</v>
      </c>
      <c r="E554" s="281" t="s">
        <v>3205</v>
      </c>
      <c r="F554" s="281">
        <v>4</v>
      </c>
      <c r="G554" s="28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2">
        <v>16130.28</v>
      </c>
      <c r="O554" t="s">
        <v>972</v>
      </c>
    </row>
    <row r="555" spans="1:15">
      <c r="A555" t="s">
        <v>942</v>
      </c>
      <c r="B555" t="s">
        <v>945</v>
      </c>
      <c r="C555" s="553">
        <v>44238</v>
      </c>
      <c r="D555" s="281" t="s">
        <v>4359</v>
      </c>
      <c r="E555" s="281" t="s">
        <v>3205</v>
      </c>
      <c r="F555" s="281">
        <v>4</v>
      </c>
      <c r="G555" s="28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2">
        <v>200</v>
      </c>
      <c r="O555" t="s">
        <v>970</v>
      </c>
    </row>
    <row r="556" spans="1:15">
      <c r="A556" t="s">
        <v>942</v>
      </c>
      <c r="B556" t="s">
        <v>945</v>
      </c>
      <c r="C556" s="553">
        <v>44238</v>
      </c>
      <c r="D556" s="281" t="s">
        <v>4359</v>
      </c>
      <c r="E556" s="281" t="s">
        <v>3205</v>
      </c>
      <c r="F556" s="281">
        <v>4</v>
      </c>
      <c r="G556" s="28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2">
        <v>1593.92</v>
      </c>
      <c r="O556" t="s">
        <v>970</v>
      </c>
    </row>
    <row r="557" spans="1:15">
      <c r="A557" t="s">
        <v>942</v>
      </c>
      <c r="B557" t="s">
        <v>945</v>
      </c>
      <c r="C557" s="553">
        <v>44238</v>
      </c>
      <c r="D557" s="281" t="s">
        <v>4359</v>
      </c>
      <c r="E557" s="281" t="s">
        <v>3205</v>
      </c>
      <c r="F557" s="281">
        <v>4</v>
      </c>
      <c r="G557" s="28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2">
        <v>200</v>
      </c>
      <c r="O557" t="s">
        <v>970</v>
      </c>
    </row>
    <row r="558" spans="1:15">
      <c r="A558" t="s">
        <v>942</v>
      </c>
      <c r="B558" t="s">
        <v>945</v>
      </c>
      <c r="C558" s="553">
        <v>44238</v>
      </c>
      <c r="D558" s="281" t="s">
        <v>4359</v>
      </c>
      <c r="E558" s="281" t="s">
        <v>3205</v>
      </c>
      <c r="F558" s="281">
        <v>5</v>
      </c>
      <c r="G558" s="28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2">
        <v>91522</v>
      </c>
      <c r="O558" t="s">
        <v>973</v>
      </c>
    </row>
    <row r="559" spans="1:15">
      <c r="A559" t="s">
        <v>942</v>
      </c>
      <c r="B559" t="s">
        <v>945</v>
      </c>
      <c r="C559" s="553">
        <v>44238</v>
      </c>
      <c r="D559" s="281" t="s">
        <v>4359</v>
      </c>
      <c r="E559" s="281" t="s">
        <v>3205</v>
      </c>
      <c r="F559" s="281">
        <v>5</v>
      </c>
      <c r="G559" s="28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2">
        <v>4000</v>
      </c>
      <c r="O559" t="s">
        <v>973</v>
      </c>
    </row>
    <row r="560" spans="1:15">
      <c r="A560" t="s">
        <v>942</v>
      </c>
      <c r="B560" t="s">
        <v>945</v>
      </c>
      <c r="C560" s="553">
        <v>44238</v>
      </c>
      <c r="D560" s="281" t="s">
        <v>4359</v>
      </c>
      <c r="E560" s="281" t="s">
        <v>3205</v>
      </c>
      <c r="F560" s="281">
        <v>5</v>
      </c>
      <c r="G560" s="28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2">
        <v>10982.64</v>
      </c>
      <c r="O560" t="s">
        <v>975</v>
      </c>
    </row>
    <row r="561" spans="1:15">
      <c r="A561" t="s">
        <v>942</v>
      </c>
      <c r="B561" t="s">
        <v>945</v>
      </c>
      <c r="C561" s="553">
        <v>44238</v>
      </c>
      <c r="D561" s="281" t="s">
        <v>4359</v>
      </c>
      <c r="E561" s="281" t="s">
        <v>3205</v>
      </c>
      <c r="F561" s="281">
        <v>5</v>
      </c>
      <c r="G561" s="28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2">
        <v>200</v>
      </c>
      <c r="O561" t="s">
        <v>973</v>
      </c>
    </row>
    <row r="562" spans="1:15">
      <c r="A562" t="s">
        <v>942</v>
      </c>
      <c r="B562" t="s">
        <v>945</v>
      </c>
      <c r="C562" s="553">
        <v>44238</v>
      </c>
      <c r="D562" s="281" t="s">
        <v>4359</v>
      </c>
      <c r="E562" s="281" t="s">
        <v>3205</v>
      </c>
      <c r="F562" s="281">
        <v>5</v>
      </c>
      <c r="G562" s="28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2">
        <v>1372.83</v>
      </c>
      <c r="O562" t="s">
        <v>973</v>
      </c>
    </row>
    <row r="563" spans="1:15">
      <c r="A563" t="s">
        <v>942</v>
      </c>
      <c r="B563" t="s">
        <v>945</v>
      </c>
      <c r="C563" s="553">
        <v>44238</v>
      </c>
      <c r="D563" s="281" t="s">
        <v>4359</v>
      </c>
      <c r="E563" s="281" t="s">
        <v>3205</v>
      </c>
      <c r="F563" s="281">
        <v>5</v>
      </c>
      <c r="G563" s="28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2">
        <v>200</v>
      </c>
      <c r="O563" t="s">
        <v>973</v>
      </c>
    </row>
    <row r="564" spans="1:15">
      <c r="A564" t="s">
        <v>942</v>
      </c>
      <c r="B564" t="s">
        <v>945</v>
      </c>
      <c r="C564" s="553">
        <v>44238</v>
      </c>
      <c r="D564" s="281" t="s">
        <v>4359</v>
      </c>
      <c r="E564" s="281" t="s">
        <v>3205</v>
      </c>
      <c r="F564" s="281">
        <v>6</v>
      </c>
      <c r="G564" s="28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2">
        <v>43681</v>
      </c>
      <c r="O564" t="s">
        <v>976</v>
      </c>
    </row>
    <row r="565" spans="1:15">
      <c r="A565" t="s">
        <v>942</v>
      </c>
      <c r="B565" t="s">
        <v>945</v>
      </c>
      <c r="C565" s="553">
        <v>44238</v>
      </c>
      <c r="D565" s="281" t="s">
        <v>4359</v>
      </c>
      <c r="E565" s="281" t="s">
        <v>3205</v>
      </c>
      <c r="F565" s="281">
        <v>6</v>
      </c>
      <c r="G565" s="28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2">
        <v>2000</v>
      </c>
      <c r="O565" t="s">
        <v>976</v>
      </c>
    </row>
    <row r="566" spans="1:15">
      <c r="A566" t="s">
        <v>942</v>
      </c>
      <c r="B566" t="s">
        <v>945</v>
      </c>
      <c r="C566" s="553">
        <v>44238</v>
      </c>
      <c r="D566" s="281" t="s">
        <v>4359</v>
      </c>
      <c r="E566" s="281" t="s">
        <v>3205</v>
      </c>
      <c r="F566" s="281">
        <v>6</v>
      </c>
      <c r="G566" s="28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2">
        <v>5241.72</v>
      </c>
      <c r="O566" t="s">
        <v>978</v>
      </c>
    </row>
    <row r="567" spans="1:15">
      <c r="A567" t="s">
        <v>942</v>
      </c>
      <c r="B567" t="s">
        <v>945</v>
      </c>
      <c r="C567" s="553">
        <v>44238</v>
      </c>
      <c r="D567" s="281" t="s">
        <v>4359</v>
      </c>
      <c r="E567" s="281" t="s">
        <v>3205</v>
      </c>
      <c r="F567" s="281">
        <v>6</v>
      </c>
      <c r="G567" s="28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2">
        <v>100</v>
      </c>
      <c r="O567" t="s">
        <v>976</v>
      </c>
    </row>
    <row r="568" spans="1:15">
      <c r="A568" t="s">
        <v>942</v>
      </c>
      <c r="B568" t="s">
        <v>945</v>
      </c>
      <c r="C568" s="553">
        <v>44238</v>
      </c>
      <c r="D568" s="281" t="s">
        <v>4359</v>
      </c>
      <c r="E568" s="281" t="s">
        <v>3205</v>
      </c>
      <c r="F568" s="281">
        <v>6</v>
      </c>
      <c r="G568" s="28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2">
        <v>655.22</v>
      </c>
      <c r="O568" t="s">
        <v>976</v>
      </c>
    </row>
    <row r="569" spans="1:15">
      <c r="A569" t="s">
        <v>942</v>
      </c>
      <c r="B569" t="s">
        <v>945</v>
      </c>
      <c r="C569" s="553">
        <v>44238</v>
      </c>
      <c r="D569" s="281" t="s">
        <v>4359</v>
      </c>
      <c r="E569" s="281" t="s">
        <v>3205</v>
      </c>
      <c r="F569" s="281">
        <v>6</v>
      </c>
      <c r="G569" s="28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2">
        <v>100</v>
      </c>
      <c r="O569" t="s">
        <v>976</v>
      </c>
    </row>
    <row r="570" spans="1:15">
      <c r="A570" t="s">
        <v>942</v>
      </c>
      <c r="B570" t="s">
        <v>945</v>
      </c>
      <c r="C570" s="553">
        <v>44238</v>
      </c>
      <c r="D570" s="281" t="s">
        <v>4360</v>
      </c>
      <c r="E570" s="281" t="s">
        <v>3207</v>
      </c>
      <c r="F570" s="281">
        <v>13</v>
      </c>
      <c r="G570" s="28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2">
        <v>77256</v>
      </c>
      <c r="O570" t="s">
        <v>999</v>
      </c>
    </row>
    <row r="571" spans="1:15">
      <c r="A571" t="s">
        <v>942</v>
      </c>
      <c r="B571" t="s">
        <v>945</v>
      </c>
      <c r="C571" s="553">
        <v>44238</v>
      </c>
      <c r="D571" s="281" t="s">
        <v>4360</v>
      </c>
      <c r="E571" s="281" t="s">
        <v>3207</v>
      </c>
      <c r="F571" s="281">
        <v>13</v>
      </c>
      <c r="G571" s="28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2">
        <v>4000</v>
      </c>
      <c r="O571" t="s">
        <v>999</v>
      </c>
    </row>
    <row r="572" spans="1:15">
      <c r="A572" t="s">
        <v>942</v>
      </c>
      <c r="B572" t="s">
        <v>945</v>
      </c>
      <c r="C572" s="553">
        <v>44238</v>
      </c>
      <c r="D572" s="281" t="s">
        <v>4360</v>
      </c>
      <c r="E572" s="281" t="s">
        <v>3207</v>
      </c>
      <c r="F572" s="281">
        <v>13</v>
      </c>
      <c r="G572" s="28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2">
        <v>9270.7199999999993</v>
      </c>
      <c r="O572" t="s">
        <v>999</v>
      </c>
    </row>
    <row r="573" spans="1:15">
      <c r="A573" t="s">
        <v>942</v>
      </c>
      <c r="B573" t="s">
        <v>945</v>
      </c>
      <c r="C573" s="553">
        <v>44238</v>
      </c>
      <c r="D573" s="281" t="s">
        <v>4360</v>
      </c>
      <c r="E573" s="281" t="s">
        <v>3207</v>
      </c>
      <c r="F573" s="281">
        <v>13</v>
      </c>
      <c r="G573" s="28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2">
        <v>200</v>
      </c>
      <c r="O573" t="s">
        <v>999</v>
      </c>
    </row>
    <row r="574" spans="1:15">
      <c r="A574" t="s">
        <v>942</v>
      </c>
      <c r="B574" t="s">
        <v>945</v>
      </c>
      <c r="C574" s="553">
        <v>44238</v>
      </c>
      <c r="D574" s="281" t="s">
        <v>4360</v>
      </c>
      <c r="E574" s="281" t="s">
        <v>3207</v>
      </c>
      <c r="F574" s="281">
        <v>13</v>
      </c>
      <c r="G574" s="28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2">
        <v>1158.8499999999999</v>
      </c>
      <c r="O574" t="s">
        <v>999</v>
      </c>
    </row>
    <row r="575" spans="1:15">
      <c r="A575" t="s">
        <v>942</v>
      </c>
      <c r="B575" t="s">
        <v>945</v>
      </c>
      <c r="C575" s="553">
        <v>44238</v>
      </c>
      <c r="D575" s="281" t="s">
        <v>4360</v>
      </c>
      <c r="E575" s="281" t="s">
        <v>3207</v>
      </c>
      <c r="F575" s="281">
        <v>13</v>
      </c>
      <c r="G575" s="28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2">
        <v>200</v>
      </c>
      <c r="O575" t="s">
        <v>999</v>
      </c>
    </row>
    <row r="576" spans="1:15">
      <c r="A576" t="s">
        <v>942</v>
      </c>
      <c r="B576" t="s">
        <v>945</v>
      </c>
      <c r="C576" s="553">
        <v>44238</v>
      </c>
      <c r="D576" s="281" t="s">
        <v>4361</v>
      </c>
      <c r="E576" s="281" t="s">
        <v>3203</v>
      </c>
      <c r="F576" s="281">
        <v>1</v>
      </c>
      <c r="G576" s="28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2">
        <v>145528</v>
      </c>
      <c r="O576" t="s">
        <v>960</v>
      </c>
    </row>
    <row r="577" spans="1:15">
      <c r="A577" t="s">
        <v>942</v>
      </c>
      <c r="B577" t="s">
        <v>945</v>
      </c>
      <c r="C577" s="553">
        <v>44238</v>
      </c>
      <c r="D577" s="281" t="s">
        <v>4361</v>
      </c>
      <c r="E577" s="281" t="s">
        <v>3203</v>
      </c>
      <c r="F577" s="281">
        <v>1</v>
      </c>
      <c r="G577" s="28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2">
        <v>6000</v>
      </c>
      <c r="O577" t="s">
        <v>960</v>
      </c>
    </row>
    <row r="578" spans="1:15">
      <c r="A578" t="s">
        <v>942</v>
      </c>
      <c r="B578" t="s">
        <v>945</v>
      </c>
      <c r="C578" s="553">
        <v>44238</v>
      </c>
      <c r="D578" s="281" t="s">
        <v>4361</v>
      </c>
      <c r="E578" s="281" t="s">
        <v>3203</v>
      </c>
      <c r="F578" s="281">
        <v>1</v>
      </c>
      <c r="G578" s="28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2">
        <v>17463.36</v>
      </c>
      <c r="O578" t="s">
        <v>962</v>
      </c>
    </row>
    <row r="579" spans="1:15">
      <c r="A579" t="s">
        <v>942</v>
      </c>
      <c r="B579" t="s">
        <v>945</v>
      </c>
      <c r="C579" s="553">
        <v>44238</v>
      </c>
      <c r="D579" s="281" t="s">
        <v>4361</v>
      </c>
      <c r="E579" s="281" t="s">
        <v>3203</v>
      </c>
      <c r="F579" s="281">
        <v>1</v>
      </c>
      <c r="G579" s="28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2">
        <v>300</v>
      </c>
      <c r="O579" t="s">
        <v>960</v>
      </c>
    </row>
    <row r="580" spans="1:15">
      <c r="A580" t="s">
        <v>942</v>
      </c>
      <c r="B580" t="s">
        <v>945</v>
      </c>
      <c r="C580" s="553">
        <v>44238</v>
      </c>
      <c r="D580" s="281" t="s">
        <v>4361</v>
      </c>
      <c r="E580" s="281" t="s">
        <v>3203</v>
      </c>
      <c r="F580" s="281">
        <v>1</v>
      </c>
      <c r="G580" s="28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2">
        <v>1781.79</v>
      </c>
      <c r="O580" t="s">
        <v>960</v>
      </c>
    </row>
    <row r="581" spans="1:15">
      <c r="A581" t="s">
        <v>942</v>
      </c>
      <c r="B581" t="s">
        <v>945</v>
      </c>
      <c r="C581" s="553">
        <v>44238</v>
      </c>
      <c r="D581" s="281" t="s">
        <v>4361</v>
      </c>
      <c r="E581" s="281" t="s">
        <v>3203</v>
      </c>
      <c r="F581" s="281">
        <v>1</v>
      </c>
      <c r="G581" s="28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2">
        <v>300</v>
      </c>
      <c r="O581" t="s">
        <v>960</v>
      </c>
    </row>
    <row r="582" spans="1:15">
      <c r="A582" t="s">
        <v>942</v>
      </c>
      <c r="B582" t="s">
        <v>945</v>
      </c>
      <c r="C582" s="553">
        <v>44238</v>
      </c>
      <c r="D582" s="281" t="s">
        <v>4361</v>
      </c>
      <c r="E582" s="281" t="s">
        <v>3203</v>
      </c>
      <c r="F582" s="281">
        <v>2</v>
      </c>
      <c r="G582" s="28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2">
        <v>46261</v>
      </c>
      <c r="O582" t="s">
        <v>964</v>
      </c>
    </row>
    <row r="583" spans="1:15">
      <c r="A583" t="s">
        <v>942</v>
      </c>
      <c r="B583" t="s">
        <v>945</v>
      </c>
      <c r="C583" s="553">
        <v>44238</v>
      </c>
      <c r="D583" s="281" t="s">
        <v>4361</v>
      </c>
      <c r="E583" s="281" t="s">
        <v>3203</v>
      </c>
      <c r="F583" s="281">
        <v>2</v>
      </c>
      <c r="G583" s="28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2">
        <v>2000</v>
      </c>
      <c r="O583" t="s">
        <v>964</v>
      </c>
    </row>
    <row r="584" spans="1:15">
      <c r="A584" t="s">
        <v>942</v>
      </c>
      <c r="B584" t="s">
        <v>945</v>
      </c>
      <c r="C584" s="553">
        <v>44238</v>
      </c>
      <c r="D584" s="281" t="s">
        <v>4361</v>
      </c>
      <c r="E584" s="281" t="s">
        <v>3203</v>
      </c>
      <c r="F584" s="281">
        <v>2</v>
      </c>
      <c r="G584" s="28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2">
        <v>5551.32</v>
      </c>
      <c r="O584" t="s">
        <v>966</v>
      </c>
    </row>
    <row r="585" spans="1:15">
      <c r="A585" t="s">
        <v>942</v>
      </c>
      <c r="B585" t="s">
        <v>945</v>
      </c>
      <c r="C585" s="553">
        <v>44238</v>
      </c>
      <c r="D585" s="281" t="s">
        <v>4361</v>
      </c>
      <c r="E585" s="281" t="s">
        <v>3203</v>
      </c>
      <c r="F585" s="281">
        <v>2</v>
      </c>
      <c r="G585" s="28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2">
        <v>100</v>
      </c>
      <c r="O585" t="s">
        <v>964</v>
      </c>
    </row>
    <row r="586" spans="1:15">
      <c r="A586" t="s">
        <v>942</v>
      </c>
      <c r="B586" t="s">
        <v>945</v>
      </c>
      <c r="C586" s="553">
        <v>44238</v>
      </c>
      <c r="D586" s="281" t="s">
        <v>4361</v>
      </c>
      <c r="E586" s="281" t="s">
        <v>3203</v>
      </c>
      <c r="F586" s="281">
        <v>2</v>
      </c>
      <c r="G586" s="28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2">
        <v>693.92</v>
      </c>
      <c r="O586" t="s">
        <v>964</v>
      </c>
    </row>
    <row r="587" spans="1:15">
      <c r="A587" t="s">
        <v>942</v>
      </c>
      <c r="B587" t="s">
        <v>945</v>
      </c>
      <c r="C587" s="553">
        <v>44238</v>
      </c>
      <c r="D587" s="281" t="s">
        <v>4361</v>
      </c>
      <c r="E587" s="281" t="s">
        <v>3203</v>
      </c>
      <c r="F587" s="281">
        <v>2</v>
      </c>
      <c r="G587" s="28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2">
        <v>100</v>
      </c>
      <c r="O587" t="s">
        <v>964</v>
      </c>
    </row>
    <row r="588" spans="1:15">
      <c r="A588" t="s">
        <v>942</v>
      </c>
      <c r="B588" t="s">
        <v>945</v>
      </c>
      <c r="C588" s="553">
        <v>44238</v>
      </c>
      <c r="D588" s="281" t="s">
        <v>4361</v>
      </c>
      <c r="E588" s="281" t="s">
        <v>3203</v>
      </c>
      <c r="F588" s="281">
        <v>3</v>
      </c>
      <c r="G588" s="28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2">
        <v>111742</v>
      </c>
      <c r="O588" t="s">
        <v>967</v>
      </c>
    </row>
    <row r="589" spans="1:15">
      <c r="A589" t="s">
        <v>942</v>
      </c>
      <c r="B589" t="s">
        <v>945</v>
      </c>
      <c r="C589" s="553">
        <v>44238</v>
      </c>
      <c r="D589" s="281" t="s">
        <v>4361</v>
      </c>
      <c r="E589" s="281" t="s">
        <v>3203</v>
      </c>
      <c r="F589" s="281">
        <v>3</v>
      </c>
      <c r="G589" s="28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2">
        <v>2000</v>
      </c>
      <c r="O589" t="s">
        <v>967</v>
      </c>
    </row>
    <row r="590" spans="1:15">
      <c r="A590" t="s">
        <v>942</v>
      </c>
      <c r="B590" t="s">
        <v>945</v>
      </c>
      <c r="C590" s="553">
        <v>44238</v>
      </c>
      <c r="D590" s="281" t="s">
        <v>4361</v>
      </c>
      <c r="E590" s="281" t="s">
        <v>3203</v>
      </c>
      <c r="F590" s="281">
        <v>3</v>
      </c>
      <c r="G590" s="28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2">
        <v>13409.04</v>
      </c>
      <c r="O590" t="s">
        <v>969</v>
      </c>
    </row>
    <row r="591" spans="1:15">
      <c r="A591" t="s">
        <v>942</v>
      </c>
      <c r="B591" t="s">
        <v>945</v>
      </c>
      <c r="C591" s="553">
        <v>44238</v>
      </c>
      <c r="D591" s="281" t="s">
        <v>4361</v>
      </c>
      <c r="E591" s="281" t="s">
        <v>3203</v>
      </c>
      <c r="F591" s="281">
        <v>3</v>
      </c>
      <c r="G591" s="28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2">
        <v>100</v>
      </c>
      <c r="O591" t="s">
        <v>967</v>
      </c>
    </row>
    <row r="592" spans="1:15">
      <c r="A592" t="s">
        <v>942</v>
      </c>
      <c r="B592" t="s">
        <v>945</v>
      </c>
      <c r="C592" s="553">
        <v>44238</v>
      </c>
      <c r="D592" s="281" t="s">
        <v>4361</v>
      </c>
      <c r="E592" s="281" t="s">
        <v>3203</v>
      </c>
      <c r="F592" s="281">
        <v>3</v>
      </c>
      <c r="G592" s="28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2">
        <v>900</v>
      </c>
      <c r="O592" t="s">
        <v>967</v>
      </c>
    </row>
    <row r="593" spans="1:15">
      <c r="A593" t="s">
        <v>942</v>
      </c>
      <c r="B593" t="s">
        <v>945</v>
      </c>
      <c r="C593" s="553">
        <v>44238</v>
      </c>
      <c r="D593" s="281" t="s">
        <v>4361</v>
      </c>
      <c r="E593" s="281" t="s">
        <v>3203</v>
      </c>
      <c r="F593" s="281">
        <v>3</v>
      </c>
      <c r="G593" s="28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2">
        <v>100</v>
      </c>
      <c r="O593" t="s">
        <v>967</v>
      </c>
    </row>
    <row r="594" spans="1:15">
      <c r="A594" t="s">
        <v>942</v>
      </c>
      <c r="B594" t="s">
        <v>945</v>
      </c>
      <c r="C594" s="553">
        <v>44238</v>
      </c>
      <c r="D594" s="281" t="s">
        <v>4361</v>
      </c>
      <c r="E594" s="281" t="s">
        <v>3203</v>
      </c>
      <c r="F594" s="281">
        <v>4</v>
      </c>
      <c r="G594" s="28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2">
        <v>236044</v>
      </c>
      <c r="O594" t="s">
        <v>970</v>
      </c>
    </row>
    <row r="595" spans="1:15">
      <c r="A595" t="s">
        <v>942</v>
      </c>
      <c r="B595" t="s">
        <v>945</v>
      </c>
      <c r="C595" s="553">
        <v>44238</v>
      </c>
      <c r="D595" s="281" t="s">
        <v>4361</v>
      </c>
      <c r="E595" s="281" t="s">
        <v>3203</v>
      </c>
      <c r="F595" s="281">
        <v>4</v>
      </c>
      <c r="G595" s="28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2">
        <v>12000</v>
      </c>
      <c r="O595" t="s">
        <v>970</v>
      </c>
    </row>
    <row r="596" spans="1:15">
      <c r="A596" t="s">
        <v>942</v>
      </c>
      <c r="B596" t="s">
        <v>945</v>
      </c>
      <c r="C596" s="553">
        <v>44238</v>
      </c>
      <c r="D596" s="281" t="s">
        <v>4361</v>
      </c>
      <c r="E596" s="281" t="s">
        <v>3203</v>
      </c>
      <c r="F596" s="281">
        <v>4</v>
      </c>
      <c r="G596" s="28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2">
        <v>28325.279999999999</v>
      </c>
      <c r="O596" t="s">
        <v>972</v>
      </c>
    </row>
    <row r="597" spans="1:15">
      <c r="A597" t="s">
        <v>942</v>
      </c>
      <c r="B597" t="s">
        <v>945</v>
      </c>
      <c r="C597" s="553">
        <v>44238</v>
      </c>
      <c r="D597" s="281" t="s">
        <v>4361</v>
      </c>
      <c r="E597" s="281" t="s">
        <v>3203</v>
      </c>
      <c r="F597" s="281">
        <v>4</v>
      </c>
      <c r="G597" s="28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2">
        <v>600</v>
      </c>
      <c r="O597" t="s">
        <v>970</v>
      </c>
    </row>
    <row r="598" spans="1:15">
      <c r="A598" t="s">
        <v>942</v>
      </c>
      <c r="B598" t="s">
        <v>945</v>
      </c>
      <c r="C598" s="553">
        <v>44238</v>
      </c>
      <c r="D598" s="281" t="s">
        <v>4361</v>
      </c>
      <c r="E598" s="281" t="s">
        <v>3203</v>
      </c>
      <c r="F598" s="281">
        <v>4</v>
      </c>
      <c r="G598" s="28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2">
        <v>3540.69</v>
      </c>
      <c r="O598" t="s">
        <v>970</v>
      </c>
    </row>
    <row r="599" spans="1:15">
      <c r="A599" t="s">
        <v>942</v>
      </c>
      <c r="B599" t="s">
        <v>945</v>
      </c>
      <c r="C599" s="553">
        <v>44238</v>
      </c>
      <c r="D599" s="281" t="s">
        <v>4361</v>
      </c>
      <c r="E599" s="281" t="s">
        <v>3203</v>
      </c>
      <c r="F599" s="281">
        <v>4</v>
      </c>
      <c r="G599" s="28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2">
        <v>600</v>
      </c>
      <c r="O599" t="s">
        <v>970</v>
      </c>
    </row>
    <row r="600" spans="1:15">
      <c r="A600" t="s">
        <v>942</v>
      </c>
      <c r="B600" t="s">
        <v>945</v>
      </c>
      <c r="C600" s="553">
        <v>44238</v>
      </c>
      <c r="D600" s="281" t="s">
        <v>4361</v>
      </c>
      <c r="E600" s="281" t="s">
        <v>3203</v>
      </c>
      <c r="F600" s="281">
        <v>5</v>
      </c>
      <c r="G600" s="28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2">
        <v>44694</v>
      </c>
      <c r="O600" t="s">
        <v>973</v>
      </c>
    </row>
    <row r="601" spans="1:15">
      <c r="A601" t="s">
        <v>942</v>
      </c>
      <c r="B601" t="s">
        <v>945</v>
      </c>
      <c r="C601" s="553">
        <v>44238</v>
      </c>
      <c r="D601" s="281" t="s">
        <v>4361</v>
      </c>
      <c r="E601" s="281" t="s">
        <v>3203</v>
      </c>
      <c r="F601" s="281">
        <v>5</v>
      </c>
      <c r="G601" s="28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2">
        <v>2000</v>
      </c>
      <c r="O601" t="s">
        <v>973</v>
      </c>
    </row>
    <row r="602" spans="1:15">
      <c r="A602" t="s">
        <v>942</v>
      </c>
      <c r="B602" t="s">
        <v>945</v>
      </c>
      <c r="C602" s="553">
        <v>44238</v>
      </c>
      <c r="D602" s="281" t="s">
        <v>4361</v>
      </c>
      <c r="E602" s="281" t="s">
        <v>3203</v>
      </c>
      <c r="F602" s="281">
        <v>5</v>
      </c>
      <c r="G602" s="28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2">
        <v>5363.28</v>
      </c>
      <c r="O602" t="s">
        <v>975</v>
      </c>
    </row>
    <row r="603" spans="1:15">
      <c r="A603" t="s">
        <v>942</v>
      </c>
      <c r="B603" t="s">
        <v>945</v>
      </c>
      <c r="C603" s="553">
        <v>44238</v>
      </c>
      <c r="D603" s="281" t="s">
        <v>4361</v>
      </c>
      <c r="E603" s="281" t="s">
        <v>3203</v>
      </c>
      <c r="F603" s="281">
        <v>5</v>
      </c>
      <c r="G603" s="28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2">
        <v>100</v>
      </c>
      <c r="O603" t="s">
        <v>973</v>
      </c>
    </row>
    <row r="604" spans="1:15">
      <c r="A604" t="s">
        <v>942</v>
      </c>
      <c r="B604" t="s">
        <v>945</v>
      </c>
      <c r="C604" s="553">
        <v>44238</v>
      </c>
      <c r="D604" s="281" t="s">
        <v>4361</v>
      </c>
      <c r="E604" s="281" t="s">
        <v>3203</v>
      </c>
      <c r="F604" s="281">
        <v>5</v>
      </c>
      <c r="G604" s="28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2">
        <v>670.41</v>
      </c>
      <c r="O604" t="s">
        <v>973</v>
      </c>
    </row>
    <row r="605" spans="1:15">
      <c r="A605" t="s">
        <v>942</v>
      </c>
      <c r="B605" t="s">
        <v>945</v>
      </c>
      <c r="C605" s="553">
        <v>44238</v>
      </c>
      <c r="D605" s="281" t="s">
        <v>4361</v>
      </c>
      <c r="E605" s="281" t="s">
        <v>3203</v>
      </c>
      <c r="F605" s="281">
        <v>5</v>
      </c>
      <c r="G605" s="28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2">
        <v>100</v>
      </c>
      <c r="O605" t="s">
        <v>973</v>
      </c>
    </row>
    <row r="606" spans="1:15">
      <c r="A606" t="s">
        <v>942</v>
      </c>
      <c r="B606" t="s">
        <v>945</v>
      </c>
      <c r="C606" s="553">
        <v>44238</v>
      </c>
      <c r="D606" s="281" t="s">
        <v>4362</v>
      </c>
      <c r="E606" s="281" t="s">
        <v>3201</v>
      </c>
      <c r="F606" s="281">
        <v>13</v>
      </c>
      <c r="G606" s="28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2">
        <v>77256</v>
      </c>
      <c r="O606" t="s">
        <v>999</v>
      </c>
    </row>
    <row r="607" spans="1:15">
      <c r="A607" t="s">
        <v>942</v>
      </c>
      <c r="B607" t="s">
        <v>945</v>
      </c>
      <c r="C607" s="553">
        <v>44238</v>
      </c>
      <c r="D607" s="281" t="s">
        <v>4362</v>
      </c>
      <c r="E607" s="281" t="s">
        <v>3201</v>
      </c>
      <c r="F607" s="281">
        <v>13</v>
      </c>
      <c r="G607" s="28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2">
        <v>4000</v>
      </c>
      <c r="O607" t="s">
        <v>999</v>
      </c>
    </row>
    <row r="608" spans="1:15">
      <c r="A608" t="s">
        <v>942</v>
      </c>
      <c r="B608" t="s">
        <v>945</v>
      </c>
      <c r="C608" s="553">
        <v>44238</v>
      </c>
      <c r="D608" s="281" t="s">
        <v>4362</v>
      </c>
      <c r="E608" s="281" t="s">
        <v>3201</v>
      </c>
      <c r="F608" s="281">
        <v>13</v>
      </c>
      <c r="G608" s="28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2">
        <v>9270.7199999999993</v>
      </c>
      <c r="O608" t="s">
        <v>999</v>
      </c>
    </row>
    <row r="609" spans="1:15">
      <c r="A609" t="s">
        <v>942</v>
      </c>
      <c r="B609" t="s">
        <v>945</v>
      </c>
      <c r="C609" s="553">
        <v>44238</v>
      </c>
      <c r="D609" s="281" t="s">
        <v>4362</v>
      </c>
      <c r="E609" s="281" t="s">
        <v>3201</v>
      </c>
      <c r="F609" s="281">
        <v>13</v>
      </c>
      <c r="G609" s="28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2">
        <v>200</v>
      </c>
      <c r="O609" t="s">
        <v>999</v>
      </c>
    </row>
    <row r="610" spans="1:15">
      <c r="A610" t="s">
        <v>942</v>
      </c>
      <c r="B610" t="s">
        <v>945</v>
      </c>
      <c r="C610" s="553">
        <v>44238</v>
      </c>
      <c r="D610" s="281" t="s">
        <v>4362</v>
      </c>
      <c r="E610" s="281" t="s">
        <v>3201</v>
      </c>
      <c r="F610" s="281">
        <v>13</v>
      </c>
      <c r="G610" s="28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2">
        <v>1158.8499999999999</v>
      </c>
      <c r="O610" t="s">
        <v>999</v>
      </c>
    </row>
    <row r="611" spans="1:15">
      <c r="A611" t="s">
        <v>942</v>
      </c>
      <c r="B611" t="s">
        <v>945</v>
      </c>
      <c r="C611" s="553">
        <v>44238</v>
      </c>
      <c r="D611" s="281" t="s">
        <v>4362</v>
      </c>
      <c r="E611" s="281" t="s">
        <v>3201</v>
      </c>
      <c r="F611" s="281">
        <v>13</v>
      </c>
      <c r="G611" s="28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2">
        <v>200</v>
      </c>
      <c r="O611" t="s">
        <v>999</v>
      </c>
    </row>
    <row r="612" spans="1:15">
      <c r="A612" t="s">
        <v>942</v>
      </c>
      <c r="B612" t="s">
        <v>945</v>
      </c>
      <c r="C612" s="553">
        <v>44238</v>
      </c>
      <c r="D612" s="281" t="s">
        <v>4363</v>
      </c>
      <c r="E612" s="281" t="s">
        <v>3199</v>
      </c>
      <c r="F612" s="281">
        <v>13</v>
      </c>
      <c r="G612" s="28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2">
        <v>33575</v>
      </c>
      <c r="O612" t="s">
        <v>999</v>
      </c>
    </row>
    <row r="613" spans="1:15">
      <c r="A613" t="s">
        <v>942</v>
      </c>
      <c r="B613" t="s">
        <v>945</v>
      </c>
      <c r="C613" s="553">
        <v>44238</v>
      </c>
      <c r="D613" s="281" t="s">
        <v>4363</v>
      </c>
      <c r="E613" s="281" t="s">
        <v>3199</v>
      </c>
      <c r="F613" s="281">
        <v>13</v>
      </c>
      <c r="G613" s="28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2">
        <v>2000</v>
      </c>
      <c r="O613" t="s">
        <v>999</v>
      </c>
    </row>
    <row r="614" spans="1:15">
      <c r="A614" t="s">
        <v>942</v>
      </c>
      <c r="B614" t="s">
        <v>945</v>
      </c>
      <c r="C614" s="553">
        <v>44238</v>
      </c>
      <c r="D614" s="281" t="s">
        <v>4363</v>
      </c>
      <c r="E614" s="281" t="s">
        <v>3199</v>
      </c>
      <c r="F614" s="281">
        <v>13</v>
      </c>
      <c r="G614" s="28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2">
        <v>4029</v>
      </c>
      <c r="O614" t="s">
        <v>999</v>
      </c>
    </row>
    <row r="615" spans="1:15">
      <c r="A615" t="s">
        <v>942</v>
      </c>
      <c r="B615" t="s">
        <v>945</v>
      </c>
      <c r="C615" s="553">
        <v>44238</v>
      </c>
      <c r="D615" s="281" t="s">
        <v>4363</v>
      </c>
      <c r="E615" s="281" t="s">
        <v>3199</v>
      </c>
      <c r="F615" s="281">
        <v>13</v>
      </c>
      <c r="G615" s="28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2">
        <v>100</v>
      </c>
      <c r="O615" t="s">
        <v>999</v>
      </c>
    </row>
    <row r="616" spans="1:15">
      <c r="A616" t="s">
        <v>942</v>
      </c>
      <c r="B616" t="s">
        <v>945</v>
      </c>
      <c r="C616" s="553">
        <v>44238</v>
      </c>
      <c r="D616" s="281" t="s">
        <v>4363</v>
      </c>
      <c r="E616" s="281" t="s">
        <v>3199</v>
      </c>
      <c r="F616" s="281">
        <v>13</v>
      </c>
      <c r="G616" s="28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2">
        <v>503.63</v>
      </c>
      <c r="O616" t="s">
        <v>999</v>
      </c>
    </row>
    <row r="617" spans="1:15">
      <c r="A617" t="s">
        <v>942</v>
      </c>
      <c r="B617" t="s">
        <v>945</v>
      </c>
      <c r="C617" s="553">
        <v>44238</v>
      </c>
      <c r="D617" s="281" t="s">
        <v>4363</v>
      </c>
      <c r="E617" s="281" t="s">
        <v>3199</v>
      </c>
      <c r="F617" s="281">
        <v>13</v>
      </c>
      <c r="G617" s="28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2">
        <v>100</v>
      </c>
      <c r="O617" t="s">
        <v>999</v>
      </c>
    </row>
    <row r="618" spans="1:15">
      <c r="A618" t="s">
        <v>942</v>
      </c>
      <c r="B618" t="s">
        <v>945</v>
      </c>
      <c r="C618" s="553">
        <v>44238</v>
      </c>
      <c r="D618" s="281" t="s">
        <v>4364</v>
      </c>
      <c r="E618" s="281" t="s">
        <v>3197</v>
      </c>
      <c r="F618" s="281">
        <v>1</v>
      </c>
      <c r="G618" s="28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2">
        <v>99206</v>
      </c>
      <c r="O618" t="s">
        <v>960</v>
      </c>
    </row>
    <row r="619" spans="1:15">
      <c r="A619" t="s">
        <v>942</v>
      </c>
      <c r="B619" t="s">
        <v>945</v>
      </c>
      <c r="C619" s="553">
        <v>44238</v>
      </c>
      <c r="D619" s="281" t="s">
        <v>4364</v>
      </c>
      <c r="E619" s="281" t="s">
        <v>3197</v>
      </c>
      <c r="F619" s="281">
        <v>1</v>
      </c>
      <c r="G619" s="28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2">
        <v>8000</v>
      </c>
      <c r="O619" t="s">
        <v>960</v>
      </c>
    </row>
    <row r="620" spans="1:15">
      <c r="A620" t="s">
        <v>942</v>
      </c>
      <c r="B620" t="s">
        <v>945</v>
      </c>
      <c r="C620" s="553">
        <v>44238</v>
      </c>
      <c r="D620" s="281" t="s">
        <v>4364</v>
      </c>
      <c r="E620" s="281" t="s">
        <v>3197</v>
      </c>
      <c r="F620" s="281">
        <v>1</v>
      </c>
      <c r="G620" s="28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2">
        <v>11904.72</v>
      </c>
      <c r="O620" t="s">
        <v>962</v>
      </c>
    </row>
    <row r="621" spans="1:15">
      <c r="A621" t="s">
        <v>942</v>
      </c>
      <c r="B621" t="s">
        <v>945</v>
      </c>
      <c r="C621" s="553">
        <v>44238</v>
      </c>
      <c r="D621" s="281" t="s">
        <v>4364</v>
      </c>
      <c r="E621" s="281" t="s">
        <v>3197</v>
      </c>
      <c r="F621" s="281">
        <v>1</v>
      </c>
      <c r="G621" s="28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2">
        <v>400</v>
      </c>
      <c r="O621" t="s">
        <v>960</v>
      </c>
    </row>
    <row r="622" spans="1:15">
      <c r="A622" t="s">
        <v>942</v>
      </c>
      <c r="B622" t="s">
        <v>945</v>
      </c>
      <c r="C622" s="553">
        <v>44238</v>
      </c>
      <c r="D622" s="281" t="s">
        <v>4364</v>
      </c>
      <c r="E622" s="281" t="s">
        <v>3197</v>
      </c>
      <c r="F622" s="281">
        <v>1</v>
      </c>
      <c r="G622" s="28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2">
        <v>1488.1</v>
      </c>
      <c r="O622" t="s">
        <v>960</v>
      </c>
    </row>
    <row r="623" spans="1:15">
      <c r="A623" t="s">
        <v>942</v>
      </c>
      <c r="B623" t="s">
        <v>945</v>
      </c>
      <c r="C623" s="553">
        <v>44238</v>
      </c>
      <c r="D623" s="281" t="s">
        <v>4364</v>
      </c>
      <c r="E623" s="281" t="s">
        <v>3197</v>
      </c>
      <c r="F623" s="281">
        <v>1</v>
      </c>
      <c r="G623" s="28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2">
        <v>400</v>
      </c>
      <c r="O623" t="s">
        <v>960</v>
      </c>
    </row>
    <row r="624" spans="1:15">
      <c r="A624" t="s">
        <v>942</v>
      </c>
      <c r="B624" t="s">
        <v>945</v>
      </c>
      <c r="C624" s="553">
        <v>44238</v>
      </c>
      <c r="D624" s="281" t="s">
        <v>4364</v>
      </c>
      <c r="E624" s="281" t="s">
        <v>3197</v>
      </c>
      <c r="F624" s="281">
        <v>2</v>
      </c>
      <c r="G624" s="28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2">
        <v>44184</v>
      </c>
      <c r="O624" t="s">
        <v>964</v>
      </c>
    </row>
    <row r="625" spans="1:15">
      <c r="A625" t="s">
        <v>942</v>
      </c>
      <c r="B625" t="s">
        <v>945</v>
      </c>
      <c r="C625" s="553">
        <v>44238</v>
      </c>
      <c r="D625" s="281" t="s">
        <v>4364</v>
      </c>
      <c r="E625" s="281" t="s">
        <v>3197</v>
      </c>
      <c r="F625" s="281">
        <v>2</v>
      </c>
      <c r="G625" s="28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2">
        <v>2000</v>
      </c>
      <c r="O625" t="s">
        <v>964</v>
      </c>
    </row>
    <row r="626" spans="1:15">
      <c r="A626" t="s">
        <v>942</v>
      </c>
      <c r="B626" t="s">
        <v>945</v>
      </c>
      <c r="C626" s="553">
        <v>44238</v>
      </c>
      <c r="D626" s="281" t="s">
        <v>4364</v>
      </c>
      <c r="E626" s="281" t="s">
        <v>3197</v>
      </c>
      <c r="F626" s="281">
        <v>2</v>
      </c>
      <c r="G626" s="28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2">
        <v>5302.08</v>
      </c>
      <c r="O626" t="s">
        <v>966</v>
      </c>
    </row>
    <row r="627" spans="1:15">
      <c r="A627" t="s">
        <v>942</v>
      </c>
      <c r="B627" t="s">
        <v>945</v>
      </c>
      <c r="C627" s="553">
        <v>44238</v>
      </c>
      <c r="D627" s="281" t="s">
        <v>4364</v>
      </c>
      <c r="E627" s="281" t="s">
        <v>3197</v>
      </c>
      <c r="F627" s="281">
        <v>2</v>
      </c>
      <c r="G627" s="28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2">
        <v>100</v>
      </c>
      <c r="O627" t="s">
        <v>964</v>
      </c>
    </row>
    <row r="628" spans="1:15">
      <c r="A628" t="s">
        <v>942</v>
      </c>
      <c r="B628" t="s">
        <v>945</v>
      </c>
      <c r="C628" s="553">
        <v>44238</v>
      </c>
      <c r="D628" s="281" t="s">
        <v>4364</v>
      </c>
      <c r="E628" s="281" t="s">
        <v>3197</v>
      </c>
      <c r="F628" s="281">
        <v>2</v>
      </c>
      <c r="G628" s="28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2">
        <v>662.76</v>
      </c>
      <c r="O628" t="s">
        <v>964</v>
      </c>
    </row>
    <row r="629" spans="1:15">
      <c r="A629" t="s">
        <v>942</v>
      </c>
      <c r="B629" t="s">
        <v>945</v>
      </c>
      <c r="C629" s="553">
        <v>44238</v>
      </c>
      <c r="D629" s="281" t="s">
        <v>4364</v>
      </c>
      <c r="E629" s="281" t="s">
        <v>3197</v>
      </c>
      <c r="F629" s="281">
        <v>2</v>
      </c>
      <c r="G629" s="28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2">
        <v>100</v>
      </c>
      <c r="O629" t="s">
        <v>964</v>
      </c>
    </row>
    <row r="630" spans="1:15">
      <c r="A630" t="s">
        <v>942</v>
      </c>
      <c r="B630" t="s">
        <v>945</v>
      </c>
      <c r="C630" s="553">
        <v>44238</v>
      </c>
      <c r="D630" s="281" t="s">
        <v>4364</v>
      </c>
      <c r="E630" s="281" t="s">
        <v>3197</v>
      </c>
      <c r="F630" s="281">
        <v>4</v>
      </c>
      <c r="G630" s="28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2">
        <v>113498</v>
      </c>
      <c r="O630" t="s">
        <v>970</v>
      </c>
    </row>
    <row r="631" spans="1:15">
      <c r="A631" t="s">
        <v>942</v>
      </c>
      <c r="B631" t="s">
        <v>945</v>
      </c>
      <c r="C631" s="553">
        <v>44238</v>
      </c>
      <c r="D631" s="281" t="s">
        <v>4364</v>
      </c>
      <c r="E631" s="281" t="s">
        <v>3197</v>
      </c>
      <c r="F631" s="281">
        <v>4</v>
      </c>
      <c r="G631" s="28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2">
        <v>6000</v>
      </c>
      <c r="O631" t="s">
        <v>970</v>
      </c>
    </row>
    <row r="632" spans="1:15">
      <c r="A632" t="s">
        <v>942</v>
      </c>
      <c r="B632" t="s">
        <v>945</v>
      </c>
      <c r="C632" s="553">
        <v>44238</v>
      </c>
      <c r="D632" s="281" t="s">
        <v>4364</v>
      </c>
      <c r="E632" s="281" t="s">
        <v>3197</v>
      </c>
      <c r="F632" s="281">
        <v>4</v>
      </c>
      <c r="G632" s="28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2">
        <v>13619.76</v>
      </c>
      <c r="O632" t="s">
        <v>972</v>
      </c>
    </row>
    <row r="633" spans="1:15">
      <c r="A633" t="s">
        <v>942</v>
      </c>
      <c r="B633" t="s">
        <v>945</v>
      </c>
      <c r="C633" s="553">
        <v>44238</v>
      </c>
      <c r="D633" s="281" t="s">
        <v>4364</v>
      </c>
      <c r="E633" s="281" t="s">
        <v>3197</v>
      </c>
      <c r="F633" s="281">
        <v>4</v>
      </c>
      <c r="G633" s="28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2">
        <v>300</v>
      </c>
      <c r="O633" t="s">
        <v>970</v>
      </c>
    </row>
    <row r="634" spans="1:15">
      <c r="A634" t="s">
        <v>942</v>
      </c>
      <c r="B634" t="s">
        <v>945</v>
      </c>
      <c r="C634" s="553">
        <v>44238</v>
      </c>
      <c r="D634" s="281" t="s">
        <v>4364</v>
      </c>
      <c r="E634" s="281" t="s">
        <v>3197</v>
      </c>
      <c r="F634" s="281">
        <v>4</v>
      </c>
      <c r="G634" s="28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2">
        <v>1702.48</v>
      </c>
      <c r="O634" t="s">
        <v>970</v>
      </c>
    </row>
    <row r="635" spans="1:15">
      <c r="A635" t="s">
        <v>942</v>
      </c>
      <c r="B635" t="s">
        <v>945</v>
      </c>
      <c r="C635" s="553">
        <v>44238</v>
      </c>
      <c r="D635" s="281" t="s">
        <v>4364</v>
      </c>
      <c r="E635" s="281" t="s">
        <v>3197</v>
      </c>
      <c r="F635" s="281">
        <v>4</v>
      </c>
      <c r="G635" s="28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2">
        <v>300</v>
      </c>
      <c r="O635" t="s">
        <v>970</v>
      </c>
    </row>
    <row r="636" spans="1:15">
      <c r="A636" t="s">
        <v>942</v>
      </c>
      <c r="B636" t="s">
        <v>945</v>
      </c>
      <c r="C636" s="553">
        <v>44238</v>
      </c>
      <c r="D636" s="281" t="s">
        <v>4364</v>
      </c>
      <c r="E636" s="281" t="s">
        <v>3197</v>
      </c>
      <c r="F636" s="281">
        <v>5</v>
      </c>
      <c r="G636" s="28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2">
        <v>136714</v>
      </c>
      <c r="O636" t="s">
        <v>973</v>
      </c>
    </row>
    <row r="637" spans="1:15">
      <c r="A637" t="s">
        <v>942</v>
      </c>
      <c r="B637" t="s">
        <v>945</v>
      </c>
      <c r="C637" s="553">
        <v>44238</v>
      </c>
      <c r="D637" s="281" t="s">
        <v>4364</v>
      </c>
      <c r="E637" s="281" t="s">
        <v>3197</v>
      </c>
      <c r="F637" s="281">
        <v>5</v>
      </c>
      <c r="G637" s="28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2">
        <v>6000</v>
      </c>
      <c r="O637" t="s">
        <v>973</v>
      </c>
    </row>
    <row r="638" spans="1:15">
      <c r="A638" t="s">
        <v>942</v>
      </c>
      <c r="B638" t="s">
        <v>945</v>
      </c>
      <c r="C638" s="553">
        <v>44238</v>
      </c>
      <c r="D638" s="281" t="s">
        <v>4364</v>
      </c>
      <c r="E638" s="281" t="s">
        <v>3197</v>
      </c>
      <c r="F638" s="281">
        <v>5</v>
      </c>
      <c r="G638" s="28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2">
        <v>16405.68</v>
      </c>
      <c r="O638" t="s">
        <v>975</v>
      </c>
    </row>
    <row r="639" spans="1:15">
      <c r="A639" t="s">
        <v>942</v>
      </c>
      <c r="B639" t="s">
        <v>945</v>
      </c>
      <c r="C639" s="553">
        <v>44238</v>
      </c>
      <c r="D639" s="281" t="s">
        <v>4364</v>
      </c>
      <c r="E639" s="281" t="s">
        <v>3197</v>
      </c>
      <c r="F639" s="281">
        <v>5</v>
      </c>
      <c r="G639" s="28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2">
        <v>300</v>
      </c>
      <c r="O639" t="s">
        <v>973</v>
      </c>
    </row>
    <row r="640" spans="1:15">
      <c r="A640" t="s">
        <v>942</v>
      </c>
      <c r="B640" t="s">
        <v>945</v>
      </c>
      <c r="C640" s="553">
        <v>44238</v>
      </c>
      <c r="D640" s="281" t="s">
        <v>4364</v>
      </c>
      <c r="E640" s="281" t="s">
        <v>3197</v>
      </c>
      <c r="F640" s="281">
        <v>5</v>
      </c>
      <c r="G640" s="28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2">
        <v>1924.49</v>
      </c>
      <c r="O640" t="s">
        <v>973</v>
      </c>
    </row>
    <row r="641" spans="1:15">
      <c r="A641" t="s">
        <v>942</v>
      </c>
      <c r="B641" t="s">
        <v>945</v>
      </c>
      <c r="C641" s="553">
        <v>44238</v>
      </c>
      <c r="D641" s="281" t="s">
        <v>4364</v>
      </c>
      <c r="E641" s="281" t="s">
        <v>3197</v>
      </c>
      <c r="F641" s="281">
        <v>5</v>
      </c>
      <c r="G641" s="28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2">
        <v>300</v>
      </c>
      <c r="O641" t="s">
        <v>973</v>
      </c>
    </row>
    <row r="642" spans="1:15">
      <c r="A642" t="s">
        <v>942</v>
      </c>
      <c r="B642" t="s">
        <v>945</v>
      </c>
      <c r="C642" s="553">
        <v>44238</v>
      </c>
      <c r="D642" s="281" t="s">
        <v>4365</v>
      </c>
      <c r="E642" s="281" t="s">
        <v>3209</v>
      </c>
      <c r="F642" s="281">
        <v>13</v>
      </c>
      <c r="G642" s="28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2">
        <v>33575</v>
      </c>
      <c r="O642" t="s">
        <v>999</v>
      </c>
    </row>
    <row r="643" spans="1:15">
      <c r="A643" t="s">
        <v>942</v>
      </c>
      <c r="B643" t="s">
        <v>945</v>
      </c>
      <c r="C643" s="553">
        <v>44238</v>
      </c>
      <c r="D643" s="281" t="s">
        <v>4365</v>
      </c>
      <c r="E643" s="281" t="s">
        <v>3209</v>
      </c>
      <c r="F643" s="281">
        <v>13</v>
      </c>
      <c r="G643" s="28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2">
        <v>2000</v>
      </c>
      <c r="O643" t="s">
        <v>999</v>
      </c>
    </row>
    <row r="644" spans="1:15">
      <c r="A644" t="s">
        <v>942</v>
      </c>
      <c r="B644" t="s">
        <v>945</v>
      </c>
      <c r="C644" s="553">
        <v>44238</v>
      </c>
      <c r="D644" s="281" t="s">
        <v>4365</v>
      </c>
      <c r="E644" s="281" t="s">
        <v>3209</v>
      </c>
      <c r="F644" s="281">
        <v>13</v>
      </c>
      <c r="G644" s="28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2">
        <v>4029</v>
      </c>
      <c r="O644" t="s">
        <v>999</v>
      </c>
    </row>
    <row r="645" spans="1:15">
      <c r="A645" t="s">
        <v>942</v>
      </c>
      <c r="B645" t="s">
        <v>945</v>
      </c>
      <c r="C645" s="553">
        <v>44238</v>
      </c>
      <c r="D645" s="281" t="s">
        <v>4365</v>
      </c>
      <c r="E645" s="281" t="s">
        <v>3209</v>
      </c>
      <c r="F645" s="281">
        <v>13</v>
      </c>
      <c r="G645" s="28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2">
        <v>100</v>
      </c>
      <c r="O645" t="s">
        <v>999</v>
      </c>
    </row>
    <row r="646" spans="1:15">
      <c r="A646" t="s">
        <v>942</v>
      </c>
      <c r="B646" t="s">
        <v>945</v>
      </c>
      <c r="C646" s="553">
        <v>44238</v>
      </c>
      <c r="D646" s="281" t="s">
        <v>4365</v>
      </c>
      <c r="E646" s="281" t="s">
        <v>3209</v>
      </c>
      <c r="F646" s="281">
        <v>13</v>
      </c>
      <c r="G646" s="28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2">
        <v>503.63</v>
      </c>
      <c r="O646" t="s">
        <v>999</v>
      </c>
    </row>
    <row r="647" spans="1:15">
      <c r="A647" t="s">
        <v>942</v>
      </c>
      <c r="B647" t="s">
        <v>945</v>
      </c>
      <c r="C647" s="553">
        <v>44238</v>
      </c>
      <c r="D647" s="281" t="s">
        <v>4365</v>
      </c>
      <c r="E647" s="281" t="s">
        <v>3209</v>
      </c>
      <c r="F647" s="281">
        <v>13</v>
      </c>
      <c r="G647" s="28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2">
        <v>100</v>
      </c>
      <c r="O647" t="s">
        <v>999</v>
      </c>
    </row>
    <row r="648" spans="1:15">
      <c r="A648" t="s">
        <v>942</v>
      </c>
      <c r="B648" t="s">
        <v>945</v>
      </c>
      <c r="C648" s="553">
        <v>44238</v>
      </c>
      <c r="D648" s="281" t="s">
        <v>4366</v>
      </c>
      <c r="E648" s="281" t="s">
        <v>3212</v>
      </c>
      <c r="F648" s="281">
        <v>4</v>
      </c>
      <c r="G648" s="28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2">
        <v>10853.18</v>
      </c>
      <c r="O648" t="s">
        <v>970</v>
      </c>
    </row>
    <row r="649" spans="1:15">
      <c r="A649" t="s">
        <v>942</v>
      </c>
      <c r="B649" t="s">
        <v>945</v>
      </c>
      <c r="C649" s="553">
        <v>44238</v>
      </c>
      <c r="D649" s="281" t="s">
        <v>4366</v>
      </c>
      <c r="E649" s="281" t="s">
        <v>3212</v>
      </c>
      <c r="F649" s="281">
        <v>4</v>
      </c>
      <c r="G649" s="28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2">
        <v>909.09</v>
      </c>
      <c r="O649" t="s">
        <v>970</v>
      </c>
    </row>
    <row r="650" spans="1:15">
      <c r="A650" t="s">
        <v>942</v>
      </c>
      <c r="B650" t="s">
        <v>945</v>
      </c>
      <c r="C650" s="553">
        <v>44238</v>
      </c>
      <c r="D650" s="281" t="s">
        <v>4366</v>
      </c>
      <c r="E650" s="281" t="s">
        <v>3212</v>
      </c>
      <c r="F650" s="281">
        <v>4</v>
      </c>
      <c r="G650" s="28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2">
        <v>1293.98</v>
      </c>
      <c r="O650" t="s">
        <v>972</v>
      </c>
    </row>
    <row r="651" spans="1:15">
      <c r="A651" t="s">
        <v>942</v>
      </c>
      <c r="B651" t="s">
        <v>945</v>
      </c>
      <c r="C651" s="553">
        <v>44238</v>
      </c>
      <c r="D651" s="281" t="s">
        <v>4366</v>
      </c>
      <c r="E651" s="281" t="s">
        <v>3212</v>
      </c>
      <c r="F651" s="281">
        <v>4</v>
      </c>
      <c r="G651" s="28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2">
        <v>100</v>
      </c>
      <c r="O651" t="s">
        <v>970</v>
      </c>
    </row>
    <row r="652" spans="1:15">
      <c r="A652" t="s">
        <v>942</v>
      </c>
      <c r="B652" t="s">
        <v>945</v>
      </c>
      <c r="C652" s="553">
        <v>44238</v>
      </c>
      <c r="D652" s="281" t="s">
        <v>4366</v>
      </c>
      <c r="E652" s="281" t="s">
        <v>3212</v>
      </c>
      <c r="F652" s="281">
        <v>4</v>
      </c>
      <c r="G652" s="28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2">
        <v>358.16</v>
      </c>
      <c r="O652" t="s">
        <v>970</v>
      </c>
    </row>
    <row r="653" spans="1:15">
      <c r="A653" t="s">
        <v>942</v>
      </c>
      <c r="B653" t="s">
        <v>945</v>
      </c>
      <c r="C653" s="553">
        <v>44238</v>
      </c>
      <c r="D653" s="281" t="s">
        <v>4366</v>
      </c>
      <c r="E653" s="281" t="s">
        <v>3212</v>
      </c>
      <c r="F653" s="281">
        <v>4</v>
      </c>
      <c r="G653" s="28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2">
        <v>100</v>
      </c>
      <c r="O653" t="s">
        <v>970</v>
      </c>
    </row>
    <row r="654" spans="1:15">
      <c r="A654" t="s">
        <v>942</v>
      </c>
      <c r="B654" t="s">
        <v>945</v>
      </c>
      <c r="C654" s="553">
        <v>44238</v>
      </c>
      <c r="D654" s="281" t="s">
        <v>4367</v>
      </c>
      <c r="E654" s="281" t="s">
        <v>3216</v>
      </c>
      <c r="F654" s="281">
        <v>4</v>
      </c>
      <c r="G654" s="28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2">
        <v>10853.18</v>
      </c>
      <c r="O654" t="s">
        <v>970</v>
      </c>
    </row>
    <row r="655" spans="1:15">
      <c r="A655" t="s">
        <v>942</v>
      </c>
      <c r="B655" t="s">
        <v>945</v>
      </c>
      <c r="C655" s="553">
        <v>44238</v>
      </c>
      <c r="D655" s="281" t="s">
        <v>4367</v>
      </c>
      <c r="E655" s="281" t="s">
        <v>3216</v>
      </c>
      <c r="F655" s="281">
        <v>4</v>
      </c>
      <c r="G655" s="28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2">
        <v>909.09</v>
      </c>
      <c r="O655" t="s">
        <v>970</v>
      </c>
    </row>
    <row r="656" spans="1:15">
      <c r="A656" t="s">
        <v>942</v>
      </c>
      <c r="B656" t="s">
        <v>945</v>
      </c>
      <c r="C656" s="553">
        <v>44238</v>
      </c>
      <c r="D656" s="281" t="s">
        <v>4367</v>
      </c>
      <c r="E656" s="281" t="s">
        <v>3216</v>
      </c>
      <c r="F656" s="281">
        <v>4</v>
      </c>
      <c r="G656" s="28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2">
        <v>1293.98</v>
      </c>
      <c r="O656" t="s">
        <v>972</v>
      </c>
    </row>
    <row r="657" spans="1:15">
      <c r="A657" t="s">
        <v>942</v>
      </c>
      <c r="B657" t="s">
        <v>945</v>
      </c>
      <c r="C657" s="553">
        <v>44238</v>
      </c>
      <c r="D657" s="281" t="s">
        <v>4367</v>
      </c>
      <c r="E657" s="281" t="s">
        <v>3216</v>
      </c>
      <c r="F657" s="281">
        <v>4</v>
      </c>
      <c r="G657" s="28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2">
        <v>100</v>
      </c>
      <c r="O657" t="s">
        <v>970</v>
      </c>
    </row>
    <row r="658" spans="1:15">
      <c r="A658" t="s">
        <v>942</v>
      </c>
      <c r="B658" t="s">
        <v>945</v>
      </c>
      <c r="C658" s="553">
        <v>44238</v>
      </c>
      <c r="D658" s="281" t="s">
        <v>4367</v>
      </c>
      <c r="E658" s="281" t="s">
        <v>3216</v>
      </c>
      <c r="F658" s="281">
        <v>4</v>
      </c>
      <c r="G658" s="28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2">
        <v>358.16</v>
      </c>
      <c r="O658" t="s">
        <v>970</v>
      </c>
    </row>
    <row r="659" spans="1:15">
      <c r="A659" t="s">
        <v>942</v>
      </c>
      <c r="B659" t="s">
        <v>945</v>
      </c>
      <c r="C659" s="553">
        <v>44238</v>
      </c>
      <c r="D659" s="281" t="s">
        <v>4367</v>
      </c>
      <c r="E659" s="281" t="s">
        <v>3216</v>
      </c>
      <c r="F659" s="281">
        <v>4</v>
      </c>
      <c r="G659" s="28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2">
        <v>100</v>
      </c>
      <c r="O659" t="s">
        <v>970</v>
      </c>
    </row>
    <row r="660" spans="1:15">
      <c r="A660" t="s">
        <v>942</v>
      </c>
      <c r="B660" t="s">
        <v>945</v>
      </c>
      <c r="C660" s="553">
        <v>44238</v>
      </c>
      <c r="D660" s="281" t="s">
        <v>4368</v>
      </c>
      <c r="E660" s="281" t="s">
        <v>3219</v>
      </c>
      <c r="F660" s="281">
        <v>4</v>
      </c>
      <c r="G660" s="28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2">
        <v>10853.18</v>
      </c>
      <c r="O660" t="s">
        <v>970</v>
      </c>
    </row>
    <row r="661" spans="1:15">
      <c r="A661" t="s">
        <v>942</v>
      </c>
      <c r="B661" t="s">
        <v>945</v>
      </c>
      <c r="C661" s="553">
        <v>44238</v>
      </c>
      <c r="D661" s="281" t="s">
        <v>4368</v>
      </c>
      <c r="E661" s="281" t="s">
        <v>3219</v>
      </c>
      <c r="F661" s="281">
        <v>4</v>
      </c>
      <c r="G661" s="28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2">
        <v>909.09</v>
      </c>
      <c r="O661" t="s">
        <v>970</v>
      </c>
    </row>
    <row r="662" spans="1:15">
      <c r="A662" t="s">
        <v>942</v>
      </c>
      <c r="B662" t="s">
        <v>945</v>
      </c>
      <c r="C662" s="553">
        <v>44238</v>
      </c>
      <c r="D662" s="281" t="s">
        <v>4368</v>
      </c>
      <c r="E662" s="281" t="s">
        <v>3219</v>
      </c>
      <c r="F662" s="281">
        <v>4</v>
      </c>
      <c r="G662" s="28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2">
        <v>1293.98</v>
      </c>
      <c r="O662" t="s">
        <v>972</v>
      </c>
    </row>
    <row r="663" spans="1:15">
      <c r="A663" t="s">
        <v>942</v>
      </c>
      <c r="B663" t="s">
        <v>945</v>
      </c>
      <c r="C663" s="553">
        <v>44238</v>
      </c>
      <c r="D663" s="281" t="s">
        <v>4368</v>
      </c>
      <c r="E663" s="281" t="s">
        <v>3219</v>
      </c>
      <c r="F663" s="281">
        <v>4</v>
      </c>
      <c r="G663" s="28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2">
        <v>100</v>
      </c>
      <c r="O663" t="s">
        <v>970</v>
      </c>
    </row>
    <row r="664" spans="1:15">
      <c r="A664" t="s">
        <v>942</v>
      </c>
      <c r="B664" t="s">
        <v>945</v>
      </c>
      <c r="C664" s="553">
        <v>44238</v>
      </c>
      <c r="D664" s="281" t="s">
        <v>4368</v>
      </c>
      <c r="E664" s="281" t="s">
        <v>3219</v>
      </c>
      <c r="F664" s="281">
        <v>4</v>
      </c>
      <c r="G664" s="28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2">
        <v>358.16</v>
      </c>
      <c r="O664" t="s">
        <v>970</v>
      </c>
    </row>
    <row r="665" spans="1:15">
      <c r="A665" t="s">
        <v>942</v>
      </c>
      <c r="B665" t="s">
        <v>945</v>
      </c>
      <c r="C665" s="553">
        <v>44238</v>
      </c>
      <c r="D665" s="281" t="s">
        <v>4368</v>
      </c>
      <c r="E665" s="281" t="s">
        <v>3219</v>
      </c>
      <c r="F665" s="281">
        <v>4</v>
      </c>
      <c r="G665" s="28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2">
        <v>100</v>
      </c>
      <c r="O665" t="s">
        <v>970</v>
      </c>
    </row>
    <row r="666" spans="1:15">
      <c r="A666" t="s">
        <v>942</v>
      </c>
      <c r="B666" t="s">
        <v>945</v>
      </c>
      <c r="C666" s="553">
        <v>44238</v>
      </c>
      <c r="D666" s="281" t="s">
        <v>4369</v>
      </c>
      <c r="E666" s="281" t="s">
        <v>3222</v>
      </c>
      <c r="F666" s="281">
        <v>4</v>
      </c>
      <c r="G666" s="28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2">
        <v>10853.18</v>
      </c>
      <c r="O666" t="s">
        <v>970</v>
      </c>
    </row>
    <row r="667" spans="1:15">
      <c r="A667" t="s">
        <v>942</v>
      </c>
      <c r="B667" t="s">
        <v>945</v>
      </c>
      <c r="C667" s="553">
        <v>44238</v>
      </c>
      <c r="D667" s="281" t="s">
        <v>4369</v>
      </c>
      <c r="E667" s="281" t="s">
        <v>3222</v>
      </c>
      <c r="F667" s="281">
        <v>4</v>
      </c>
      <c r="G667" s="28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2">
        <v>909.09</v>
      </c>
      <c r="O667" t="s">
        <v>970</v>
      </c>
    </row>
    <row r="668" spans="1:15">
      <c r="A668" t="s">
        <v>942</v>
      </c>
      <c r="B668" t="s">
        <v>945</v>
      </c>
      <c r="C668" s="553">
        <v>44238</v>
      </c>
      <c r="D668" s="281" t="s">
        <v>4369</v>
      </c>
      <c r="E668" s="281" t="s">
        <v>3222</v>
      </c>
      <c r="F668" s="281">
        <v>4</v>
      </c>
      <c r="G668" s="28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2">
        <v>1293.98</v>
      </c>
      <c r="O668" t="s">
        <v>972</v>
      </c>
    </row>
    <row r="669" spans="1:15">
      <c r="A669" t="s">
        <v>942</v>
      </c>
      <c r="B669" t="s">
        <v>945</v>
      </c>
      <c r="C669" s="553">
        <v>44238</v>
      </c>
      <c r="D669" s="281" t="s">
        <v>4369</v>
      </c>
      <c r="E669" s="281" t="s">
        <v>3222</v>
      </c>
      <c r="F669" s="281">
        <v>4</v>
      </c>
      <c r="G669" s="28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2">
        <v>100</v>
      </c>
      <c r="O669" t="s">
        <v>970</v>
      </c>
    </row>
    <row r="670" spans="1:15">
      <c r="A670" t="s">
        <v>942</v>
      </c>
      <c r="B670" t="s">
        <v>945</v>
      </c>
      <c r="C670" s="553">
        <v>44238</v>
      </c>
      <c r="D670" s="281" t="s">
        <v>4369</v>
      </c>
      <c r="E670" s="281" t="s">
        <v>3222</v>
      </c>
      <c r="F670" s="281">
        <v>4</v>
      </c>
      <c r="G670" s="28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2">
        <v>358.16</v>
      </c>
      <c r="O670" t="s">
        <v>970</v>
      </c>
    </row>
    <row r="671" spans="1:15">
      <c r="A671" t="s">
        <v>942</v>
      </c>
      <c r="B671" t="s">
        <v>945</v>
      </c>
      <c r="C671" s="553">
        <v>44238</v>
      </c>
      <c r="D671" s="281" t="s">
        <v>4369</v>
      </c>
      <c r="E671" s="281" t="s">
        <v>3222</v>
      </c>
      <c r="F671" s="281">
        <v>4</v>
      </c>
      <c r="G671" s="28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2">
        <v>100</v>
      </c>
      <c r="O671" t="s">
        <v>970</v>
      </c>
    </row>
    <row r="672" spans="1:15">
      <c r="A672" t="s">
        <v>942</v>
      </c>
      <c r="B672" t="s">
        <v>945</v>
      </c>
      <c r="C672" s="553">
        <v>44238</v>
      </c>
      <c r="D672" s="281" t="s">
        <v>4370</v>
      </c>
      <c r="E672" s="281" t="s">
        <v>3225</v>
      </c>
      <c r="F672" s="281">
        <v>4</v>
      </c>
      <c r="G672" s="28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2">
        <v>10853.18</v>
      </c>
      <c r="O672" t="s">
        <v>970</v>
      </c>
    </row>
    <row r="673" spans="1:15">
      <c r="A673" t="s">
        <v>942</v>
      </c>
      <c r="B673" t="s">
        <v>945</v>
      </c>
      <c r="C673" s="553">
        <v>44238</v>
      </c>
      <c r="D673" s="281" t="s">
        <v>4370</v>
      </c>
      <c r="E673" s="281" t="s">
        <v>3225</v>
      </c>
      <c r="F673" s="281">
        <v>4</v>
      </c>
      <c r="G673" s="28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2">
        <v>909.09</v>
      </c>
      <c r="O673" t="s">
        <v>970</v>
      </c>
    </row>
    <row r="674" spans="1:15">
      <c r="A674" t="s">
        <v>942</v>
      </c>
      <c r="B674" t="s">
        <v>945</v>
      </c>
      <c r="C674" s="553">
        <v>44238</v>
      </c>
      <c r="D674" s="281" t="s">
        <v>4370</v>
      </c>
      <c r="E674" s="281" t="s">
        <v>3225</v>
      </c>
      <c r="F674" s="281">
        <v>4</v>
      </c>
      <c r="G674" s="28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2">
        <v>1293.98</v>
      </c>
      <c r="O674" t="s">
        <v>972</v>
      </c>
    </row>
    <row r="675" spans="1:15">
      <c r="A675" t="s">
        <v>942</v>
      </c>
      <c r="B675" t="s">
        <v>945</v>
      </c>
      <c r="C675" s="553">
        <v>44238</v>
      </c>
      <c r="D675" s="281" t="s">
        <v>4370</v>
      </c>
      <c r="E675" s="281" t="s">
        <v>3225</v>
      </c>
      <c r="F675" s="281">
        <v>4</v>
      </c>
      <c r="G675" s="28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2">
        <v>100</v>
      </c>
      <c r="O675" t="s">
        <v>970</v>
      </c>
    </row>
    <row r="676" spans="1:15">
      <c r="A676" t="s">
        <v>942</v>
      </c>
      <c r="B676" t="s">
        <v>945</v>
      </c>
      <c r="C676" s="553">
        <v>44238</v>
      </c>
      <c r="D676" s="281" t="s">
        <v>4370</v>
      </c>
      <c r="E676" s="281" t="s">
        <v>3225</v>
      </c>
      <c r="F676" s="281">
        <v>4</v>
      </c>
      <c r="G676" s="28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2">
        <v>358.16</v>
      </c>
      <c r="O676" t="s">
        <v>970</v>
      </c>
    </row>
    <row r="677" spans="1:15">
      <c r="A677" t="s">
        <v>942</v>
      </c>
      <c r="B677" t="s">
        <v>945</v>
      </c>
      <c r="C677" s="553">
        <v>44238</v>
      </c>
      <c r="D677" s="281" t="s">
        <v>4370</v>
      </c>
      <c r="E677" s="281" t="s">
        <v>3225</v>
      </c>
      <c r="F677" s="281">
        <v>4</v>
      </c>
      <c r="G677" s="28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2">
        <v>100</v>
      </c>
      <c r="O677" t="s">
        <v>970</v>
      </c>
    </row>
    <row r="678" spans="1:15">
      <c r="A678" t="s">
        <v>942</v>
      </c>
      <c r="B678" t="s">
        <v>945</v>
      </c>
      <c r="C678" s="553">
        <v>44238</v>
      </c>
      <c r="D678" s="281" t="s">
        <v>4371</v>
      </c>
      <c r="E678" s="281" t="s">
        <v>3228</v>
      </c>
      <c r="F678" s="281">
        <v>4</v>
      </c>
      <c r="G678" s="28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2">
        <v>23877</v>
      </c>
      <c r="O678" t="s">
        <v>970</v>
      </c>
    </row>
    <row r="679" spans="1:15">
      <c r="A679" t="s">
        <v>942</v>
      </c>
      <c r="B679" t="s">
        <v>945</v>
      </c>
      <c r="C679" s="553">
        <v>44238</v>
      </c>
      <c r="D679" s="281" t="s">
        <v>4371</v>
      </c>
      <c r="E679" s="281" t="s">
        <v>3228</v>
      </c>
      <c r="F679" s="281">
        <v>4</v>
      </c>
      <c r="G679" s="28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2">
        <v>2000</v>
      </c>
      <c r="O679" t="s">
        <v>970</v>
      </c>
    </row>
    <row r="680" spans="1:15">
      <c r="A680" t="s">
        <v>942</v>
      </c>
      <c r="B680" t="s">
        <v>945</v>
      </c>
      <c r="C680" s="553">
        <v>44238</v>
      </c>
      <c r="D680" s="281" t="s">
        <v>4371</v>
      </c>
      <c r="E680" s="281" t="s">
        <v>3228</v>
      </c>
      <c r="F680" s="281">
        <v>4</v>
      </c>
      <c r="G680" s="28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2">
        <v>2865.24</v>
      </c>
      <c r="O680" t="s">
        <v>972</v>
      </c>
    </row>
    <row r="681" spans="1:15">
      <c r="A681" t="s">
        <v>942</v>
      </c>
      <c r="B681" t="s">
        <v>945</v>
      </c>
      <c r="C681" s="553">
        <v>44238</v>
      </c>
      <c r="D681" s="281" t="s">
        <v>4371</v>
      </c>
      <c r="E681" s="281" t="s">
        <v>3228</v>
      </c>
      <c r="F681" s="281">
        <v>4</v>
      </c>
      <c r="G681" s="28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2">
        <v>100</v>
      </c>
      <c r="O681" t="s">
        <v>970</v>
      </c>
    </row>
    <row r="682" spans="1:15">
      <c r="A682" t="s">
        <v>942</v>
      </c>
      <c r="B682" t="s">
        <v>945</v>
      </c>
      <c r="C682" s="553">
        <v>44238</v>
      </c>
      <c r="D682" s="281" t="s">
        <v>4371</v>
      </c>
      <c r="E682" s="281" t="s">
        <v>3228</v>
      </c>
      <c r="F682" s="281">
        <v>4</v>
      </c>
      <c r="G682" s="28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2">
        <v>358.16</v>
      </c>
      <c r="O682" t="s">
        <v>970</v>
      </c>
    </row>
    <row r="683" spans="1:15">
      <c r="A683" t="s">
        <v>942</v>
      </c>
      <c r="B683" t="s">
        <v>945</v>
      </c>
      <c r="C683" s="553">
        <v>44238</v>
      </c>
      <c r="D683" s="281" t="s">
        <v>4371</v>
      </c>
      <c r="E683" s="281" t="s">
        <v>3228</v>
      </c>
      <c r="F683" s="281">
        <v>4</v>
      </c>
      <c r="G683" s="28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2">
        <v>100</v>
      </c>
      <c r="O683" t="s">
        <v>970</v>
      </c>
    </row>
    <row r="684" spans="1:15">
      <c r="A684" t="s">
        <v>942</v>
      </c>
      <c r="B684" t="s">
        <v>945</v>
      </c>
      <c r="C684" s="553">
        <v>44243</v>
      </c>
      <c r="D684" s="281" t="s">
        <v>4372</v>
      </c>
      <c r="E684" s="281" t="s">
        <v>3255</v>
      </c>
      <c r="F684" s="281">
        <v>1</v>
      </c>
      <c r="G684" s="28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2">
        <v>1959.81</v>
      </c>
      <c r="O684" t="s">
        <v>961</v>
      </c>
    </row>
    <row r="685" spans="1:15">
      <c r="A685" t="s">
        <v>942</v>
      </c>
      <c r="B685" t="s">
        <v>945</v>
      </c>
      <c r="C685" s="553">
        <v>44243</v>
      </c>
      <c r="D685" s="281" t="s">
        <v>4372</v>
      </c>
      <c r="E685" s="281" t="s">
        <v>3255</v>
      </c>
      <c r="F685" s="281">
        <v>1</v>
      </c>
      <c r="G685" s="28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2">
        <v>26880</v>
      </c>
      <c r="O685" t="s">
        <v>961</v>
      </c>
    </row>
    <row r="686" spans="1:15">
      <c r="A686" t="s">
        <v>942</v>
      </c>
      <c r="B686" t="s">
        <v>945</v>
      </c>
      <c r="C686" s="553">
        <v>44243</v>
      </c>
      <c r="D686" s="281" t="s">
        <v>4373</v>
      </c>
      <c r="E686" s="281" t="s">
        <v>3259</v>
      </c>
      <c r="F686" s="281">
        <v>1</v>
      </c>
      <c r="G686" s="28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2">
        <v>18000</v>
      </c>
      <c r="O686" t="s">
        <v>961</v>
      </c>
    </row>
    <row r="687" spans="1:15">
      <c r="A687" t="s">
        <v>942</v>
      </c>
      <c r="B687" t="s">
        <v>945</v>
      </c>
      <c r="C687" s="553">
        <v>44243</v>
      </c>
      <c r="D687" s="281" t="s">
        <v>4374</v>
      </c>
      <c r="E687" s="281" t="s">
        <v>3262</v>
      </c>
      <c r="F687" s="281">
        <v>1</v>
      </c>
      <c r="G687" s="28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2">
        <v>560</v>
      </c>
      <c r="O687" t="s">
        <v>961</v>
      </c>
    </row>
    <row r="688" spans="1:15">
      <c r="A688" t="s">
        <v>942</v>
      </c>
      <c r="B688" t="s">
        <v>945</v>
      </c>
      <c r="C688" s="553">
        <v>44243</v>
      </c>
      <c r="D688" s="281" t="s">
        <v>4375</v>
      </c>
      <c r="E688" s="281" t="s">
        <v>3265</v>
      </c>
      <c r="F688" s="281">
        <v>1</v>
      </c>
      <c r="G688" s="28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2">
        <v>918.4</v>
      </c>
      <c r="O688" t="s">
        <v>961</v>
      </c>
    </row>
    <row r="689" spans="1:15">
      <c r="A689" t="s">
        <v>942</v>
      </c>
      <c r="B689" t="s">
        <v>945</v>
      </c>
      <c r="C689" s="553">
        <v>44243</v>
      </c>
      <c r="D689" s="281" t="s">
        <v>4376</v>
      </c>
      <c r="E689" s="281" t="s">
        <v>3268</v>
      </c>
      <c r="F689" s="281">
        <v>1</v>
      </c>
      <c r="G689" s="28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2">
        <v>14000</v>
      </c>
      <c r="O689" t="s">
        <v>961</v>
      </c>
    </row>
    <row r="690" spans="1:15">
      <c r="A690" t="s">
        <v>942</v>
      </c>
      <c r="B690" t="s">
        <v>945</v>
      </c>
      <c r="C690" s="553">
        <v>44243</v>
      </c>
      <c r="D690" s="281" t="s">
        <v>4377</v>
      </c>
      <c r="E690" s="281" t="s">
        <v>3272</v>
      </c>
      <c r="F690" s="281">
        <v>3</v>
      </c>
      <c r="G690" s="28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2">
        <v>8774</v>
      </c>
      <c r="O690" t="s">
        <v>968</v>
      </c>
    </row>
    <row r="691" spans="1:15">
      <c r="A691" t="s">
        <v>942</v>
      </c>
      <c r="B691" t="s">
        <v>945</v>
      </c>
      <c r="C691" s="553">
        <v>44243</v>
      </c>
      <c r="D691" s="281" t="s">
        <v>4378</v>
      </c>
      <c r="E691" s="281" t="s">
        <v>3276</v>
      </c>
      <c r="F691" s="281">
        <v>2</v>
      </c>
      <c r="G691" s="28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2">
        <v>2850</v>
      </c>
      <c r="O691" t="s">
        <v>965</v>
      </c>
    </row>
    <row r="692" spans="1:15">
      <c r="A692" t="s">
        <v>942</v>
      </c>
      <c r="B692" t="s">
        <v>945</v>
      </c>
      <c r="C692" s="553">
        <v>44243</v>
      </c>
      <c r="D692" s="281" t="s">
        <v>4379</v>
      </c>
      <c r="E692" s="281" t="s">
        <v>3279</v>
      </c>
      <c r="F692" s="281">
        <v>10</v>
      </c>
      <c r="G692" s="28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2">
        <v>500</v>
      </c>
      <c r="O692" t="s">
        <v>983</v>
      </c>
    </row>
    <row r="693" spans="1:15">
      <c r="A693" t="s">
        <v>942</v>
      </c>
      <c r="B693" t="s">
        <v>945</v>
      </c>
      <c r="C693" s="553">
        <v>44243</v>
      </c>
      <c r="D693" s="281" t="s">
        <v>4380</v>
      </c>
      <c r="E693" s="281" t="s">
        <v>3318</v>
      </c>
      <c r="F693" s="281">
        <v>5</v>
      </c>
      <c r="G693" s="28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2">
        <v>15000</v>
      </c>
      <c r="O693" t="s">
        <v>974</v>
      </c>
    </row>
    <row r="694" spans="1:15">
      <c r="A694" t="s">
        <v>942</v>
      </c>
      <c r="B694" t="s">
        <v>945</v>
      </c>
      <c r="C694" s="553">
        <v>44243</v>
      </c>
      <c r="D694" s="281" t="s">
        <v>4380</v>
      </c>
      <c r="E694" s="281" t="s">
        <v>3318</v>
      </c>
      <c r="F694" s="281">
        <v>5</v>
      </c>
      <c r="G694" s="28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2">
        <v>25000</v>
      </c>
      <c r="O694" t="s">
        <v>974</v>
      </c>
    </row>
    <row r="695" spans="1:15">
      <c r="A695" t="s">
        <v>942</v>
      </c>
      <c r="B695" t="s">
        <v>945</v>
      </c>
      <c r="C695" s="553">
        <v>44243</v>
      </c>
      <c r="D695" s="281" t="s">
        <v>4380</v>
      </c>
      <c r="E695" s="281" t="s">
        <v>3318</v>
      </c>
      <c r="F695" s="281">
        <v>6</v>
      </c>
      <c r="G695" s="28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2">
        <v>15000</v>
      </c>
      <c r="O695" t="s">
        <v>977</v>
      </c>
    </row>
    <row r="696" spans="1:15">
      <c r="A696" t="s">
        <v>942</v>
      </c>
      <c r="B696" t="s">
        <v>945</v>
      </c>
      <c r="C696" s="553">
        <v>44243</v>
      </c>
      <c r="D696" s="281" t="s">
        <v>4380</v>
      </c>
      <c r="E696" s="281" t="s">
        <v>3318</v>
      </c>
      <c r="F696" s="281">
        <v>6</v>
      </c>
      <c r="G696" s="28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2">
        <v>35000</v>
      </c>
      <c r="O696" t="s">
        <v>977</v>
      </c>
    </row>
    <row r="697" spans="1:15">
      <c r="A697" t="s">
        <v>942</v>
      </c>
      <c r="B697" t="s">
        <v>945</v>
      </c>
      <c r="C697" s="553">
        <v>44243</v>
      </c>
      <c r="D697" s="281" t="s">
        <v>4380</v>
      </c>
      <c r="E697" s="281" t="s">
        <v>3318</v>
      </c>
      <c r="F697" s="281">
        <v>7</v>
      </c>
      <c r="G697" s="28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2">
        <v>10000</v>
      </c>
      <c r="O697" t="s">
        <v>979</v>
      </c>
    </row>
    <row r="698" spans="1:15">
      <c r="A698" t="s">
        <v>942</v>
      </c>
      <c r="B698" t="s">
        <v>945</v>
      </c>
      <c r="C698" s="553">
        <v>44243</v>
      </c>
      <c r="D698" s="281" t="s">
        <v>4381</v>
      </c>
      <c r="E698" s="281" t="s">
        <v>4224</v>
      </c>
      <c r="F698" s="281">
        <v>5</v>
      </c>
      <c r="G698" s="28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2">
        <v>0</v>
      </c>
      <c r="O698" t="s">
        <v>974</v>
      </c>
    </row>
    <row r="699" spans="1:15">
      <c r="A699" t="s">
        <v>942</v>
      </c>
      <c r="B699" t="s">
        <v>945</v>
      </c>
      <c r="C699" s="553">
        <v>44243</v>
      </c>
      <c r="D699" s="281" t="s">
        <v>4381</v>
      </c>
      <c r="E699" s="281" t="s">
        <v>4224</v>
      </c>
      <c r="F699" s="281">
        <v>5</v>
      </c>
      <c r="G699" s="28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2">
        <v>0</v>
      </c>
      <c r="O699" t="s">
        <v>974</v>
      </c>
    </row>
    <row r="700" spans="1:15">
      <c r="A700" t="s">
        <v>942</v>
      </c>
      <c r="B700" t="s">
        <v>945</v>
      </c>
      <c r="C700" s="553">
        <v>44243</v>
      </c>
      <c r="D700" s="281" t="s">
        <v>4381</v>
      </c>
      <c r="E700" s="281" t="s">
        <v>4224</v>
      </c>
      <c r="F700" s="281">
        <v>6</v>
      </c>
      <c r="G700" s="28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2">
        <v>0</v>
      </c>
      <c r="O700" t="s">
        <v>977</v>
      </c>
    </row>
    <row r="701" spans="1:15">
      <c r="A701" t="s">
        <v>942</v>
      </c>
      <c r="B701" t="s">
        <v>945</v>
      </c>
      <c r="C701" s="553">
        <v>44243</v>
      </c>
      <c r="D701" s="281" t="s">
        <v>4381</v>
      </c>
      <c r="E701" s="281" t="s">
        <v>4224</v>
      </c>
      <c r="F701" s="281">
        <v>6</v>
      </c>
      <c r="G701" s="28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2">
        <v>0</v>
      </c>
      <c r="O701" t="s">
        <v>977</v>
      </c>
    </row>
    <row r="702" spans="1:15">
      <c r="A702" t="s">
        <v>942</v>
      </c>
      <c r="B702" t="s">
        <v>945</v>
      </c>
      <c r="C702" s="553">
        <v>44243</v>
      </c>
      <c r="D702" s="281" t="s">
        <v>4381</v>
      </c>
      <c r="E702" s="281" t="s">
        <v>4224</v>
      </c>
      <c r="F702" s="281">
        <v>7</v>
      </c>
      <c r="G702" s="28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2">
        <v>0</v>
      </c>
      <c r="O702" t="s">
        <v>979</v>
      </c>
    </row>
    <row r="703" spans="1:15">
      <c r="A703" t="s">
        <v>942</v>
      </c>
      <c r="B703" t="s">
        <v>945</v>
      </c>
      <c r="C703" s="553">
        <v>44243</v>
      </c>
      <c r="D703" s="281" t="s">
        <v>4382</v>
      </c>
      <c r="E703" s="281" t="s">
        <v>4225</v>
      </c>
      <c r="F703" s="281">
        <v>5</v>
      </c>
      <c r="G703" s="28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2">
        <v>0</v>
      </c>
      <c r="O703" t="s">
        <v>974</v>
      </c>
    </row>
    <row r="704" spans="1:15">
      <c r="A704" t="s">
        <v>942</v>
      </c>
      <c r="B704" t="s">
        <v>945</v>
      </c>
      <c r="C704" s="553">
        <v>44243</v>
      </c>
      <c r="D704" s="281" t="s">
        <v>4382</v>
      </c>
      <c r="E704" s="281" t="s">
        <v>4225</v>
      </c>
      <c r="F704" s="281">
        <v>5</v>
      </c>
      <c r="G704" s="28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2">
        <v>0</v>
      </c>
      <c r="O704" t="s">
        <v>974</v>
      </c>
    </row>
    <row r="705" spans="1:15">
      <c r="A705" t="s">
        <v>942</v>
      </c>
      <c r="B705" t="s">
        <v>945</v>
      </c>
      <c r="C705" s="553">
        <v>44243</v>
      </c>
      <c r="D705" s="281" t="s">
        <v>4382</v>
      </c>
      <c r="E705" s="281" t="s">
        <v>4225</v>
      </c>
      <c r="F705" s="281">
        <v>6</v>
      </c>
      <c r="G705" s="28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2">
        <v>0</v>
      </c>
      <c r="O705" t="s">
        <v>977</v>
      </c>
    </row>
    <row r="706" spans="1:15">
      <c r="A706" t="s">
        <v>942</v>
      </c>
      <c r="B706" t="s">
        <v>945</v>
      </c>
      <c r="C706" s="553">
        <v>44243</v>
      </c>
      <c r="D706" s="281" t="s">
        <v>4382</v>
      </c>
      <c r="E706" s="281" t="s">
        <v>4225</v>
      </c>
      <c r="F706" s="281">
        <v>6</v>
      </c>
      <c r="G706" s="28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2">
        <v>0</v>
      </c>
      <c r="O706" t="s">
        <v>977</v>
      </c>
    </row>
    <row r="707" spans="1:15">
      <c r="A707" t="s">
        <v>942</v>
      </c>
      <c r="B707" t="s">
        <v>945</v>
      </c>
      <c r="C707" s="553">
        <v>44243</v>
      </c>
      <c r="D707" s="281" t="s">
        <v>4382</v>
      </c>
      <c r="E707" s="281" t="s">
        <v>4225</v>
      </c>
      <c r="F707" s="281">
        <v>7</v>
      </c>
      <c r="G707" s="28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2">
        <v>0</v>
      </c>
      <c r="O707" t="s">
        <v>979</v>
      </c>
    </row>
    <row r="708" spans="1:15">
      <c r="A708" t="s">
        <v>942</v>
      </c>
      <c r="B708" t="s">
        <v>945</v>
      </c>
      <c r="C708" s="553">
        <v>44243</v>
      </c>
      <c r="D708" s="281" t="s">
        <v>4383</v>
      </c>
      <c r="E708" s="281" t="s">
        <v>3308</v>
      </c>
      <c r="F708" s="281">
        <v>5</v>
      </c>
      <c r="G708" s="28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2">
        <v>20000</v>
      </c>
      <c r="O708" t="s">
        <v>974</v>
      </c>
    </row>
    <row r="709" spans="1:15">
      <c r="A709" t="s">
        <v>942</v>
      </c>
      <c r="B709" t="s">
        <v>945</v>
      </c>
      <c r="C709" s="553">
        <v>44243</v>
      </c>
      <c r="D709" s="281" t="s">
        <v>4383</v>
      </c>
      <c r="E709" s="281" t="s">
        <v>3308</v>
      </c>
      <c r="F709" s="281">
        <v>5</v>
      </c>
      <c r="G709" s="28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2">
        <v>35000</v>
      </c>
      <c r="O709" t="s">
        <v>974</v>
      </c>
    </row>
    <row r="710" spans="1:15">
      <c r="A710" t="s">
        <v>942</v>
      </c>
      <c r="B710" t="s">
        <v>945</v>
      </c>
      <c r="C710" s="553">
        <v>44243</v>
      </c>
      <c r="D710" s="281" t="s">
        <v>4383</v>
      </c>
      <c r="E710" s="281" t="s">
        <v>3308</v>
      </c>
      <c r="F710" s="281">
        <v>6</v>
      </c>
      <c r="G710" s="28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2">
        <v>20000</v>
      </c>
      <c r="O710" t="s">
        <v>977</v>
      </c>
    </row>
    <row r="711" spans="1:15">
      <c r="A711" t="s">
        <v>942</v>
      </c>
      <c r="B711" t="s">
        <v>945</v>
      </c>
      <c r="C711" s="553">
        <v>44243</v>
      </c>
      <c r="D711" s="281" t="s">
        <v>4383</v>
      </c>
      <c r="E711" s="281" t="s">
        <v>3308</v>
      </c>
      <c r="F711" s="281">
        <v>6</v>
      </c>
      <c r="G711" s="28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2">
        <v>50000</v>
      </c>
      <c r="O711" t="s">
        <v>977</v>
      </c>
    </row>
    <row r="712" spans="1:15">
      <c r="A712" t="s">
        <v>942</v>
      </c>
      <c r="B712" t="s">
        <v>945</v>
      </c>
      <c r="C712" s="553">
        <v>44243</v>
      </c>
      <c r="D712" s="281" t="s">
        <v>4383</v>
      </c>
      <c r="E712" s="281" t="s">
        <v>3308</v>
      </c>
      <c r="F712" s="281">
        <v>7</v>
      </c>
      <c r="G712" s="28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2">
        <v>10125</v>
      </c>
      <c r="O712" t="s">
        <v>979</v>
      </c>
    </row>
    <row r="713" spans="1:15">
      <c r="A713" t="s">
        <v>942</v>
      </c>
      <c r="B713" t="s">
        <v>945</v>
      </c>
      <c r="C713" s="553">
        <v>44243</v>
      </c>
      <c r="D713" s="281" t="s">
        <v>4384</v>
      </c>
      <c r="E713" s="281" t="s">
        <v>4226</v>
      </c>
      <c r="F713" s="281">
        <v>5</v>
      </c>
      <c r="G713" s="28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2">
        <v>0</v>
      </c>
      <c r="O713" t="s">
        <v>974</v>
      </c>
    </row>
    <row r="714" spans="1:15">
      <c r="A714" t="s">
        <v>942</v>
      </c>
      <c r="B714" t="s">
        <v>945</v>
      </c>
      <c r="C714" s="553">
        <v>44243</v>
      </c>
      <c r="D714" s="281" t="s">
        <v>4384</v>
      </c>
      <c r="E714" s="281" t="s">
        <v>4226</v>
      </c>
      <c r="F714" s="281">
        <v>5</v>
      </c>
      <c r="G714" s="28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2">
        <v>0</v>
      </c>
      <c r="O714" t="s">
        <v>974</v>
      </c>
    </row>
    <row r="715" spans="1:15">
      <c r="A715" t="s">
        <v>942</v>
      </c>
      <c r="B715" t="s">
        <v>945</v>
      </c>
      <c r="C715" s="553">
        <v>44243</v>
      </c>
      <c r="D715" s="281" t="s">
        <v>4384</v>
      </c>
      <c r="E715" s="281" t="s">
        <v>4226</v>
      </c>
      <c r="F715" s="281">
        <v>6</v>
      </c>
      <c r="G715" s="28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2">
        <v>0</v>
      </c>
      <c r="O715" t="s">
        <v>977</v>
      </c>
    </row>
    <row r="716" spans="1:15">
      <c r="A716" t="s">
        <v>942</v>
      </c>
      <c r="B716" t="s">
        <v>945</v>
      </c>
      <c r="C716" s="553">
        <v>44243</v>
      </c>
      <c r="D716" s="281" t="s">
        <v>4384</v>
      </c>
      <c r="E716" s="281" t="s">
        <v>4226</v>
      </c>
      <c r="F716" s="281">
        <v>6</v>
      </c>
      <c r="G716" s="28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2">
        <v>0</v>
      </c>
      <c r="O716" t="s">
        <v>977</v>
      </c>
    </row>
    <row r="717" spans="1:15">
      <c r="A717" t="s">
        <v>942</v>
      </c>
      <c r="B717" t="s">
        <v>945</v>
      </c>
      <c r="C717" s="553">
        <v>44243</v>
      </c>
      <c r="D717" s="281" t="s">
        <v>4384</v>
      </c>
      <c r="E717" s="281" t="s">
        <v>4226</v>
      </c>
      <c r="F717" s="281">
        <v>7</v>
      </c>
      <c r="G717" s="28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2">
        <v>0</v>
      </c>
      <c r="O717" t="s">
        <v>979</v>
      </c>
    </row>
    <row r="718" spans="1:15">
      <c r="A718" t="s">
        <v>942</v>
      </c>
      <c r="B718" t="s">
        <v>945</v>
      </c>
      <c r="C718" s="553">
        <v>44243</v>
      </c>
      <c r="D718" s="281" t="s">
        <v>4385</v>
      </c>
      <c r="E718" s="281" t="s">
        <v>3359</v>
      </c>
      <c r="F718" s="281">
        <v>1</v>
      </c>
      <c r="G718" s="28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2">
        <v>0</v>
      </c>
      <c r="O718" t="s">
        <v>961</v>
      </c>
    </row>
    <row r="719" spans="1:15">
      <c r="A719" t="s">
        <v>942</v>
      </c>
      <c r="B719" t="s">
        <v>945</v>
      </c>
      <c r="C719" s="553">
        <v>44243</v>
      </c>
      <c r="D719" s="281" t="s">
        <v>4386</v>
      </c>
      <c r="E719" s="281" t="s">
        <v>4227</v>
      </c>
      <c r="F719" s="281">
        <v>9</v>
      </c>
      <c r="G719" s="28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2">
        <v>0</v>
      </c>
      <c r="O719" t="s">
        <v>982</v>
      </c>
    </row>
    <row r="720" spans="1:15">
      <c r="A720" t="s">
        <v>942</v>
      </c>
      <c r="B720" t="s">
        <v>945</v>
      </c>
      <c r="C720" s="553">
        <v>44243</v>
      </c>
      <c r="D720" s="281" t="s">
        <v>4386</v>
      </c>
      <c r="E720" s="281" t="s">
        <v>4227</v>
      </c>
      <c r="F720" s="281">
        <v>9</v>
      </c>
      <c r="G720" s="28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2">
        <v>0</v>
      </c>
      <c r="O720" t="s">
        <v>982</v>
      </c>
    </row>
    <row r="721" spans="1:15">
      <c r="A721" t="s">
        <v>942</v>
      </c>
      <c r="B721" t="s">
        <v>945</v>
      </c>
      <c r="C721" s="553">
        <v>44243</v>
      </c>
      <c r="D721" s="281" t="s">
        <v>4386</v>
      </c>
      <c r="E721" s="281" t="s">
        <v>4227</v>
      </c>
      <c r="F721" s="281">
        <v>9</v>
      </c>
      <c r="G721" s="28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2">
        <v>0</v>
      </c>
      <c r="O721" t="s">
        <v>982</v>
      </c>
    </row>
    <row r="722" spans="1:15">
      <c r="A722" t="s">
        <v>942</v>
      </c>
      <c r="B722" t="s">
        <v>945</v>
      </c>
      <c r="C722" s="553">
        <v>44243</v>
      </c>
      <c r="D722" s="281" t="s">
        <v>4386</v>
      </c>
      <c r="E722" s="281" t="s">
        <v>4227</v>
      </c>
      <c r="F722" s="281">
        <v>9</v>
      </c>
      <c r="G722" s="28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2">
        <v>0</v>
      </c>
      <c r="O722" t="s">
        <v>982</v>
      </c>
    </row>
    <row r="723" spans="1:15">
      <c r="A723" t="s">
        <v>942</v>
      </c>
      <c r="B723" t="s">
        <v>945</v>
      </c>
      <c r="C723" s="553">
        <v>44243</v>
      </c>
      <c r="D723" s="281" t="s">
        <v>4387</v>
      </c>
      <c r="E723" s="281" t="s">
        <v>4228</v>
      </c>
      <c r="F723" s="281">
        <v>9</v>
      </c>
      <c r="G723" s="28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2">
        <v>0</v>
      </c>
      <c r="O723" t="s">
        <v>982</v>
      </c>
    </row>
    <row r="724" spans="1:15">
      <c r="A724" t="s">
        <v>942</v>
      </c>
      <c r="B724" t="s">
        <v>945</v>
      </c>
      <c r="C724" s="553">
        <v>44243</v>
      </c>
      <c r="D724" s="281" t="s">
        <v>4387</v>
      </c>
      <c r="E724" s="281" t="s">
        <v>4228</v>
      </c>
      <c r="F724" s="281">
        <v>9</v>
      </c>
      <c r="G724" s="28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2">
        <v>0</v>
      </c>
      <c r="O724" t="s">
        <v>982</v>
      </c>
    </row>
    <row r="725" spans="1:15">
      <c r="A725" t="s">
        <v>942</v>
      </c>
      <c r="B725" t="s">
        <v>945</v>
      </c>
      <c r="C725" s="553">
        <v>44243</v>
      </c>
      <c r="D725" s="281" t="s">
        <v>4387</v>
      </c>
      <c r="E725" s="281" t="s">
        <v>4228</v>
      </c>
      <c r="F725" s="281">
        <v>9</v>
      </c>
      <c r="G725" s="28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2">
        <v>0</v>
      </c>
      <c r="O725" t="s">
        <v>982</v>
      </c>
    </row>
    <row r="726" spans="1:15">
      <c r="A726" t="s">
        <v>942</v>
      </c>
      <c r="B726" t="s">
        <v>945</v>
      </c>
      <c r="C726" s="553">
        <v>44243</v>
      </c>
      <c r="D726" s="281" t="s">
        <v>4387</v>
      </c>
      <c r="E726" s="281" t="s">
        <v>4228</v>
      </c>
      <c r="F726" s="281">
        <v>9</v>
      </c>
      <c r="G726" s="28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2">
        <v>0</v>
      </c>
      <c r="O726" t="s">
        <v>982</v>
      </c>
    </row>
    <row r="727" spans="1:15">
      <c r="A727" t="s">
        <v>942</v>
      </c>
      <c r="B727" t="s">
        <v>945</v>
      </c>
      <c r="C727" s="553">
        <v>44243</v>
      </c>
      <c r="D727" s="281" t="s">
        <v>4388</v>
      </c>
      <c r="E727" s="281" t="s">
        <v>4229</v>
      </c>
      <c r="F727" s="281">
        <v>9</v>
      </c>
      <c r="G727" s="28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2">
        <v>0</v>
      </c>
      <c r="O727" t="s">
        <v>982</v>
      </c>
    </row>
    <row r="728" spans="1:15">
      <c r="A728" t="s">
        <v>942</v>
      </c>
      <c r="B728" t="s">
        <v>945</v>
      </c>
      <c r="C728" s="553">
        <v>44243</v>
      </c>
      <c r="D728" s="281" t="s">
        <v>4388</v>
      </c>
      <c r="E728" s="281" t="s">
        <v>4229</v>
      </c>
      <c r="F728" s="281">
        <v>9</v>
      </c>
      <c r="G728" s="28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2">
        <v>0</v>
      </c>
      <c r="O728" t="s">
        <v>982</v>
      </c>
    </row>
    <row r="729" spans="1:15">
      <c r="A729" t="s">
        <v>942</v>
      </c>
      <c r="B729" t="s">
        <v>945</v>
      </c>
      <c r="C729" s="553">
        <v>44243</v>
      </c>
      <c r="D729" s="281" t="s">
        <v>4388</v>
      </c>
      <c r="E729" s="281" t="s">
        <v>4229</v>
      </c>
      <c r="F729" s="281">
        <v>9</v>
      </c>
      <c r="G729" s="28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2">
        <v>0</v>
      </c>
      <c r="O729" t="s">
        <v>982</v>
      </c>
    </row>
    <row r="730" spans="1:15">
      <c r="A730" t="s">
        <v>942</v>
      </c>
      <c r="B730" t="s">
        <v>945</v>
      </c>
      <c r="C730" s="553">
        <v>44243</v>
      </c>
      <c r="D730" s="281" t="s">
        <v>4388</v>
      </c>
      <c r="E730" s="281" t="s">
        <v>4229</v>
      </c>
      <c r="F730" s="281">
        <v>9</v>
      </c>
      <c r="G730" s="28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2">
        <v>0</v>
      </c>
      <c r="O730" t="s">
        <v>982</v>
      </c>
    </row>
    <row r="731" spans="1:15">
      <c r="A731" t="s">
        <v>942</v>
      </c>
      <c r="B731" t="s">
        <v>945</v>
      </c>
      <c r="C731" s="553">
        <v>44243</v>
      </c>
      <c r="D731" s="281" t="s">
        <v>4389</v>
      </c>
      <c r="E731" s="281" t="s">
        <v>4230</v>
      </c>
      <c r="F731" s="281">
        <v>9</v>
      </c>
      <c r="G731" s="28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2">
        <v>0</v>
      </c>
      <c r="O731" t="s">
        <v>982</v>
      </c>
    </row>
    <row r="732" spans="1:15">
      <c r="A732" t="s">
        <v>942</v>
      </c>
      <c r="B732" t="s">
        <v>945</v>
      </c>
      <c r="C732" s="553">
        <v>44243</v>
      </c>
      <c r="D732" s="281" t="s">
        <v>4389</v>
      </c>
      <c r="E732" s="281" t="s">
        <v>4230</v>
      </c>
      <c r="F732" s="281">
        <v>9</v>
      </c>
      <c r="G732" s="28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2">
        <v>0</v>
      </c>
      <c r="O732" t="s">
        <v>982</v>
      </c>
    </row>
    <row r="733" spans="1:15">
      <c r="A733" t="s">
        <v>942</v>
      </c>
      <c r="B733" t="s">
        <v>945</v>
      </c>
      <c r="C733" s="553">
        <v>44243</v>
      </c>
      <c r="D733" s="281" t="s">
        <v>4389</v>
      </c>
      <c r="E733" s="281" t="s">
        <v>4230</v>
      </c>
      <c r="F733" s="281">
        <v>9</v>
      </c>
      <c r="G733" s="28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2">
        <v>0</v>
      </c>
      <c r="O733" t="s">
        <v>982</v>
      </c>
    </row>
    <row r="734" spans="1:15">
      <c r="A734" t="s">
        <v>942</v>
      </c>
      <c r="B734" t="s">
        <v>945</v>
      </c>
      <c r="C734" s="553">
        <v>44243</v>
      </c>
      <c r="D734" s="281" t="s">
        <v>4389</v>
      </c>
      <c r="E734" s="281" t="s">
        <v>4230</v>
      </c>
      <c r="F734" s="281">
        <v>9</v>
      </c>
      <c r="G734" s="28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2">
        <v>0</v>
      </c>
      <c r="O734" t="s">
        <v>982</v>
      </c>
    </row>
    <row r="735" spans="1:15">
      <c r="A735" t="s">
        <v>942</v>
      </c>
      <c r="B735" t="s">
        <v>945</v>
      </c>
      <c r="C735" s="553">
        <v>44243</v>
      </c>
      <c r="D735" s="281" t="s">
        <v>4390</v>
      </c>
      <c r="E735" s="281" t="s">
        <v>4231</v>
      </c>
      <c r="F735" s="281">
        <v>9</v>
      </c>
      <c r="G735" s="28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2">
        <v>0</v>
      </c>
      <c r="O735" t="s">
        <v>982</v>
      </c>
    </row>
    <row r="736" spans="1:15">
      <c r="A736" t="s">
        <v>942</v>
      </c>
      <c r="B736" t="s">
        <v>945</v>
      </c>
      <c r="C736" s="553">
        <v>44243</v>
      </c>
      <c r="D736" s="281" t="s">
        <v>4390</v>
      </c>
      <c r="E736" s="281" t="s">
        <v>4231</v>
      </c>
      <c r="F736" s="281">
        <v>9</v>
      </c>
      <c r="G736" s="28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2">
        <v>0</v>
      </c>
      <c r="O736" t="s">
        <v>982</v>
      </c>
    </row>
    <row r="737" spans="1:15">
      <c r="A737" t="s">
        <v>942</v>
      </c>
      <c r="B737" t="s">
        <v>945</v>
      </c>
      <c r="C737" s="553">
        <v>44243</v>
      </c>
      <c r="D737" s="281" t="s">
        <v>4390</v>
      </c>
      <c r="E737" s="281" t="s">
        <v>4231</v>
      </c>
      <c r="F737" s="281">
        <v>9</v>
      </c>
      <c r="G737" s="28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2">
        <v>0</v>
      </c>
      <c r="O737" t="s">
        <v>982</v>
      </c>
    </row>
    <row r="738" spans="1:15">
      <c r="A738" t="s">
        <v>942</v>
      </c>
      <c r="B738" t="s">
        <v>945</v>
      </c>
      <c r="C738" s="553">
        <v>44243</v>
      </c>
      <c r="D738" s="281" t="s">
        <v>4390</v>
      </c>
      <c r="E738" s="281" t="s">
        <v>4231</v>
      </c>
      <c r="F738" s="281">
        <v>9</v>
      </c>
      <c r="G738" s="28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2">
        <v>0</v>
      </c>
      <c r="O738" t="s">
        <v>982</v>
      </c>
    </row>
    <row r="739" spans="1:15">
      <c r="A739" t="s">
        <v>942</v>
      </c>
      <c r="B739" t="s">
        <v>945</v>
      </c>
      <c r="C739" s="553">
        <v>44243</v>
      </c>
      <c r="D739" s="281" t="s">
        <v>4391</v>
      </c>
      <c r="E739" s="281" t="s">
        <v>3282</v>
      </c>
      <c r="F739" s="281">
        <v>3</v>
      </c>
      <c r="G739" s="28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2">
        <v>22320</v>
      </c>
      <c r="O739" t="s">
        <v>968</v>
      </c>
    </row>
    <row r="740" spans="1:15">
      <c r="A740" t="s">
        <v>942</v>
      </c>
      <c r="B740" t="s">
        <v>945</v>
      </c>
      <c r="C740" s="553">
        <v>44243</v>
      </c>
      <c r="D740" s="281" t="s">
        <v>4392</v>
      </c>
      <c r="E740" s="281" t="s">
        <v>3245</v>
      </c>
      <c r="F740" s="281">
        <v>14</v>
      </c>
      <c r="G740" s="28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2">
        <v>144603.29</v>
      </c>
      <c r="O740" t="s">
        <v>1221</v>
      </c>
    </row>
    <row r="741" spans="1:15">
      <c r="A741" t="s">
        <v>942</v>
      </c>
      <c r="B741" t="s">
        <v>945</v>
      </c>
      <c r="C741" s="553">
        <v>44244</v>
      </c>
      <c r="D741" s="281" t="s">
        <v>4393</v>
      </c>
      <c r="E741" s="281" t="s">
        <v>3302</v>
      </c>
      <c r="F741" s="281">
        <v>14</v>
      </c>
      <c r="G741" s="28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2">
        <v>119889.07</v>
      </c>
      <c r="O741" t="s">
        <v>1221</v>
      </c>
    </row>
    <row r="742" spans="1:15">
      <c r="A742" t="s">
        <v>942</v>
      </c>
      <c r="B742" t="s">
        <v>945</v>
      </c>
      <c r="C742" s="553">
        <v>44244</v>
      </c>
      <c r="D742" s="281" t="s">
        <v>4394</v>
      </c>
      <c r="E742" s="281" t="s">
        <v>3304</v>
      </c>
      <c r="F742" s="281">
        <v>14</v>
      </c>
      <c r="G742" s="28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2">
        <v>83142.720000000001</v>
      </c>
      <c r="O742" t="s">
        <v>1221</v>
      </c>
    </row>
    <row r="743" spans="1:15">
      <c r="A743" t="s">
        <v>942</v>
      </c>
      <c r="B743" t="s">
        <v>945</v>
      </c>
      <c r="C743" s="553">
        <v>44246</v>
      </c>
      <c r="D743" s="281" t="s">
        <v>4395</v>
      </c>
      <c r="E743" s="281" t="s">
        <v>3306</v>
      </c>
      <c r="F743" s="281">
        <v>14</v>
      </c>
      <c r="G743" s="28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2">
        <v>106531.33</v>
      </c>
      <c r="O743" t="s">
        <v>1221</v>
      </c>
    </row>
    <row r="744" spans="1:15">
      <c r="A744" t="s">
        <v>942</v>
      </c>
      <c r="B744" t="s">
        <v>945</v>
      </c>
      <c r="C744" s="553">
        <v>44251</v>
      </c>
      <c r="D744" s="281" t="s">
        <v>4396</v>
      </c>
      <c r="E744" s="281" t="s">
        <v>3380</v>
      </c>
      <c r="F744" s="281">
        <v>3</v>
      </c>
      <c r="G744" s="28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2">
        <v>0</v>
      </c>
      <c r="O744" t="s">
        <v>968</v>
      </c>
    </row>
    <row r="745" spans="1:15">
      <c r="A745" t="s">
        <v>942</v>
      </c>
      <c r="B745" t="s">
        <v>945</v>
      </c>
      <c r="C745" s="553">
        <v>44251</v>
      </c>
      <c r="D745" s="281" t="s">
        <v>4397</v>
      </c>
      <c r="E745" s="281" t="s">
        <v>3384</v>
      </c>
      <c r="F745" s="281">
        <v>1</v>
      </c>
      <c r="G745" s="28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2">
        <v>0</v>
      </c>
      <c r="O745" t="s">
        <v>961</v>
      </c>
    </row>
    <row r="746" spans="1:15">
      <c r="A746" t="s">
        <v>942</v>
      </c>
      <c r="B746" t="s">
        <v>945</v>
      </c>
      <c r="C746" s="553">
        <v>44251</v>
      </c>
      <c r="D746" s="281" t="s">
        <v>4398</v>
      </c>
      <c r="E746" s="281" t="s">
        <v>3362</v>
      </c>
      <c r="F746" s="281">
        <v>10</v>
      </c>
      <c r="G746" s="28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2">
        <v>10000</v>
      </c>
      <c r="O746" t="s">
        <v>983</v>
      </c>
    </row>
    <row r="747" spans="1:15">
      <c r="A747" t="s">
        <v>942</v>
      </c>
      <c r="B747" t="s">
        <v>945</v>
      </c>
      <c r="C747" s="553">
        <v>44251</v>
      </c>
      <c r="D747" s="281" t="s">
        <v>4399</v>
      </c>
      <c r="E747" s="281" t="s">
        <v>3366</v>
      </c>
      <c r="F747" s="281">
        <v>1</v>
      </c>
      <c r="G747" s="28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2">
        <v>2790</v>
      </c>
      <c r="O747" t="s">
        <v>961</v>
      </c>
    </row>
    <row r="748" spans="1:15">
      <c r="A748" t="s">
        <v>942</v>
      </c>
      <c r="B748" t="s">
        <v>945</v>
      </c>
      <c r="C748" s="553">
        <v>44251</v>
      </c>
      <c r="D748" s="281" t="s">
        <v>4399</v>
      </c>
      <c r="E748" s="281" t="s">
        <v>3366</v>
      </c>
      <c r="F748" s="281">
        <v>1</v>
      </c>
      <c r="G748" s="28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2">
        <v>8000</v>
      </c>
      <c r="O748" t="s">
        <v>961</v>
      </c>
    </row>
    <row r="749" spans="1:15">
      <c r="A749" t="s">
        <v>942</v>
      </c>
      <c r="B749" t="s">
        <v>945</v>
      </c>
      <c r="C749" s="553">
        <v>44251</v>
      </c>
      <c r="D749" s="281" t="s">
        <v>4400</v>
      </c>
      <c r="E749" s="281" t="s">
        <v>3368</v>
      </c>
      <c r="F749" s="281">
        <v>1</v>
      </c>
      <c r="G749" s="28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2">
        <v>12352.18</v>
      </c>
      <c r="O749" t="s">
        <v>961</v>
      </c>
    </row>
    <row r="750" spans="1:15">
      <c r="A750" t="s">
        <v>942</v>
      </c>
      <c r="B750" t="s">
        <v>945</v>
      </c>
      <c r="C750" s="553">
        <v>44251</v>
      </c>
      <c r="D750" s="281" t="s">
        <v>4401</v>
      </c>
      <c r="E750" s="281" t="s">
        <v>3370</v>
      </c>
      <c r="F750" s="281">
        <v>9</v>
      </c>
      <c r="G750" s="28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2">
        <v>11158</v>
      </c>
      <c r="O750" t="s">
        <v>982</v>
      </c>
    </row>
    <row r="751" spans="1:15">
      <c r="A751" t="s">
        <v>942</v>
      </c>
      <c r="B751" t="s">
        <v>945</v>
      </c>
      <c r="C751" s="553">
        <v>44251</v>
      </c>
      <c r="D751" s="281" t="s">
        <v>4401</v>
      </c>
      <c r="E751" s="281" t="s">
        <v>3370</v>
      </c>
      <c r="F751" s="281">
        <v>8</v>
      </c>
      <c r="G751" s="28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2">
        <v>12316</v>
      </c>
      <c r="O751" t="s">
        <v>980</v>
      </c>
    </row>
    <row r="752" spans="1:15">
      <c r="A752" t="s">
        <v>942</v>
      </c>
      <c r="B752" t="s">
        <v>945</v>
      </c>
      <c r="C752" s="553">
        <v>44251</v>
      </c>
      <c r="D752" s="281" t="s">
        <v>4402</v>
      </c>
      <c r="E752" s="281" t="s">
        <v>3372</v>
      </c>
      <c r="F752" s="281">
        <v>9</v>
      </c>
      <c r="G752" s="28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2">
        <v>5030.91</v>
      </c>
      <c r="O752" t="s">
        <v>982</v>
      </c>
    </row>
    <row r="753" spans="1:15">
      <c r="A753" t="s">
        <v>942</v>
      </c>
      <c r="B753" t="s">
        <v>945</v>
      </c>
      <c r="C753" s="553">
        <v>44251</v>
      </c>
      <c r="D753" s="281" t="s">
        <v>4402</v>
      </c>
      <c r="E753" s="281" t="s">
        <v>3372</v>
      </c>
      <c r="F753" s="281">
        <v>1</v>
      </c>
      <c r="G753" s="28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2">
        <v>5534</v>
      </c>
      <c r="O753" t="s">
        <v>961</v>
      </c>
    </row>
    <row r="754" spans="1:15">
      <c r="A754" t="s">
        <v>942</v>
      </c>
      <c r="B754" t="s">
        <v>945</v>
      </c>
      <c r="C754" s="553">
        <v>44251</v>
      </c>
      <c r="D754" s="281" t="s">
        <v>4402</v>
      </c>
      <c r="E754" s="281" t="s">
        <v>3372</v>
      </c>
      <c r="F754" s="281">
        <v>1</v>
      </c>
      <c r="G754" s="28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2">
        <v>16692</v>
      </c>
      <c r="O754" t="s">
        <v>961</v>
      </c>
    </row>
    <row r="755" spans="1:15">
      <c r="A755" t="s">
        <v>942</v>
      </c>
      <c r="B755" t="s">
        <v>945</v>
      </c>
      <c r="C755" s="553">
        <v>44251</v>
      </c>
      <c r="D755" s="281" t="s">
        <v>4403</v>
      </c>
      <c r="E755" s="281" t="s">
        <v>3374</v>
      </c>
      <c r="F755" s="281">
        <v>1</v>
      </c>
      <c r="G755" s="28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2">
        <v>7321.62</v>
      </c>
      <c r="O755" t="s">
        <v>961</v>
      </c>
    </row>
    <row r="756" spans="1:15">
      <c r="A756" t="s">
        <v>942</v>
      </c>
      <c r="B756" t="s">
        <v>945</v>
      </c>
      <c r="C756" s="553">
        <v>44251</v>
      </c>
      <c r="D756" s="281" t="s">
        <v>4404</v>
      </c>
      <c r="E756" s="281" t="s">
        <v>4232</v>
      </c>
      <c r="F756" s="281">
        <v>1</v>
      </c>
      <c r="G756" s="28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2">
        <v>0</v>
      </c>
      <c r="O756" t="s">
        <v>961</v>
      </c>
    </row>
    <row r="757" spans="1:15">
      <c r="A757" t="s">
        <v>942</v>
      </c>
      <c r="B757" t="s">
        <v>945</v>
      </c>
      <c r="C757" s="553">
        <v>44251</v>
      </c>
      <c r="D757" s="281" t="s">
        <v>4405</v>
      </c>
      <c r="E757" s="281" t="s">
        <v>4233</v>
      </c>
      <c r="F757" s="281">
        <v>1</v>
      </c>
      <c r="G757" s="28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2">
        <v>0</v>
      </c>
      <c r="O757" t="s">
        <v>961</v>
      </c>
    </row>
    <row r="758" spans="1:15">
      <c r="A758" t="s">
        <v>942</v>
      </c>
      <c r="B758" t="s">
        <v>945</v>
      </c>
      <c r="C758" s="553">
        <v>44251</v>
      </c>
      <c r="D758" s="281" t="s">
        <v>4406</v>
      </c>
      <c r="E758" s="281" t="s">
        <v>4234</v>
      </c>
      <c r="F758" s="281">
        <v>13</v>
      </c>
      <c r="G758" s="28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2">
        <v>0.01</v>
      </c>
      <c r="O758" t="s">
        <v>999</v>
      </c>
    </row>
    <row r="759" spans="1:15">
      <c r="A759" t="s">
        <v>942</v>
      </c>
      <c r="B759" t="s">
        <v>945</v>
      </c>
      <c r="C759" s="553">
        <v>44253</v>
      </c>
      <c r="D759" s="281" t="s">
        <v>4407</v>
      </c>
      <c r="E759" s="281" t="s">
        <v>4235</v>
      </c>
      <c r="F759" s="281">
        <v>14</v>
      </c>
      <c r="G759" s="28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2">
        <v>0</v>
      </c>
      <c r="O759" t="s">
        <v>1221</v>
      </c>
    </row>
    <row r="760" spans="1:15">
      <c r="A760" t="s">
        <v>942</v>
      </c>
      <c r="B760" t="s">
        <v>945</v>
      </c>
      <c r="C760" s="553">
        <v>44253</v>
      </c>
      <c r="D760" s="281" t="s">
        <v>4408</v>
      </c>
      <c r="E760" s="281" t="s">
        <v>4236</v>
      </c>
      <c r="F760" s="281">
        <v>14</v>
      </c>
      <c r="G760" s="28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2">
        <v>0</v>
      </c>
      <c r="O760" t="s">
        <v>1221</v>
      </c>
    </row>
    <row r="761" spans="1:15">
      <c r="A761" t="s">
        <v>942</v>
      </c>
      <c r="B761" t="s">
        <v>945</v>
      </c>
      <c r="C761" s="553">
        <v>44253</v>
      </c>
      <c r="D761" s="281" t="s">
        <v>4409</v>
      </c>
      <c r="E761" s="281" t="s">
        <v>4237</v>
      </c>
      <c r="F761" s="281">
        <v>14</v>
      </c>
      <c r="G761" s="28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2">
        <v>0</v>
      </c>
      <c r="O761" t="s">
        <v>1221</v>
      </c>
    </row>
    <row r="762" spans="1:15">
      <c r="A762" t="s">
        <v>942</v>
      </c>
      <c r="B762" t="s">
        <v>945</v>
      </c>
      <c r="C762" s="553">
        <v>44253</v>
      </c>
      <c r="D762" s="281" t="s">
        <v>4410</v>
      </c>
      <c r="E762" s="281" t="s">
        <v>4238</v>
      </c>
      <c r="F762" s="281">
        <v>1</v>
      </c>
      <c r="G762" s="28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2">
        <v>0</v>
      </c>
      <c r="O762" t="s">
        <v>961</v>
      </c>
    </row>
    <row r="763" spans="1:15">
      <c r="A763" t="s">
        <v>942</v>
      </c>
      <c r="B763" t="s">
        <v>945</v>
      </c>
      <c r="C763" s="553">
        <v>44253</v>
      </c>
      <c r="D763" s="281" t="s">
        <v>4411</v>
      </c>
      <c r="E763" s="281" t="s">
        <v>4239</v>
      </c>
      <c r="F763" s="281">
        <v>4</v>
      </c>
      <c r="G763" s="28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2">
        <v>0</v>
      </c>
      <c r="O763" t="s">
        <v>970</v>
      </c>
    </row>
    <row r="764" spans="1:15">
      <c r="A764" t="s">
        <v>942</v>
      </c>
      <c r="B764" t="s">
        <v>945</v>
      </c>
      <c r="C764" s="553">
        <v>44253</v>
      </c>
      <c r="D764" s="281" t="s">
        <v>4411</v>
      </c>
      <c r="E764" s="281" t="s">
        <v>4239</v>
      </c>
      <c r="F764" s="281">
        <v>4</v>
      </c>
      <c r="G764" s="28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2">
        <v>0</v>
      </c>
      <c r="O764" t="s">
        <v>970</v>
      </c>
    </row>
    <row r="765" spans="1:15">
      <c r="A765" t="s">
        <v>942</v>
      </c>
      <c r="B765" t="s">
        <v>945</v>
      </c>
      <c r="C765" s="553">
        <v>44253</v>
      </c>
      <c r="D765" s="281" t="s">
        <v>4411</v>
      </c>
      <c r="E765" s="281" t="s">
        <v>4239</v>
      </c>
      <c r="F765" s="281">
        <v>4</v>
      </c>
      <c r="G765" s="28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2">
        <v>0</v>
      </c>
      <c r="O765" t="s">
        <v>970</v>
      </c>
    </row>
    <row r="766" spans="1:15">
      <c r="A766" t="s">
        <v>942</v>
      </c>
      <c r="B766" t="s">
        <v>945</v>
      </c>
      <c r="C766" s="553">
        <v>44253</v>
      </c>
      <c r="D766" s="281" t="s">
        <v>4411</v>
      </c>
      <c r="E766" s="281" t="s">
        <v>4239</v>
      </c>
      <c r="F766" s="281">
        <v>4</v>
      </c>
      <c r="G766" s="28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2">
        <v>0</v>
      </c>
      <c r="O766" t="s">
        <v>970</v>
      </c>
    </row>
    <row r="767" spans="1:15">
      <c r="A767" t="s">
        <v>942</v>
      </c>
      <c r="B767" t="s">
        <v>945</v>
      </c>
      <c r="C767" s="553">
        <v>44253</v>
      </c>
      <c r="D767" s="281" t="s">
        <v>4411</v>
      </c>
      <c r="E767" s="281" t="s">
        <v>4239</v>
      </c>
      <c r="F767" s="281">
        <v>4</v>
      </c>
      <c r="G767" s="28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2">
        <v>0</v>
      </c>
      <c r="O767" t="s">
        <v>970</v>
      </c>
    </row>
    <row r="768" spans="1:15">
      <c r="A768" t="s">
        <v>942</v>
      </c>
      <c r="B768" t="s">
        <v>945</v>
      </c>
      <c r="C768" s="553">
        <v>44253</v>
      </c>
      <c r="D768" s="281" t="s">
        <v>4411</v>
      </c>
      <c r="E768" s="281" t="s">
        <v>4239</v>
      </c>
      <c r="F768" s="281">
        <v>4</v>
      </c>
      <c r="G768" s="28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2">
        <v>0</v>
      </c>
      <c r="O768" t="s">
        <v>970</v>
      </c>
    </row>
    <row r="769" spans="1:15">
      <c r="A769" t="s">
        <v>942</v>
      </c>
      <c r="B769" t="s">
        <v>945</v>
      </c>
      <c r="C769" s="553">
        <v>44253</v>
      </c>
      <c r="D769" s="281" t="s">
        <v>4412</v>
      </c>
      <c r="E769" s="281" t="s">
        <v>4240</v>
      </c>
      <c r="F769" s="281">
        <v>4</v>
      </c>
      <c r="G769" s="28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2">
        <v>0</v>
      </c>
      <c r="O769" t="s">
        <v>970</v>
      </c>
    </row>
    <row r="770" spans="1:15">
      <c r="A770" t="s">
        <v>942</v>
      </c>
      <c r="B770" t="s">
        <v>945</v>
      </c>
      <c r="C770" s="553">
        <v>44253</v>
      </c>
      <c r="D770" s="281" t="s">
        <v>4412</v>
      </c>
      <c r="E770" s="281" t="s">
        <v>4240</v>
      </c>
      <c r="F770" s="281">
        <v>4</v>
      </c>
      <c r="G770" s="28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2">
        <v>0</v>
      </c>
      <c r="O770" t="s">
        <v>970</v>
      </c>
    </row>
    <row r="771" spans="1:15">
      <c r="A771" t="s">
        <v>942</v>
      </c>
      <c r="B771" t="s">
        <v>945</v>
      </c>
      <c r="C771" s="553">
        <v>44253</v>
      </c>
      <c r="D771" s="281" t="s">
        <v>4412</v>
      </c>
      <c r="E771" s="281" t="s">
        <v>4240</v>
      </c>
      <c r="F771" s="281">
        <v>4</v>
      </c>
      <c r="G771" s="28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2">
        <v>0</v>
      </c>
      <c r="O771" t="s">
        <v>970</v>
      </c>
    </row>
    <row r="772" spans="1:15">
      <c r="A772" t="s">
        <v>942</v>
      </c>
      <c r="B772" t="s">
        <v>945</v>
      </c>
      <c r="C772" s="553">
        <v>44253</v>
      </c>
      <c r="D772" s="281" t="s">
        <v>4412</v>
      </c>
      <c r="E772" s="281" t="s">
        <v>4240</v>
      </c>
      <c r="F772" s="281">
        <v>4</v>
      </c>
      <c r="G772" s="28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2">
        <v>0</v>
      </c>
      <c r="O772" t="s">
        <v>970</v>
      </c>
    </row>
    <row r="773" spans="1:15">
      <c r="A773" t="s">
        <v>942</v>
      </c>
      <c r="B773" t="s">
        <v>945</v>
      </c>
      <c r="C773" s="553">
        <v>44253</v>
      </c>
      <c r="D773" s="281" t="s">
        <v>4412</v>
      </c>
      <c r="E773" s="281" t="s">
        <v>4240</v>
      </c>
      <c r="F773" s="281">
        <v>4</v>
      </c>
      <c r="G773" s="28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2">
        <v>0</v>
      </c>
      <c r="O773" t="s">
        <v>970</v>
      </c>
    </row>
    <row r="774" spans="1:15">
      <c r="A774" t="s">
        <v>942</v>
      </c>
      <c r="B774" t="s">
        <v>945</v>
      </c>
      <c r="C774" s="553">
        <v>44253</v>
      </c>
      <c r="D774" s="281" t="s">
        <v>4412</v>
      </c>
      <c r="E774" s="281" t="s">
        <v>4240</v>
      </c>
      <c r="F774" s="281">
        <v>4</v>
      </c>
      <c r="G774" s="28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2">
        <v>0</v>
      </c>
      <c r="O774" t="s">
        <v>970</v>
      </c>
    </row>
    <row r="775" spans="1:15">
      <c r="A775" t="s">
        <v>942</v>
      </c>
      <c r="B775" t="s">
        <v>945</v>
      </c>
      <c r="C775" s="553">
        <v>44253</v>
      </c>
      <c r="D775" s="281" t="s">
        <v>4413</v>
      </c>
      <c r="E775" s="281" t="s">
        <v>4241</v>
      </c>
      <c r="F775" s="281">
        <v>14</v>
      </c>
      <c r="G775" s="28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2">
        <v>0</v>
      </c>
      <c r="O775" t="s">
        <v>1221</v>
      </c>
    </row>
    <row r="776" spans="1:15">
      <c r="A776" t="s">
        <v>942</v>
      </c>
      <c r="B776" t="s">
        <v>946</v>
      </c>
      <c r="C776" s="553">
        <v>44257</v>
      </c>
      <c r="D776" s="281" t="s">
        <v>4414</v>
      </c>
      <c r="E776" s="281" t="s">
        <v>3460</v>
      </c>
      <c r="F776" s="281">
        <v>14</v>
      </c>
      <c r="G776" s="28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2">
        <v>83842.210000000006</v>
      </c>
      <c r="O776" t="s">
        <v>1221</v>
      </c>
    </row>
    <row r="777" spans="1:15">
      <c r="A777" t="s">
        <v>942</v>
      </c>
      <c r="B777" t="s">
        <v>946</v>
      </c>
      <c r="C777" s="553">
        <v>44257</v>
      </c>
      <c r="D777" s="281" t="s">
        <v>4415</v>
      </c>
      <c r="E777" s="281" t="s">
        <v>3456</v>
      </c>
      <c r="F777" s="281">
        <v>14</v>
      </c>
      <c r="G777" s="28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2">
        <v>83842.210000000006</v>
      </c>
      <c r="O777" t="s">
        <v>1221</v>
      </c>
    </row>
    <row r="778" spans="1:15">
      <c r="A778" t="s">
        <v>942</v>
      </c>
      <c r="B778" t="s">
        <v>946</v>
      </c>
      <c r="C778" s="553">
        <v>44257</v>
      </c>
      <c r="D778" s="281" t="s">
        <v>4416</v>
      </c>
      <c r="E778" s="281" t="s">
        <v>3454</v>
      </c>
      <c r="F778" s="281">
        <v>4</v>
      </c>
      <c r="G778" s="28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2">
        <v>23877</v>
      </c>
      <c r="O778" t="s">
        <v>970</v>
      </c>
    </row>
    <row r="779" spans="1:15">
      <c r="A779" t="s">
        <v>942</v>
      </c>
      <c r="B779" t="s">
        <v>946</v>
      </c>
      <c r="C779" s="553">
        <v>44257</v>
      </c>
      <c r="D779" s="281" t="s">
        <v>4416</v>
      </c>
      <c r="E779" s="281" t="s">
        <v>3454</v>
      </c>
      <c r="F779" s="281">
        <v>4</v>
      </c>
      <c r="G779" s="28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2">
        <v>2000</v>
      </c>
      <c r="O779" t="s">
        <v>970</v>
      </c>
    </row>
    <row r="780" spans="1:15">
      <c r="A780" t="s">
        <v>942</v>
      </c>
      <c r="B780" t="s">
        <v>946</v>
      </c>
      <c r="C780" s="553">
        <v>44257</v>
      </c>
      <c r="D780" s="281" t="s">
        <v>4416</v>
      </c>
      <c r="E780" s="281" t="s">
        <v>3454</v>
      </c>
      <c r="F780" s="281">
        <v>4</v>
      </c>
      <c r="G780" s="28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2">
        <v>2865.24</v>
      </c>
      <c r="O780" t="s">
        <v>972</v>
      </c>
    </row>
    <row r="781" spans="1:15">
      <c r="A781" t="s">
        <v>942</v>
      </c>
      <c r="B781" t="s">
        <v>946</v>
      </c>
      <c r="C781" s="553">
        <v>44257</v>
      </c>
      <c r="D781" s="281" t="s">
        <v>4416</v>
      </c>
      <c r="E781" s="281" t="s">
        <v>3454</v>
      </c>
      <c r="F781" s="281">
        <v>4</v>
      </c>
      <c r="G781" s="28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2">
        <v>100</v>
      </c>
      <c r="O781" t="s">
        <v>970</v>
      </c>
    </row>
    <row r="782" spans="1:15">
      <c r="A782" t="s">
        <v>942</v>
      </c>
      <c r="B782" t="s">
        <v>946</v>
      </c>
      <c r="C782" s="553">
        <v>44257</v>
      </c>
      <c r="D782" s="281" t="s">
        <v>4416</v>
      </c>
      <c r="E782" s="281" t="s">
        <v>3454</v>
      </c>
      <c r="F782" s="281">
        <v>4</v>
      </c>
      <c r="G782" s="28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2">
        <v>358.16</v>
      </c>
      <c r="O782" t="s">
        <v>970</v>
      </c>
    </row>
    <row r="783" spans="1:15">
      <c r="A783" t="s">
        <v>942</v>
      </c>
      <c r="B783" t="s">
        <v>946</v>
      </c>
      <c r="C783" s="553">
        <v>44257</v>
      </c>
      <c r="D783" s="281" t="s">
        <v>4416</v>
      </c>
      <c r="E783" s="281" t="s">
        <v>3454</v>
      </c>
      <c r="F783" s="281">
        <v>4</v>
      </c>
      <c r="G783" s="28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2">
        <v>100</v>
      </c>
      <c r="O783" t="s">
        <v>970</v>
      </c>
    </row>
    <row r="784" spans="1:15">
      <c r="A784" t="s">
        <v>942</v>
      </c>
      <c r="B784" t="s">
        <v>946</v>
      </c>
      <c r="C784" s="553">
        <v>44257</v>
      </c>
      <c r="D784" s="281" t="s">
        <v>4417</v>
      </c>
      <c r="E784" s="281" t="s">
        <v>3450</v>
      </c>
      <c r="F784" s="281">
        <v>1</v>
      </c>
      <c r="G784" s="28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2">
        <v>2170</v>
      </c>
      <c r="O784" t="s">
        <v>961</v>
      </c>
    </row>
    <row r="785" spans="1:15">
      <c r="A785" t="s">
        <v>942</v>
      </c>
      <c r="B785" t="s">
        <v>946</v>
      </c>
      <c r="C785" s="553">
        <v>44257</v>
      </c>
      <c r="D785" s="281" t="s">
        <v>4417</v>
      </c>
      <c r="E785" s="281" t="s">
        <v>3450</v>
      </c>
      <c r="F785" s="281">
        <v>1</v>
      </c>
      <c r="G785" s="28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2">
        <v>7000</v>
      </c>
      <c r="O785" t="s">
        <v>961</v>
      </c>
    </row>
    <row r="786" spans="1:15">
      <c r="A786" t="s">
        <v>942</v>
      </c>
      <c r="B786" t="s">
        <v>946</v>
      </c>
      <c r="C786" s="553">
        <v>44257</v>
      </c>
      <c r="D786" s="281" t="s">
        <v>4418</v>
      </c>
      <c r="E786" s="281" t="s">
        <v>3463</v>
      </c>
      <c r="F786" s="281">
        <v>9</v>
      </c>
      <c r="G786" s="28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2">
        <v>1200</v>
      </c>
      <c r="O786" t="s">
        <v>982</v>
      </c>
    </row>
    <row r="787" spans="1:15">
      <c r="A787" t="s">
        <v>942</v>
      </c>
      <c r="B787" t="s">
        <v>946</v>
      </c>
      <c r="C787" s="553">
        <v>44257</v>
      </c>
      <c r="D787" s="281" t="s">
        <v>4419</v>
      </c>
      <c r="E787" s="281" t="s">
        <v>3467</v>
      </c>
      <c r="F787" s="281">
        <v>1</v>
      </c>
      <c r="G787" s="28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2">
        <v>2404.7800000000002</v>
      </c>
      <c r="O787" t="s">
        <v>961</v>
      </c>
    </row>
    <row r="788" spans="1:15">
      <c r="A788" t="s">
        <v>942</v>
      </c>
      <c r="B788" t="s">
        <v>946</v>
      </c>
      <c r="C788" s="553">
        <v>44257</v>
      </c>
      <c r="D788" s="281" t="s">
        <v>4420</v>
      </c>
      <c r="E788" s="281" t="s">
        <v>3847</v>
      </c>
      <c r="F788" s="281">
        <v>1</v>
      </c>
      <c r="G788" s="28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2">
        <v>2800</v>
      </c>
      <c r="O788" t="s">
        <v>961</v>
      </c>
    </row>
    <row r="789" spans="1:15">
      <c r="A789" t="s">
        <v>942</v>
      </c>
      <c r="B789" t="s">
        <v>946</v>
      </c>
      <c r="C789" s="553">
        <v>44257</v>
      </c>
      <c r="D789" s="281" t="s">
        <v>4421</v>
      </c>
      <c r="E789" s="281" t="s">
        <v>3445</v>
      </c>
      <c r="F789" s="281">
        <v>4</v>
      </c>
      <c r="G789" s="28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2">
        <v>23877</v>
      </c>
      <c r="O789" t="s">
        <v>970</v>
      </c>
    </row>
    <row r="790" spans="1:15">
      <c r="A790" t="s">
        <v>942</v>
      </c>
      <c r="B790" t="s">
        <v>946</v>
      </c>
      <c r="C790" s="553">
        <v>44257</v>
      </c>
      <c r="D790" s="281" t="s">
        <v>4421</v>
      </c>
      <c r="E790" s="281" t="s">
        <v>3445</v>
      </c>
      <c r="F790" s="281">
        <v>4</v>
      </c>
      <c r="G790" s="28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2">
        <v>2000</v>
      </c>
      <c r="O790" t="s">
        <v>970</v>
      </c>
    </row>
    <row r="791" spans="1:15">
      <c r="A791" t="s">
        <v>942</v>
      </c>
      <c r="B791" t="s">
        <v>946</v>
      </c>
      <c r="C791" s="553">
        <v>44257</v>
      </c>
      <c r="D791" s="281" t="s">
        <v>4421</v>
      </c>
      <c r="E791" s="281" t="s">
        <v>3445</v>
      </c>
      <c r="F791" s="281">
        <v>4</v>
      </c>
      <c r="G791" s="28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2">
        <v>2865.24</v>
      </c>
      <c r="O791" t="s">
        <v>972</v>
      </c>
    </row>
    <row r="792" spans="1:15">
      <c r="A792" t="s">
        <v>942</v>
      </c>
      <c r="B792" t="s">
        <v>946</v>
      </c>
      <c r="C792" s="553">
        <v>44257</v>
      </c>
      <c r="D792" s="281" t="s">
        <v>4421</v>
      </c>
      <c r="E792" s="281" t="s">
        <v>3445</v>
      </c>
      <c r="F792" s="281">
        <v>4</v>
      </c>
      <c r="G792" s="28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2">
        <v>100</v>
      </c>
      <c r="O792" t="s">
        <v>970</v>
      </c>
    </row>
    <row r="793" spans="1:15">
      <c r="A793" t="s">
        <v>942</v>
      </c>
      <c r="B793" t="s">
        <v>946</v>
      </c>
      <c r="C793" s="553">
        <v>44257</v>
      </c>
      <c r="D793" s="281" t="s">
        <v>4421</v>
      </c>
      <c r="E793" s="281" t="s">
        <v>3445</v>
      </c>
      <c r="F793" s="281">
        <v>4</v>
      </c>
      <c r="G793" s="28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2">
        <v>358.16</v>
      </c>
      <c r="O793" t="s">
        <v>970</v>
      </c>
    </row>
    <row r="794" spans="1:15">
      <c r="A794" t="s">
        <v>942</v>
      </c>
      <c r="B794" t="s">
        <v>946</v>
      </c>
      <c r="C794" s="553">
        <v>44257</v>
      </c>
      <c r="D794" s="281" t="s">
        <v>4421</v>
      </c>
      <c r="E794" s="281" t="s">
        <v>3445</v>
      </c>
      <c r="F794" s="281">
        <v>4</v>
      </c>
      <c r="G794" s="28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2">
        <v>100</v>
      </c>
      <c r="O794" t="s">
        <v>970</v>
      </c>
    </row>
    <row r="795" spans="1:15">
      <c r="A795" t="s">
        <v>942</v>
      </c>
      <c r="B795" t="s">
        <v>946</v>
      </c>
      <c r="C795" s="553">
        <v>44257</v>
      </c>
      <c r="D795" s="281" t="s">
        <v>4422</v>
      </c>
      <c r="E795" s="281" t="s">
        <v>3448</v>
      </c>
      <c r="F795" s="281">
        <v>4</v>
      </c>
      <c r="G795" s="28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2">
        <v>23877</v>
      </c>
      <c r="O795" t="s">
        <v>970</v>
      </c>
    </row>
    <row r="796" spans="1:15">
      <c r="A796" t="s">
        <v>942</v>
      </c>
      <c r="B796" t="s">
        <v>946</v>
      </c>
      <c r="C796" s="553">
        <v>44257</v>
      </c>
      <c r="D796" s="281" t="s">
        <v>4422</v>
      </c>
      <c r="E796" s="281" t="s">
        <v>3448</v>
      </c>
      <c r="F796" s="281">
        <v>4</v>
      </c>
      <c r="G796" s="28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2">
        <v>2000</v>
      </c>
      <c r="O796" t="s">
        <v>970</v>
      </c>
    </row>
    <row r="797" spans="1:15">
      <c r="A797" t="s">
        <v>942</v>
      </c>
      <c r="B797" t="s">
        <v>946</v>
      </c>
      <c r="C797" s="553">
        <v>44257</v>
      </c>
      <c r="D797" s="281" t="s">
        <v>4422</v>
      </c>
      <c r="E797" s="281" t="s">
        <v>3448</v>
      </c>
      <c r="F797" s="281">
        <v>4</v>
      </c>
      <c r="G797" s="28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2">
        <v>2865.24</v>
      </c>
      <c r="O797" t="s">
        <v>972</v>
      </c>
    </row>
    <row r="798" spans="1:15">
      <c r="A798" t="s">
        <v>942</v>
      </c>
      <c r="B798" t="s">
        <v>946</v>
      </c>
      <c r="C798" s="553">
        <v>44257</v>
      </c>
      <c r="D798" s="281" t="s">
        <v>4422</v>
      </c>
      <c r="E798" s="281" t="s">
        <v>3448</v>
      </c>
      <c r="F798" s="281">
        <v>4</v>
      </c>
      <c r="G798" s="28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2">
        <v>100</v>
      </c>
      <c r="O798" t="s">
        <v>970</v>
      </c>
    </row>
    <row r="799" spans="1:15">
      <c r="A799" t="s">
        <v>942</v>
      </c>
      <c r="B799" t="s">
        <v>946</v>
      </c>
      <c r="C799" s="553">
        <v>44257</v>
      </c>
      <c r="D799" s="281" t="s">
        <v>4422</v>
      </c>
      <c r="E799" s="281" t="s">
        <v>3448</v>
      </c>
      <c r="F799" s="281">
        <v>4</v>
      </c>
      <c r="G799" s="28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2">
        <v>358.16</v>
      </c>
      <c r="O799" t="s">
        <v>970</v>
      </c>
    </row>
    <row r="800" spans="1:15">
      <c r="A800" t="s">
        <v>942</v>
      </c>
      <c r="B800" t="s">
        <v>946</v>
      </c>
      <c r="C800" s="553">
        <v>44257</v>
      </c>
      <c r="D800" s="281" t="s">
        <v>4422</v>
      </c>
      <c r="E800" s="281" t="s">
        <v>3448</v>
      </c>
      <c r="F800" s="281">
        <v>4</v>
      </c>
      <c r="G800" s="28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2">
        <v>100</v>
      </c>
      <c r="O800" t="s">
        <v>970</v>
      </c>
    </row>
    <row r="801" spans="1:15">
      <c r="A801" t="s">
        <v>942</v>
      </c>
      <c r="B801" t="s">
        <v>946</v>
      </c>
      <c r="C801" s="553">
        <v>44257</v>
      </c>
      <c r="D801" s="281" t="s">
        <v>4423</v>
      </c>
      <c r="E801" s="281" t="s">
        <v>3470</v>
      </c>
      <c r="F801" s="281">
        <v>3</v>
      </c>
      <c r="G801" s="28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2">
        <v>11000</v>
      </c>
      <c r="O801" t="s">
        <v>968</v>
      </c>
    </row>
    <row r="802" spans="1:15">
      <c r="A802" t="s">
        <v>942</v>
      </c>
      <c r="B802" t="s">
        <v>946</v>
      </c>
      <c r="C802" s="553">
        <v>44257</v>
      </c>
      <c r="D802" s="281" t="s">
        <v>4424</v>
      </c>
      <c r="E802" s="281" t="s">
        <v>3472</v>
      </c>
      <c r="F802" s="281">
        <v>1</v>
      </c>
      <c r="G802" s="28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2">
        <v>2500</v>
      </c>
      <c r="O802" t="s">
        <v>961</v>
      </c>
    </row>
    <row r="803" spans="1:15">
      <c r="A803" t="s">
        <v>942</v>
      </c>
      <c r="B803" t="s">
        <v>946</v>
      </c>
      <c r="C803" s="553">
        <v>44257</v>
      </c>
      <c r="D803" s="281" t="s">
        <v>4425</v>
      </c>
      <c r="E803" s="281" t="s">
        <v>3474</v>
      </c>
      <c r="F803" s="281">
        <v>1</v>
      </c>
      <c r="G803" s="28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2">
        <v>1338.5</v>
      </c>
      <c r="O803" t="s">
        <v>961</v>
      </c>
    </row>
    <row r="804" spans="1:15">
      <c r="A804" t="s">
        <v>942</v>
      </c>
      <c r="B804" t="s">
        <v>946</v>
      </c>
      <c r="C804" s="553">
        <v>44257</v>
      </c>
      <c r="D804" s="281" t="s">
        <v>4425</v>
      </c>
      <c r="E804" s="281" t="s">
        <v>3474</v>
      </c>
      <c r="F804" s="281">
        <v>1</v>
      </c>
      <c r="G804" s="28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2">
        <v>1865</v>
      </c>
      <c r="O804" t="s">
        <v>961</v>
      </c>
    </row>
    <row r="805" spans="1:15">
      <c r="A805" t="s">
        <v>942</v>
      </c>
      <c r="B805" t="s">
        <v>946</v>
      </c>
      <c r="C805" s="553">
        <v>44257</v>
      </c>
      <c r="D805" s="281" t="s">
        <v>4425</v>
      </c>
      <c r="E805" s="281" t="s">
        <v>3474</v>
      </c>
      <c r="F805" s="281">
        <v>1</v>
      </c>
      <c r="G805" s="28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2">
        <v>900</v>
      </c>
      <c r="O805" t="s">
        <v>961</v>
      </c>
    </row>
    <row r="806" spans="1:15">
      <c r="A806" t="s">
        <v>942</v>
      </c>
      <c r="B806" t="s">
        <v>946</v>
      </c>
      <c r="C806" s="553">
        <v>44257</v>
      </c>
      <c r="D806" s="281" t="s">
        <v>4425</v>
      </c>
      <c r="E806" s="281" t="s">
        <v>3474</v>
      </c>
      <c r="F806" s="281">
        <v>1</v>
      </c>
      <c r="G806" s="28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2">
        <v>120</v>
      </c>
      <c r="O806" t="s">
        <v>961</v>
      </c>
    </row>
    <row r="807" spans="1:15">
      <c r="A807" t="s">
        <v>942</v>
      </c>
      <c r="B807" t="s">
        <v>946</v>
      </c>
      <c r="C807" s="553">
        <v>44257</v>
      </c>
      <c r="D807" s="281" t="s">
        <v>4426</v>
      </c>
      <c r="E807" s="281" t="s">
        <v>3492</v>
      </c>
      <c r="F807" s="281">
        <v>10</v>
      </c>
      <c r="G807" s="28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2">
        <v>10000</v>
      </c>
      <c r="O807" t="s">
        <v>983</v>
      </c>
    </row>
    <row r="808" spans="1:15">
      <c r="A808" t="s">
        <v>942</v>
      </c>
      <c r="B808" t="s">
        <v>946</v>
      </c>
      <c r="C808" s="553">
        <v>44257</v>
      </c>
      <c r="D808" s="281" t="s">
        <v>4427</v>
      </c>
      <c r="E808" s="281" t="s">
        <v>3495</v>
      </c>
      <c r="F808" s="281">
        <v>10</v>
      </c>
      <c r="G808" s="28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2">
        <v>5534</v>
      </c>
      <c r="O808" t="s">
        <v>983</v>
      </c>
    </row>
    <row r="809" spans="1:15">
      <c r="A809" t="s">
        <v>942</v>
      </c>
      <c r="B809" t="s">
        <v>946</v>
      </c>
      <c r="C809" s="553">
        <v>44257</v>
      </c>
      <c r="D809" s="281" t="s">
        <v>4427</v>
      </c>
      <c r="E809" s="281" t="s">
        <v>3495</v>
      </c>
      <c r="F809" s="281">
        <v>1</v>
      </c>
      <c r="G809" s="28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2">
        <v>16692</v>
      </c>
      <c r="O809" t="s">
        <v>961</v>
      </c>
    </row>
    <row r="810" spans="1:15">
      <c r="A810" t="s">
        <v>942</v>
      </c>
      <c r="B810" t="s">
        <v>946</v>
      </c>
      <c r="C810" s="553">
        <v>44257</v>
      </c>
      <c r="D810" s="281" t="s">
        <v>4427</v>
      </c>
      <c r="E810" s="281" t="s">
        <v>3495</v>
      </c>
      <c r="F810" s="281">
        <v>1</v>
      </c>
      <c r="G810" s="28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2">
        <v>5534</v>
      </c>
      <c r="O810" t="s">
        <v>961</v>
      </c>
    </row>
    <row r="811" spans="1:15">
      <c r="A811" t="s">
        <v>942</v>
      </c>
      <c r="B811" t="s">
        <v>946</v>
      </c>
      <c r="C811" s="553">
        <v>44257</v>
      </c>
      <c r="D811" s="281" t="s">
        <v>4428</v>
      </c>
      <c r="E811" s="281" t="s">
        <v>3498</v>
      </c>
      <c r="F811" s="281">
        <v>14</v>
      </c>
      <c r="G811" s="28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2">
        <v>16332.5</v>
      </c>
      <c r="O811" t="s">
        <v>1221</v>
      </c>
    </row>
    <row r="812" spans="1:15">
      <c r="A812" t="s">
        <v>942</v>
      </c>
      <c r="B812" t="s">
        <v>946</v>
      </c>
      <c r="C812" s="553">
        <v>44257</v>
      </c>
      <c r="D812" s="281" t="s">
        <v>4429</v>
      </c>
      <c r="E812" s="281" t="s">
        <v>3502</v>
      </c>
      <c r="F812" s="281">
        <v>9</v>
      </c>
      <c r="G812" s="28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2">
        <v>11158</v>
      </c>
      <c r="O812" t="s">
        <v>982</v>
      </c>
    </row>
    <row r="813" spans="1:15">
      <c r="A813" t="s">
        <v>942</v>
      </c>
      <c r="B813" t="s">
        <v>946</v>
      </c>
      <c r="C813" s="553">
        <v>44257</v>
      </c>
      <c r="D813" s="281" t="s">
        <v>4429</v>
      </c>
      <c r="E813" s="281" t="s">
        <v>3502</v>
      </c>
      <c r="F813" s="281">
        <v>11</v>
      </c>
      <c r="G813" s="28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2">
        <v>11158</v>
      </c>
      <c r="O813" t="s">
        <v>985</v>
      </c>
    </row>
    <row r="814" spans="1:15">
      <c r="A814" t="s">
        <v>942</v>
      </c>
      <c r="B814" t="s">
        <v>946</v>
      </c>
      <c r="C814" s="553">
        <v>44257</v>
      </c>
      <c r="D814" s="281" t="s">
        <v>4430</v>
      </c>
      <c r="E814" s="281" t="s">
        <v>3504</v>
      </c>
      <c r="F814" s="281">
        <v>1</v>
      </c>
      <c r="G814" s="28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2">
        <v>13034</v>
      </c>
      <c r="O814" t="s">
        <v>961</v>
      </c>
    </row>
    <row r="815" spans="1:15">
      <c r="A815" t="s">
        <v>942</v>
      </c>
      <c r="B815" t="s">
        <v>946</v>
      </c>
      <c r="C815" s="553">
        <v>44257</v>
      </c>
      <c r="D815" s="281" t="s">
        <v>4431</v>
      </c>
      <c r="E815" s="281" t="s">
        <v>3506</v>
      </c>
      <c r="F815" s="281">
        <v>1</v>
      </c>
      <c r="G815" s="28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2">
        <v>45000</v>
      </c>
      <c r="O815" t="s">
        <v>960</v>
      </c>
    </row>
    <row r="816" spans="1:15">
      <c r="A816" t="s">
        <v>942</v>
      </c>
      <c r="B816" t="s">
        <v>946</v>
      </c>
      <c r="C816" s="553">
        <v>44257</v>
      </c>
      <c r="D816" s="281" t="s">
        <v>4431</v>
      </c>
      <c r="E816" s="281" t="s">
        <v>3506</v>
      </c>
      <c r="F816" s="281">
        <v>1</v>
      </c>
      <c r="G816" s="28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2">
        <v>45000</v>
      </c>
      <c r="O816" t="s">
        <v>960</v>
      </c>
    </row>
    <row r="817" spans="1:15">
      <c r="A817" t="s">
        <v>942</v>
      </c>
      <c r="B817" t="s">
        <v>946</v>
      </c>
      <c r="C817" s="553">
        <v>44257</v>
      </c>
      <c r="D817" s="281" t="s">
        <v>4431</v>
      </c>
      <c r="E817" s="281" t="s">
        <v>3506</v>
      </c>
      <c r="F817" s="281">
        <v>4</v>
      </c>
      <c r="G817" s="28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2">
        <v>15000</v>
      </c>
      <c r="O817" t="s">
        <v>970</v>
      </c>
    </row>
    <row r="818" spans="1:15">
      <c r="A818" t="s">
        <v>942</v>
      </c>
      <c r="B818" t="s">
        <v>946</v>
      </c>
      <c r="C818" s="553">
        <v>44257</v>
      </c>
      <c r="D818" s="281" t="s">
        <v>4431</v>
      </c>
      <c r="E818" s="281" t="s">
        <v>3506</v>
      </c>
      <c r="F818" s="281">
        <v>4</v>
      </c>
      <c r="G818" s="28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2">
        <v>15000</v>
      </c>
      <c r="O818" t="s">
        <v>970</v>
      </c>
    </row>
    <row r="819" spans="1:15">
      <c r="A819" t="s">
        <v>942</v>
      </c>
      <c r="B819" t="s">
        <v>946</v>
      </c>
      <c r="C819" s="553">
        <v>44257</v>
      </c>
      <c r="D819" s="281" t="s">
        <v>4431</v>
      </c>
      <c r="E819" s="281" t="s">
        <v>3506</v>
      </c>
      <c r="F819" s="281">
        <v>5</v>
      </c>
      <c r="G819" s="28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2">
        <v>5000</v>
      </c>
      <c r="O819" t="s">
        <v>973</v>
      </c>
    </row>
    <row r="820" spans="1:15">
      <c r="A820" t="s">
        <v>942</v>
      </c>
      <c r="B820" t="s">
        <v>946</v>
      </c>
      <c r="C820" s="553">
        <v>44257</v>
      </c>
      <c r="D820" s="281" t="s">
        <v>4431</v>
      </c>
      <c r="E820" s="281" t="s">
        <v>3506</v>
      </c>
      <c r="F820" s="281">
        <v>5</v>
      </c>
      <c r="G820" s="28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2">
        <v>5000</v>
      </c>
      <c r="O820" t="s">
        <v>973</v>
      </c>
    </row>
    <row r="821" spans="1:15">
      <c r="A821" t="s">
        <v>942</v>
      </c>
      <c r="B821" t="s">
        <v>946</v>
      </c>
      <c r="C821" s="553">
        <v>44257</v>
      </c>
      <c r="D821" s="281" t="s">
        <v>4431</v>
      </c>
      <c r="E821" s="281" t="s">
        <v>3506</v>
      </c>
      <c r="F821" s="281">
        <v>3</v>
      </c>
      <c r="G821" s="28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2">
        <v>10000</v>
      </c>
      <c r="O821" t="s">
        <v>967</v>
      </c>
    </row>
    <row r="822" spans="1:15">
      <c r="A822" t="s">
        <v>942</v>
      </c>
      <c r="B822" t="s">
        <v>946</v>
      </c>
      <c r="C822" s="553">
        <v>44257</v>
      </c>
      <c r="D822" s="281" t="s">
        <v>4431</v>
      </c>
      <c r="E822" s="281" t="s">
        <v>3506</v>
      </c>
      <c r="F822" s="281">
        <v>3</v>
      </c>
      <c r="G822" s="28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2">
        <v>10000</v>
      </c>
      <c r="O822" t="s">
        <v>967</v>
      </c>
    </row>
    <row r="823" spans="1:15">
      <c r="A823" t="s">
        <v>942</v>
      </c>
      <c r="B823" t="s">
        <v>946</v>
      </c>
      <c r="C823" s="553">
        <v>44257</v>
      </c>
      <c r="D823" s="281" t="s">
        <v>4432</v>
      </c>
      <c r="E823" s="281" t="s">
        <v>3486</v>
      </c>
      <c r="F823" s="281">
        <v>1</v>
      </c>
      <c r="G823" s="28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2">
        <v>64106</v>
      </c>
      <c r="O823" t="s">
        <v>961</v>
      </c>
    </row>
    <row r="824" spans="1:15">
      <c r="A824" t="s">
        <v>942</v>
      </c>
      <c r="B824" t="s">
        <v>946</v>
      </c>
      <c r="C824" s="553">
        <v>44257</v>
      </c>
      <c r="D824" s="281" t="s">
        <v>4433</v>
      </c>
      <c r="E824" s="281" t="s">
        <v>3509</v>
      </c>
      <c r="F824" s="281">
        <v>14</v>
      </c>
      <c r="G824" s="28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2">
        <v>16332.5</v>
      </c>
      <c r="O824" t="s">
        <v>1221</v>
      </c>
    </row>
    <row r="825" spans="1:15">
      <c r="A825" t="s">
        <v>942</v>
      </c>
      <c r="B825" t="s">
        <v>946</v>
      </c>
      <c r="C825" s="553">
        <v>44257</v>
      </c>
      <c r="D825" s="281" t="s">
        <v>4434</v>
      </c>
      <c r="E825" s="281" t="s">
        <v>3549</v>
      </c>
      <c r="F825" s="281">
        <v>7</v>
      </c>
      <c r="G825" s="28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2">
        <v>9900</v>
      </c>
      <c r="O825" t="s">
        <v>979</v>
      </c>
    </row>
    <row r="826" spans="1:15">
      <c r="A826" t="s">
        <v>942</v>
      </c>
      <c r="B826" t="s">
        <v>946</v>
      </c>
      <c r="C826" s="553">
        <v>44257</v>
      </c>
      <c r="D826" s="281" t="s">
        <v>4435</v>
      </c>
      <c r="E826" s="281" t="s">
        <v>3513</v>
      </c>
      <c r="F826" s="281">
        <v>1</v>
      </c>
      <c r="G826" s="28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2">
        <v>6617.76</v>
      </c>
      <c r="O826" t="s">
        <v>961</v>
      </c>
    </row>
    <row r="827" spans="1:15">
      <c r="A827" t="s">
        <v>942</v>
      </c>
      <c r="B827" t="s">
        <v>946</v>
      </c>
      <c r="C827" s="553">
        <v>44257</v>
      </c>
      <c r="D827" s="281" t="s">
        <v>4436</v>
      </c>
      <c r="E827" s="281" t="s">
        <v>3516</v>
      </c>
      <c r="F827" s="281">
        <v>1</v>
      </c>
      <c r="G827" s="28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2">
        <v>2179.06</v>
      </c>
      <c r="O827" t="s">
        <v>961</v>
      </c>
    </row>
    <row r="828" spans="1:15">
      <c r="A828" t="s">
        <v>942</v>
      </c>
      <c r="B828" t="s">
        <v>946</v>
      </c>
      <c r="C828" s="553">
        <v>44257</v>
      </c>
      <c r="D828" s="281" t="s">
        <v>4437</v>
      </c>
      <c r="E828" s="281" t="s">
        <v>3520</v>
      </c>
      <c r="F828" s="281">
        <v>3</v>
      </c>
      <c r="G828" s="28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2">
        <v>3075</v>
      </c>
      <c r="O828" t="s">
        <v>968</v>
      </c>
    </row>
    <row r="829" spans="1:15">
      <c r="A829" t="s">
        <v>942</v>
      </c>
      <c r="B829" t="s">
        <v>946</v>
      </c>
      <c r="C829" s="553">
        <v>44257</v>
      </c>
      <c r="D829" s="281" t="s">
        <v>4438</v>
      </c>
      <c r="E829" s="281" t="s">
        <v>3524</v>
      </c>
      <c r="F829" s="281">
        <v>3</v>
      </c>
      <c r="G829" s="28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2">
        <v>3048</v>
      </c>
      <c r="O829" t="s">
        <v>968</v>
      </c>
    </row>
    <row r="830" spans="1:15">
      <c r="A830" t="s">
        <v>942</v>
      </c>
      <c r="B830" t="s">
        <v>946</v>
      </c>
      <c r="C830" s="553">
        <v>44257</v>
      </c>
      <c r="D830" s="281" t="s">
        <v>4439</v>
      </c>
      <c r="E830" s="281" t="s">
        <v>4242</v>
      </c>
      <c r="F830" s="281">
        <v>1</v>
      </c>
      <c r="G830" s="28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2">
        <v>0</v>
      </c>
      <c r="O830" t="s">
        <v>961</v>
      </c>
    </row>
    <row r="831" spans="1:15">
      <c r="A831" t="s">
        <v>942</v>
      </c>
      <c r="B831" t="s">
        <v>946</v>
      </c>
      <c r="C831" s="553">
        <v>44257</v>
      </c>
      <c r="D831" s="281" t="s">
        <v>4439</v>
      </c>
      <c r="E831" s="281" t="s">
        <v>4242</v>
      </c>
      <c r="F831" s="281">
        <v>8</v>
      </c>
      <c r="G831" s="28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2">
        <v>0</v>
      </c>
      <c r="O831" t="s">
        <v>980</v>
      </c>
    </row>
    <row r="832" spans="1:15">
      <c r="A832" t="s">
        <v>942</v>
      </c>
      <c r="B832" t="s">
        <v>946</v>
      </c>
      <c r="C832" s="553">
        <v>44257</v>
      </c>
      <c r="D832" s="281" t="s">
        <v>4440</v>
      </c>
      <c r="E832" s="281" t="s">
        <v>3527</v>
      </c>
      <c r="F832" s="281">
        <v>1</v>
      </c>
      <c r="G832" s="28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2">
        <v>1080</v>
      </c>
      <c r="O832" t="s">
        <v>961</v>
      </c>
    </row>
    <row r="833" spans="1:15">
      <c r="A833" t="s">
        <v>942</v>
      </c>
      <c r="B833" t="s">
        <v>946</v>
      </c>
      <c r="C833" s="553">
        <v>44257</v>
      </c>
      <c r="D833" s="281" t="s">
        <v>4441</v>
      </c>
      <c r="E833" s="281" t="s">
        <v>3530</v>
      </c>
      <c r="F833" s="281">
        <v>1</v>
      </c>
      <c r="G833" s="28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2">
        <v>8800</v>
      </c>
      <c r="O833" t="s">
        <v>961</v>
      </c>
    </row>
    <row r="834" spans="1:15">
      <c r="A834" t="s">
        <v>942</v>
      </c>
      <c r="B834" t="s">
        <v>946</v>
      </c>
      <c r="C834" s="553">
        <v>44257</v>
      </c>
      <c r="D834" s="281" t="s">
        <v>4442</v>
      </c>
      <c r="E834" s="281" t="s">
        <v>3534</v>
      </c>
      <c r="F834" s="281">
        <v>1</v>
      </c>
      <c r="G834" s="28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2">
        <v>15000</v>
      </c>
      <c r="O834" t="s">
        <v>960</v>
      </c>
    </row>
    <row r="835" spans="1:15">
      <c r="A835" t="s">
        <v>942</v>
      </c>
      <c r="B835" t="s">
        <v>946</v>
      </c>
      <c r="C835" s="553">
        <v>44257</v>
      </c>
      <c r="D835" s="281" t="s">
        <v>4442</v>
      </c>
      <c r="E835" s="281" t="s">
        <v>3534</v>
      </c>
      <c r="F835" s="281">
        <v>1</v>
      </c>
      <c r="G835" s="28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2">
        <v>14318.18</v>
      </c>
      <c r="O835" t="s">
        <v>960</v>
      </c>
    </row>
    <row r="836" spans="1:15">
      <c r="A836" t="s">
        <v>942</v>
      </c>
      <c r="B836" t="s">
        <v>946</v>
      </c>
      <c r="C836" s="553">
        <v>44257</v>
      </c>
      <c r="D836" s="281" t="s">
        <v>4443</v>
      </c>
      <c r="E836" s="281" t="s">
        <v>3537</v>
      </c>
      <c r="F836" s="281">
        <v>1</v>
      </c>
      <c r="G836" s="28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2">
        <v>9565</v>
      </c>
      <c r="O836" t="s">
        <v>961</v>
      </c>
    </row>
    <row r="837" spans="1:15">
      <c r="A837" t="s">
        <v>942</v>
      </c>
      <c r="B837" t="s">
        <v>946</v>
      </c>
      <c r="C837" s="553">
        <v>44257</v>
      </c>
      <c r="D837" s="281" t="s">
        <v>4444</v>
      </c>
      <c r="E837" s="281" t="s">
        <v>3541</v>
      </c>
      <c r="F837" s="281">
        <v>1</v>
      </c>
      <c r="G837" s="28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2">
        <v>1560</v>
      </c>
      <c r="O837" t="s">
        <v>961</v>
      </c>
    </row>
    <row r="838" spans="1:15">
      <c r="A838" t="s">
        <v>942</v>
      </c>
      <c r="B838" t="s">
        <v>946</v>
      </c>
      <c r="C838" s="553">
        <v>44257</v>
      </c>
      <c r="D838" s="281" t="s">
        <v>4445</v>
      </c>
      <c r="E838" s="281" t="s">
        <v>3543</v>
      </c>
      <c r="F838" s="281">
        <v>1</v>
      </c>
      <c r="G838" s="28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2">
        <v>17820</v>
      </c>
      <c r="O838" t="s">
        <v>961</v>
      </c>
    </row>
    <row r="839" spans="1:15">
      <c r="A839" t="s">
        <v>942</v>
      </c>
      <c r="B839" t="s">
        <v>946</v>
      </c>
      <c r="C839" s="553">
        <v>44257</v>
      </c>
      <c r="D839" s="281" t="s">
        <v>4446</v>
      </c>
      <c r="E839" s="281" t="s">
        <v>3545</v>
      </c>
      <c r="F839" s="281">
        <v>8</v>
      </c>
      <c r="G839" s="28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2">
        <v>11547.23</v>
      </c>
      <c r="O839" t="s">
        <v>980</v>
      </c>
    </row>
    <row r="840" spans="1:15">
      <c r="A840" t="s">
        <v>942</v>
      </c>
      <c r="B840" t="s">
        <v>946</v>
      </c>
      <c r="C840" s="553">
        <v>44257</v>
      </c>
      <c r="D840" s="281" t="s">
        <v>4447</v>
      </c>
      <c r="E840" s="281" t="s">
        <v>3553</v>
      </c>
      <c r="F840" s="281">
        <v>1</v>
      </c>
      <c r="G840" s="28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2">
        <v>1840</v>
      </c>
      <c r="O840" t="s">
        <v>961</v>
      </c>
    </row>
    <row r="841" spans="1:15">
      <c r="A841" t="s">
        <v>942</v>
      </c>
      <c r="B841" t="s">
        <v>946</v>
      </c>
      <c r="C841" s="553">
        <v>44257</v>
      </c>
      <c r="D841" s="281" t="s">
        <v>4448</v>
      </c>
      <c r="E841" s="281" t="s">
        <v>3556</v>
      </c>
      <c r="F841" s="281">
        <v>4</v>
      </c>
      <c r="G841" s="28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2">
        <v>17500</v>
      </c>
      <c r="O841" t="s">
        <v>971</v>
      </c>
    </row>
    <row r="842" spans="1:15">
      <c r="A842" t="s">
        <v>942</v>
      </c>
      <c r="B842" t="s">
        <v>946</v>
      </c>
      <c r="C842" s="553">
        <v>44257</v>
      </c>
      <c r="D842" s="281" t="s">
        <v>4449</v>
      </c>
      <c r="E842" s="281" t="s">
        <v>3560</v>
      </c>
      <c r="F842" s="281">
        <v>9</v>
      </c>
      <c r="G842" s="28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2">
        <v>1800</v>
      </c>
      <c r="O842" t="s">
        <v>982</v>
      </c>
    </row>
    <row r="843" spans="1:15">
      <c r="A843" t="s">
        <v>942</v>
      </c>
      <c r="B843" t="s">
        <v>946</v>
      </c>
      <c r="C843" s="553">
        <v>44257</v>
      </c>
      <c r="D843" s="281" t="s">
        <v>4450</v>
      </c>
      <c r="E843" s="281" t="s">
        <v>3564</v>
      </c>
      <c r="F843" s="281">
        <v>4</v>
      </c>
      <c r="G843" s="28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2">
        <v>20626.73</v>
      </c>
      <c r="O843" t="s">
        <v>971</v>
      </c>
    </row>
    <row r="844" spans="1:15">
      <c r="A844" t="s">
        <v>942</v>
      </c>
      <c r="B844" t="s">
        <v>946</v>
      </c>
      <c r="C844" s="553">
        <v>44257</v>
      </c>
      <c r="D844" s="281" t="s">
        <v>4451</v>
      </c>
      <c r="E844" s="281" t="s">
        <v>3568</v>
      </c>
      <c r="F844" s="281">
        <v>14</v>
      </c>
      <c r="G844" s="28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2">
        <v>16308.47</v>
      </c>
      <c r="O844" t="s">
        <v>1221</v>
      </c>
    </row>
    <row r="845" spans="1:15">
      <c r="A845" t="s">
        <v>942</v>
      </c>
      <c r="B845" t="s">
        <v>946</v>
      </c>
      <c r="C845" s="553">
        <v>44257</v>
      </c>
      <c r="D845" s="281" t="s">
        <v>4452</v>
      </c>
      <c r="E845" s="281" t="s">
        <v>3572</v>
      </c>
      <c r="F845" s="281">
        <v>1</v>
      </c>
      <c r="G845" s="28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2">
        <v>7200</v>
      </c>
      <c r="O845" t="s">
        <v>961</v>
      </c>
    </row>
    <row r="846" spans="1:15">
      <c r="A846" t="s">
        <v>942</v>
      </c>
      <c r="B846" t="s">
        <v>946</v>
      </c>
      <c r="C846" s="553">
        <v>44263</v>
      </c>
      <c r="D846" s="281" t="s">
        <v>4453</v>
      </c>
      <c r="E846" s="281" t="s">
        <v>3576</v>
      </c>
      <c r="F846" s="281">
        <v>7</v>
      </c>
      <c r="G846" s="28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2">
        <v>12900</v>
      </c>
      <c r="O846" t="s">
        <v>979</v>
      </c>
    </row>
    <row r="847" spans="1:15">
      <c r="A847" t="s">
        <v>942</v>
      </c>
      <c r="B847" t="s">
        <v>946</v>
      </c>
      <c r="C847" s="553">
        <v>44263</v>
      </c>
      <c r="D847" s="281" t="s">
        <v>4454</v>
      </c>
      <c r="E847" s="281" t="s">
        <v>3579</v>
      </c>
      <c r="F847" s="281">
        <v>1</v>
      </c>
      <c r="G847" s="28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2">
        <v>4950</v>
      </c>
      <c r="O847" t="s">
        <v>961</v>
      </c>
    </row>
    <row r="848" spans="1:15">
      <c r="A848" t="s">
        <v>942</v>
      </c>
      <c r="B848" t="s">
        <v>946</v>
      </c>
      <c r="C848" s="553">
        <v>44263</v>
      </c>
      <c r="D848" s="281" t="s">
        <v>4455</v>
      </c>
      <c r="E848" s="281" t="s">
        <v>3582</v>
      </c>
      <c r="F848" s="281">
        <v>3</v>
      </c>
      <c r="G848" s="28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2">
        <v>7830</v>
      </c>
      <c r="O848" t="s">
        <v>968</v>
      </c>
    </row>
    <row r="849" spans="1:15">
      <c r="A849" t="s">
        <v>942</v>
      </c>
      <c r="B849" t="s">
        <v>946</v>
      </c>
      <c r="C849" s="553">
        <v>44263</v>
      </c>
      <c r="D849" s="281" t="s">
        <v>4456</v>
      </c>
      <c r="E849" s="281" t="s">
        <v>3585</v>
      </c>
      <c r="F849" s="281">
        <v>1</v>
      </c>
      <c r="G849" s="28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2">
        <v>27000</v>
      </c>
      <c r="O849" t="s">
        <v>961</v>
      </c>
    </row>
    <row r="850" spans="1:15">
      <c r="A850" t="s">
        <v>942</v>
      </c>
      <c r="B850" t="s">
        <v>946</v>
      </c>
      <c r="C850" s="553">
        <v>44263</v>
      </c>
      <c r="D850" s="281" t="s">
        <v>4457</v>
      </c>
      <c r="E850" s="281" t="s">
        <v>3591</v>
      </c>
      <c r="F850" s="281">
        <v>3</v>
      </c>
      <c r="G850" s="28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2">
        <v>3400</v>
      </c>
      <c r="O850" t="s">
        <v>968</v>
      </c>
    </row>
    <row r="851" spans="1:15">
      <c r="A851" t="s">
        <v>942</v>
      </c>
      <c r="B851" t="s">
        <v>946</v>
      </c>
      <c r="C851" s="553">
        <v>44263</v>
      </c>
      <c r="D851" s="281" t="s">
        <v>4458</v>
      </c>
      <c r="E851" s="281" t="s">
        <v>3661</v>
      </c>
      <c r="F851" s="281">
        <v>3</v>
      </c>
      <c r="G851" s="28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2">
        <v>1800</v>
      </c>
      <c r="O851" t="s">
        <v>968</v>
      </c>
    </row>
    <row r="852" spans="1:15">
      <c r="A852" t="s">
        <v>942</v>
      </c>
      <c r="B852" t="s">
        <v>946</v>
      </c>
      <c r="C852" s="553">
        <v>44263</v>
      </c>
      <c r="D852" s="281" t="s">
        <v>4459</v>
      </c>
      <c r="E852" s="281" t="s">
        <v>3658</v>
      </c>
      <c r="F852" s="281">
        <v>4</v>
      </c>
      <c r="G852" s="28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2">
        <v>39600</v>
      </c>
      <c r="O852" t="s">
        <v>971</v>
      </c>
    </row>
    <row r="853" spans="1:15">
      <c r="A853" t="s">
        <v>942</v>
      </c>
      <c r="B853" t="s">
        <v>946</v>
      </c>
      <c r="C853" s="553">
        <v>44263</v>
      </c>
      <c r="D853" s="281" t="s">
        <v>4460</v>
      </c>
      <c r="E853" s="281" t="s">
        <v>3597</v>
      </c>
      <c r="F853" s="281">
        <v>1</v>
      </c>
      <c r="G853" s="28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2">
        <v>5600</v>
      </c>
      <c r="O853" t="s">
        <v>961</v>
      </c>
    </row>
    <row r="854" spans="1:15">
      <c r="A854" t="s">
        <v>942</v>
      </c>
      <c r="B854" t="s">
        <v>946</v>
      </c>
      <c r="C854" s="553">
        <v>44263</v>
      </c>
      <c r="D854" s="281" t="s">
        <v>4461</v>
      </c>
      <c r="E854" s="281" t="s">
        <v>3410</v>
      </c>
      <c r="F854" s="281">
        <v>1</v>
      </c>
      <c r="G854" s="28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2">
        <v>4032</v>
      </c>
      <c r="O854" t="s">
        <v>961</v>
      </c>
    </row>
    <row r="855" spans="1:15">
      <c r="A855" t="s">
        <v>942</v>
      </c>
      <c r="B855" t="s">
        <v>946</v>
      </c>
      <c r="C855" s="553">
        <v>44263</v>
      </c>
      <c r="D855" s="281" t="s">
        <v>4462</v>
      </c>
      <c r="E855" s="281" t="s">
        <v>3601</v>
      </c>
      <c r="F855" s="281">
        <v>1</v>
      </c>
      <c r="G855" s="28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2">
        <v>15526.48</v>
      </c>
      <c r="O855" t="s">
        <v>961</v>
      </c>
    </row>
    <row r="856" spans="1:15">
      <c r="A856" t="s">
        <v>942</v>
      </c>
      <c r="B856" t="s">
        <v>946</v>
      </c>
      <c r="C856" s="553">
        <v>44263</v>
      </c>
      <c r="D856" s="281" t="s">
        <v>4462</v>
      </c>
      <c r="E856" s="281" t="s">
        <v>3601</v>
      </c>
      <c r="F856" s="281">
        <v>4</v>
      </c>
      <c r="G856" s="28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2">
        <v>5475.35</v>
      </c>
      <c r="O856" t="s">
        <v>971</v>
      </c>
    </row>
    <row r="857" spans="1:15">
      <c r="A857" t="s">
        <v>942</v>
      </c>
      <c r="B857" t="s">
        <v>946</v>
      </c>
      <c r="C857" s="553">
        <v>44263</v>
      </c>
      <c r="D857" s="281" t="s">
        <v>4462</v>
      </c>
      <c r="E857" s="281" t="s">
        <v>3601</v>
      </c>
      <c r="F857" s="281">
        <v>3</v>
      </c>
      <c r="G857" s="28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2">
        <v>1369.22</v>
      </c>
      <c r="O857" t="s">
        <v>968</v>
      </c>
    </row>
    <row r="858" spans="1:15">
      <c r="A858" t="s">
        <v>942</v>
      </c>
      <c r="B858" t="s">
        <v>946</v>
      </c>
      <c r="C858" s="553">
        <v>44263</v>
      </c>
      <c r="D858" s="281" t="s">
        <v>4462</v>
      </c>
      <c r="E858" s="281" t="s">
        <v>3601</v>
      </c>
      <c r="F858" s="281">
        <v>7</v>
      </c>
      <c r="G858" s="28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2">
        <v>511.18</v>
      </c>
      <c r="O858" t="s">
        <v>979</v>
      </c>
    </row>
    <row r="859" spans="1:15">
      <c r="A859" t="s">
        <v>942</v>
      </c>
      <c r="B859" t="s">
        <v>946</v>
      </c>
      <c r="C859" s="553">
        <v>44263</v>
      </c>
      <c r="D859" s="281" t="s">
        <v>4463</v>
      </c>
      <c r="E859" s="281" t="s">
        <v>3604</v>
      </c>
      <c r="F859" s="281">
        <v>1</v>
      </c>
      <c r="G859" s="28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2">
        <v>2275</v>
      </c>
      <c r="O859" t="s">
        <v>961</v>
      </c>
    </row>
    <row r="860" spans="1:15">
      <c r="A860" t="s">
        <v>942</v>
      </c>
      <c r="B860" t="s">
        <v>946</v>
      </c>
      <c r="C860" s="553">
        <v>44263</v>
      </c>
      <c r="D860" s="281" t="s">
        <v>4464</v>
      </c>
      <c r="E860" s="281" t="s">
        <v>3608</v>
      </c>
      <c r="F860" s="281">
        <v>1</v>
      </c>
      <c r="G860" s="28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2">
        <v>6323</v>
      </c>
      <c r="O860" t="s">
        <v>961</v>
      </c>
    </row>
    <row r="861" spans="1:15">
      <c r="A861" t="s">
        <v>942</v>
      </c>
      <c r="B861" t="s">
        <v>946</v>
      </c>
      <c r="C861" s="553">
        <v>44263</v>
      </c>
      <c r="D861" s="281" t="s">
        <v>4465</v>
      </c>
      <c r="E861" s="281" t="s">
        <v>3612</v>
      </c>
      <c r="F861" s="281">
        <v>1</v>
      </c>
      <c r="G861" s="28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2">
        <v>1242</v>
      </c>
      <c r="O861" t="s">
        <v>961</v>
      </c>
    </row>
    <row r="862" spans="1:15">
      <c r="A862" t="s">
        <v>942</v>
      </c>
      <c r="B862" t="s">
        <v>946</v>
      </c>
      <c r="C862" s="553">
        <v>44263</v>
      </c>
      <c r="D862" s="281" t="s">
        <v>4466</v>
      </c>
      <c r="E862" s="281" t="s">
        <v>3616</v>
      </c>
      <c r="F862" s="281">
        <v>3</v>
      </c>
      <c r="G862" s="28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2">
        <v>150501.47</v>
      </c>
      <c r="O862" t="s">
        <v>968</v>
      </c>
    </row>
    <row r="863" spans="1:15">
      <c r="A863" t="s">
        <v>942</v>
      </c>
      <c r="B863" t="s">
        <v>946</v>
      </c>
      <c r="C863" s="553">
        <v>44263</v>
      </c>
      <c r="D863" s="281" t="s">
        <v>4466</v>
      </c>
      <c r="E863" s="281" t="s">
        <v>3616</v>
      </c>
      <c r="F863" s="281">
        <v>8</v>
      </c>
      <c r="G863" s="28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2">
        <v>20000</v>
      </c>
      <c r="O863" t="s">
        <v>980</v>
      </c>
    </row>
    <row r="864" spans="1:15">
      <c r="A864" t="s">
        <v>942</v>
      </c>
      <c r="B864" t="s">
        <v>946</v>
      </c>
      <c r="C864" s="553">
        <v>44265</v>
      </c>
      <c r="D864" s="281" t="s">
        <v>4467</v>
      </c>
      <c r="E864" s="281" t="s">
        <v>3664</v>
      </c>
      <c r="F864" s="281">
        <v>1</v>
      </c>
      <c r="G864" s="28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2">
        <v>7635</v>
      </c>
      <c r="O864" t="s">
        <v>961</v>
      </c>
    </row>
    <row r="865" spans="1:15">
      <c r="A865" t="s">
        <v>942</v>
      </c>
      <c r="B865" t="s">
        <v>946</v>
      </c>
      <c r="C865" s="553">
        <v>44265</v>
      </c>
      <c r="D865" s="281" t="s">
        <v>4468</v>
      </c>
      <c r="E865" s="281" t="s">
        <v>3622</v>
      </c>
      <c r="F865" s="281">
        <v>1</v>
      </c>
      <c r="G865" s="28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2">
        <v>97270</v>
      </c>
      <c r="O865" t="s">
        <v>960</v>
      </c>
    </row>
    <row r="866" spans="1:15">
      <c r="A866" t="s">
        <v>942</v>
      </c>
      <c r="B866" t="s">
        <v>946</v>
      </c>
      <c r="C866" s="553">
        <v>44265</v>
      </c>
      <c r="D866" s="281" t="s">
        <v>4468</v>
      </c>
      <c r="E866" s="281" t="s">
        <v>3622</v>
      </c>
      <c r="F866" s="281">
        <v>1</v>
      </c>
      <c r="G866" s="28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2">
        <v>8000</v>
      </c>
      <c r="O866" t="s">
        <v>960</v>
      </c>
    </row>
    <row r="867" spans="1:15">
      <c r="A867" t="s">
        <v>942</v>
      </c>
      <c r="B867" t="s">
        <v>946</v>
      </c>
      <c r="C867" s="553">
        <v>44265</v>
      </c>
      <c r="D867" s="281" t="s">
        <v>4468</v>
      </c>
      <c r="E867" s="281" t="s">
        <v>3622</v>
      </c>
      <c r="F867" s="281">
        <v>1</v>
      </c>
      <c r="G867" s="28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2">
        <v>11672.4</v>
      </c>
      <c r="O867" t="s">
        <v>962</v>
      </c>
    </row>
    <row r="868" spans="1:15">
      <c r="A868" t="s">
        <v>942</v>
      </c>
      <c r="B868" t="s">
        <v>946</v>
      </c>
      <c r="C868" s="553">
        <v>44265</v>
      </c>
      <c r="D868" s="281" t="s">
        <v>4468</v>
      </c>
      <c r="E868" s="281" t="s">
        <v>3622</v>
      </c>
      <c r="F868" s="281">
        <v>1</v>
      </c>
      <c r="G868" s="28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2">
        <v>400</v>
      </c>
      <c r="O868" t="s">
        <v>960</v>
      </c>
    </row>
    <row r="869" spans="1:15">
      <c r="A869" t="s">
        <v>942</v>
      </c>
      <c r="B869" t="s">
        <v>946</v>
      </c>
      <c r="C869" s="553">
        <v>44265</v>
      </c>
      <c r="D869" s="281" t="s">
        <v>4468</v>
      </c>
      <c r="E869" s="281" t="s">
        <v>3622</v>
      </c>
      <c r="F869" s="281">
        <v>1</v>
      </c>
      <c r="G869" s="28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2">
        <v>1450.46</v>
      </c>
      <c r="O869" t="s">
        <v>960</v>
      </c>
    </row>
    <row r="870" spans="1:15">
      <c r="A870" t="s">
        <v>942</v>
      </c>
      <c r="B870" t="s">
        <v>946</v>
      </c>
      <c r="C870" s="553">
        <v>44265</v>
      </c>
      <c r="D870" s="281" t="s">
        <v>4468</v>
      </c>
      <c r="E870" s="281" t="s">
        <v>3622</v>
      </c>
      <c r="F870" s="281">
        <v>1</v>
      </c>
      <c r="G870" s="28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2">
        <v>400</v>
      </c>
      <c r="O870" t="s">
        <v>960</v>
      </c>
    </row>
    <row r="871" spans="1:15">
      <c r="A871" t="s">
        <v>942</v>
      </c>
      <c r="B871" t="s">
        <v>946</v>
      </c>
      <c r="C871" s="553">
        <v>44265</v>
      </c>
      <c r="D871" s="281" t="s">
        <v>4468</v>
      </c>
      <c r="E871" s="281" t="s">
        <v>3622</v>
      </c>
      <c r="F871" s="281">
        <v>2</v>
      </c>
      <c r="G871" s="28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2">
        <v>44184</v>
      </c>
      <c r="O871" t="s">
        <v>964</v>
      </c>
    </row>
    <row r="872" spans="1:15">
      <c r="A872" t="s">
        <v>942</v>
      </c>
      <c r="B872" t="s">
        <v>946</v>
      </c>
      <c r="C872" s="553">
        <v>44265</v>
      </c>
      <c r="D872" s="281" t="s">
        <v>4468</v>
      </c>
      <c r="E872" s="281" t="s">
        <v>3622</v>
      </c>
      <c r="F872" s="281">
        <v>2</v>
      </c>
      <c r="G872" s="28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2">
        <v>2000</v>
      </c>
      <c r="O872" t="s">
        <v>964</v>
      </c>
    </row>
    <row r="873" spans="1:15">
      <c r="A873" t="s">
        <v>942</v>
      </c>
      <c r="B873" t="s">
        <v>946</v>
      </c>
      <c r="C873" s="553">
        <v>44265</v>
      </c>
      <c r="D873" s="281" t="s">
        <v>4468</v>
      </c>
      <c r="E873" s="281" t="s">
        <v>3622</v>
      </c>
      <c r="F873" s="281">
        <v>2</v>
      </c>
      <c r="G873" s="28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2">
        <v>5302.08</v>
      </c>
      <c r="O873" t="s">
        <v>966</v>
      </c>
    </row>
    <row r="874" spans="1:15">
      <c r="A874" t="s">
        <v>942</v>
      </c>
      <c r="B874" t="s">
        <v>946</v>
      </c>
      <c r="C874" s="553">
        <v>44265</v>
      </c>
      <c r="D874" s="281" t="s">
        <v>4468</v>
      </c>
      <c r="E874" s="281" t="s">
        <v>3622</v>
      </c>
      <c r="F874" s="281">
        <v>2</v>
      </c>
      <c r="G874" s="28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2">
        <v>100</v>
      </c>
      <c r="O874" t="s">
        <v>964</v>
      </c>
    </row>
    <row r="875" spans="1:15">
      <c r="A875" t="s">
        <v>942</v>
      </c>
      <c r="B875" t="s">
        <v>946</v>
      </c>
      <c r="C875" s="553">
        <v>44265</v>
      </c>
      <c r="D875" s="281" t="s">
        <v>4468</v>
      </c>
      <c r="E875" s="281" t="s">
        <v>3622</v>
      </c>
      <c r="F875" s="281">
        <v>2</v>
      </c>
      <c r="G875" s="28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2">
        <v>662.76</v>
      </c>
      <c r="O875" t="s">
        <v>964</v>
      </c>
    </row>
    <row r="876" spans="1:15">
      <c r="A876" t="s">
        <v>942</v>
      </c>
      <c r="B876" t="s">
        <v>946</v>
      </c>
      <c r="C876" s="553">
        <v>44265</v>
      </c>
      <c r="D876" s="281" t="s">
        <v>4468</v>
      </c>
      <c r="E876" s="281" t="s">
        <v>3622</v>
      </c>
      <c r="F876" s="281">
        <v>2</v>
      </c>
      <c r="G876" s="28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2">
        <v>100</v>
      </c>
      <c r="O876" t="s">
        <v>964</v>
      </c>
    </row>
    <row r="877" spans="1:15">
      <c r="A877" t="s">
        <v>942</v>
      </c>
      <c r="B877" t="s">
        <v>946</v>
      </c>
      <c r="C877" s="553">
        <v>44265</v>
      </c>
      <c r="D877" s="281" t="s">
        <v>4468</v>
      </c>
      <c r="E877" s="281" t="s">
        <v>3622</v>
      </c>
      <c r="F877" s="281">
        <v>4</v>
      </c>
      <c r="G877" s="28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2">
        <v>67911</v>
      </c>
      <c r="O877" t="s">
        <v>970</v>
      </c>
    </row>
    <row r="878" spans="1:15">
      <c r="A878" t="s">
        <v>942</v>
      </c>
      <c r="B878" t="s">
        <v>946</v>
      </c>
      <c r="C878" s="553">
        <v>44265</v>
      </c>
      <c r="D878" s="281" t="s">
        <v>4468</v>
      </c>
      <c r="E878" s="281" t="s">
        <v>3622</v>
      </c>
      <c r="F878" s="281">
        <v>4</v>
      </c>
      <c r="G878" s="28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2">
        <v>4000</v>
      </c>
      <c r="O878" t="s">
        <v>970</v>
      </c>
    </row>
    <row r="879" spans="1:15">
      <c r="A879" t="s">
        <v>942</v>
      </c>
      <c r="B879" t="s">
        <v>946</v>
      </c>
      <c r="C879" s="553">
        <v>44265</v>
      </c>
      <c r="D879" s="281" t="s">
        <v>4468</v>
      </c>
      <c r="E879" s="281" t="s">
        <v>3622</v>
      </c>
      <c r="F879" s="281">
        <v>4</v>
      </c>
      <c r="G879" s="28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2">
        <v>8149.32</v>
      </c>
      <c r="O879" t="s">
        <v>972</v>
      </c>
    </row>
    <row r="880" spans="1:15">
      <c r="A880" t="s">
        <v>942</v>
      </c>
      <c r="B880" t="s">
        <v>946</v>
      </c>
      <c r="C880" s="553">
        <v>44265</v>
      </c>
      <c r="D880" s="281" t="s">
        <v>4468</v>
      </c>
      <c r="E880" s="281" t="s">
        <v>3622</v>
      </c>
      <c r="F880" s="281">
        <v>4</v>
      </c>
      <c r="G880" s="28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2">
        <v>200</v>
      </c>
      <c r="O880" t="s">
        <v>970</v>
      </c>
    </row>
    <row r="881" spans="1:15">
      <c r="A881" t="s">
        <v>942</v>
      </c>
      <c r="B881" t="s">
        <v>946</v>
      </c>
      <c r="C881" s="553">
        <v>44265</v>
      </c>
      <c r="D881" s="281" t="s">
        <v>4468</v>
      </c>
      <c r="E881" s="281" t="s">
        <v>3622</v>
      </c>
      <c r="F881" s="281">
        <v>4</v>
      </c>
      <c r="G881" s="28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2">
        <v>1018.67</v>
      </c>
      <c r="O881" t="s">
        <v>970</v>
      </c>
    </row>
    <row r="882" spans="1:15">
      <c r="A882" t="s">
        <v>942</v>
      </c>
      <c r="B882" t="s">
        <v>946</v>
      </c>
      <c r="C882" s="553">
        <v>44265</v>
      </c>
      <c r="D882" s="281" t="s">
        <v>4468</v>
      </c>
      <c r="E882" s="281" t="s">
        <v>3622</v>
      </c>
      <c r="F882" s="281">
        <v>4</v>
      </c>
      <c r="G882" s="28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2">
        <v>200</v>
      </c>
      <c r="O882" t="s">
        <v>970</v>
      </c>
    </row>
    <row r="883" spans="1:15">
      <c r="A883" t="s">
        <v>942</v>
      </c>
      <c r="B883" t="s">
        <v>946</v>
      </c>
      <c r="C883" s="553">
        <v>44265</v>
      </c>
      <c r="D883" s="281" t="s">
        <v>4468</v>
      </c>
      <c r="E883" s="281" t="s">
        <v>3622</v>
      </c>
      <c r="F883" s="281">
        <v>5</v>
      </c>
      <c r="G883" s="28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2">
        <v>149727</v>
      </c>
      <c r="O883" t="s">
        <v>973</v>
      </c>
    </row>
    <row r="884" spans="1:15">
      <c r="A884" t="s">
        <v>942</v>
      </c>
      <c r="B884" t="s">
        <v>946</v>
      </c>
      <c r="C884" s="553">
        <v>44265</v>
      </c>
      <c r="D884" s="281" t="s">
        <v>4468</v>
      </c>
      <c r="E884" s="281" t="s">
        <v>3622</v>
      </c>
      <c r="F884" s="281">
        <v>5</v>
      </c>
      <c r="G884" s="28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2">
        <v>6000</v>
      </c>
      <c r="O884" t="s">
        <v>973</v>
      </c>
    </row>
    <row r="885" spans="1:15">
      <c r="A885" t="s">
        <v>942</v>
      </c>
      <c r="B885" t="s">
        <v>946</v>
      </c>
      <c r="C885" s="553">
        <v>44265</v>
      </c>
      <c r="D885" s="281" t="s">
        <v>4468</v>
      </c>
      <c r="E885" s="281" t="s">
        <v>3622</v>
      </c>
      <c r="F885" s="281">
        <v>5</v>
      </c>
      <c r="G885" s="28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2">
        <v>17967.240000000002</v>
      </c>
      <c r="O885" t="s">
        <v>975</v>
      </c>
    </row>
    <row r="886" spans="1:15">
      <c r="A886" t="s">
        <v>942</v>
      </c>
      <c r="B886" t="s">
        <v>946</v>
      </c>
      <c r="C886" s="553">
        <v>44265</v>
      </c>
      <c r="D886" s="281" t="s">
        <v>4468</v>
      </c>
      <c r="E886" s="281" t="s">
        <v>3622</v>
      </c>
      <c r="F886" s="281">
        <v>5</v>
      </c>
      <c r="G886" s="28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2">
        <v>300</v>
      </c>
      <c r="O886" t="s">
        <v>973</v>
      </c>
    </row>
    <row r="887" spans="1:15">
      <c r="A887" t="s">
        <v>942</v>
      </c>
      <c r="B887" t="s">
        <v>946</v>
      </c>
      <c r="C887" s="553">
        <v>44265</v>
      </c>
      <c r="D887" s="281" t="s">
        <v>4468</v>
      </c>
      <c r="E887" s="281" t="s">
        <v>3622</v>
      </c>
      <c r="F887" s="281">
        <v>5</v>
      </c>
      <c r="G887" s="28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2">
        <v>2087.44</v>
      </c>
      <c r="O887" t="s">
        <v>973</v>
      </c>
    </row>
    <row r="888" spans="1:15">
      <c r="A888" t="s">
        <v>942</v>
      </c>
      <c r="B888" t="s">
        <v>946</v>
      </c>
      <c r="C888" s="553">
        <v>44265</v>
      </c>
      <c r="D888" s="281" t="s">
        <v>4468</v>
      </c>
      <c r="E888" s="281" t="s">
        <v>3622</v>
      </c>
      <c r="F888" s="281">
        <v>5</v>
      </c>
      <c r="G888" s="28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2">
        <v>300</v>
      </c>
      <c r="O888" t="s">
        <v>973</v>
      </c>
    </row>
    <row r="889" spans="1:15">
      <c r="A889" t="s">
        <v>942</v>
      </c>
      <c r="B889" t="s">
        <v>946</v>
      </c>
      <c r="C889" s="553">
        <v>44265</v>
      </c>
      <c r="D889" s="281" t="s">
        <v>4469</v>
      </c>
      <c r="E889" s="281" t="s">
        <v>3624</v>
      </c>
      <c r="F889" s="281">
        <v>1</v>
      </c>
      <c r="G889" s="28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2">
        <v>145528</v>
      </c>
      <c r="O889" t="s">
        <v>960</v>
      </c>
    </row>
    <row r="890" spans="1:15">
      <c r="A890" t="s">
        <v>942</v>
      </c>
      <c r="B890" t="s">
        <v>946</v>
      </c>
      <c r="C890" s="553">
        <v>44265</v>
      </c>
      <c r="D890" s="281" t="s">
        <v>4469</v>
      </c>
      <c r="E890" s="281" t="s">
        <v>3624</v>
      </c>
      <c r="F890" s="281">
        <v>1</v>
      </c>
      <c r="G890" s="28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2">
        <v>6000</v>
      </c>
      <c r="O890" t="s">
        <v>960</v>
      </c>
    </row>
    <row r="891" spans="1:15">
      <c r="A891" t="s">
        <v>942</v>
      </c>
      <c r="B891" t="s">
        <v>946</v>
      </c>
      <c r="C891" s="553">
        <v>44265</v>
      </c>
      <c r="D891" s="281" t="s">
        <v>4469</v>
      </c>
      <c r="E891" s="281" t="s">
        <v>3624</v>
      </c>
      <c r="F891" s="281">
        <v>1</v>
      </c>
      <c r="G891" s="28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2">
        <v>17463.36</v>
      </c>
      <c r="O891" t="s">
        <v>962</v>
      </c>
    </row>
    <row r="892" spans="1:15">
      <c r="A892" t="s">
        <v>942</v>
      </c>
      <c r="B892" t="s">
        <v>946</v>
      </c>
      <c r="C892" s="553">
        <v>44265</v>
      </c>
      <c r="D892" s="281" t="s">
        <v>4469</v>
      </c>
      <c r="E892" s="281" t="s">
        <v>3624</v>
      </c>
      <c r="F892" s="281">
        <v>1</v>
      </c>
      <c r="G892" s="28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2">
        <v>300</v>
      </c>
      <c r="O892" t="s">
        <v>960</v>
      </c>
    </row>
    <row r="893" spans="1:15">
      <c r="A893" t="s">
        <v>942</v>
      </c>
      <c r="B893" t="s">
        <v>946</v>
      </c>
      <c r="C893" s="553">
        <v>44265</v>
      </c>
      <c r="D893" s="281" t="s">
        <v>4469</v>
      </c>
      <c r="E893" s="281" t="s">
        <v>3624</v>
      </c>
      <c r="F893" s="281">
        <v>1</v>
      </c>
      <c r="G893" s="28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2">
        <v>1781.79</v>
      </c>
      <c r="O893" t="s">
        <v>960</v>
      </c>
    </row>
    <row r="894" spans="1:15">
      <c r="A894" t="s">
        <v>942</v>
      </c>
      <c r="B894" t="s">
        <v>946</v>
      </c>
      <c r="C894" s="553">
        <v>44265</v>
      </c>
      <c r="D894" s="281" t="s">
        <v>4469</v>
      </c>
      <c r="E894" s="281" t="s">
        <v>3624</v>
      </c>
      <c r="F894" s="281">
        <v>1</v>
      </c>
      <c r="G894" s="28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2">
        <v>300</v>
      </c>
      <c r="O894" t="s">
        <v>960</v>
      </c>
    </row>
    <row r="895" spans="1:15">
      <c r="A895" t="s">
        <v>942</v>
      </c>
      <c r="B895" t="s">
        <v>946</v>
      </c>
      <c r="C895" s="553">
        <v>44265</v>
      </c>
      <c r="D895" s="281" t="s">
        <v>4469</v>
      </c>
      <c r="E895" s="281" t="s">
        <v>3624</v>
      </c>
      <c r="F895" s="281">
        <v>2</v>
      </c>
      <c r="G895" s="28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2">
        <v>46261</v>
      </c>
      <c r="O895" t="s">
        <v>964</v>
      </c>
    </row>
    <row r="896" spans="1:15">
      <c r="A896" t="s">
        <v>942</v>
      </c>
      <c r="B896" t="s">
        <v>946</v>
      </c>
      <c r="C896" s="553">
        <v>44265</v>
      </c>
      <c r="D896" s="281" t="s">
        <v>4469</v>
      </c>
      <c r="E896" s="281" t="s">
        <v>3624</v>
      </c>
      <c r="F896" s="281">
        <v>2</v>
      </c>
      <c r="G896" s="28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2">
        <v>2000</v>
      </c>
      <c r="O896" t="s">
        <v>964</v>
      </c>
    </row>
    <row r="897" spans="1:15">
      <c r="A897" t="s">
        <v>942</v>
      </c>
      <c r="B897" t="s">
        <v>946</v>
      </c>
      <c r="C897" s="553">
        <v>44265</v>
      </c>
      <c r="D897" s="281" t="s">
        <v>4469</v>
      </c>
      <c r="E897" s="281" t="s">
        <v>3624</v>
      </c>
      <c r="F897" s="281">
        <v>2</v>
      </c>
      <c r="G897" s="28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2">
        <v>5551.32</v>
      </c>
      <c r="O897" t="s">
        <v>966</v>
      </c>
    </row>
    <row r="898" spans="1:15">
      <c r="A898" t="s">
        <v>942</v>
      </c>
      <c r="B898" t="s">
        <v>946</v>
      </c>
      <c r="C898" s="553">
        <v>44265</v>
      </c>
      <c r="D898" s="281" t="s">
        <v>4469</v>
      </c>
      <c r="E898" s="281" t="s">
        <v>3624</v>
      </c>
      <c r="F898" s="281">
        <v>2</v>
      </c>
      <c r="G898" s="28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2">
        <v>100</v>
      </c>
      <c r="O898" t="s">
        <v>964</v>
      </c>
    </row>
    <row r="899" spans="1:15">
      <c r="A899" t="s">
        <v>942</v>
      </c>
      <c r="B899" t="s">
        <v>946</v>
      </c>
      <c r="C899" s="553">
        <v>44265</v>
      </c>
      <c r="D899" s="281" t="s">
        <v>4469</v>
      </c>
      <c r="E899" s="281" t="s">
        <v>3624</v>
      </c>
      <c r="F899" s="281">
        <v>2</v>
      </c>
      <c r="G899" s="28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2">
        <v>693.92</v>
      </c>
      <c r="O899" t="s">
        <v>964</v>
      </c>
    </row>
    <row r="900" spans="1:15">
      <c r="A900" t="s">
        <v>942</v>
      </c>
      <c r="B900" t="s">
        <v>946</v>
      </c>
      <c r="C900" s="553">
        <v>44265</v>
      </c>
      <c r="D900" s="281" t="s">
        <v>4469</v>
      </c>
      <c r="E900" s="281" t="s">
        <v>3624</v>
      </c>
      <c r="F900" s="281">
        <v>2</v>
      </c>
      <c r="G900" s="28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2">
        <v>100</v>
      </c>
      <c r="O900" t="s">
        <v>964</v>
      </c>
    </row>
    <row r="901" spans="1:15">
      <c r="A901" t="s">
        <v>942</v>
      </c>
      <c r="B901" t="s">
        <v>946</v>
      </c>
      <c r="C901" s="553">
        <v>44265</v>
      </c>
      <c r="D901" s="281" t="s">
        <v>4469</v>
      </c>
      <c r="E901" s="281" t="s">
        <v>3624</v>
      </c>
      <c r="F901" s="281">
        <v>3</v>
      </c>
      <c r="G901" s="28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2">
        <v>111742</v>
      </c>
      <c r="O901" t="s">
        <v>967</v>
      </c>
    </row>
    <row r="902" spans="1:15">
      <c r="A902" t="s">
        <v>942</v>
      </c>
      <c r="B902" t="s">
        <v>946</v>
      </c>
      <c r="C902" s="553">
        <v>44265</v>
      </c>
      <c r="D902" s="281" t="s">
        <v>4469</v>
      </c>
      <c r="E902" s="281" t="s">
        <v>3624</v>
      </c>
      <c r="F902" s="281">
        <v>3</v>
      </c>
      <c r="G902" s="28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2">
        <v>2000</v>
      </c>
      <c r="O902" t="s">
        <v>967</v>
      </c>
    </row>
    <row r="903" spans="1:15">
      <c r="A903" t="s">
        <v>942</v>
      </c>
      <c r="B903" t="s">
        <v>946</v>
      </c>
      <c r="C903" s="553">
        <v>44265</v>
      </c>
      <c r="D903" s="281" t="s">
        <v>4469</v>
      </c>
      <c r="E903" s="281" t="s">
        <v>3624</v>
      </c>
      <c r="F903" s="281">
        <v>3</v>
      </c>
      <c r="G903" s="28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2">
        <v>13409.04</v>
      </c>
      <c r="O903" t="s">
        <v>969</v>
      </c>
    </row>
    <row r="904" spans="1:15">
      <c r="A904" t="s">
        <v>942</v>
      </c>
      <c r="B904" t="s">
        <v>946</v>
      </c>
      <c r="C904" s="553">
        <v>44265</v>
      </c>
      <c r="D904" s="281" t="s">
        <v>4469</v>
      </c>
      <c r="E904" s="281" t="s">
        <v>3624</v>
      </c>
      <c r="F904" s="281">
        <v>3</v>
      </c>
      <c r="G904" s="28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2">
        <v>100</v>
      </c>
      <c r="O904" t="s">
        <v>967</v>
      </c>
    </row>
    <row r="905" spans="1:15">
      <c r="A905" t="s">
        <v>942</v>
      </c>
      <c r="B905" t="s">
        <v>946</v>
      </c>
      <c r="C905" s="553">
        <v>44265</v>
      </c>
      <c r="D905" s="281" t="s">
        <v>4469</v>
      </c>
      <c r="E905" s="281" t="s">
        <v>3624</v>
      </c>
      <c r="F905" s="281">
        <v>3</v>
      </c>
      <c r="G905" s="28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2">
        <v>900</v>
      </c>
      <c r="O905" t="s">
        <v>967</v>
      </c>
    </row>
    <row r="906" spans="1:15">
      <c r="A906" t="s">
        <v>942</v>
      </c>
      <c r="B906" t="s">
        <v>946</v>
      </c>
      <c r="C906" s="553">
        <v>44265</v>
      </c>
      <c r="D906" s="281" t="s">
        <v>4469</v>
      </c>
      <c r="E906" s="281" t="s">
        <v>3624</v>
      </c>
      <c r="F906" s="281">
        <v>3</v>
      </c>
      <c r="G906" s="28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2">
        <v>100</v>
      </c>
      <c r="O906" t="s">
        <v>967</v>
      </c>
    </row>
    <row r="907" spans="1:15">
      <c r="A907" t="s">
        <v>942</v>
      </c>
      <c r="B907" t="s">
        <v>946</v>
      </c>
      <c r="C907" s="553">
        <v>44265</v>
      </c>
      <c r="D907" s="281" t="s">
        <v>4469</v>
      </c>
      <c r="E907" s="281" t="s">
        <v>3624</v>
      </c>
      <c r="F907" s="281">
        <v>4</v>
      </c>
      <c r="G907" s="28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2">
        <v>236044</v>
      </c>
      <c r="O907" t="s">
        <v>970</v>
      </c>
    </row>
    <row r="908" spans="1:15">
      <c r="A908" t="s">
        <v>942</v>
      </c>
      <c r="B908" t="s">
        <v>946</v>
      </c>
      <c r="C908" s="553">
        <v>44265</v>
      </c>
      <c r="D908" s="281" t="s">
        <v>4469</v>
      </c>
      <c r="E908" s="281" t="s">
        <v>3624</v>
      </c>
      <c r="F908" s="281">
        <v>4</v>
      </c>
      <c r="G908" s="28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2">
        <v>12000</v>
      </c>
      <c r="O908" t="s">
        <v>970</v>
      </c>
    </row>
    <row r="909" spans="1:15">
      <c r="A909" t="s">
        <v>942</v>
      </c>
      <c r="B909" t="s">
        <v>946</v>
      </c>
      <c r="C909" s="553">
        <v>44265</v>
      </c>
      <c r="D909" s="281" t="s">
        <v>4469</v>
      </c>
      <c r="E909" s="281" t="s">
        <v>3624</v>
      </c>
      <c r="F909" s="281">
        <v>4</v>
      </c>
      <c r="G909" s="28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2">
        <v>28325.279999999999</v>
      </c>
      <c r="O909" t="s">
        <v>972</v>
      </c>
    </row>
    <row r="910" spans="1:15">
      <c r="A910" t="s">
        <v>942</v>
      </c>
      <c r="B910" t="s">
        <v>946</v>
      </c>
      <c r="C910" s="553">
        <v>44265</v>
      </c>
      <c r="D910" s="281" t="s">
        <v>4469</v>
      </c>
      <c r="E910" s="281" t="s">
        <v>3624</v>
      </c>
      <c r="F910" s="281">
        <v>4</v>
      </c>
      <c r="G910" s="28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2">
        <v>600</v>
      </c>
      <c r="O910" t="s">
        <v>970</v>
      </c>
    </row>
    <row r="911" spans="1:15">
      <c r="A911" t="s">
        <v>942</v>
      </c>
      <c r="B911" t="s">
        <v>946</v>
      </c>
      <c r="C911" s="553">
        <v>44265</v>
      </c>
      <c r="D911" s="281" t="s">
        <v>4469</v>
      </c>
      <c r="E911" s="281" t="s">
        <v>3624</v>
      </c>
      <c r="F911" s="281">
        <v>4</v>
      </c>
      <c r="G911" s="28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2">
        <v>3540.69</v>
      </c>
      <c r="O911" t="s">
        <v>970</v>
      </c>
    </row>
    <row r="912" spans="1:15">
      <c r="A912" t="s">
        <v>942</v>
      </c>
      <c r="B912" t="s">
        <v>946</v>
      </c>
      <c r="C912" s="553">
        <v>44265</v>
      </c>
      <c r="D912" s="281" t="s">
        <v>4469</v>
      </c>
      <c r="E912" s="281" t="s">
        <v>3624</v>
      </c>
      <c r="F912" s="281">
        <v>4</v>
      </c>
      <c r="G912" s="28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2">
        <v>600</v>
      </c>
      <c r="O912" t="s">
        <v>970</v>
      </c>
    </row>
    <row r="913" spans="1:15">
      <c r="A913" t="s">
        <v>942</v>
      </c>
      <c r="B913" t="s">
        <v>946</v>
      </c>
      <c r="C913" s="553">
        <v>44265</v>
      </c>
      <c r="D913" s="281" t="s">
        <v>4469</v>
      </c>
      <c r="E913" s="281" t="s">
        <v>3624</v>
      </c>
      <c r="F913" s="281">
        <v>5</v>
      </c>
      <c r="G913" s="28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2">
        <v>44694</v>
      </c>
      <c r="O913" t="s">
        <v>973</v>
      </c>
    </row>
    <row r="914" spans="1:15">
      <c r="A914" t="s">
        <v>942</v>
      </c>
      <c r="B914" t="s">
        <v>946</v>
      </c>
      <c r="C914" s="553">
        <v>44265</v>
      </c>
      <c r="D914" s="281" t="s">
        <v>4469</v>
      </c>
      <c r="E914" s="281" t="s">
        <v>3624</v>
      </c>
      <c r="F914" s="281">
        <v>5</v>
      </c>
      <c r="G914" s="28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2">
        <v>2000</v>
      </c>
      <c r="O914" t="s">
        <v>973</v>
      </c>
    </row>
    <row r="915" spans="1:15">
      <c r="A915" t="s">
        <v>942</v>
      </c>
      <c r="B915" t="s">
        <v>946</v>
      </c>
      <c r="C915" s="553">
        <v>44265</v>
      </c>
      <c r="D915" s="281" t="s">
        <v>4469</v>
      </c>
      <c r="E915" s="281" t="s">
        <v>3624</v>
      </c>
      <c r="F915" s="281">
        <v>5</v>
      </c>
      <c r="G915" s="28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2">
        <v>5363.28</v>
      </c>
      <c r="O915" t="s">
        <v>975</v>
      </c>
    </row>
    <row r="916" spans="1:15">
      <c r="A916" t="s">
        <v>942</v>
      </c>
      <c r="B916" t="s">
        <v>946</v>
      </c>
      <c r="C916" s="553">
        <v>44265</v>
      </c>
      <c r="D916" s="281" t="s">
        <v>4469</v>
      </c>
      <c r="E916" s="281" t="s">
        <v>3624</v>
      </c>
      <c r="F916" s="281">
        <v>5</v>
      </c>
      <c r="G916" s="28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2">
        <v>100</v>
      </c>
      <c r="O916" t="s">
        <v>973</v>
      </c>
    </row>
    <row r="917" spans="1:15">
      <c r="A917" t="s">
        <v>942</v>
      </c>
      <c r="B917" t="s">
        <v>946</v>
      </c>
      <c r="C917" s="553">
        <v>44265</v>
      </c>
      <c r="D917" s="281" t="s">
        <v>4469</v>
      </c>
      <c r="E917" s="281" t="s">
        <v>3624</v>
      </c>
      <c r="F917" s="281">
        <v>5</v>
      </c>
      <c r="G917" s="28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2">
        <v>670.41</v>
      </c>
      <c r="O917" t="s">
        <v>973</v>
      </c>
    </row>
    <row r="918" spans="1:15">
      <c r="A918" t="s">
        <v>942</v>
      </c>
      <c r="B918" t="s">
        <v>946</v>
      </c>
      <c r="C918" s="553">
        <v>44265</v>
      </c>
      <c r="D918" s="281" t="s">
        <v>4469</v>
      </c>
      <c r="E918" s="281" t="s">
        <v>3624</v>
      </c>
      <c r="F918" s="281">
        <v>5</v>
      </c>
      <c r="G918" s="28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2">
        <v>100</v>
      </c>
      <c r="O918" t="s">
        <v>973</v>
      </c>
    </row>
    <row r="919" spans="1:15">
      <c r="A919" t="s">
        <v>942</v>
      </c>
      <c r="B919" t="s">
        <v>946</v>
      </c>
      <c r="C919" s="553">
        <v>44265</v>
      </c>
      <c r="D919" s="281" t="s">
        <v>4470</v>
      </c>
      <c r="E919" s="281" t="s">
        <v>3626</v>
      </c>
      <c r="F919" s="281">
        <v>1</v>
      </c>
      <c r="G919" s="28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2">
        <v>57452</v>
      </c>
      <c r="O919" t="s">
        <v>960</v>
      </c>
    </row>
    <row r="920" spans="1:15">
      <c r="A920" t="s">
        <v>942</v>
      </c>
      <c r="B920" t="s">
        <v>946</v>
      </c>
      <c r="C920" s="553">
        <v>44265</v>
      </c>
      <c r="D920" s="281" t="s">
        <v>4470</v>
      </c>
      <c r="E920" s="281" t="s">
        <v>3626</v>
      </c>
      <c r="F920" s="281">
        <v>1</v>
      </c>
      <c r="G920" s="28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2">
        <v>4000</v>
      </c>
      <c r="O920" t="s">
        <v>960</v>
      </c>
    </row>
    <row r="921" spans="1:15">
      <c r="A921" t="s">
        <v>942</v>
      </c>
      <c r="B921" t="s">
        <v>946</v>
      </c>
      <c r="C921" s="553">
        <v>44265</v>
      </c>
      <c r="D921" s="281" t="s">
        <v>4470</v>
      </c>
      <c r="E921" s="281" t="s">
        <v>3626</v>
      </c>
      <c r="F921" s="281">
        <v>1</v>
      </c>
      <c r="G921" s="28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2">
        <v>6894.24</v>
      </c>
      <c r="O921" t="s">
        <v>962</v>
      </c>
    </row>
    <row r="922" spans="1:15">
      <c r="A922" t="s">
        <v>942</v>
      </c>
      <c r="B922" t="s">
        <v>946</v>
      </c>
      <c r="C922" s="553">
        <v>44265</v>
      </c>
      <c r="D922" s="281" t="s">
        <v>4470</v>
      </c>
      <c r="E922" s="281" t="s">
        <v>3626</v>
      </c>
      <c r="F922" s="281">
        <v>1</v>
      </c>
      <c r="G922" s="28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2">
        <v>200</v>
      </c>
      <c r="O922" t="s">
        <v>960</v>
      </c>
    </row>
    <row r="923" spans="1:15">
      <c r="A923" t="s">
        <v>942</v>
      </c>
      <c r="B923" t="s">
        <v>946</v>
      </c>
      <c r="C923" s="553">
        <v>44265</v>
      </c>
      <c r="D923" s="281" t="s">
        <v>4470</v>
      </c>
      <c r="E923" s="281" t="s">
        <v>3626</v>
      </c>
      <c r="F923" s="281">
        <v>1</v>
      </c>
      <c r="G923" s="28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2">
        <v>861.79</v>
      </c>
      <c r="O923" t="s">
        <v>960</v>
      </c>
    </row>
    <row r="924" spans="1:15">
      <c r="A924" t="s">
        <v>942</v>
      </c>
      <c r="B924" t="s">
        <v>946</v>
      </c>
      <c r="C924" s="553">
        <v>44265</v>
      </c>
      <c r="D924" s="281" t="s">
        <v>4470</v>
      </c>
      <c r="E924" s="281" t="s">
        <v>3626</v>
      </c>
      <c r="F924" s="281">
        <v>1</v>
      </c>
      <c r="G924" s="28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2">
        <v>200</v>
      </c>
      <c r="O924" t="s">
        <v>960</v>
      </c>
    </row>
    <row r="925" spans="1:15">
      <c r="A925" t="s">
        <v>942</v>
      </c>
      <c r="B925" t="s">
        <v>946</v>
      </c>
      <c r="C925" s="553">
        <v>44265</v>
      </c>
      <c r="D925" s="281" t="s">
        <v>4470</v>
      </c>
      <c r="E925" s="281" t="s">
        <v>3626</v>
      </c>
      <c r="F925" s="281">
        <v>2</v>
      </c>
      <c r="G925" s="28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2">
        <v>111742</v>
      </c>
      <c r="O925" t="s">
        <v>964</v>
      </c>
    </row>
    <row r="926" spans="1:15">
      <c r="A926" t="s">
        <v>942</v>
      </c>
      <c r="B926" t="s">
        <v>946</v>
      </c>
      <c r="C926" s="553">
        <v>44265</v>
      </c>
      <c r="D926" s="281" t="s">
        <v>4470</v>
      </c>
      <c r="E926" s="281" t="s">
        <v>3626</v>
      </c>
      <c r="F926" s="281">
        <v>2</v>
      </c>
      <c r="G926" s="28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2">
        <v>2000</v>
      </c>
      <c r="O926" t="s">
        <v>964</v>
      </c>
    </row>
    <row r="927" spans="1:15">
      <c r="A927" t="s">
        <v>942</v>
      </c>
      <c r="B927" t="s">
        <v>946</v>
      </c>
      <c r="C927" s="553">
        <v>44265</v>
      </c>
      <c r="D927" s="281" t="s">
        <v>4470</v>
      </c>
      <c r="E927" s="281" t="s">
        <v>3626</v>
      </c>
      <c r="F927" s="281">
        <v>2</v>
      </c>
      <c r="G927" s="28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2">
        <v>13409.04</v>
      </c>
      <c r="O927" t="s">
        <v>966</v>
      </c>
    </row>
    <row r="928" spans="1:15">
      <c r="A928" t="s">
        <v>942</v>
      </c>
      <c r="B928" t="s">
        <v>946</v>
      </c>
      <c r="C928" s="553">
        <v>44265</v>
      </c>
      <c r="D928" s="281" t="s">
        <v>4470</v>
      </c>
      <c r="E928" s="281" t="s">
        <v>3626</v>
      </c>
      <c r="F928" s="281">
        <v>2</v>
      </c>
      <c r="G928" s="28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2">
        <v>100</v>
      </c>
      <c r="O928" t="s">
        <v>964</v>
      </c>
    </row>
    <row r="929" spans="1:15">
      <c r="A929" t="s">
        <v>942</v>
      </c>
      <c r="B929" t="s">
        <v>946</v>
      </c>
      <c r="C929" s="553">
        <v>44265</v>
      </c>
      <c r="D929" s="281" t="s">
        <v>4470</v>
      </c>
      <c r="E929" s="281" t="s">
        <v>3626</v>
      </c>
      <c r="F929" s="281">
        <v>2</v>
      </c>
      <c r="G929" s="28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2">
        <v>900</v>
      </c>
      <c r="O929" t="s">
        <v>964</v>
      </c>
    </row>
    <row r="930" spans="1:15">
      <c r="A930" t="s">
        <v>942</v>
      </c>
      <c r="B930" t="s">
        <v>946</v>
      </c>
      <c r="C930" s="553">
        <v>44265</v>
      </c>
      <c r="D930" s="281" t="s">
        <v>4470</v>
      </c>
      <c r="E930" s="281" t="s">
        <v>3626</v>
      </c>
      <c r="F930" s="281">
        <v>2</v>
      </c>
      <c r="G930" s="28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2">
        <v>100</v>
      </c>
      <c r="O930" t="s">
        <v>964</v>
      </c>
    </row>
    <row r="931" spans="1:15">
      <c r="A931" t="s">
        <v>942</v>
      </c>
      <c r="B931" t="s">
        <v>946</v>
      </c>
      <c r="C931" s="553">
        <v>44265</v>
      </c>
      <c r="D931" s="281" t="s">
        <v>4470</v>
      </c>
      <c r="E931" s="281" t="s">
        <v>3626</v>
      </c>
      <c r="F931" s="281">
        <v>3</v>
      </c>
      <c r="G931" s="28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2">
        <v>81329</v>
      </c>
      <c r="O931" t="s">
        <v>967</v>
      </c>
    </row>
    <row r="932" spans="1:15">
      <c r="A932" t="s">
        <v>942</v>
      </c>
      <c r="B932" t="s">
        <v>946</v>
      </c>
      <c r="C932" s="553">
        <v>44265</v>
      </c>
      <c r="D932" s="281" t="s">
        <v>4470</v>
      </c>
      <c r="E932" s="281" t="s">
        <v>3626</v>
      </c>
      <c r="F932" s="281">
        <v>3</v>
      </c>
      <c r="G932" s="28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2">
        <v>6000</v>
      </c>
      <c r="O932" t="s">
        <v>967</v>
      </c>
    </row>
    <row r="933" spans="1:15">
      <c r="A933" t="s">
        <v>942</v>
      </c>
      <c r="B933" t="s">
        <v>946</v>
      </c>
      <c r="C933" s="553">
        <v>44265</v>
      </c>
      <c r="D933" s="281" t="s">
        <v>4470</v>
      </c>
      <c r="E933" s="281" t="s">
        <v>3626</v>
      </c>
      <c r="F933" s="281">
        <v>3</v>
      </c>
      <c r="G933" s="28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2">
        <v>9759.48</v>
      </c>
      <c r="O933" t="s">
        <v>969</v>
      </c>
    </row>
    <row r="934" spans="1:15">
      <c r="A934" t="s">
        <v>942</v>
      </c>
      <c r="B934" t="s">
        <v>946</v>
      </c>
      <c r="C934" s="553">
        <v>44265</v>
      </c>
      <c r="D934" s="281" t="s">
        <v>4470</v>
      </c>
      <c r="E934" s="281" t="s">
        <v>3626</v>
      </c>
      <c r="F934" s="281">
        <v>3</v>
      </c>
      <c r="G934" s="28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2">
        <v>300</v>
      </c>
      <c r="O934" t="s">
        <v>967</v>
      </c>
    </row>
    <row r="935" spans="1:15">
      <c r="A935" t="s">
        <v>942</v>
      </c>
      <c r="B935" t="s">
        <v>946</v>
      </c>
      <c r="C935" s="553">
        <v>44265</v>
      </c>
      <c r="D935" s="281" t="s">
        <v>4470</v>
      </c>
      <c r="E935" s="281" t="s">
        <v>3626</v>
      </c>
      <c r="F935" s="281">
        <v>3</v>
      </c>
      <c r="G935" s="28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2">
        <v>1219.95</v>
      </c>
      <c r="O935" t="s">
        <v>967</v>
      </c>
    </row>
    <row r="936" spans="1:15">
      <c r="A936" t="s">
        <v>942</v>
      </c>
      <c r="B936" t="s">
        <v>946</v>
      </c>
      <c r="C936" s="553">
        <v>44265</v>
      </c>
      <c r="D936" s="281" t="s">
        <v>4470</v>
      </c>
      <c r="E936" s="281" t="s">
        <v>3626</v>
      </c>
      <c r="F936" s="281">
        <v>3</v>
      </c>
      <c r="G936" s="28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2">
        <v>300</v>
      </c>
      <c r="O936" t="s">
        <v>967</v>
      </c>
    </row>
    <row r="937" spans="1:15">
      <c r="A937" t="s">
        <v>942</v>
      </c>
      <c r="B937" t="s">
        <v>946</v>
      </c>
      <c r="C937" s="553">
        <v>44265</v>
      </c>
      <c r="D937" s="281" t="s">
        <v>4470</v>
      </c>
      <c r="E937" s="281" t="s">
        <v>3626</v>
      </c>
      <c r="F937" s="281">
        <v>4</v>
      </c>
      <c r="G937" s="28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2">
        <v>78017</v>
      </c>
      <c r="O937" t="s">
        <v>970</v>
      </c>
    </row>
    <row r="938" spans="1:15">
      <c r="A938" t="s">
        <v>942</v>
      </c>
      <c r="B938" t="s">
        <v>946</v>
      </c>
      <c r="C938" s="553">
        <v>44265</v>
      </c>
      <c r="D938" s="281" t="s">
        <v>4470</v>
      </c>
      <c r="E938" s="281" t="s">
        <v>3626</v>
      </c>
      <c r="F938" s="281">
        <v>4</v>
      </c>
      <c r="G938" s="28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2">
        <v>4000</v>
      </c>
      <c r="O938" t="s">
        <v>970</v>
      </c>
    </row>
    <row r="939" spans="1:15">
      <c r="A939" t="s">
        <v>942</v>
      </c>
      <c r="B939" t="s">
        <v>946</v>
      </c>
      <c r="C939" s="553">
        <v>44265</v>
      </c>
      <c r="D939" s="281" t="s">
        <v>4470</v>
      </c>
      <c r="E939" s="281" t="s">
        <v>3626</v>
      </c>
      <c r="F939" s="281">
        <v>4</v>
      </c>
      <c r="G939" s="28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2">
        <v>9362.0400000000009</v>
      </c>
      <c r="O939" t="s">
        <v>972</v>
      </c>
    </row>
    <row r="940" spans="1:15">
      <c r="A940" t="s">
        <v>942</v>
      </c>
      <c r="B940" t="s">
        <v>946</v>
      </c>
      <c r="C940" s="553">
        <v>44265</v>
      </c>
      <c r="D940" s="281" t="s">
        <v>4470</v>
      </c>
      <c r="E940" s="281" t="s">
        <v>3626</v>
      </c>
      <c r="F940" s="281">
        <v>4</v>
      </c>
      <c r="G940" s="28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2">
        <v>200</v>
      </c>
      <c r="O940" t="s">
        <v>970</v>
      </c>
    </row>
    <row r="941" spans="1:15">
      <c r="A941" t="s">
        <v>942</v>
      </c>
      <c r="B941" t="s">
        <v>946</v>
      </c>
      <c r="C941" s="553">
        <v>44265</v>
      </c>
      <c r="D941" s="281" t="s">
        <v>4470</v>
      </c>
      <c r="E941" s="281" t="s">
        <v>3626</v>
      </c>
      <c r="F941" s="281">
        <v>4</v>
      </c>
      <c r="G941" s="28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2">
        <v>1170.26</v>
      </c>
      <c r="O941" t="s">
        <v>970</v>
      </c>
    </row>
    <row r="942" spans="1:15">
      <c r="A942" t="s">
        <v>942</v>
      </c>
      <c r="B942" t="s">
        <v>946</v>
      </c>
      <c r="C942" s="553">
        <v>44265</v>
      </c>
      <c r="D942" s="281" t="s">
        <v>4470</v>
      </c>
      <c r="E942" s="281" t="s">
        <v>3626</v>
      </c>
      <c r="F942" s="281">
        <v>4</v>
      </c>
      <c r="G942" s="28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2">
        <v>200</v>
      </c>
      <c r="O942" t="s">
        <v>970</v>
      </c>
    </row>
    <row r="943" spans="1:15">
      <c r="A943" t="s">
        <v>942</v>
      </c>
      <c r="B943" t="s">
        <v>946</v>
      </c>
      <c r="C943" s="553">
        <v>44265</v>
      </c>
      <c r="D943" s="281" t="s">
        <v>4471</v>
      </c>
      <c r="E943" s="281" t="s">
        <v>3628</v>
      </c>
      <c r="F943" s="281">
        <v>13</v>
      </c>
      <c r="G943" s="28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2">
        <v>33575</v>
      </c>
      <c r="O943" t="s">
        <v>999</v>
      </c>
    </row>
    <row r="944" spans="1:15">
      <c r="A944" t="s">
        <v>942</v>
      </c>
      <c r="B944" t="s">
        <v>946</v>
      </c>
      <c r="C944" s="553">
        <v>44265</v>
      </c>
      <c r="D944" s="281" t="s">
        <v>4471</v>
      </c>
      <c r="E944" s="281" t="s">
        <v>3628</v>
      </c>
      <c r="F944" s="281">
        <v>13</v>
      </c>
      <c r="G944" s="28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2">
        <v>2000</v>
      </c>
      <c r="O944" t="s">
        <v>999</v>
      </c>
    </row>
    <row r="945" spans="1:15">
      <c r="A945" t="s">
        <v>942</v>
      </c>
      <c r="B945" t="s">
        <v>946</v>
      </c>
      <c r="C945" s="553">
        <v>44265</v>
      </c>
      <c r="D945" s="281" t="s">
        <v>4471</v>
      </c>
      <c r="E945" s="281" t="s">
        <v>3628</v>
      </c>
      <c r="F945" s="281">
        <v>13</v>
      </c>
      <c r="G945" s="28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2">
        <v>4029</v>
      </c>
      <c r="O945" t="s">
        <v>999</v>
      </c>
    </row>
    <row r="946" spans="1:15">
      <c r="A946" t="s">
        <v>942</v>
      </c>
      <c r="B946" t="s">
        <v>946</v>
      </c>
      <c r="C946" s="553">
        <v>44265</v>
      </c>
      <c r="D946" s="281" t="s">
        <v>4471</v>
      </c>
      <c r="E946" s="281" t="s">
        <v>3628</v>
      </c>
      <c r="F946" s="281">
        <v>13</v>
      </c>
      <c r="G946" s="28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2">
        <v>100</v>
      </c>
      <c r="O946" t="s">
        <v>999</v>
      </c>
    </row>
    <row r="947" spans="1:15">
      <c r="A947" t="s">
        <v>942</v>
      </c>
      <c r="B947" t="s">
        <v>946</v>
      </c>
      <c r="C947" s="553">
        <v>44265</v>
      </c>
      <c r="D947" s="281" t="s">
        <v>4471</v>
      </c>
      <c r="E947" s="281" t="s">
        <v>3628</v>
      </c>
      <c r="F947" s="281">
        <v>13</v>
      </c>
      <c r="G947" s="28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2">
        <v>503.63</v>
      </c>
      <c r="O947" t="s">
        <v>999</v>
      </c>
    </row>
    <row r="948" spans="1:15">
      <c r="A948" t="s">
        <v>942</v>
      </c>
      <c r="B948" t="s">
        <v>946</v>
      </c>
      <c r="C948" s="553">
        <v>44265</v>
      </c>
      <c r="D948" s="281" t="s">
        <v>4471</v>
      </c>
      <c r="E948" s="281" t="s">
        <v>3628</v>
      </c>
      <c r="F948" s="281">
        <v>13</v>
      </c>
      <c r="G948" s="28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2">
        <v>100</v>
      </c>
      <c r="O948" t="s">
        <v>999</v>
      </c>
    </row>
    <row r="949" spans="1:15">
      <c r="A949" t="s">
        <v>942</v>
      </c>
      <c r="B949" t="s">
        <v>946</v>
      </c>
      <c r="C949" s="553">
        <v>44265</v>
      </c>
      <c r="D949" s="281" t="s">
        <v>4472</v>
      </c>
      <c r="E949" s="281" t="s">
        <v>3631</v>
      </c>
      <c r="F949" s="281">
        <v>13</v>
      </c>
      <c r="G949" s="28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2">
        <v>43681</v>
      </c>
      <c r="O949" t="s">
        <v>999</v>
      </c>
    </row>
    <row r="950" spans="1:15">
      <c r="A950" t="s">
        <v>942</v>
      </c>
      <c r="B950" t="s">
        <v>946</v>
      </c>
      <c r="C950" s="553">
        <v>44265</v>
      </c>
      <c r="D950" s="281" t="s">
        <v>4472</v>
      </c>
      <c r="E950" s="281" t="s">
        <v>3631</v>
      </c>
      <c r="F950" s="281">
        <v>13</v>
      </c>
      <c r="G950" s="28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2">
        <v>2000</v>
      </c>
      <c r="O950" t="s">
        <v>999</v>
      </c>
    </row>
    <row r="951" spans="1:15">
      <c r="A951" t="s">
        <v>942</v>
      </c>
      <c r="B951" t="s">
        <v>946</v>
      </c>
      <c r="C951" s="553">
        <v>44265</v>
      </c>
      <c r="D951" s="281" t="s">
        <v>4472</v>
      </c>
      <c r="E951" s="281" t="s">
        <v>3631</v>
      </c>
      <c r="F951" s="281">
        <v>13</v>
      </c>
      <c r="G951" s="28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2">
        <v>5241.72</v>
      </c>
      <c r="O951" t="s">
        <v>999</v>
      </c>
    </row>
    <row r="952" spans="1:15">
      <c r="A952" t="s">
        <v>942</v>
      </c>
      <c r="B952" t="s">
        <v>946</v>
      </c>
      <c r="C952" s="553">
        <v>44265</v>
      </c>
      <c r="D952" s="281" t="s">
        <v>4472</v>
      </c>
      <c r="E952" s="281" t="s">
        <v>3631</v>
      </c>
      <c r="F952" s="281">
        <v>13</v>
      </c>
      <c r="G952" s="28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2">
        <v>100</v>
      </c>
      <c r="O952" t="s">
        <v>999</v>
      </c>
    </row>
    <row r="953" spans="1:15">
      <c r="A953" t="s">
        <v>942</v>
      </c>
      <c r="B953" t="s">
        <v>946</v>
      </c>
      <c r="C953" s="553">
        <v>44265</v>
      </c>
      <c r="D953" s="281" t="s">
        <v>4472</v>
      </c>
      <c r="E953" s="281" t="s">
        <v>3631</v>
      </c>
      <c r="F953" s="281">
        <v>13</v>
      </c>
      <c r="G953" s="28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2">
        <v>655.22</v>
      </c>
      <c r="O953" t="s">
        <v>999</v>
      </c>
    </row>
    <row r="954" spans="1:15">
      <c r="A954" t="s">
        <v>942</v>
      </c>
      <c r="B954" t="s">
        <v>946</v>
      </c>
      <c r="C954" s="553">
        <v>44265</v>
      </c>
      <c r="D954" s="281" t="s">
        <v>4472</v>
      </c>
      <c r="E954" s="281" t="s">
        <v>3631</v>
      </c>
      <c r="F954" s="281">
        <v>13</v>
      </c>
      <c r="G954" s="28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2">
        <v>100</v>
      </c>
      <c r="O954" t="s">
        <v>999</v>
      </c>
    </row>
    <row r="955" spans="1:15">
      <c r="A955" t="s">
        <v>942</v>
      </c>
      <c r="B955" t="s">
        <v>946</v>
      </c>
      <c r="C955" s="553">
        <v>44265</v>
      </c>
      <c r="D955" s="281" t="s">
        <v>4473</v>
      </c>
      <c r="E955" s="281" t="s">
        <v>3633</v>
      </c>
      <c r="F955" s="281">
        <v>13</v>
      </c>
      <c r="G955" s="28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2">
        <v>77256</v>
      </c>
      <c r="O955" t="s">
        <v>999</v>
      </c>
    </row>
    <row r="956" spans="1:15">
      <c r="A956" t="s">
        <v>942</v>
      </c>
      <c r="B956" t="s">
        <v>946</v>
      </c>
      <c r="C956" s="553">
        <v>44265</v>
      </c>
      <c r="D956" s="281" t="s">
        <v>4473</v>
      </c>
      <c r="E956" s="281" t="s">
        <v>3633</v>
      </c>
      <c r="F956" s="281">
        <v>13</v>
      </c>
      <c r="G956" s="28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2">
        <v>4000</v>
      </c>
      <c r="O956" t="s">
        <v>999</v>
      </c>
    </row>
    <row r="957" spans="1:15">
      <c r="A957" t="s">
        <v>942</v>
      </c>
      <c r="B957" t="s">
        <v>946</v>
      </c>
      <c r="C957" s="553">
        <v>44265</v>
      </c>
      <c r="D957" s="281" t="s">
        <v>4473</v>
      </c>
      <c r="E957" s="281" t="s">
        <v>3633</v>
      </c>
      <c r="F957" s="281">
        <v>13</v>
      </c>
      <c r="G957" s="28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2">
        <v>9270.7199999999993</v>
      </c>
      <c r="O957" t="s">
        <v>999</v>
      </c>
    </row>
    <row r="958" spans="1:15">
      <c r="A958" t="s">
        <v>942</v>
      </c>
      <c r="B958" t="s">
        <v>946</v>
      </c>
      <c r="C958" s="553">
        <v>44265</v>
      </c>
      <c r="D958" s="281" t="s">
        <v>4473</v>
      </c>
      <c r="E958" s="281" t="s">
        <v>3633</v>
      </c>
      <c r="F958" s="281">
        <v>13</v>
      </c>
      <c r="G958" s="28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2">
        <v>200</v>
      </c>
      <c r="O958" t="s">
        <v>999</v>
      </c>
    </row>
    <row r="959" spans="1:15">
      <c r="A959" t="s">
        <v>942</v>
      </c>
      <c r="B959" t="s">
        <v>946</v>
      </c>
      <c r="C959" s="553">
        <v>44265</v>
      </c>
      <c r="D959" s="281" t="s">
        <v>4473</v>
      </c>
      <c r="E959" s="281" t="s">
        <v>3633</v>
      </c>
      <c r="F959" s="281">
        <v>13</v>
      </c>
      <c r="G959" s="28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2">
        <v>1158.8499999999999</v>
      </c>
      <c r="O959" t="s">
        <v>999</v>
      </c>
    </row>
    <row r="960" spans="1:15">
      <c r="A960" t="s">
        <v>942</v>
      </c>
      <c r="B960" t="s">
        <v>946</v>
      </c>
      <c r="C960" s="553">
        <v>44265</v>
      </c>
      <c r="D960" s="281" t="s">
        <v>4473</v>
      </c>
      <c r="E960" s="281" t="s">
        <v>3633</v>
      </c>
      <c r="F960" s="281">
        <v>13</v>
      </c>
      <c r="G960" s="28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2">
        <v>200</v>
      </c>
      <c r="O960" t="s">
        <v>999</v>
      </c>
    </row>
    <row r="961" spans="1:15">
      <c r="A961" t="s">
        <v>942</v>
      </c>
      <c r="B961" t="s">
        <v>946</v>
      </c>
      <c r="C961" s="553">
        <v>44265</v>
      </c>
      <c r="D961" s="281" t="s">
        <v>4474</v>
      </c>
      <c r="E961" s="281" t="s">
        <v>3636</v>
      </c>
      <c r="F961" s="281">
        <v>13</v>
      </c>
      <c r="G961" s="28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2">
        <v>33575</v>
      </c>
      <c r="O961" t="s">
        <v>999</v>
      </c>
    </row>
    <row r="962" spans="1:15">
      <c r="A962" t="s">
        <v>942</v>
      </c>
      <c r="B962" t="s">
        <v>946</v>
      </c>
      <c r="C962" s="553">
        <v>44265</v>
      </c>
      <c r="D962" s="281" t="s">
        <v>4474</v>
      </c>
      <c r="E962" s="281" t="s">
        <v>3636</v>
      </c>
      <c r="F962" s="281">
        <v>13</v>
      </c>
      <c r="G962" s="28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2">
        <v>2000</v>
      </c>
      <c r="O962" t="s">
        <v>999</v>
      </c>
    </row>
    <row r="963" spans="1:15">
      <c r="A963" t="s">
        <v>942</v>
      </c>
      <c r="B963" t="s">
        <v>946</v>
      </c>
      <c r="C963" s="553">
        <v>44265</v>
      </c>
      <c r="D963" s="281" t="s">
        <v>4474</v>
      </c>
      <c r="E963" s="281" t="s">
        <v>3636</v>
      </c>
      <c r="F963" s="281">
        <v>13</v>
      </c>
      <c r="G963" s="28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2">
        <v>4029</v>
      </c>
      <c r="O963" t="s">
        <v>999</v>
      </c>
    </row>
    <row r="964" spans="1:15">
      <c r="A964" t="s">
        <v>942</v>
      </c>
      <c r="B964" t="s">
        <v>946</v>
      </c>
      <c r="C964" s="553">
        <v>44265</v>
      </c>
      <c r="D964" s="281" t="s">
        <v>4474</v>
      </c>
      <c r="E964" s="281" t="s">
        <v>3636</v>
      </c>
      <c r="F964" s="281">
        <v>13</v>
      </c>
      <c r="G964" s="28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2">
        <v>100</v>
      </c>
      <c r="O964" t="s">
        <v>999</v>
      </c>
    </row>
    <row r="965" spans="1:15">
      <c r="A965" t="s">
        <v>942</v>
      </c>
      <c r="B965" t="s">
        <v>946</v>
      </c>
      <c r="C965" s="553">
        <v>44265</v>
      </c>
      <c r="D965" s="281" t="s">
        <v>4474</v>
      </c>
      <c r="E965" s="281" t="s">
        <v>3636</v>
      </c>
      <c r="F965" s="281">
        <v>13</v>
      </c>
      <c r="G965" s="28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2">
        <v>503.63</v>
      </c>
      <c r="O965" t="s">
        <v>999</v>
      </c>
    </row>
    <row r="966" spans="1:15">
      <c r="A966" t="s">
        <v>942</v>
      </c>
      <c r="B966" t="s">
        <v>946</v>
      </c>
      <c r="C966" s="553">
        <v>44265</v>
      </c>
      <c r="D966" s="281" t="s">
        <v>4474</v>
      </c>
      <c r="E966" s="281" t="s">
        <v>3636</v>
      </c>
      <c r="F966" s="281">
        <v>13</v>
      </c>
      <c r="G966" s="28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2">
        <v>100</v>
      </c>
      <c r="O966" t="s">
        <v>999</v>
      </c>
    </row>
    <row r="967" spans="1:15">
      <c r="A967" t="s">
        <v>942</v>
      </c>
      <c r="B967" t="s">
        <v>946</v>
      </c>
      <c r="C967" s="553">
        <v>44265</v>
      </c>
      <c r="D967" s="281" t="s">
        <v>4475</v>
      </c>
      <c r="E967" s="281" t="s">
        <v>3638</v>
      </c>
      <c r="F967" s="281">
        <v>4</v>
      </c>
      <c r="G967" s="28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2">
        <v>23877</v>
      </c>
      <c r="O967" t="s">
        <v>970</v>
      </c>
    </row>
    <row r="968" spans="1:15">
      <c r="A968" t="s">
        <v>942</v>
      </c>
      <c r="B968" t="s">
        <v>946</v>
      </c>
      <c r="C968" s="553">
        <v>44265</v>
      </c>
      <c r="D968" s="281" t="s">
        <v>4475</v>
      </c>
      <c r="E968" s="281" t="s">
        <v>3638</v>
      </c>
      <c r="F968" s="281">
        <v>4</v>
      </c>
      <c r="G968" s="28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2">
        <v>2000</v>
      </c>
      <c r="O968" t="s">
        <v>970</v>
      </c>
    </row>
    <row r="969" spans="1:15">
      <c r="A969" t="s">
        <v>942</v>
      </c>
      <c r="B969" t="s">
        <v>946</v>
      </c>
      <c r="C969" s="553">
        <v>44265</v>
      </c>
      <c r="D969" s="281" t="s">
        <v>4475</v>
      </c>
      <c r="E969" s="281" t="s">
        <v>3638</v>
      </c>
      <c r="F969" s="281">
        <v>4</v>
      </c>
      <c r="G969" s="28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2">
        <v>2865.24</v>
      </c>
      <c r="O969" t="s">
        <v>972</v>
      </c>
    </row>
    <row r="970" spans="1:15">
      <c r="A970" t="s">
        <v>942</v>
      </c>
      <c r="B970" t="s">
        <v>946</v>
      </c>
      <c r="C970" s="553">
        <v>44265</v>
      </c>
      <c r="D970" s="281" t="s">
        <v>4475</v>
      </c>
      <c r="E970" s="281" t="s">
        <v>3638</v>
      </c>
      <c r="F970" s="281">
        <v>4</v>
      </c>
      <c r="G970" s="28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2">
        <v>100</v>
      </c>
      <c r="O970" t="s">
        <v>970</v>
      </c>
    </row>
    <row r="971" spans="1:15">
      <c r="A971" t="s">
        <v>942</v>
      </c>
      <c r="B971" t="s">
        <v>946</v>
      </c>
      <c r="C971" s="553">
        <v>44265</v>
      </c>
      <c r="D971" s="281" t="s">
        <v>4475</v>
      </c>
      <c r="E971" s="281" t="s">
        <v>3638</v>
      </c>
      <c r="F971" s="281">
        <v>4</v>
      </c>
      <c r="G971" s="28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2">
        <v>358.16</v>
      </c>
      <c r="O971" t="s">
        <v>970</v>
      </c>
    </row>
    <row r="972" spans="1:15">
      <c r="A972" t="s">
        <v>942</v>
      </c>
      <c r="B972" t="s">
        <v>946</v>
      </c>
      <c r="C972" s="553">
        <v>44265</v>
      </c>
      <c r="D972" s="281" t="s">
        <v>4475</v>
      </c>
      <c r="E972" s="281" t="s">
        <v>3638</v>
      </c>
      <c r="F972" s="281">
        <v>4</v>
      </c>
      <c r="G972" s="28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2">
        <v>100</v>
      </c>
      <c r="O972" t="s">
        <v>970</v>
      </c>
    </row>
    <row r="973" spans="1:15">
      <c r="A973" t="s">
        <v>942</v>
      </c>
      <c r="B973" t="s">
        <v>946</v>
      </c>
      <c r="C973" s="553">
        <v>44265</v>
      </c>
      <c r="D973" s="281" t="s">
        <v>4476</v>
      </c>
      <c r="E973" s="281" t="s">
        <v>3641</v>
      </c>
      <c r="F973" s="281">
        <v>4</v>
      </c>
      <c r="G973" s="28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2">
        <v>23877</v>
      </c>
      <c r="O973" t="s">
        <v>970</v>
      </c>
    </row>
    <row r="974" spans="1:15">
      <c r="A974" t="s">
        <v>942</v>
      </c>
      <c r="B974" t="s">
        <v>946</v>
      </c>
      <c r="C974" s="553">
        <v>44265</v>
      </c>
      <c r="D974" s="281" t="s">
        <v>4476</v>
      </c>
      <c r="E974" s="281" t="s">
        <v>3641</v>
      </c>
      <c r="F974" s="281">
        <v>4</v>
      </c>
      <c r="G974" s="28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2">
        <v>2000</v>
      </c>
      <c r="O974" t="s">
        <v>970</v>
      </c>
    </row>
    <row r="975" spans="1:15">
      <c r="A975" t="s">
        <v>942</v>
      </c>
      <c r="B975" t="s">
        <v>946</v>
      </c>
      <c r="C975" s="553">
        <v>44265</v>
      </c>
      <c r="D975" s="281" t="s">
        <v>4476</v>
      </c>
      <c r="E975" s="281" t="s">
        <v>3641</v>
      </c>
      <c r="F975" s="281">
        <v>4</v>
      </c>
      <c r="G975" s="28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2">
        <v>2865.24</v>
      </c>
      <c r="O975" t="s">
        <v>972</v>
      </c>
    </row>
    <row r="976" spans="1:15">
      <c r="A976" t="s">
        <v>942</v>
      </c>
      <c r="B976" t="s">
        <v>946</v>
      </c>
      <c r="C976" s="553">
        <v>44265</v>
      </c>
      <c r="D976" s="281" t="s">
        <v>4476</v>
      </c>
      <c r="E976" s="281" t="s">
        <v>3641</v>
      </c>
      <c r="F976" s="281">
        <v>4</v>
      </c>
      <c r="G976" s="28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2">
        <v>100</v>
      </c>
      <c r="O976" t="s">
        <v>970</v>
      </c>
    </row>
    <row r="977" spans="1:15">
      <c r="A977" t="s">
        <v>942</v>
      </c>
      <c r="B977" t="s">
        <v>946</v>
      </c>
      <c r="C977" s="553">
        <v>44265</v>
      </c>
      <c r="D977" s="281" t="s">
        <v>4476</v>
      </c>
      <c r="E977" s="281" t="s">
        <v>3641</v>
      </c>
      <c r="F977" s="281">
        <v>4</v>
      </c>
      <c r="G977" s="28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2">
        <v>358.16</v>
      </c>
      <c r="O977" t="s">
        <v>970</v>
      </c>
    </row>
    <row r="978" spans="1:15">
      <c r="A978" t="s">
        <v>942</v>
      </c>
      <c r="B978" t="s">
        <v>946</v>
      </c>
      <c r="C978" s="553">
        <v>44265</v>
      </c>
      <c r="D978" s="281" t="s">
        <v>4476</v>
      </c>
      <c r="E978" s="281" t="s">
        <v>3641</v>
      </c>
      <c r="F978" s="281">
        <v>4</v>
      </c>
      <c r="G978" s="28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2">
        <v>100</v>
      </c>
      <c r="O978" t="s">
        <v>970</v>
      </c>
    </row>
    <row r="979" spans="1:15">
      <c r="A979" t="s">
        <v>942</v>
      </c>
      <c r="B979" t="s">
        <v>946</v>
      </c>
      <c r="C979" s="553">
        <v>44265</v>
      </c>
      <c r="D979" s="281" t="s">
        <v>4477</v>
      </c>
      <c r="E979" s="281" t="s">
        <v>3649</v>
      </c>
      <c r="F979" s="281">
        <v>4</v>
      </c>
      <c r="G979" s="28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2">
        <v>23877</v>
      </c>
      <c r="O979" t="s">
        <v>970</v>
      </c>
    </row>
    <row r="980" spans="1:15">
      <c r="A980" t="s">
        <v>942</v>
      </c>
      <c r="B980" t="s">
        <v>946</v>
      </c>
      <c r="C980" s="553">
        <v>44265</v>
      </c>
      <c r="D980" s="281" t="s">
        <v>4477</v>
      </c>
      <c r="E980" s="281" t="s">
        <v>3649</v>
      </c>
      <c r="F980" s="281">
        <v>4</v>
      </c>
      <c r="G980" s="28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2">
        <v>2000</v>
      </c>
      <c r="O980" t="s">
        <v>970</v>
      </c>
    </row>
    <row r="981" spans="1:15">
      <c r="A981" t="s">
        <v>942</v>
      </c>
      <c r="B981" t="s">
        <v>946</v>
      </c>
      <c r="C981" s="553">
        <v>44265</v>
      </c>
      <c r="D981" s="281" t="s">
        <v>4477</v>
      </c>
      <c r="E981" s="281" t="s">
        <v>3649</v>
      </c>
      <c r="F981" s="281">
        <v>4</v>
      </c>
      <c r="G981" s="28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2">
        <v>2865.24</v>
      </c>
      <c r="O981" t="s">
        <v>972</v>
      </c>
    </row>
    <row r="982" spans="1:15">
      <c r="A982" t="s">
        <v>942</v>
      </c>
      <c r="B982" t="s">
        <v>946</v>
      </c>
      <c r="C982" s="553">
        <v>44265</v>
      </c>
      <c r="D982" s="281" t="s">
        <v>4477</v>
      </c>
      <c r="E982" s="281" t="s">
        <v>3649</v>
      </c>
      <c r="F982" s="281">
        <v>4</v>
      </c>
      <c r="G982" s="28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2">
        <v>100</v>
      </c>
      <c r="O982" t="s">
        <v>970</v>
      </c>
    </row>
    <row r="983" spans="1:15">
      <c r="A983" t="s">
        <v>942</v>
      </c>
      <c r="B983" t="s">
        <v>946</v>
      </c>
      <c r="C983" s="553">
        <v>44265</v>
      </c>
      <c r="D983" s="281" t="s">
        <v>4477</v>
      </c>
      <c r="E983" s="281" t="s">
        <v>3649</v>
      </c>
      <c r="F983" s="281">
        <v>4</v>
      </c>
      <c r="G983" s="28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2">
        <v>358.16</v>
      </c>
      <c r="O983" t="s">
        <v>970</v>
      </c>
    </row>
    <row r="984" spans="1:15">
      <c r="A984" t="s">
        <v>942</v>
      </c>
      <c r="B984" t="s">
        <v>946</v>
      </c>
      <c r="C984" s="553">
        <v>44265</v>
      </c>
      <c r="D984" s="281" t="s">
        <v>4477</v>
      </c>
      <c r="E984" s="281" t="s">
        <v>3649</v>
      </c>
      <c r="F984" s="281">
        <v>4</v>
      </c>
      <c r="G984" s="28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2">
        <v>100</v>
      </c>
      <c r="O984" t="s">
        <v>970</v>
      </c>
    </row>
    <row r="985" spans="1:15">
      <c r="A985" t="s">
        <v>942</v>
      </c>
      <c r="B985" t="s">
        <v>946</v>
      </c>
      <c r="C985" s="553">
        <v>44265</v>
      </c>
      <c r="D985" s="281" t="s">
        <v>4478</v>
      </c>
      <c r="E985" s="281" t="s">
        <v>3643</v>
      </c>
      <c r="F985" s="281">
        <v>4</v>
      </c>
      <c r="G985" s="28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2">
        <v>23877</v>
      </c>
      <c r="O985" t="s">
        <v>970</v>
      </c>
    </row>
    <row r="986" spans="1:15">
      <c r="A986" t="s">
        <v>942</v>
      </c>
      <c r="B986" t="s">
        <v>946</v>
      </c>
      <c r="C986" s="553">
        <v>44265</v>
      </c>
      <c r="D986" s="281" t="s">
        <v>4478</v>
      </c>
      <c r="E986" s="281" t="s">
        <v>3643</v>
      </c>
      <c r="F986" s="281">
        <v>4</v>
      </c>
      <c r="G986" s="28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2">
        <v>2000</v>
      </c>
      <c r="O986" t="s">
        <v>970</v>
      </c>
    </row>
    <row r="987" spans="1:15">
      <c r="A987" t="s">
        <v>942</v>
      </c>
      <c r="B987" t="s">
        <v>946</v>
      </c>
      <c r="C987" s="553">
        <v>44265</v>
      </c>
      <c r="D987" s="281" t="s">
        <v>4478</v>
      </c>
      <c r="E987" s="281" t="s">
        <v>3643</v>
      </c>
      <c r="F987" s="281">
        <v>4</v>
      </c>
      <c r="G987" s="28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2">
        <v>2865.24</v>
      </c>
      <c r="O987" t="s">
        <v>972</v>
      </c>
    </row>
    <row r="988" spans="1:15">
      <c r="A988" t="s">
        <v>942</v>
      </c>
      <c r="B988" t="s">
        <v>946</v>
      </c>
      <c r="C988" s="553">
        <v>44265</v>
      </c>
      <c r="D988" s="281" t="s">
        <v>4478</v>
      </c>
      <c r="E988" s="281" t="s">
        <v>3643</v>
      </c>
      <c r="F988" s="281">
        <v>4</v>
      </c>
      <c r="G988" s="28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2">
        <v>100</v>
      </c>
      <c r="O988" t="s">
        <v>970</v>
      </c>
    </row>
    <row r="989" spans="1:15">
      <c r="A989" t="s">
        <v>942</v>
      </c>
      <c r="B989" t="s">
        <v>946</v>
      </c>
      <c r="C989" s="553">
        <v>44265</v>
      </c>
      <c r="D989" s="281" t="s">
        <v>4478</v>
      </c>
      <c r="E989" s="281" t="s">
        <v>3643</v>
      </c>
      <c r="F989" s="281">
        <v>4</v>
      </c>
      <c r="G989" s="28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2">
        <v>358.16</v>
      </c>
      <c r="O989" t="s">
        <v>970</v>
      </c>
    </row>
    <row r="990" spans="1:15">
      <c r="A990" t="s">
        <v>942</v>
      </c>
      <c r="B990" t="s">
        <v>946</v>
      </c>
      <c r="C990" s="553">
        <v>44265</v>
      </c>
      <c r="D990" s="281" t="s">
        <v>4478</v>
      </c>
      <c r="E990" s="281" t="s">
        <v>3643</v>
      </c>
      <c r="F990" s="281">
        <v>4</v>
      </c>
      <c r="G990" s="28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2">
        <v>100</v>
      </c>
      <c r="O990" t="s">
        <v>970</v>
      </c>
    </row>
    <row r="991" spans="1:15">
      <c r="A991" t="s">
        <v>942</v>
      </c>
      <c r="B991" t="s">
        <v>946</v>
      </c>
      <c r="C991" s="553">
        <v>44265</v>
      </c>
      <c r="D991" s="281" t="s">
        <v>4479</v>
      </c>
      <c r="E991" s="281" t="s">
        <v>3645</v>
      </c>
      <c r="F991" s="281">
        <v>4</v>
      </c>
      <c r="G991" s="28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2">
        <v>23877</v>
      </c>
      <c r="O991" t="s">
        <v>970</v>
      </c>
    </row>
    <row r="992" spans="1:15">
      <c r="A992" t="s">
        <v>942</v>
      </c>
      <c r="B992" t="s">
        <v>946</v>
      </c>
      <c r="C992" s="553">
        <v>44265</v>
      </c>
      <c r="D992" s="281" t="s">
        <v>4479</v>
      </c>
      <c r="E992" s="281" t="s">
        <v>3645</v>
      </c>
      <c r="F992" s="281">
        <v>4</v>
      </c>
      <c r="G992" s="28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2">
        <v>2000</v>
      </c>
      <c r="O992" t="s">
        <v>970</v>
      </c>
    </row>
    <row r="993" spans="1:15">
      <c r="A993" t="s">
        <v>942</v>
      </c>
      <c r="B993" t="s">
        <v>946</v>
      </c>
      <c r="C993" s="553">
        <v>44265</v>
      </c>
      <c r="D993" s="281" t="s">
        <v>4479</v>
      </c>
      <c r="E993" s="281" t="s">
        <v>3645</v>
      </c>
      <c r="F993" s="281">
        <v>4</v>
      </c>
      <c r="G993" s="28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2">
        <v>2865.24</v>
      </c>
      <c r="O993" t="s">
        <v>972</v>
      </c>
    </row>
    <row r="994" spans="1:15">
      <c r="A994" t="s">
        <v>942</v>
      </c>
      <c r="B994" t="s">
        <v>946</v>
      </c>
      <c r="C994" s="553">
        <v>44265</v>
      </c>
      <c r="D994" s="281" t="s">
        <v>4479</v>
      </c>
      <c r="E994" s="281" t="s">
        <v>3645</v>
      </c>
      <c r="F994" s="281">
        <v>4</v>
      </c>
      <c r="G994" s="28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2">
        <v>100</v>
      </c>
      <c r="O994" t="s">
        <v>970</v>
      </c>
    </row>
    <row r="995" spans="1:15">
      <c r="A995" t="s">
        <v>942</v>
      </c>
      <c r="B995" t="s">
        <v>946</v>
      </c>
      <c r="C995" s="553">
        <v>44265</v>
      </c>
      <c r="D995" s="281" t="s">
        <v>4479</v>
      </c>
      <c r="E995" s="281" t="s">
        <v>3645</v>
      </c>
      <c r="F995" s="281">
        <v>4</v>
      </c>
      <c r="G995" s="28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2">
        <v>358.16</v>
      </c>
      <c r="O995" t="s">
        <v>970</v>
      </c>
    </row>
    <row r="996" spans="1:15">
      <c r="A996" t="s">
        <v>942</v>
      </c>
      <c r="B996" t="s">
        <v>946</v>
      </c>
      <c r="C996" s="553">
        <v>44265</v>
      </c>
      <c r="D996" s="281" t="s">
        <v>4479</v>
      </c>
      <c r="E996" s="281" t="s">
        <v>3645</v>
      </c>
      <c r="F996" s="281">
        <v>4</v>
      </c>
      <c r="G996" s="28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2">
        <v>100</v>
      </c>
      <c r="O996" t="s">
        <v>970</v>
      </c>
    </row>
    <row r="997" spans="1:15">
      <c r="A997" t="s">
        <v>942</v>
      </c>
      <c r="B997" t="s">
        <v>946</v>
      </c>
      <c r="C997" s="553">
        <v>44265</v>
      </c>
      <c r="D997" s="281" t="s">
        <v>4480</v>
      </c>
      <c r="E997" s="281" t="s">
        <v>3651</v>
      </c>
      <c r="F997" s="281">
        <v>4</v>
      </c>
      <c r="G997" s="28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2">
        <v>23877</v>
      </c>
      <c r="O997" t="s">
        <v>970</v>
      </c>
    </row>
    <row r="998" spans="1:15">
      <c r="A998" t="s">
        <v>942</v>
      </c>
      <c r="B998" t="s">
        <v>946</v>
      </c>
      <c r="C998" s="553">
        <v>44265</v>
      </c>
      <c r="D998" s="281" t="s">
        <v>4480</v>
      </c>
      <c r="E998" s="281" t="s">
        <v>3651</v>
      </c>
      <c r="F998" s="281">
        <v>4</v>
      </c>
      <c r="G998" s="28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2">
        <v>2000</v>
      </c>
      <c r="O998" t="s">
        <v>970</v>
      </c>
    </row>
    <row r="999" spans="1:15">
      <c r="A999" t="s">
        <v>942</v>
      </c>
      <c r="B999" t="s">
        <v>946</v>
      </c>
      <c r="C999" s="553">
        <v>44265</v>
      </c>
      <c r="D999" s="281" t="s">
        <v>4480</v>
      </c>
      <c r="E999" s="281" t="s">
        <v>3651</v>
      </c>
      <c r="F999" s="281">
        <v>4</v>
      </c>
      <c r="G999" s="28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2">
        <v>2865.24</v>
      </c>
      <c r="O999" t="s">
        <v>972</v>
      </c>
    </row>
    <row r="1000" spans="1:15">
      <c r="A1000" t="s">
        <v>942</v>
      </c>
      <c r="B1000" t="s">
        <v>946</v>
      </c>
      <c r="C1000" s="553">
        <v>44265</v>
      </c>
      <c r="D1000" s="281" t="s">
        <v>4480</v>
      </c>
      <c r="E1000" s="281" t="s">
        <v>3651</v>
      </c>
      <c r="F1000" s="281">
        <v>4</v>
      </c>
      <c r="G1000" s="28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2">
        <v>100</v>
      </c>
      <c r="O1000" t="s">
        <v>970</v>
      </c>
    </row>
    <row r="1001" spans="1:15">
      <c r="A1001" t="s">
        <v>942</v>
      </c>
      <c r="B1001" t="s">
        <v>946</v>
      </c>
      <c r="C1001" s="553">
        <v>44265</v>
      </c>
      <c r="D1001" s="281" t="s">
        <v>4480</v>
      </c>
      <c r="E1001" s="281" t="s">
        <v>3651</v>
      </c>
      <c r="F1001" s="281">
        <v>4</v>
      </c>
      <c r="G1001" s="28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2">
        <v>358.16</v>
      </c>
      <c r="O1001" t="s">
        <v>970</v>
      </c>
    </row>
    <row r="1002" spans="1:15">
      <c r="A1002" t="s">
        <v>942</v>
      </c>
      <c r="B1002" t="s">
        <v>946</v>
      </c>
      <c r="C1002" s="553">
        <v>44265</v>
      </c>
      <c r="D1002" s="281" t="s">
        <v>4480</v>
      </c>
      <c r="E1002" s="281" t="s">
        <v>3651</v>
      </c>
      <c r="F1002" s="281">
        <v>4</v>
      </c>
      <c r="G1002" s="28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2">
        <v>100</v>
      </c>
      <c r="O1002" t="s">
        <v>970</v>
      </c>
    </row>
    <row r="1003" spans="1:15">
      <c r="A1003" t="s">
        <v>942</v>
      </c>
      <c r="B1003" t="s">
        <v>946</v>
      </c>
      <c r="C1003" s="553">
        <v>44265</v>
      </c>
      <c r="D1003" s="281" t="s">
        <v>4481</v>
      </c>
      <c r="E1003" s="281" t="s">
        <v>3619</v>
      </c>
      <c r="F1003" s="281">
        <v>1</v>
      </c>
      <c r="G1003" s="28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2">
        <v>1057756</v>
      </c>
      <c r="O1003" t="s">
        <v>960</v>
      </c>
    </row>
    <row r="1004" spans="1:15">
      <c r="A1004" t="s">
        <v>942</v>
      </c>
      <c r="B1004" t="s">
        <v>946</v>
      </c>
      <c r="C1004" s="553">
        <v>44265</v>
      </c>
      <c r="D1004" s="281" t="s">
        <v>4481</v>
      </c>
      <c r="E1004" s="281" t="s">
        <v>3619</v>
      </c>
      <c r="F1004" s="281">
        <v>1</v>
      </c>
      <c r="G1004" s="28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2">
        <v>44000</v>
      </c>
      <c r="O1004" t="s">
        <v>960</v>
      </c>
    </row>
    <row r="1005" spans="1:15">
      <c r="A1005" t="s">
        <v>942</v>
      </c>
      <c r="B1005" t="s">
        <v>946</v>
      </c>
      <c r="C1005" s="553">
        <v>44265</v>
      </c>
      <c r="D1005" s="281" t="s">
        <v>4481</v>
      </c>
      <c r="E1005" s="281" t="s">
        <v>3619</v>
      </c>
      <c r="F1005" s="281">
        <v>1</v>
      </c>
      <c r="G1005" s="28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2">
        <v>126930.72</v>
      </c>
      <c r="O1005" t="s">
        <v>962</v>
      </c>
    </row>
    <row r="1006" spans="1:15">
      <c r="A1006" t="s">
        <v>942</v>
      </c>
      <c r="B1006" t="s">
        <v>946</v>
      </c>
      <c r="C1006" s="553">
        <v>44265</v>
      </c>
      <c r="D1006" s="281" t="s">
        <v>4481</v>
      </c>
      <c r="E1006" s="281" t="s">
        <v>3619</v>
      </c>
      <c r="F1006" s="281">
        <v>1</v>
      </c>
      <c r="G1006" s="28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2">
        <v>2200</v>
      </c>
      <c r="O1006" t="s">
        <v>960</v>
      </c>
    </row>
    <row r="1007" spans="1:15">
      <c r="A1007" t="s">
        <v>942</v>
      </c>
      <c r="B1007" t="s">
        <v>946</v>
      </c>
      <c r="C1007" s="553">
        <v>44265</v>
      </c>
      <c r="D1007" s="281" t="s">
        <v>4481</v>
      </c>
      <c r="E1007" s="281" t="s">
        <v>3619</v>
      </c>
      <c r="F1007" s="281">
        <v>1</v>
      </c>
      <c r="G1007" s="28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2">
        <v>12310.77</v>
      </c>
      <c r="O1007" t="s">
        <v>960</v>
      </c>
    </row>
    <row r="1008" spans="1:15">
      <c r="A1008" t="s">
        <v>942</v>
      </c>
      <c r="B1008" t="s">
        <v>946</v>
      </c>
      <c r="C1008" s="553">
        <v>44265</v>
      </c>
      <c r="D1008" s="281" t="s">
        <v>4481</v>
      </c>
      <c r="E1008" s="281" t="s">
        <v>3619</v>
      </c>
      <c r="F1008" s="281">
        <v>1</v>
      </c>
      <c r="G1008" s="28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2">
        <v>2200</v>
      </c>
      <c r="O1008" t="s">
        <v>960</v>
      </c>
    </row>
    <row r="1009" spans="1:15">
      <c r="A1009" t="s">
        <v>942</v>
      </c>
      <c r="B1009" t="s">
        <v>946</v>
      </c>
      <c r="C1009" s="553">
        <v>44265</v>
      </c>
      <c r="D1009" s="281" t="s">
        <v>4481</v>
      </c>
      <c r="E1009" s="281" t="s">
        <v>3619</v>
      </c>
      <c r="F1009" s="281">
        <v>2</v>
      </c>
      <c r="G1009" s="28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2">
        <v>80214</v>
      </c>
      <c r="O1009" t="s">
        <v>964</v>
      </c>
    </row>
    <row r="1010" spans="1:15">
      <c r="A1010" t="s">
        <v>942</v>
      </c>
      <c r="B1010" t="s">
        <v>946</v>
      </c>
      <c r="C1010" s="553">
        <v>44265</v>
      </c>
      <c r="D1010" s="281" t="s">
        <v>4481</v>
      </c>
      <c r="E1010" s="281" t="s">
        <v>3619</v>
      </c>
      <c r="F1010" s="281">
        <v>2</v>
      </c>
      <c r="G1010" s="28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2">
        <v>4000</v>
      </c>
      <c r="O1010" t="s">
        <v>964</v>
      </c>
    </row>
    <row r="1011" spans="1:15">
      <c r="A1011" t="s">
        <v>942</v>
      </c>
      <c r="B1011" t="s">
        <v>946</v>
      </c>
      <c r="C1011" s="553">
        <v>44265</v>
      </c>
      <c r="D1011" s="281" t="s">
        <v>4481</v>
      </c>
      <c r="E1011" s="281" t="s">
        <v>3619</v>
      </c>
      <c r="F1011" s="281">
        <v>2</v>
      </c>
      <c r="G1011" s="28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2">
        <v>9625.68</v>
      </c>
      <c r="O1011" t="s">
        <v>966</v>
      </c>
    </row>
    <row r="1012" spans="1:15">
      <c r="A1012" t="s">
        <v>942</v>
      </c>
      <c r="B1012" t="s">
        <v>946</v>
      </c>
      <c r="C1012" s="553">
        <v>44265</v>
      </c>
      <c r="D1012" s="281" t="s">
        <v>4481</v>
      </c>
      <c r="E1012" s="281" t="s">
        <v>3619</v>
      </c>
      <c r="F1012" s="281">
        <v>2</v>
      </c>
      <c r="G1012" s="28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2">
        <v>200</v>
      </c>
      <c r="O1012" t="s">
        <v>964</v>
      </c>
    </row>
    <row r="1013" spans="1:15">
      <c r="A1013" t="s">
        <v>942</v>
      </c>
      <c r="B1013" t="s">
        <v>946</v>
      </c>
      <c r="C1013" s="553">
        <v>44265</v>
      </c>
      <c r="D1013" s="281" t="s">
        <v>4481</v>
      </c>
      <c r="E1013" s="281" t="s">
        <v>3619</v>
      </c>
      <c r="F1013" s="281">
        <v>2</v>
      </c>
      <c r="G1013" s="28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2">
        <v>1203.22</v>
      </c>
      <c r="O1013" t="s">
        <v>964</v>
      </c>
    </row>
    <row r="1014" spans="1:15">
      <c r="A1014" t="s">
        <v>942</v>
      </c>
      <c r="B1014" t="s">
        <v>946</v>
      </c>
      <c r="C1014" s="553">
        <v>44265</v>
      </c>
      <c r="D1014" s="281" t="s">
        <v>4481</v>
      </c>
      <c r="E1014" s="281" t="s">
        <v>3619</v>
      </c>
      <c r="F1014" s="281">
        <v>2</v>
      </c>
      <c r="G1014" s="28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2">
        <v>200</v>
      </c>
      <c r="O1014" t="s">
        <v>964</v>
      </c>
    </row>
    <row r="1015" spans="1:15">
      <c r="A1015" t="s">
        <v>942</v>
      </c>
      <c r="B1015" t="s">
        <v>946</v>
      </c>
      <c r="C1015" s="553">
        <v>44265</v>
      </c>
      <c r="D1015" s="281" t="s">
        <v>4481</v>
      </c>
      <c r="E1015" s="281" t="s">
        <v>3619</v>
      </c>
      <c r="F1015" s="281">
        <v>3</v>
      </c>
      <c r="G1015" s="28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2">
        <v>199631</v>
      </c>
      <c r="O1015" t="s">
        <v>967</v>
      </c>
    </row>
    <row r="1016" spans="1:15">
      <c r="A1016" t="s">
        <v>942</v>
      </c>
      <c r="B1016" t="s">
        <v>946</v>
      </c>
      <c r="C1016" s="553">
        <v>44265</v>
      </c>
      <c r="D1016" s="281" t="s">
        <v>4481</v>
      </c>
      <c r="E1016" s="281" t="s">
        <v>3619</v>
      </c>
      <c r="F1016" s="281">
        <v>3</v>
      </c>
      <c r="G1016" s="28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2">
        <v>10000</v>
      </c>
      <c r="O1016" t="s">
        <v>967</v>
      </c>
    </row>
    <row r="1017" spans="1:15">
      <c r="A1017" t="s">
        <v>942</v>
      </c>
      <c r="B1017" t="s">
        <v>946</v>
      </c>
      <c r="C1017" s="553">
        <v>44265</v>
      </c>
      <c r="D1017" s="281" t="s">
        <v>4481</v>
      </c>
      <c r="E1017" s="281" t="s">
        <v>3619</v>
      </c>
      <c r="F1017" s="281">
        <v>3</v>
      </c>
      <c r="G1017" s="28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2">
        <v>23955.72</v>
      </c>
      <c r="O1017" t="s">
        <v>969</v>
      </c>
    </row>
    <row r="1018" spans="1:15">
      <c r="A1018" t="s">
        <v>942</v>
      </c>
      <c r="B1018" t="s">
        <v>946</v>
      </c>
      <c r="C1018" s="553">
        <v>44265</v>
      </c>
      <c r="D1018" s="281" t="s">
        <v>4481</v>
      </c>
      <c r="E1018" s="281" t="s">
        <v>3619</v>
      </c>
      <c r="F1018" s="281">
        <v>3</v>
      </c>
      <c r="G1018" s="28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2">
        <v>500</v>
      </c>
      <c r="O1018" t="s">
        <v>967</v>
      </c>
    </row>
    <row r="1019" spans="1:15">
      <c r="A1019" t="s">
        <v>942</v>
      </c>
      <c r="B1019" t="s">
        <v>946</v>
      </c>
      <c r="C1019" s="553">
        <v>44265</v>
      </c>
      <c r="D1019" s="281" t="s">
        <v>4481</v>
      </c>
      <c r="E1019" s="281" t="s">
        <v>3619</v>
      </c>
      <c r="F1019" s="281">
        <v>3</v>
      </c>
      <c r="G1019" s="28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2">
        <v>2593.35</v>
      </c>
      <c r="O1019" t="s">
        <v>967</v>
      </c>
    </row>
    <row r="1020" spans="1:15">
      <c r="A1020" t="s">
        <v>942</v>
      </c>
      <c r="B1020" t="s">
        <v>946</v>
      </c>
      <c r="C1020" s="553">
        <v>44265</v>
      </c>
      <c r="D1020" s="281" t="s">
        <v>4481</v>
      </c>
      <c r="E1020" s="281" t="s">
        <v>3619</v>
      </c>
      <c r="F1020" s="281">
        <v>3</v>
      </c>
      <c r="G1020" s="28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2">
        <v>500</v>
      </c>
      <c r="O1020" t="s">
        <v>967</v>
      </c>
    </row>
    <row r="1021" spans="1:15">
      <c r="A1021" t="s">
        <v>942</v>
      </c>
      <c r="B1021" t="s">
        <v>946</v>
      </c>
      <c r="C1021" s="553">
        <v>44265</v>
      </c>
      <c r="D1021" s="281" t="s">
        <v>4481</v>
      </c>
      <c r="E1021" s="281" t="s">
        <v>3619</v>
      </c>
      <c r="F1021" s="281">
        <v>4</v>
      </c>
      <c r="G1021" s="28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2">
        <v>190370</v>
      </c>
      <c r="O1021" t="s">
        <v>970</v>
      </c>
    </row>
    <row r="1022" spans="1:15">
      <c r="A1022" t="s">
        <v>942</v>
      </c>
      <c r="B1022" t="s">
        <v>946</v>
      </c>
      <c r="C1022" s="553">
        <v>44265</v>
      </c>
      <c r="D1022" s="281" t="s">
        <v>4481</v>
      </c>
      <c r="E1022" s="281" t="s">
        <v>3619</v>
      </c>
      <c r="F1022" s="281">
        <v>4</v>
      </c>
      <c r="G1022" s="28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2">
        <v>10000</v>
      </c>
      <c r="O1022" t="s">
        <v>970</v>
      </c>
    </row>
    <row r="1023" spans="1:15">
      <c r="A1023" t="s">
        <v>942</v>
      </c>
      <c r="B1023" t="s">
        <v>946</v>
      </c>
      <c r="C1023" s="553">
        <v>44265</v>
      </c>
      <c r="D1023" s="281" t="s">
        <v>4481</v>
      </c>
      <c r="E1023" s="281" t="s">
        <v>3619</v>
      </c>
      <c r="F1023" s="281">
        <v>4</v>
      </c>
      <c r="G1023" s="28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2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3">
        <v>44265</v>
      </c>
      <c r="D1024" s="281" t="s">
        <v>4481</v>
      </c>
      <c r="E1024" s="281" t="s">
        <v>3619</v>
      </c>
      <c r="F1024" s="281">
        <v>4</v>
      </c>
      <c r="G1024" s="28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2">
        <v>500</v>
      </c>
      <c r="O1024" t="s">
        <v>970</v>
      </c>
    </row>
    <row r="1025" spans="1:15">
      <c r="A1025" t="s">
        <v>942</v>
      </c>
      <c r="B1025" t="s">
        <v>946</v>
      </c>
      <c r="C1025" s="553">
        <v>44265</v>
      </c>
      <c r="D1025" s="281" t="s">
        <v>4481</v>
      </c>
      <c r="E1025" s="281" t="s">
        <v>3619</v>
      </c>
      <c r="F1025" s="281">
        <v>4</v>
      </c>
      <c r="G1025" s="28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2">
        <v>2855.56</v>
      </c>
      <c r="O1025" t="s">
        <v>970</v>
      </c>
    </row>
    <row r="1026" spans="1:15">
      <c r="A1026" t="s">
        <v>942</v>
      </c>
      <c r="B1026" t="s">
        <v>946</v>
      </c>
      <c r="C1026" s="553">
        <v>44265</v>
      </c>
      <c r="D1026" s="281" t="s">
        <v>4481</v>
      </c>
      <c r="E1026" s="281" t="s">
        <v>3619</v>
      </c>
      <c r="F1026" s="281">
        <v>4</v>
      </c>
      <c r="G1026" s="28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2">
        <v>500</v>
      </c>
      <c r="O1026" t="s">
        <v>970</v>
      </c>
    </row>
    <row r="1027" spans="1:15">
      <c r="A1027" t="s">
        <v>942</v>
      </c>
      <c r="B1027" t="s">
        <v>946</v>
      </c>
      <c r="C1027" s="553">
        <v>44265</v>
      </c>
      <c r="D1027" s="281" t="s">
        <v>4481</v>
      </c>
      <c r="E1027" s="281" t="s">
        <v>3619</v>
      </c>
      <c r="F1027" s="281">
        <v>5</v>
      </c>
      <c r="G1027" s="28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2">
        <v>206068</v>
      </c>
      <c r="O1027" t="s">
        <v>973</v>
      </c>
    </row>
    <row r="1028" spans="1:15">
      <c r="A1028" t="s">
        <v>942</v>
      </c>
      <c r="B1028" t="s">
        <v>946</v>
      </c>
      <c r="C1028" s="553">
        <v>44265</v>
      </c>
      <c r="D1028" s="281" t="s">
        <v>4481</v>
      </c>
      <c r="E1028" s="281" t="s">
        <v>3619</v>
      </c>
      <c r="F1028" s="281">
        <v>5</v>
      </c>
      <c r="G1028" s="28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2">
        <v>10000</v>
      </c>
      <c r="O1028" t="s">
        <v>973</v>
      </c>
    </row>
    <row r="1029" spans="1:15">
      <c r="A1029" t="s">
        <v>942</v>
      </c>
      <c r="B1029" t="s">
        <v>946</v>
      </c>
      <c r="C1029" s="553">
        <v>44265</v>
      </c>
      <c r="D1029" s="281" t="s">
        <v>4481</v>
      </c>
      <c r="E1029" s="281" t="s">
        <v>3619</v>
      </c>
      <c r="F1029" s="281">
        <v>5</v>
      </c>
      <c r="G1029" s="28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2">
        <v>24728.16</v>
      </c>
      <c r="O1029" t="s">
        <v>975</v>
      </c>
    </row>
    <row r="1030" spans="1:15">
      <c r="A1030" t="s">
        <v>942</v>
      </c>
      <c r="B1030" t="s">
        <v>946</v>
      </c>
      <c r="C1030" s="553">
        <v>44265</v>
      </c>
      <c r="D1030" s="281" t="s">
        <v>4481</v>
      </c>
      <c r="E1030" s="281" t="s">
        <v>3619</v>
      </c>
      <c r="F1030" s="281">
        <v>5</v>
      </c>
      <c r="G1030" s="28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2">
        <v>500</v>
      </c>
      <c r="O1030" t="s">
        <v>973</v>
      </c>
    </row>
    <row r="1031" spans="1:15">
      <c r="A1031" t="s">
        <v>942</v>
      </c>
      <c r="B1031" t="s">
        <v>946</v>
      </c>
      <c r="C1031" s="553">
        <v>44265</v>
      </c>
      <c r="D1031" s="281" t="s">
        <v>4481</v>
      </c>
      <c r="E1031" s="281" t="s">
        <v>3619</v>
      </c>
      <c r="F1031" s="281">
        <v>5</v>
      </c>
      <c r="G1031" s="28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2">
        <v>3077.52</v>
      </c>
      <c r="O1031" t="s">
        <v>973</v>
      </c>
    </row>
    <row r="1032" spans="1:15">
      <c r="A1032" t="s">
        <v>942</v>
      </c>
      <c r="B1032" t="s">
        <v>946</v>
      </c>
      <c r="C1032" s="553">
        <v>44265</v>
      </c>
      <c r="D1032" s="281" t="s">
        <v>4481</v>
      </c>
      <c r="E1032" s="281" t="s">
        <v>3619</v>
      </c>
      <c r="F1032" s="281">
        <v>5</v>
      </c>
      <c r="G1032" s="28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2">
        <v>500</v>
      </c>
      <c r="O1032" t="s">
        <v>973</v>
      </c>
    </row>
    <row r="1033" spans="1:15">
      <c r="A1033" t="s">
        <v>942</v>
      </c>
      <c r="B1033" t="s">
        <v>946</v>
      </c>
      <c r="C1033" s="553">
        <v>44265</v>
      </c>
      <c r="D1033" s="281" t="s">
        <v>4482</v>
      </c>
      <c r="E1033" s="281" t="s">
        <v>3653</v>
      </c>
      <c r="F1033" s="281">
        <v>1</v>
      </c>
      <c r="G1033" s="28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2">
        <v>99206</v>
      </c>
      <c r="O1033" t="s">
        <v>960</v>
      </c>
    </row>
    <row r="1034" spans="1:15">
      <c r="A1034" t="s">
        <v>942</v>
      </c>
      <c r="B1034" t="s">
        <v>946</v>
      </c>
      <c r="C1034" s="553">
        <v>44265</v>
      </c>
      <c r="D1034" s="281" t="s">
        <v>4482</v>
      </c>
      <c r="E1034" s="281" t="s">
        <v>3653</v>
      </c>
      <c r="F1034" s="281">
        <v>1</v>
      </c>
      <c r="G1034" s="28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2">
        <v>8000</v>
      </c>
      <c r="O1034" t="s">
        <v>960</v>
      </c>
    </row>
    <row r="1035" spans="1:15">
      <c r="A1035" t="s">
        <v>942</v>
      </c>
      <c r="B1035" t="s">
        <v>946</v>
      </c>
      <c r="C1035" s="553">
        <v>44265</v>
      </c>
      <c r="D1035" s="281" t="s">
        <v>4482</v>
      </c>
      <c r="E1035" s="281" t="s">
        <v>3653</v>
      </c>
      <c r="F1035" s="281">
        <v>1</v>
      </c>
      <c r="G1035" s="28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2">
        <v>11904.72</v>
      </c>
      <c r="O1035" t="s">
        <v>962</v>
      </c>
    </row>
    <row r="1036" spans="1:15">
      <c r="A1036" t="s">
        <v>942</v>
      </c>
      <c r="B1036" t="s">
        <v>946</v>
      </c>
      <c r="C1036" s="553">
        <v>44265</v>
      </c>
      <c r="D1036" s="281" t="s">
        <v>4482</v>
      </c>
      <c r="E1036" s="281" t="s">
        <v>3653</v>
      </c>
      <c r="F1036" s="281">
        <v>1</v>
      </c>
      <c r="G1036" s="28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2">
        <v>400</v>
      </c>
      <c r="O1036" t="s">
        <v>960</v>
      </c>
    </row>
    <row r="1037" spans="1:15">
      <c r="A1037" t="s">
        <v>942</v>
      </c>
      <c r="B1037" t="s">
        <v>946</v>
      </c>
      <c r="C1037" s="553">
        <v>44265</v>
      </c>
      <c r="D1037" s="281" t="s">
        <v>4482</v>
      </c>
      <c r="E1037" s="281" t="s">
        <v>3653</v>
      </c>
      <c r="F1037" s="281">
        <v>1</v>
      </c>
      <c r="G1037" s="28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2">
        <v>1488.1</v>
      </c>
      <c r="O1037" t="s">
        <v>960</v>
      </c>
    </row>
    <row r="1038" spans="1:15">
      <c r="A1038" t="s">
        <v>942</v>
      </c>
      <c r="B1038" t="s">
        <v>946</v>
      </c>
      <c r="C1038" s="553">
        <v>44265</v>
      </c>
      <c r="D1038" s="281" t="s">
        <v>4482</v>
      </c>
      <c r="E1038" s="281" t="s">
        <v>3653</v>
      </c>
      <c r="F1038" s="281">
        <v>1</v>
      </c>
      <c r="G1038" s="28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2">
        <v>400</v>
      </c>
      <c r="O1038" t="s">
        <v>960</v>
      </c>
    </row>
    <row r="1039" spans="1:15">
      <c r="A1039" t="s">
        <v>942</v>
      </c>
      <c r="B1039" t="s">
        <v>946</v>
      </c>
      <c r="C1039" s="553">
        <v>44265</v>
      </c>
      <c r="D1039" s="281" t="s">
        <v>4482</v>
      </c>
      <c r="E1039" s="281" t="s">
        <v>3653</v>
      </c>
      <c r="F1039" s="281">
        <v>2</v>
      </c>
      <c r="G1039" s="28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2">
        <v>44184</v>
      </c>
      <c r="O1039" t="s">
        <v>964</v>
      </c>
    </row>
    <row r="1040" spans="1:15">
      <c r="A1040" t="s">
        <v>942</v>
      </c>
      <c r="B1040" t="s">
        <v>946</v>
      </c>
      <c r="C1040" s="553">
        <v>44265</v>
      </c>
      <c r="D1040" s="281" t="s">
        <v>4482</v>
      </c>
      <c r="E1040" s="281" t="s">
        <v>3653</v>
      </c>
      <c r="F1040" s="281">
        <v>2</v>
      </c>
      <c r="G1040" s="28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2">
        <v>2000</v>
      </c>
      <c r="O1040" t="s">
        <v>964</v>
      </c>
    </row>
    <row r="1041" spans="1:15">
      <c r="A1041" t="s">
        <v>942</v>
      </c>
      <c r="B1041" t="s">
        <v>946</v>
      </c>
      <c r="C1041" s="553">
        <v>44265</v>
      </c>
      <c r="D1041" s="281" t="s">
        <v>4482</v>
      </c>
      <c r="E1041" s="281" t="s">
        <v>3653</v>
      </c>
      <c r="F1041" s="281">
        <v>2</v>
      </c>
      <c r="G1041" s="28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2">
        <v>5302.08</v>
      </c>
      <c r="O1041" t="s">
        <v>966</v>
      </c>
    </row>
    <row r="1042" spans="1:15">
      <c r="A1042" t="s">
        <v>942</v>
      </c>
      <c r="B1042" t="s">
        <v>946</v>
      </c>
      <c r="C1042" s="553">
        <v>44265</v>
      </c>
      <c r="D1042" s="281" t="s">
        <v>4482</v>
      </c>
      <c r="E1042" s="281" t="s">
        <v>3653</v>
      </c>
      <c r="F1042" s="281">
        <v>2</v>
      </c>
      <c r="G1042" s="28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2">
        <v>100</v>
      </c>
      <c r="O1042" t="s">
        <v>964</v>
      </c>
    </row>
    <row r="1043" spans="1:15">
      <c r="A1043" t="s">
        <v>942</v>
      </c>
      <c r="B1043" t="s">
        <v>946</v>
      </c>
      <c r="C1043" s="553">
        <v>44265</v>
      </c>
      <c r="D1043" s="281" t="s">
        <v>4482</v>
      </c>
      <c r="E1043" s="281" t="s">
        <v>3653</v>
      </c>
      <c r="F1043" s="281">
        <v>2</v>
      </c>
      <c r="G1043" s="28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2">
        <v>662.76</v>
      </c>
      <c r="O1043" t="s">
        <v>964</v>
      </c>
    </row>
    <row r="1044" spans="1:15">
      <c r="A1044" t="s">
        <v>942</v>
      </c>
      <c r="B1044" t="s">
        <v>946</v>
      </c>
      <c r="C1044" s="553">
        <v>44265</v>
      </c>
      <c r="D1044" s="281" t="s">
        <v>4482</v>
      </c>
      <c r="E1044" s="281" t="s">
        <v>3653</v>
      </c>
      <c r="F1044" s="281">
        <v>2</v>
      </c>
      <c r="G1044" s="28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2">
        <v>100</v>
      </c>
      <c r="O1044" t="s">
        <v>964</v>
      </c>
    </row>
    <row r="1045" spans="1:15">
      <c r="A1045" t="s">
        <v>942</v>
      </c>
      <c r="B1045" t="s">
        <v>946</v>
      </c>
      <c r="C1045" s="553">
        <v>44265</v>
      </c>
      <c r="D1045" s="281" t="s">
        <v>4482</v>
      </c>
      <c r="E1045" s="281" t="s">
        <v>3653</v>
      </c>
      <c r="F1045" s="281">
        <v>4</v>
      </c>
      <c r="G1045" s="28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2">
        <v>113498</v>
      </c>
      <c r="O1045" t="s">
        <v>970</v>
      </c>
    </row>
    <row r="1046" spans="1:15">
      <c r="A1046" t="s">
        <v>942</v>
      </c>
      <c r="B1046" t="s">
        <v>946</v>
      </c>
      <c r="C1046" s="553">
        <v>44265</v>
      </c>
      <c r="D1046" s="281" t="s">
        <v>4482</v>
      </c>
      <c r="E1046" s="281" t="s">
        <v>3653</v>
      </c>
      <c r="F1046" s="281">
        <v>4</v>
      </c>
      <c r="G1046" s="28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2">
        <v>6000</v>
      </c>
      <c r="O1046" t="s">
        <v>970</v>
      </c>
    </row>
    <row r="1047" spans="1:15">
      <c r="A1047" t="s">
        <v>942</v>
      </c>
      <c r="B1047" t="s">
        <v>946</v>
      </c>
      <c r="C1047" s="553">
        <v>44265</v>
      </c>
      <c r="D1047" s="281" t="s">
        <v>4482</v>
      </c>
      <c r="E1047" s="281" t="s">
        <v>3653</v>
      </c>
      <c r="F1047" s="281">
        <v>4</v>
      </c>
      <c r="G1047" s="28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2">
        <v>13619.76</v>
      </c>
      <c r="O1047" t="s">
        <v>972</v>
      </c>
    </row>
    <row r="1048" spans="1:15">
      <c r="A1048" t="s">
        <v>942</v>
      </c>
      <c r="B1048" t="s">
        <v>946</v>
      </c>
      <c r="C1048" s="553">
        <v>44265</v>
      </c>
      <c r="D1048" s="281" t="s">
        <v>4482</v>
      </c>
      <c r="E1048" s="281" t="s">
        <v>3653</v>
      </c>
      <c r="F1048" s="281">
        <v>4</v>
      </c>
      <c r="G1048" s="28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2">
        <v>300</v>
      </c>
      <c r="O1048" t="s">
        <v>970</v>
      </c>
    </row>
    <row r="1049" spans="1:15">
      <c r="A1049" t="s">
        <v>942</v>
      </c>
      <c r="B1049" t="s">
        <v>946</v>
      </c>
      <c r="C1049" s="553">
        <v>44265</v>
      </c>
      <c r="D1049" s="281" t="s">
        <v>4482</v>
      </c>
      <c r="E1049" s="281" t="s">
        <v>3653</v>
      </c>
      <c r="F1049" s="281">
        <v>4</v>
      </c>
      <c r="G1049" s="28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2">
        <v>1702.48</v>
      </c>
      <c r="O1049" t="s">
        <v>970</v>
      </c>
    </row>
    <row r="1050" spans="1:15">
      <c r="A1050" t="s">
        <v>942</v>
      </c>
      <c r="B1050" t="s">
        <v>946</v>
      </c>
      <c r="C1050" s="553">
        <v>44265</v>
      </c>
      <c r="D1050" s="281" t="s">
        <v>4482</v>
      </c>
      <c r="E1050" s="281" t="s">
        <v>3653</v>
      </c>
      <c r="F1050" s="281">
        <v>4</v>
      </c>
      <c r="G1050" s="28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2">
        <v>300</v>
      </c>
      <c r="O1050" t="s">
        <v>970</v>
      </c>
    </row>
    <row r="1051" spans="1:15">
      <c r="A1051" t="s">
        <v>942</v>
      </c>
      <c r="B1051" t="s">
        <v>946</v>
      </c>
      <c r="C1051" s="553">
        <v>44265</v>
      </c>
      <c r="D1051" s="281" t="s">
        <v>4482</v>
      </c>
      <c r="E1051" s="281" t="s">
        <v>3653</v>
      </c>
      <c r="F1051" s="281">
        <v>5</v>
      </c>
      <c r="G1051" s="28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2">
        <v>136714</v>
      </c>
      <c r="O1051" t="s">
        <v>973</v>
      </c>
    </row>
    <row r="1052" spans="1:15">
      <c r="A1052" t="s">
        <v>942</v>
      </c>
      <c r="B1052" t="s">
        <v>946</v>
      </c>
      <c r="C1052" s="553">
        <v>44265</v>
      </c>
      <c r="D1052" s="281" t="s">
        <v>4482</v>
      </c>
      <c r="E1052" s="281" t="s">
        <v>3653</v>
      </c>
      <c r="F1052" s="281">
        <v>5</v>
      </c>
      <c r="G1052" s="28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2">
        <v>6000</v>
      </c>
      <c r="O1052" t="s">
        <v>973</v>
      </c>
    </row>
    <row r="1053" spans="1:15">
      <c r="A1053" t="s">
        <v>942</v>
      </c>
      <c r="B1053" t="s">
        <v>946</v>
      </c>
      <c r="C1053" s="553">
        <v>44265</v>
      </c>
      <c r="D1053" s="281" t="s">
        <v>4482</v>
      </c>
      <c r="E1053" s="281" t="s">
        <v>3653</v>
      </c>
      <c r="F1053" s="281">
        <v>5</v>
      </c>
      <c r="G1053" s="28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2">
        <v>16405.68</v>
      </c>
      <c r="O1053" t="s">
        <v>975</v>
      </c>
    </row>
    <row r="1054" spans="1:15">
      <c r="A1054" t="s">
        <v>942</v>
      </c>
      <c r="B1054" t="s">
        <v>946</v>
      </c>
      <c r="C1054" s="553">
        <v>44265</v>
      </c>
      <c r="D1054" s="281" t="s">
        <v>4482</v>
      </c>
      <c r="E1054" s="281" t="s">
        <v>3653</v>
      </c>
      <c r="F1054" s="281">
        <v>5</v>
      </c>
      <c r="G1054" s="28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2">
        <v>300</v>
      </c>
      <c r="O1054" t="s">
        <v>973</v>
      </c>
    </row>
    <row r="1055" spans="1:15">
      <c r="A1055" t="s">
        <v>942</v>
      </c>
      <c r="B1055" t="s">
        <v>946</v>
      </c>
      <c r="C1055" s="553">
        <v>44265</v>
      </c>
      <c r="D1055" s="281" t="s">
        <v>4482</v>
      </c>
      <c r="E1055" s="281" t="s">
        <v>3653</v>
      </c>
      <c r="F1055" s="281">
        <v>5</v>
      </c>
      <c r="G1055" s="28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2">
        <v>1924.49</v>
      </c>
      <c r="O1055" t="s">
        <v>973</v>
      </c>
    </row>
    <row r="1056" spans="1:15">
      <c r="A1056" t="s">
        <v>942</v>
      </c>
      <c r="B1056" t="s">
        <v>946</v>
      </c>
      <c r="C1056" s="553">
        <v>44265</v>
      </c>
      <c r="D1056" s="281" t="s">
        <v>4482</v>
      </c>
      <c r="E1056" s="281" t="s">
        <v>3653</v>
      </c>
      <c r="F1056" s="281">
        <v>5</v>
      </c>
      <c r="G1056" s="28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2">
        <v>300</v>
      </c>
      <c r="O1056" t="s">
        <v>973</v>
      </c>
    </row>
    <row r="1057" spans="1:15">
      <c r="A1057" t="s">
        <v>942</v>
      </c>
      <c r="B1057" t="s">
        <v>946</v>
      </c>
      <c r="C1057" s="553">
        <v>44265</v>
      </c>
      <c r="D1057" s="281" t="s">
        <v>4483</v>
      </c>
      <c r="E1057" s="281" t="s">
        <v>3656</v>
      </c>
      <c r="F1057" s="281">
        <v>13</v>
      </c>
      <c r="G1057" s="28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2">
        <v>33575</v>
      </c>
      <c r="O1057" t="s">
        <v>999</v>
      </c>
    </row>
    <row r="1058" spans="1:15">
      <c r="A1058" t="s">
        <v>942</v>
      </c>
      <c r="B1058" t="s">
        <v>946</v>
      </c>
      <c r="C1058" s="553">
        <v>44265</v>
      </c>
      <c r="D1058" s="281" t="s">
        <v>4483</v>
      </c>
      <c r="E1058" s="281" t="s">
        <v>3656</v>
      </c>
      <c r="F1058" s="281">
        <v>13</v>
      </c>
      <c r="G1058" s="28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2">
        <v>2000</v>
      </c>
      <c r="O1058" t="s">
        <v>999</v>
      </c>
    </row>
    <row r="1059" spans="1:15">
      <c r="A1059" t="s">
        <v>942</v>
      </c>
      <c r="B1059" t="s">
        <v>946</v>
      </c>
      <c r="C1059" s="553">
        <v>44265</v>
      </c>
      <c r="D1059" s="281" t="s">
        <v>4483</v>
      </c>
      <c r="E1059" s="281" t="s">
        <v>3656</v>
      </c>
      <c r="F1059" s="281">
        <v>13</v>
      </c>
      <c r="G1059" s="28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2">
        <v>4029</v>
      </c>
      <c r="O1059" t="s">
        <v>999</v>
      </c>
    </row>
    <row r="1060" spans="1:15">
      <c r="A1060" t="s">
        <v>942</v>
      </c>
      <c r="B1060" t="s">
        <v>946</v>
      </c>
      <c r="C1060" s="553">
        <v>44265</v>
      </c>
      <c r="D1060" s="281" t="s">
        <v>4483</v>
      </c>
      <c r="E1060" s="281" t="s">
        <v>3656</v>
      </c>
      <c r="F1060" s="281">
        <v>13</v>
      </c>
      <c r="G1060" s="28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2">
        <v>100</v>
      </c>
      <c r="O1060" t="s">
        <v>999</v>
      </c>
    </row>
    <row r="1061" spans="1:15">
      <c r="A1061" t="s">
        <v>942</v>
      </c>
      <c r="B1061" t="s">
        <v>946</v>
      </c>
      <c r="C1061" s="553">
        <v>44265</v>
      </c>
      <c r="D1061" s="281" t="s">
        <v>4483</v>
      </c>
      <c r="E1061" s="281" t="s">
        <v>3656</v>
      </c>
      <c r="F1061" s="281">
        <v>13</v>
      </c>
      <c r="G1061" s="28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2">
        <v>503.63</v>
      </c>
      <c r="O1061" t="s">
        <v>999</v>
      </c>
    </row>
    <row r="1062" spans="1:15">
      <c r="A1062" t="s">
        <v>942</v>
      </c>
      <c r="B1062" t="s">
        <v>946</v>
      </c>
      <c r="C1062" s="553">
        <v>44265</v>
      </c>
      <c r="D1062" s="281" t="s">
        <v>4483</v>
      </c>
      <c r="E1062" s="281" t="s">
        <v>3656</v>
      </c>
      <c r="F1062" s="281">
        <v>13</v>
      </c>
      <c r="G1062" s="28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2">
        <v>100</v>
      </c>
      <c r="O1062" t="s">
        <v>999</v>
      </c>
    </row>
    <row r="1063" spans="1:15">
      <c r="A1063" t="s">
        <v>942</v>
      </c>
      <c r="B1063" t="s">
        <v>946</v>
      </c>
      <c r="C1063" s="553">
        <v>44266</v>
      </c>
      <c r="D1063" s="281" t="s">
        <v>4484</v>
      </c>
      <c r="E1063" s="281" t="s">
        <v>3668</v>
      </c>
      <c r="F1063" s="281">
        <v>4</v>
      </c>
      <c r="G1063" s="28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2">
        <v>23877</v>
      </c>
      <c r="O1063" t="s">
        <v>970</v>
      </c>
    </row>
    <row r="1064" spans="1:15">
      <c r="A1064" t="s">
        <v>942</v>
      </c>
      <c r="B1064" t="s">
        <v>946</v>
      </c>
      <c r="C1064" s="553">
        <v>44266</v>
      </c>
      <c r="D1064" s="281" t="s">
        <v>4484</v>
      </c>
      <c r="E1064" s="281" t="s">
        <v>3668</v>
      </c>
      <c r="F1064" s="281">
        <v>4</v>
      </c>
      <c r="G1064" s="28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2">
        <v>2000</v>
      </c>
      <c r="O1064" t="s">
        <v>970</v>
      </c>
    </row>
    <row r="1065" spans="1:15">
      <c r="A1065" t="s">
        <v>942</v>
      </c>
      <c r="B1065" t="s">
        <v>946</v>
      </c>
      <c r="C1065" s="553">
        <v>44266</v>
      </c>
      <c r="D1065" s="281" t="s">
        <v>4484</v>
      </c>
      <c r="E1065" s="281" t="s">
        <v>3668</v>
      </c>
      <c r="F1065" s="281">
        <v>4</v>
      </c>
      <c r="G1065" s="28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2">
        <v>2865.24</v>
      </c>
      <c r="O1065" t="s">
        <v>972</v>
      </c>
    </row>
    <row r="1066" spans="1:15">
      <c r="A1066" t="s">
        <v>942</v>
      </c>
      <c r="B1066" t="s">
        <v>946</v>
      </c>
      <c r="C1066" s="553">
        <v>44266</v>
      </c>
      <c r="D1066" s="281" t="s">
        <v>4484</v>
      </c>
      <c r="E1066" s="281" t="s">
        <v>3668</v>
      </c>
      <c r="F1066" s="281">
        <v>4</v>
      </c>
      <c r="G1066" s="28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2">
        <v>100</v>
      </c>
      <c r="O1066" t="s">
        <v>970</v>
      </c>
    </row>
    <row r="1067" spans="1:15">
      <c r="A1067" t="s">
        <v>942</v>
      </c>
      <c r="B1067" t="s">
        <v>946</v>
      </c>
      <c r="C1067" s="553">
        <v>44266</v>
      </c>
      <c r="D1067" s="281" t="s">
        <v>4484</v>
      </c>
      <c r="E1067" s="281" t="s">
        <v>3668</v>
      </c>
      <c r="F1067" s="281">
        <v>4</v>
      </c>
      <c r="G1067" s="28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2">
        <v>358.16</v>
      </c>
      <c r="O1067" t="s">
        <v>970</v>
      </c>
    </row>
    <row r="1068" spans="1:15">
      <c r="A1068" t="s">
        <v>942</v>
      </c>
      <c r="B1068" t="s">
        <v>946</v>
      </c>
      <c r="C1068" s="553">
        <v>44266</v>
      </c>
      <c r="D1068" s="281" t="s">
        <v>4484</v>
      </c>
      <c r="E1068" s="281" t="s">
        <v>3668</v>
      </c>
      <c r="F1068" s="281">
        <v>4</v>
      </c>
      <c r="G1068" s="28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2">
        <v>100</v>
      </c>
      <c r="O1068" t="s">
        <v>970</v>
      </c>
    </row>
    <row r="1069" spans="1:15">
      <c r="A1069" t="s">
        <v>942</v>
      </c>
      <c r="B1069" t="s">
        <v>946</v>
      </c>
      <c r="C1069" s="553">
        <v>44266</v>
      </c>
      <c r="D1069" s="281" t="s">
        <v>4485</v>
      </c>
      <c r="E1069" s="281" t="s">
        <v>3677</v>
      </c>
      <c r="F1069" s="281">
        <v>5</v>
      </c>
      <c r="G1069" s="28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2">
        <v>2016</v>
      </c>
      <c r="O1069" t="s">
        <v>974</v>
      </c>
    </row>
    <row r="1070" spans="1:15">
      <c r="A1070" t="s">
        <v>942</v>
      </c>
      <c r="B1070" t="s">
        <v>946</v>
      </c>
      <c r="C1070" s="553">
        <v>44266</v>
      </c>
      <c r="D1070" s="281" t="s">
        <v>4486</v>
      </c>
      <c r="E1070" s="281" t="s">
        <v>3680</v>
      </c>
      <c r="F1070" s="281">
        <v>1</v>
      </c>
      <c r="G1070" s="28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2">
        <v>1344</v>
      </c>
      <c r="O1070" t="s">
        <v>961</v>
      </c>
    </row>
    <row r="1071" spans="1:15">
      <c r="A1071" t="s">
        <v>942</v>
      </c>
      <c r="B1071" t="s">
        <v>946</v>
      </c>
      <c r="C1071" s="553">
        <v>44266</v>
      </c>
      <c r="D1071" s="281" t="s">
        <v>4487</v>
      </c>
      <c r="E1071" s="281" t="s">
        <v>3683</v>
      </c>
      <c r="F1071" s="281">
        <v>5</v>
      </c>
      <c r="G1071" s="28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2">
        <v>1651.12</v>
      </c>
      <c r="O1071" t="s">
        <v>974</v>
      </c>
    </row>
    <row r="1072" spans="1:15">
      <c r="A1072" t="s">
        <v>942</v>
      </c>
      <c r="B1072" t="s">
        <v>946</v>
      </c>
      <c r="C1072" s="553">
        <v>44266</v>
      </c>
      <c r="D1072" s="281" t="s">
        <v>4488</v>
      </c>
      <c r="E1072" s="281" t="s">
        <v>3671</v>
      </c>
      <c r="F1072" s="281">
        <v>4</v>
      </c>
      <c r="G1072" s="28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2">
        <v>23877</v>
      </c>
      <c r="O1072" t="s">
        <v>970</v>
      </c>
    </row>
    <row r="1073" spans="1:15">
      <c r="A1073" t="s">
        <v>942</v>
      </c>
      <c r="B1073" t="s">
        <v>946</v>
      </c>
      <c r="C1073" s="553">
        <v>44266</v>
      </c>
      <c r="D1073" s="281" t="s">
        <v>4488</v>
      </c>
      <c r="E1073" s="281" t="s">
        <v>3671</v>
      </c>
      <c r="F1073" s="281">
        <v>4</v>
      </c>
      <c r="G1073" s="28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2">
        <v>2000</v>
      </c>
      <c r="O1073" t="s">
        <v>970</v>
      </c>
    </row>
    <row r="1074" spans="1:15">
      <c r="A1074" t="s">
        <v>942</v>
      </c>
      <c r="B1074" t="s">
        <v>946</v>
      </c>
      <c r="C1074" s="553">
        <v>44266</v>
      </c>
      <c r="D1074" s="281" t="s">
        <v>4488</v>
      </c>
      <c r="E1074" s="281" t="s">
        <v>3671</v>
      </c>
      <c r="F1074" s="281">
        <v>4</v>
      </c>
      <c r="G1074" s="28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2">
        <v>2865.24</v>
      </c>
      <c r="O1074" t="s">
        <v>972</v>
      </c>
    </row>
    <row r="1075" spans="1:15">
      <c r="A1075" t="s">
        <v>942</v>
      </c>
      <c r="B1075" t="s">
        <v>946</v>
      </c>
      <c r="C1075" s="553">
        <v>44266</v>
      </c>
      <c r="D1075" s="281" t="s">
        <v>4488</v>
      </c>
      <c r="E1075" s="281" t="s">
        <v>3671</v>
      </c>
      <c r="F1075" s="281">
        <v>4</v>
      </c>
      <c r="G1075" s="28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2">
        <v>100</v>
      </c>
      <c r="O1075" t="s">
        <v>970</v>
      </c>
    </row>
    <row r="1076" spans="1:15">
      <c r="A1076" t="s">
        <v>942</v>
      </c>
      <c r="B1076" t="s">
        <v>946</v>
      </c>
      <c r="C1076" s="553">
        <v>44266</v>
      </c>
      <c r="D1076" s="281" t="s">
        <v>4488</v>
      </c>
      <c r="E1076" s="281" t="s">
        <v>3671</v>
      </c>
      <c r="F1076" s="281">
        <v>4</v>
      </c>
      <c r="G1076" s="28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2">
        <v>358.16</v>
      </c>
      <c r="O1076" t="s">
        <v>970</v>
      </c>
    </row>
    <row r="1077" spans="1:15">
      <c r="A1077" t="s">
        <v>942</v>
      </c>
      <c r="B1077" t="s">
        <v>946</v>
      </c>
      <c r="C1077" s="553">
        <v>44266</v>
      </c>
      <c r="D1077" s="281" t="s">
        <v>4488</v>
      </c>
      <c r="E1077" s="281" t="s">
        <v>3671</v>
      </c>
      <c r="F1077" s="281">
        <v>4</v>
      </c>
      <c r="G1077" s="28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2">
        <v>100</v>
      </c>
      <c r="O1077" t="s">
        <v>970</v>
      </c>
    </row>
    <row r="1078" spans="1:15">
      <c r="A1078" t="s">
        <v>942</v>
      </c>
      <c r="B1078" t="s">
        <v>946</v>
      </c>
      <c r="C1078" s="553">
        <v>44266</v>
      </c>
      <c r="D1078" s="281" t="s">
        <v>4489</v>
      </c>
      <c r="E1078" s="281" t="s">
        <v>3673</v>
      </c>
      <c r="F1078" s="281">
        <v>13</v>
      </c>
      <c r="G1078" s="28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2">
        <v>77256</v>
      </c>
      <c r="O1078" t="s">
        <v>999</v>
      </c>
    </row>
    <row r="1079" spans="1:15">
      <c r="A1079" t="s">
        <v>942</v>
      </c>
      <c r="B1079" t="s">
        <v>946</v>
      </c>
      <c r="C1079" s="553">
        <v>44266</v>
      </c>
      <c r="D1079" s="281" t="s">
        <v>4489</v>
      </c>
      <c r="E1079" s="281" t="s">
        <v>3673</v>
      </c>
      <c r="F1079" s="281">
        <v>13</v>
      </c>
      <c r="G1079" s="28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2">
        <v>4000</v>
      </c>
      <c r="O1079" t="s">
        <v>999</v>
      </c>
    </row>
    <row r="1080" spans="1:15">
      <c r="A1080" t="s">
        <v>942</v>
      </c>
      <c r="B1080" t="s">
        <v>946</v>
      </c>
      <c r="C1080" s="553">
        <v>44266</v>
      </c>
      <c r="D1080" s="281" t="s">
        <v>4489</v>
      </c>
      <c r="E1080" s="281" t="s">
        <v>3673</v>
      </c>
      <c r="F1080" s="281">
        <v>13</v>
      </c>
      <c r="G1080" s="28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2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3">
        <v>44266</v>
      </c>
      <c r="D1081" s="281" t="s">
        <v>4489</v>
      </c>
      <c r="E1081" s="281" t="s">
        <v>3673</v>
      </c>
      <c r="F1081" s="281">
        <v>13</v>
      </c>
      <c r="G1081" s="28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2">
        <v>200</v>
      </c>
      <c r="O1081" t="s">
        <v>999</v>
      </c>
    </row>
    <row r="1082" spans="1:15">
      <c r="A1082" t="s">
        <v>942</v>
      </c>
      <c r="B1082" t="s">
        <v>946</v>
      </c>
      <c r="C1082" s="553">
        <v>44266</v>
      </c>
      <c r="D1082" s="281" t="s">
        <v>4489</v>
      </c>
      <c r="E1082" s="281" t="s">
        <v>3673</v>
      </c>
      <c r="F1082" s="281">
        <v>13</v>
      </c>
      <c r="G1082" s="28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2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3">
        <v>44266</v>
      </c>
      <c r="D1083" s="281" t="s">
        <v>4489</v>
      </c>
      <c r="E1083" s="281" t="s">
        <v>3673</v>
      </c>
      <c r="F1083" s="281">
        <v>13</v>
      </c>
      <c r="G1083" s="28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2">
        <v>200</v>
      </c>
      <c r="O1083" t="s">
        <v>999</v>
      </c>
    </row>
    <row r="1084" spans="1:15">
      <c r="A1084" t="s">
        <v>942</v>
      </c>
      <c r="B1084" t="s">
        <v>946</v>
      </c>
      <c r="C1084" s="553">
        <v>44266</v>
      </c>
      <c r="D1084" s="281" t="s">
        <v>4490</v>
      </c>
      <c r="E1084" s="281" t="s">
        <v>3675</v>
      </c>
      <c r="F1084" s="281">
        <v>1</v>
      </c>
      <c r="G1084" s="28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2">
        <v>57452</v>
      </c>
      <c r="O1084" t="s">
        <v>960</v>
      </c>
    </row>
    <row r="1085" spans="1:15">
      <c r="A1085" t="s">
        <v>942</v>
      </c>
      <c r="B1085" t="s">
        <v>946</v>
      </c>
      <c r="C1085" s="553">
        <v>44266</v>
      </c>
      <c r="D1085" s="281" t="s">
        <v>4490</v>
      </c>
      <c r="E1085" s="281" t="s">
        <v>3675</v>
      </c>
      <c r="F1085" s="281">
        <v>1</v>
      </c>
      <c r="G1085" s="28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2">
        <v>4000</v>
      </c>
      <c r="O1085" t="s">
        <v>960</v>
      </c>
    </row>
    <row r="1086" spans="1:15">
      <c r="A1086" t="s">
        <v>942</v>
      </c>
      <c r="B1086" t="s">
        <v>946</v>
      </c>
      <c r="C1086" s="553">
        <v>44266</v>
      </c>
      <c r="D1086" s="281" t="s">
        <v>4490</v>
      </c>
      <c r="E1086" s="281" t="s">
        <v>3675</v>
      </c>
      <c r="F1086" s="281">
        <v>1</v>
      </c>
      <c r="G1086" s="28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2">
        <v>6894.24</v>
      </c>
      <c r="O1086" t="s">
        <v>962</v>
      </c>
    </row>
    <row r="1087" spans="1:15">
      <c r="A1087" t="s">
        <v>942</v>
      </c>
      <c r="B1087" t="s">
        <v>946</v>
      </c>
      <c r="C1087" s="553">
        <v>44266</v>
      </c>
      <c r="D1087" s="281" t="s">
        <v>4490</v>
      </c>
      <c r="E1087" s="281" t="s">
        <v>3675</v>
      </c>
      <c r="F1087" s="281">
        <v>1</v>
      </c>
      <c r="G1087" s="28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2">
        <v>200</v>
      </c>
      <c r="O1087" t="s">
        <v>960</v>
      </c>
    </row>
    <row r="1088" spans="1:15">
      <c r="A1088" t="s">
        <v>942</v>
      </c>
      <c r="B1088" t="s">
        <v>946</v>
      </c>
      <c r="C1088" s="553">
        <v>44266</v>
      </c>
      <c r="D1088" s="281" t="s">
        <v>4490</v>
      </c>
      <c r="E1088" s="281" t="s">
        <v>3675</v>
      </c>
      <c r="F1088" s="281">
        <v>1</v>
      </c>
      <c r="G1088" s="28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2">
        <v>861.79</v>
      </c>
      <c r="O1088" t="s">
        <v>960</v>
      </c>
    </row>
    <row r="1089" spans="1:15">
      <c r="A1089" t="s">
        <v>942</v>
      </c>
      <c r="B1089" t="s">
        <v>946</v>
      </c>
      <c r="C1089" s="553">
        <v>44266</v>
      </c>
      <c r="D1089" s="281" t="s">
        <v>4490</v>
      </c>
      <c r="E1089" s="281" t="s">
        <v>3675</v>
      </c>
      <c r="F1089" s="281">
        <v>1</v>
      </c>
      <c r="G1089" s="28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2">
        <v>200</v>
      </c>
      <c r="O1089" t="s">
        <v>960</v>
      </c>
    </row>
    <row r="1090" spans="1:15">
      <c r="A1090" t="s">
        <v>942</v>
      </c>
      <c r="B1090" t="s">
        <v>946</v>
      </c>
      <c r="C1090" s="553">
        <v>44266</v>
      </c>
      <c r="D1090" s="281" t="s">
        <v>4490</v>
      </c>
      <c r="E1090" s="281" t="s">
        <v>3675</v>
      </c>
      <c r="F1090" s="281">
        <v>2</v>
      </c>
      <c r="G1090" s="28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2">
        <v>130423</v>
      </c>
      <c r="O1090" t="s">
        <v>964</v>
      </c>
    </row>
    <row r="1091" spans="1:15">
      <c r="A1091" t="s">
        <v>942</v>
      </c>
      <c r="B1091" t="s">
        <v>946</v>
      </c>
      <c r="C1091" s="553">
        <v>44266</v>
      </c>
      <c r="D1091" s="281" t="s">
        <v>4490</v>
      </c>
      <c r="E1091" s="281" t="s">
        <v>3675</v>
      </c>
      <c r="F1091" s="281">
        <v>2</v>
      </c>
      <c r="G1091" s="28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2">
        <v>4000</v>
      </c>
      <c r="O1091" t="s">
        <v>964</v>
      </c>
    </row>
    <row r="1092" spans="1:15">
      <c r="A1092" t="s">
        <v>942</v>
      </c>
      <c r="B1092" t="s">
        <v>946</v>
      </c>
      <c r="C1092" s="553">
        <v>44266</v>
      </c>
      <c r="D1092" s="281" t="s">
        <v>4490</v>
      </c>
      <c r="E1092" s="281" t="s">
        <v>3675</v>
      </c>
      <c r="F1092" s="281">
        <v>2</v>
      </c>
      <c r="G1092" s="28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2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3">
        <v>44266</v>
      </c>
      <c r="D1093" s="281" t="s">
        <v>4490</v>
      </c>
      <c r="E1093" s="281" t="s">
        <v>3675</v>
      </c>
      <c r="F1093" s="281">
        <v>2</v>
      </c>
      <c r="G1093" s="28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2">
        <v>200</v>
      </c>
      <c r="O1093" t="s">
        <v>964</v>
      </c>
    </row>
    <row r="1094" spans="1:15">
      <c r="A1094" t="s">
        <v>942</v>
      </c>
      <c r="B1094" t="s">
        <v>946</v>
      </c>
      <c r="C1094" s="553">
        <v>44266</v>
      </c>
      <c r="D1094" s="281" t="s">
        <v>4490</v>
      </c>
      <c r="E1094" s="281" t="s">
        <v>3675</v>
      </c>
      <c r="F1094" s="281">
        <v>2</v>
      </c>
      <c r="G1094" s="28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2">
        <v>1555.22</v>
      </c>
      <c r="O1094" t="s">
        <v>964</v>
      </c>
    </row>
    <row r="1095" spans="1:15">
      <c r="A1095" t="s">
        <v>942</v>
      </c>
      <c r="B1095" t="s">
        <v>946</v>
      </c>
      <c r="C1095" s="553">
        <v>44266</v>
      </c>
      <c r="D1095" s="281" t="s">
        <v>4490</v>
      </c>
      <c r="E1095" s="281" t="s">
        <v>3675</v>
      </c>
      <c r="F1095" s="281">
        <v>2</v>
      </c>
      <c r="G1095" s="28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2">
        <v>200</v>
      </c>
      <c r="O1095" t="s">
        <v>964</v>
      </c>
    </row>
    <row r="1096" spans="1:15">
      <c r="A1096" t="s">
        <v>942</v>
      </c>
      <c r="B1096" t="s">
        <v>946</v>
      </c>
      <c r="C1096" s="553">
        <v>44266</v>
      </c>
      <c r="D1096" s="281" t="s">
        <v>4490</v>
      </c>
      <c r="E1096" s="281" t="s">
        <v>3675</v>
      </c>
      <c r="F1096" s="281">
        <v>3</v>
      </c>
      <c r="G1096" s="28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2">
        <v>111742</v>
      </c>
      <c r="O1096" t="s">
        <v>967</v>
      </c>
    </row>
    <row r="1097" spans="1:15">
      <c r="A1097" t="s">
        <v>942</v>
      </c>
      <c r="B1097" t="s">
        <v>946</v>
      </c>
      <c r="C1097" s="553">
        <v>44266</v>
      </c>
      <c r="D1097" s="281" t="s">
        <v>4490</v>
      </c>
      <c r="E1097" s="281" t="s">
        <v>3675</v>
      </c>
      <c r="F1097" s="281">
        <v>3</v>
      </c>
      <c r="G1097" s="28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2">
        <v>2000</v>
      </c>
      <c r="O1097" t="s">
        <v>967</v>
      </c>
    </row>
    <row r="1098" spans="1:15">
      <c r="A1098" t="s">
        <v>942</v>
      </c>
      <c r="B1098" t="s">
        <v>946</v>
      </c>
      <c r="C1098" s="553">
        <v>44266</v>
      </c>
      <c r="D1098" s="281" t="s">
        <v>4490</v>
      </c>
      <c r="E1098" s="281" t="s">
        <v>3675</v>
      </c>
      <c r="F1098" s="281">
        <v>3</v>
      </c>
      <c r="G1098" s="28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2">
        <v>13409.04</v>
      </c>
      <c r="O1098" t="s">
        <v>969</v>
      </c>
    </row>
    <row r="1099" spans="1:15">
      <c r="A1099" t="s">
        <v>942</v>
      </c>
      <c r="B1099" t="s">
        <v>946</v>
      </c>
      <c r="C1099" s="553">
        <v>44266</v>
      </c>
      <c r="D1099" s="281" t="s">
        <v>4490</v>
      </c>
      <c r="E1099" s="281" t="s">
        <v>3675</v>
      </c>
      <c r="F1099" s="281">
        <v>3</v>
      </c>
      <c r="G1099" s="28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2">
        <v>100</v>
      </c>
      <c r="O1099" t="s">
        <v>967</v>
      </c>
    </row>
    <row r="1100" spans="1:15">
      <c r="A1100" t="s">
        <v>942</v>
      </c>
      <c r="B1100" t="s">
        <v>946</v>
      </c>
      <c r="C1100" s="553">
        <v>44266</v>
      </c>
      <c r="D1100" s="281" t="s">
        <v>4490</v>
      </c>
      <c r="E1100" s="281" t="s">
        <v>3675</v>
      </c>
      <c r="F1100" s="281">
        <v>3</v>
      </c>
      <c r="G1100" s="28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2">
        <v>900</v>
      </c>
      <c r="O1100" t="s">
        <v>967</v>
      </c>
    </row>
    <row r="1101" spans="1:15">
      <c r="A1101" t="s">
        <v>942</v>
      </c>
      <c r="B1101" t="s">
        <v>946</v>
      </c>
      <c r="C1101" s="553">
        <v>44266</v>
      </c>
      <c r="D1101" s="281" t="s">
        <v>4490</v>
      </c>
      <c r="E1101" s="281" t="s">
        <v>3675</v>
      </c>
      <c r="F1101" s="281">
        <v>3</v>
      </c>
      <c r="G1101" s="28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2">
        <v>100</v>
      </c>
      <c r="O1101" t="s">
        <v>967</v>
      </c>
    </row>
    <row r="1102" spans="1:15">
      <c r="A1102" t="s">
        <v>942</v>
      </c>
      <c r="B1102" t="s">
        <v>946</v>
      </c>
      <c r="C1102" s="553">
        <v>44266</v>
      </c>
      <c r="D1102" s="281" t="s">
        <v>4490</v>
      </c>
      <c r="E1102" s="281" t="s">
        <v>3675</v>
      </c>
      <c r="F1102" s="281">
        <v>4</v>
      </c>
      <c r="G1102" s="28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2">
        <v>134419</v>
      </c>
      <c r="O1102" t="s">
        <v>970</v>
      </c>
    </row>
    <row r="1103" spans="1:15">
      <c r="A1103" t="s">
        <v>942</v>
      </c>
      <c r="B1103" t="s">
        <v>946</v>
      </c>
      <c r="C1103" s="553">
        <v>44266</v>
      </c>
      <c r="D1103" s="281" t="s">
        <v>4490</v>
      </c>
      <c r="E1103" s="281" t="s">
        <v>3675</v>
      </c>
      <c r="F1103" s="281">
        <v>4</v>
      </c>
      <c r="G1103" s="28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2">
        <v>4000</v>
      </c>
      <c r="O1103" t="s">
        <v>970</v>
      </c>
    </row>
    <row r="1104" spans="1:15">
      <c r="A1104" t="s">
        <v>942</v>
      </c>
      <c r="B1104" t="s">
        <v>946</v>
      </c>
      <c r="C1104" s="553">
        <v>44266</v>
      </c>
      <c r="D1104" s="281" t="s">
        <v>4490</v>
      </c>
      <c r="E1104" s="281" t="s">
        <v>3675</v>
      </c>
      <c r="F1104" s="281">
        <v>4</v>
      </c>
      <c r="G1104" s="28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2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3">
        <v>44266</v>
      </c>
      <c r="D1105" s="281" t="s">
        <v>4490</v>
      </c>
      <c r="E1105" s="281" t="s">
        <v>3675</v>
      </c>
      <c r="F1105" s="281">
        <v>4</v>
      </c>
      <c r="G1105" s="28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2">
        <v>200</v>
      </c>
      <c r="O1105" t="s">
        <v>970</v>
      </c>
    </row>
    <row r="1106" spans="1:15">
      <c r="A1106" t="s">
        <v>942</v>
      </c>
      <c r="B1106" t="s">
        <v>946</v>
      </c>
      <c r="C1106" s="553">
        <v>44266</v>
      </c>
      <c r="D1106" s="281" t="s">
        <v>4490</v>
      </c>
      <c r="E1106" s="281" t="s">
        <v>3675</v>
      </c>
      <c r="F1106" s="281">
        <v>4</v>
      </c>
      <c r="G1106" s="28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2">
        <v>1593.92</v>
      </c>
      <c r="O1106" t="s">
        <v>970</v>
      </c>
    </row>
    <row r="1107" spans="1:15">
      <c r="A1107" t="s">
        <v>942</v>
      </c>
      <c r="B1107" t="s">
        <v>946</v>
      </c>
      <c r="C1107" s="553">
        <v>44266</v>
      </c>
      <c r="D1107" s="281" t="s">
        <v>4490</v>
      </c>
      <c r="E1107" s="281" t="s">
        <v>3675</v>
      </c>
      <c r="F1107" s="281">
        <v>4</v>
      </c>
      <c r="G1107" s="28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2">
        <v>200</v>
      </c>
      <c r="O1107" t="s">
        <v>970</v>
      </c>
    </row>
    <row r="1108" spans="1:15">
      <c r="A1108" t="s">
        <v>942</v>
      </c>
      <c r="B1108" t="s">
        <v>946</v>
      </c>
      <c r="C1108" s="553">
        <v>44266</v>
      </c>
      <c r="D1108" s="281" t="s">
        <v>4490</v>
      </c>
      <c r="E1108" s="281" t="s">
        <v>3675</v>
      </c>
      <c r="F1108" s="281">
        <v>5</v>
      </c>
      <c r="G1108" s="28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2">
        <v>91522</v>
      </c>
      <c r="O1108" t="s">
        <v>973</v>
      </c>
    </row>
    <row r="1109" spans="1:15">
      <c r="A1109" t="s">
        <v>942</v>
      </c>
      <c r="B1109" t="s">
        <v>946</v>
      </c>
      <c r="C1109" s="553">
        <v>44266</v>
      </c>
      <c r="D1109" s="281" t="s">
        <v>4490</v>
      </c>
      <c r="E1109" s="281" t="s">
        <v>3675</v>
      </c>
      <c r="F1109" s="281">
        <v>5</v>
      </c>
      <c r="G1109" s="28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2">
        <v>4000</v>
      </c>
      <c r="O1109" t="s">
        <v>973</v>
      </c>
    </row>
    <row r="1110" spans="1:15">
      <c r="A1110" t="s">
        <v>942</v>
      </c>
      <c r="B1110" t="s">
        <v>946</v>
      </c>
      <c r="C1110" s="553">
        <v>44266</v>
      </c>
      <c r="D1110" s="281" t="s">
        <v>4490</v>
      </c>
      <c r="E1110" s="281" t="s">
        <v>3675</v>
      </c>
      <c r="F1110" s="281">
        <v>5</v>
      </c>
      <c r="G1110" s="28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2">
        <v>10982.64</v>
      </c>
      <c r="O1110" t="s">
        <v>975</v>
      </c>
    </row>
    <row r="1111" spans="1:15">
      <c r="A1111" t="s">
        <v>942</v>
      </c>
      <c r="B1111" t="s">
        <v>946</v>
      </c>
      <c r="C1111" s="553">
        <v>44266</v>
      </c>
      <c r="D1111" s="281" t="s">
        <v>4490</v>
      </c>
      <c r="E1111" s="281" t="s">
        <v>3675</v>
      </c>
      <c r="F1111" s="281">
        <v>5</v>
      </c>
      <c r="G1111" s="28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2">
        <v>200</v>
      </c>
      <c r="O1111" t="s">
        <v>973</v>
      </c>
    </row>
    <row r="1112" spans="1:15">
      <c r="A1112" t="s">
        <v>942</v>
      </c>
      <c r="B1112" t="s">
        <v>946</v>
      </c>
      <c r="C1112" s="553">
        <v>44266</v>
      </c>
      <c r="D1112" s="281" t="s">
        <v>4490</v>
      </c>
      <c r="E1112" s="281" t="s">
        <v>3675</v>
      </c>
      <c r="F1112" s="281">
        <v>5</v>
      </c>
      <c r="G1112" s="28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2">
        <v>1372.83</v>
      </c>
      <c r="O1112" t="s">
        <v>973</v>
      </c>
    </row>
    <row r="1113" spans="1:15">
      <c r="A1113" t="s">
        <v>942</v>
      </c>
      <c r="B1113" t="s">
        <v>946</v>
      </c>
      <c r="C1113" s="553">
        <v>44266</v>
      </c>
      <c r="D1113" s="281" t="s">
        <v>4490</v>
      </c>
      <c r="E1113" s="281" t="s">
        <v>3675</v>
      </c>
      <c r="F1113" s="281">
        <v>5</v>
      </c>
      <c r="G1113" s="28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2">
        <v>200</v>
      </c>
      <c r="O1113" t="s">
        <v>973</v>
      </c>
    </row>
    <row r="1114" spans="1:15">
      <c r="A1114" t="s">
        <v>942</v>
      </c>
      <c r="B1114" t="s">
        <v>946</v>
      </c>
      <c r="C1114" s="553">
        <v>44266</v>
      </c>
      <c r="D1114" s="281" t="s">
        <v>4490</v>
      </c>
      <c r="E1114" s="281" t="s">
        <v>3675</v>
      </c>
      <c r="F1114" s="281">
        <v>6</v>
      </c>
      <c r="G1114" s="28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2">
        <v>43681</v>
      </c>
      <c r="O1114" t="s">
        <v>976</v>
      </c>
    </row>
    <row r="1115" spans="1:15">
      <c r="A1115" t="s">
        <v>942</v>
      </c>
      <c r="B1115" t="s">
        <v>946</v>
      </c>
      <c r="C1115" s="553">
        <v>44266</v>
      </c>
      <c r="D1115" s="281" t="s">
        <v>4490</v>
      </c>
      <c r="E1115" s="281" t="s">
        <v>3675</v>
      </c>
      <c r="F1115" s="281">
        <v>6</v>
      </c>
      <c r="G1115" s="28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2">
        <v>2000</v>
      </c>
      <c r="O1115" t="s">
        <v>976</v>
      </c>
    </row>
    <row r="1116" spans="1:15">
      <c r="A1116" t="s">
        <v>942</v>
      </c>
      <c r="B1116" t="s">
        <v>946</v>
      </c>
      <c r="C1116" s="553">
        <v>44266</v>
      </c>
      <c r="D1116" s="281" t="s">
        <v>4490</v>
      </c>
      <c r="E1116" s="281" t="s">
        <v>3675</v>
      </c>
      <c r="F1116" s="281">
        <v>6</v>
      </c>
      <c r="G1116" s="28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2">
        <v>5241.72</v>
      </c>
      <c r="O1116" t="s">
        <v>978</v>
      </c>
    </row>
    <row r="1117" spans="1:15">
      <c r="A1117" t="s">
        <v>942</v>
      </c>
      <c r="B1117" t="s">
        <v>946</v>
      </c>
      <c r="C1117" s="553">
        <v>44266</v>
      </c>
      <c r="D1117" s="281" t="s">
        <v>4490</v>
      </c>
      <c r="E1117" s="281" t="s">
        <v>3675</v>
      </c>
      <c r="F1117" s="281">
        <v>6</v>
      </c>
      <c r="G1117" s="28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2">
        <v>100</v>
      </c>
      <c r="O1117" t="s">
        <v>976</v>
      </c>
    </row>
    <row r="1118" spans="1:15">
      <c r="A1118" t="s">
        <v>942</v>
      </c>
      <c r="B1118" t="s">
        <v>946</v>
      </c>
      <c r="C1118" s="553">
        <v>44266</v>
      </c>
      <c r="D1118" s="281" t="s">
        <v>4490</v>
      </c>
      <c r="E1118" s="281" t="s">
        <v>3675</v>
      </c>
      <c r="F1118" s="281">
        <v>6</v>
      </c>
      <c r="G1118" s="28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2">
        <v>655.22</v>
      </c>
      <c r="O1118" t="s">
        <v>976</v>
      </c>
    </row>
    <row r="1119" spans="1:15">
      <c r="A1119" t="s">
        <v>942</v>
      </c>
      <c r="B1119" t="s">
        <v>946</v>
      </c>
      <c r="C1119" s="553">
        <v>44266</v>
      </c>
      <c r="D1119" s="281" t="s">
        <v>4490</v>
      </c>
      <c r="E1119" s="281" t="s">
        <v>3675</v>
      </c>
      <c r="F1119" s="281">
        <v>6</v>
      </c>
      <c r="G1119" s="28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2">
        <v>100</v>
      </c>
      <c r="O1119" t="s">
        <v>976</v>
      </c>
    </row>
    <row r="1120" spans="1:15">
      <c r="A1120" t="s">
        <v>942</v>
      </c>
      <c r="B1120" t="s">
        <v>946</v>
      </c>
      <c r="C1120" s="553">
        <v>44266</v>
      </c>
      <c r="D1120" s="281" t="s">
        <v>4491</v>
      </c>
      <c r="E1120" s="281" t="s">
        <v>3861</v>
      </c>
      <c r="F1120" s="281">
        <v>1</v>
      </c>
      <c r="G1120" s="28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2">
        <v>0</v>
      </c>
      <c r="O1120" t="s">
        <v>961</v>
      </c>
    </row>
    <row r="1121" spans="1:15">
      <c r="A1121" t="s">
        <v>942</v>
      </c>
      <c r="B1121" t="s">
        <v>946</v>
      </c>
      <c r="C1121" s="553">
        <v>44266</v>
      </c>
      <c r="D1121" s="281" t="s">
        <v>4492</v>
      </c>
      <c r="E1121" s="281" t="s">
        <v>3686</v>
      </c>
      <c r="F1121" s="281">
        <v>1</v>
      </c>
      <c r="G1121" s="28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2">
        <v>22000</v>
      </c>
      <c r="O1121" t="s">
        <v>961</v>
      </c>
    </row>
    <row r="1122" spans="1:15">
      <c r="A1122" t="s">
        <v>942</v>
      </c>
      <c r="B1122" t="s">
        <v>946</v>
      </c>
      <c r="C1122" s="553">
        <v>44271</v>
      </c>
      <c r="D1122" s="281" t="s">
        <v>4493</v>
      </c>
      <c r="E1122" s="281" t="s">
        <v>3714</v>
      </c>
      <c r="F1122" s="281">
        <v>1</v>
      </c>
      <c r="G1122" s="28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2">
        <v>14000</v>
      </c>
      <c r="O1122" t="s">
        <v>961</v>
      </c>
    </row>
    <row r="1123" spans="1:15">
      <c r="A1123" t="s">
        <v>942</v>
      </c>
      <c r="B1123" t="s">
        <v>946</v>
      </c>
      <c r="C1123" s="553">
        <v>44271</v>
      </c>
      <c r="D1123" s="281" t="s">
        <v>4494</v>
      </c>
      <c r="E1123" s="281" t="s">
        <v>3864</v>
      </c>
      <c r="F1123" s="281">
        <v>2</v>
      </c>
      <c r="G1123" s="28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2">
        <v>7873</v>
      </c>
      <c r="O1123" t="s">
        <v>965</v>
      </c>
    </row>
    <row r="1124" spans="1:15">
      <c r="A1124" t="s">
        <v>942</v>
      </c>
      <c r="B1124" t="s">
        <v>946</v>
      </c>
      <c r="C1124" s="553">
        <v>44271</v>
      </c>
      <c r="D1124" s="281" t="s">
        <v>4495</v>
      </c>
      <c r="E1124" s="281" t="s">
        <v>3693</v>
      </c>
      <c r="F1124" s="281">
        <v>11</v>
      </c>
      <c r="G1124" s="28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2">
        <v>57498</v>
      </c>
      <c r="O1124" t="s">
        <v>985</v>
      </c>
    </row>
    <row r="1125" spans="1:15">
      <c r="A1125" t="s">
        <v>942</v>
      </c>
      <c r="B1125" t="s">
        <v>946</v>
      </c>
      <c r="C1125" s="553">
        <v>44271</v>
      </c>
      <c r="D1125" s="281" t="s">
        <v>4495</v>
      </c>
      <c r="E1125" s="281" t="s">
        <v>3693</v>
      </c>
      <c r="F1125" s="281">
        <v>11</v>
      </c>
      <c r="G1125" s="28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2">
        <v>525004</v>
      </c>
      <c r="O1125" t="s">
        <v>985</v>
      </c>
    </row>
    <row r="1126" spans="1:15">
      <c r="A1126" t="s">
        <v>942</v>
      </c>
      <c r="B1126" t="s">
        <v>946</v>
      </c>
      <c r="C1126" s="553">
        <v>44271</v>
      </c>
      <c r="D1126" s="281" t="s">
        <v>4495</v>
      </c>
      <c r="E1126" s="281" t="s">
        <v>3693</v>
      </c>
      <c r="F1126" s="281">
        <v>11</v>
      </c>
      <c r="G1126" s="28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2">
        <v>19166</v>
      </c>
      <c r="O1126" t="s">
        <v>985</v>
      </c>
    </row>
    <row r="1127" spans="1:15">
      <c r="A1127" t="s">
        <v>942</v>
      </c>
      <c r="B1127" t="s">
        <v>946</v>
      </c>
      <c r="C1127" s="553">
        <v>44271</v>
      </c>
      <c r="D1127" s="281" t="s">
        <v>4495</v>
      </c>
      <c r="E1127" s="281" t="s">
        <v>3693</v>
      </c>
      <c r="F1127" s="281">
        <v>11</v>
      </c>
      <c r="G1127" s="28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2">
        <v>38332</v>
      </c>
      <c r="O1127" t="s">
        <v>985</v>
      </c>
    </row>
    <row r="1128" spans="1:15">
      <c r="A1128" t="s">
        <v>942</v>
      </c>
      <c r="B1128" t="s">
        <v>946</v>
      </c>
      <c r="C1128" s="553">
        <v>44271</v>
      </c>
      <c r="D1128" s="281" t="s">
        <v>4496</v>
      </c>
      <c r="E1128" s="281" t="s">
        <v>3696</v>
      </c>
      <c r="F1128" s="281">
        <v>5</v>
      </c>
      <c r="G1128" s="28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2">
        <v>20000</v>
      </c>
      <c r="O1128" t="s">
        <v>974</v>
      </c>
    </row>
    <row r="1129" spans="1:15">
      <c r="A1129" t="s">
        <v>942</v>
      </c>
      <c r="B1129" t="s">
        <v>946</v>
      </c>
      <c r="C1129" s="553">
        <v>44271</v>
      </c>
      <c r="D1129" s="281" t="s">
        <v>4496</v>
      </c>
      <c r="E1129" s="281" t="s">
        <v>3696</v>
      </c>
      <c r="F1129" s="281">
        <v>5</v>
      </c>
      <c r="G1129" s="28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2">
        <v>40000</v>
      </c>
      <c r="O1129" t="s">
        <v>974</v>
      </c>
    </row>
    <row r="1130" spans="1:15">
      <c r="A1130" t="s">
        <v>942</v>
      </c>
      <c r="B1130" t="s">
        <v>946</v>
      </c>
      <c r="C1130" s="553">
        <v>44271</v>
      </c>
      <c r="D1130" s="281" t="s">
        <v>4496</v>
      </c>
      <c r="E1130" s="281" t="s">
        <v>3696</v>
      </c>
      <c r="F1130" s="281">
        <v>6</v>
      </c>
      <c r="G1130" s="28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2">
        <v>20000</v>
      </c>
      <c r="O1130" t="s">
        <v>977</v>
      </c>
    </row>
    <row r="1131" spans="1:15">
      <c r="A1131" t="s">
        <v>942</v>
      </c>
      <c r="B1131" t="s">
        <v>946</v>
      </c>
      <c r="C1131" s="553">
        <v>44271</v>
      </c>
      <c r="D1131" s="281" t="s">
        <v>4496</v>
      </c>
      <c r="E1131" s="281" t="s">
        <v>3696</v>
      </c>
      <c r="F1131" s="281">
        <v>6</v>
      </c>
      <c r="G1131" s="28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2">
        <v>60000</v>
      </c>
      <c r="O1131" t="s">
        <v>977</v>
      </c>
    </row>
    <row r="1132" spans="1:15">
      <c r="A1132" t="s">
        <v>942</v>
      </c>
      <c r="B1132" t="s">
        <v>946</v>
      </c>
      <c r="C1132" s="553">
        <v>44271</v>
      </c>
      <c r="D1132" s="281" t="s">
        <v>4496</v>
      </c>
      <c r="E1132" s="281" t="s">
        <v>3696</v>
      </c>
      <c r="F1132" s="281">
        <v>7</v>
      </c>
      <c r="G1132" s="28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2">
        <v>20000</v>
      </c>
      <c r="O1132" t="s">
        <v>979</v>
      </c>
    </row>
    <row r="1133" spans="1:15">
      <c r="A1133" t="s">
        <v>942</v>
      </c>
      <c r="B1133" t="s">
        <v>946</v>
      </c>
      <c r="C1133" s="553">
        <v>44271</v>
      </c>
      <c r="D1133" s="281" t="s">
        <v>4497</v>
      </c>
      <c r="E1133" s="281" t="s">
        <v>3699</v>
      </c>
      <c r="F1133" s="281">
        <v>12</v>
      </c>
      <c r="G1133" s="28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2">
        <v>16700</v>
      </c>
      <c r="O1133" t="s">
        <v>986</v>
      </c>
    </row>
    <row r="1134" spans="1:15">
      <c r="A1134" t="s">
        <v>942</v>
      </c>
      <c r="B1134" t="s">
        <v>946</v>
      </c>
      <c r="C1134" s="553">
        <v>44271</v>
      </c>
      <c r="D1134" s="281" t="s">
        <v>4497</v>
      </c>
      <c r="E1134" s="281" t="s">
        <v>3699</v>
      </c>
      <c r="F1134" s="281">
        <v>12</v>
      </c>
      <c r="G1134" s="28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2">
        <v>73434</v>
      </c>
      <c r="O1134" t="s">
        <v>987</v>
      </c>
    </row>
    <row r="1135" spans="1:15">
      <c r="A1135" t="s">
        <v>942</v>
      </c>
      <c r="B1135" t="s">
        <v>946</v>
      </c>
      <c r="C1135" s="553">
        <v>44271</v>
      </c>
      <c r="D1135" s="281" t="s">
        <v>4497</v>
      </c>
      <c r="E1135" s="281" t="s">
        <v>3699</v>
      </c>
      <c r="F1135" s="281">
        <v>12</v>
      </c>
      <c r="G1135" s="28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2">
        <v>2500</v>
      </c>
      <c r="O1135" t="s">
        <v>988</v>
      </c>
    </row>
    <row r="1136" spans="1:15">
      <c r="A1136" t="s">
        <v>942</v>
      </c>
      <c r="B1136" t="s">
        <v>946</v>
      </c>
      <c r="C1136" s="553">
        <v>44271</v>
      </c>
      <c r="D1136" s="281" t="s">
        <v>4497</v>
      </c>
      <c r="E1136" s="281" t="s">
        <v>3699</v>
      </c>
      <c r="F1136" s="281">
        <v>12</v>
      </c>
      <c r="G1136" s="28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2">
        <v>1500</v>
      </c>
      <c r="O1136" t="s">
        <v>991</v>
      </c>
    </row>
    <row r="1137" spans="1:15">
      <c r="A1137" t="s">
        <v>942</v>
      </c>
      <c r="B1137" t="s">
        <v>946</v>
      </c>
      <c r="C1137" s="553">
        <v>44271</v>
      </c>
      <c r="D1137" s="281" t="s">
        <v>4497</v>
      </c>
      <c r="E1137" s="281" t="s">
        <v>3699</v>
      </c>
      <c r="F1137" s="281">
        <v>12</v>
      </c>
      <c r="G1137" s="28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2">
        <v>24500</v>
      </c>
      <c r="O1137" t="s">
        <v>993</v>
      </c>
    </row>
    <row r="1138" spans="1:15">
      <c r="A1138" t="s">
        <v>942</v>
      </c>
      <c r="B1138" t="s">
        <v>946</v>
      </c>
      <c r="C1138" s="553">
        <v>44271</v>
      </c>
      <c r="D1138" s="281" t="s">
        <v>4497</v>
      </c>
      <c r="E1138" s="281" t="s">
        <v>3699</v>
      </c>
      <c r="F1138" s="281">
        <v>12</v>
      </c>
      <c r="G1138" s="28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2">
        <v>1000</v>
      </c>
      <c r="O1138" t="s">
        <v>994</v>
      </c>
    </row>
    <row r="1139" spans="1:15">
      <c r="A1139" t="s">
        <v>942</v>
      </c>
      <c r="B1139" t="s">
        <v>946</v>
      </c>
      <c r="C1139" s="553">
        <v>44271</v>
      </c>
      <c r="D1139" s="281" t="s">
        <v>4498</v>
      </c>
      <c r="E1139" s="281" t="s">
        <v>3690</v>
      </c>
      <c r="F1139" s="281">
        <v>10</v>
      </c>
      <c r="G1139" s="28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2">
        <v>5000</v>
      </c>
      <c r="O1139" t="s">
        <v>983</v>
      </c>
    </row>
    <row r="1140" spans="1:15">
      <c r="A1140" t="s">
        <v>942</v>
      </c>
      <c r="B1140" t="s">
        <v>946</v>
      </c>
      <c r="C1140" s="553">
        <v>44271</v>
      </c>
      <c r="D1140" s="281" t="s">
        <v>4498</v>
      </c>
      <c r="E1140" s="281" t="s">
        <v>3690</v>
      </c>
      <c r="F1140" s="281">
        <v>10</v>
      </c>
      <c r="G1140" s="28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2">
        <v>45000</v>
      </c>
      <c r="O1140" t="s">
        <v>983</v>
      </c>
    </row>
    <row r="1141" spans="1:15">
      <c r="A1141" t="s">
        <v>942</v>
      </c>
      <c r="B1141" t="s">
        <v>946</v>
      </c>
      <c r="C1141" s="553">
        <v>44271</v>
      </c>
      <c r="D1141" s="281" t="s">
        <v>4498</v>
      </c>
      <c r="E1141" s="281" t="s">
        <v>3690</v>
      </c>
      <c r="F1141" s="281">
        <v>10</v>
      </c>
      <c r="G1141" s="28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2">
        <v>5000</v>
      </c>
      <c r="O1141" t="s">
        <v>983</v>
      </c>
    </row>
    <row r="1142" spans="1:15">
      <c r="A1142" t="s">
        <v>942</v>
      </c>
      <c r="B1142" t="s">
        <v>946</v>
      </c>
      <c r="C1142" s="553">
        <v>44271</v>
      </c>
      <c r="D1142" s="281" t="s">
        <v>4498</v>
      </c>
      <c r="E1142" s="281" t="s">
        <v>3690</v>
      </c>
      <c r="F1142" s="281">
        <v>10</v>
      </c>
      <c r="G1142" s="28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2">
        <v>15000</v>
      </c>
      <c r="O1142" t="s">
        <v>983</v>
      </c>
    </row>
    <row r="1143" spans="1:15">
      <c r="A1143" t="s">
        <v>942</v>
      </c>
      <c r="B1143" t="s">
        <v>946</v>
      </c>
      <c r="C1143" s="553">
        <v>44271</v>
      </c>
      <c r="D1143" s="281" t="s">
        <v>4498</v>
      </c>
      <c r="E1143" s="281" t="s">
        <v>3690</v>
      </c>
      <c r="F1143" s="281">
        <v>10</v>
      </c>
      <c r="G1143" s="28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2">
        <v>24707.14</v>
      </c>
      <c r="O1143" t="s">
        <v>983</v>
      </c>
    </row>
    <row r="1144" spans="1:15">
      <c r="A1144" t="s">
        <v>942</v>
      </c>
      <c r="B1144" t="s">
        <v>946</v>
      </c>
      <c r="C1144" s="553">
        <v>44271</v>
      </c>
      <c r="D1144" s="281" t="s">
        <v>4499</v>
      </c>
      <c r="E1144" s="281" t="s">
        <v>3867</v>
      </c>
      <c r="F1144" s="281">
        <v>1</v>
      </c>
      <c r="G1144" s="28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2">
        <v>11000</v>
      </c>
      <c r="O1144" t="s">
        <v>961</v>
      </c>
    </row>
    <row r="1145" spans="1:15">
      <c r="A1145" t="s">
        <v>942</v>
      </c>
      <c r="B1145" t="s">
        <v>946</v>
      </c>
      <c r="C1145" s="553">
        <v>44271</v>
      </c>
      <c r="D1145" s="281" t="s">
        <v>4500</v>
      </c>
      <c r="E1145" s="281" t="s">
        <v>3837</v>
      </c>
      <c r="F1145" s="281">
        <v>1</v>
      </c>
      <c r="G1145" s="28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2">
        <v>3760</v>
      </c>
      <c r="O1145" t="s">
        <v>961</v>
      </c>
    </row>
    <row r="1146" spans="1:15">
      <c r="A1146" t="s">
        <v>942</v>
      </c>
      <c r="B1146" t="s">
        <v>946</v>
      </c>
      <c r="C1146" s="553">
        <v>44271</v>
      </c>
      <c r="D1146" s="281" t="s">
        <v>4501</v>
      </c>
      <c r="E1146" s="281" t="s">
        <v>3825</v>
      </c>
      <c r="F1146" s="281">
        <v>1</v>
      </c>
      <c r="G1146" s="28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2">
        <v>800</v>
      </c>
      <c r="O1146" t="s">
        <v>961</v>
      </c>
    </row>
    <row r="1147" spans="1:15">
      <c r="A1147" t="s">
        <v>942</v>
      </c>
      <c r="B1147" t="s">
        <v>946</v>
      </c>
      <c r="C1147" s="553">
        <v>44271</v>
      </c>
      <c r="D1147" s="281" t="s">
        <v>4502</v>
      </c>
      <c r="E1147" s="281" t="s">
        <v>3840</v>
      </c>
      <c r="F1147" s="281">
        <v>1</v>
      </c>
      <c r="G1147" s="28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2">
        <v>30000</v>
      </c>
      <c r="O1147" t="s">
        <v>961</v>
      </c>
    </row>
    <row r="1148" spans="1:15">
      <c r="A1148" t="s">
        <v>942</v>
      </c>
      <c r="B1148" t="s">
        <v>946</v>
      </c>
      <c r="C1148" s="553">
        <v>44271</v>
      </c>
      <c r="D1148" s="281" t="s">
        <v>4503</v>
      </c>
      <c r="E1148" s="281" t="s">
        <v>3717</v>
      </c>
      <c r="F1148" s="281">
        <v>1</v>
      </c>
      <c r="G1148" s="28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2">
        <v>114000</v>
      </c>
      <c r="O1148" t="s">
        <v>960</v>
      </c>
    </row>
    <row r="1149" spans="1:15">
      <c r="A1149" t="s">
        <v>942</v>
      </c>
      <c r="B1149" t="s">
        <v>946</v>
      </c>
      <c r="C1149" s="553">
        <v>44271</v>
      </c>
      <c r="D1149" s="281" t="s">
        <v>4503</v>
      </c>
      <c r="E1149" s="281" t="s">
        <v>3717</v>
      </c>
      <c r="F1149" s="281">
        <v>2</v>
      </c>
      <c r="G1149" s="28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2">
        <v>12000</v>
      </c>
      <c r="O1149" t="s">
        <v>964</v>
      </c>
    </row>
    <row r="1150" spans="1:15">
      <c r="A1150" t="s">
        <v>942</v>
      </c>
      <c r="B1150" t="s">
        <v>946</v>
      </c>
      <c r="C1150" s="553">
        <v>44271</v>
      </c>
      <c r="D1150" s="281" t="s">
        <v>4503</v>
      </c>
      <c r="E1150" s="281" t="s">
        <v>3717</v>
      </c>
      <c r="F1150" s="281">
        <v>3</v>
      </c>
      <c r="G1150" s="28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2">
        <v>30000</v>
      </c>
      <c r="O1150" t="s">
        <v>967</v>
      </c>
    </row>
    <row r="1151" spans="1:15">
      <c r="A1151" t="s">
        <v>942</v>
      </c>
      <c r="B1151" t="s">
        <v>946</v>
      </c>
      <c r="C1151" s="553">
        <v>44271</v>
      </c>
      <c r="D1151" s="281" t="s">
        <v>4503</v>
      </c>
      <c r="E1151" s="281" t="s">
        <v>3717</v>
      </c>
      <c r="F1151" s="281">
        <v>4</v>
      </c>
      <c r="G1151" s="28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2">
        <v>30000</v>
      </c>
      <c r="O1151" t="s">
        <v>970</v>
      </c>
    </row>
    <row r="1152" spans="1:15">
      <c r="A1152" t="s">
        <v>942</v>
      </c>
      <c r="B1152" t="s">
        <v>946</v>
      </c>
      <c r="C1152" s="553">
        <v>44271</v>
      </c>
      <c r="D1152" s="281" t="s">
        <v>4503</v>
      </c>
      <c r="E1152" s="281" t="s">
        <v>3717</v>
      </c>
      <c r="F1152" s="281">
        <v>5</v>
      </c>
      <c r="G1152" s="28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2">
        <v>30000</v>
      </c>
      <c r="O1152" t="s">
        <v>973</v>
      </c>
    </row>
    <row r="1153" spans="1:15">
      <c r="A1153" t="s">
        <v>942</v>
      </c>
      <c r="B1153" t="s">
        <v>946</v>
      </c>
      <c r="C1153" s="553">
        <v>44271</v>
      </c>
      <c r="D1153" s="281" t="s">
        <v>4504</v>
      </c>
      <c r="E1153" s="281" t="s">
        <v>3702</v>
      </c>
      <c r="F1153" s="281">
        <v>1</v>
      </c>
      <c r="G1153" s="28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2">
        <v>12000</v>
      </c>
      <c r="O1153" t="s">
        <v>960</v>
      </c>
    </row>
    <row r="1154" spans="1:15">
      <c r="A1154" t="s">
        <v>942</v>
      </c>
      <c r="B1154" t="s">
        <v>946</v>
      </c>
      <c r="C1154" s="553">
        <v>44271</v>
      </c>
      <c r="D1154" s="281" t="s">
        <v>4504</v>
      </c>
      <c r="E1154" s="281" t="s">
        <v>3702</v>
      </c>
      <c r="F1154" s="281">
        <v>2</v>
      </c>
      <c r="G1154" s="28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2">
        <v>12000</v>
      </c>
      <c r="O1154" t="s">
        <v>964</v>
      </c>
    </row>
    <row r="1155" spans="1:15">
      <c r="A1155" t="s">
        <v>942</v>
      </c>
      <c r="B1155" t="s">
        <v>946</v>
      </c>
      <c r="C1155" s="553">
        <v>44271</v>
      </c>
      <c r="D1155" s="281" t="s">
        <v>4504</v>
      </c>
      <c r="E1155" s="281" t="s">
        <v>3702</v>
      </c>
      <c r="F1155" s="281">
        <v>3</v>
      </c>
      <c r="G1155" s="28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2">
        <v>6000</v>
      </c>
      <c r="O1155" t="s">
        <v>967</v>
      </c>
    </row>
    <row r="1156" spans="1:15">
      <c r="A1156" t="s">
        <v>942</v>
      </c>
      <c r="B1156" t="s">
        <v>946</v>
      </c>
      <c r="C1156" s="553">
        <v>44271</v>
      </c>
      <c r="D1156" s="281" t="s">
        <v>4504</v>
      </c>
      <c r="E1156" s="281" t="s">
        <v>3702</v>
      </c>
      <c r="F1156" s="281">
        <v>4</v>
      </c>
      <c r="G1156" s="28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2">
        <v>12000</v>
      </c>
      <c r="O1156" t="s">
        <v>970</v>
      </c>
    </row>
    <row r="1157" spans="1:15">
      <c r="A1157" t="s">
        <v>942</v>
      </c>
      <c r="B1157" t="s">
        <v>946</v>
      </c>
      <c r="C1157" s="553">
        <v>44271</v>
      </c>
      <c r="D1157" s="281" t="s">
        <v>4504</v>
      </c>
      <c r="E1157" s="281" t="s">
        <v>3702</v>
      </c>
      <c r="F1157" s="281">
        <v>5</v>
      </c>
      <c r="G1157" s="28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2">
        <v>12000</v>
      </c>
      <c r="O1157" t="s">
        <v>973</v>
      </c>
    </row>
    <row r="1158" spans="1:15">
      <c r="A1158" t="s">
        <v>942</v>
      </c>
      <c r="B1158" t="s">
        <v>946</v>
      </c>
      <c r="C1158" s="553">
        <v>44271</v>
      </c>
      <c r="D1158" s="281" t="s">
        <v>4504</v>
      </c>
      <c r="E1158" s="281" t="s">
        <v>3702</v>
      </c>
      <c r="F1158" s="281">
        <v>6</v>
      </c>
      <c r="G1158" s="28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2">
        <v>6000</v>
      </c>
      <c r="O1158" t="s">
        <v>976</v>
      </c>
    </row>
    <row r="1159" spans="1:15">
      <c r="A1159" t="s">
        <v>942</v>
      </c>
      <c r="B1159" t="s">
        <v>946</v>
      </c>
      <c r="C1159" s="553">
        <v>44271</v>
      </c>
      <c r="D1159" s="281" t="s">
        <v>4505</v>
      </c>
      <c r="E1159" s="281" t="s">
        <v>3705</v>
      </c>
      <c r="F1159" s="281">
        <v>1</v>
      </c>
      <c r="G1159" s="28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2">
        <v>24000</v>
      </c>
      <c r="O1159" t="s">
        <v>960</v>
      </c>
    </row>
    <row r="1160" spans="1:15">
      <c r="A1160" t="s">
        <v>942</v>
      </c>
      <c r="B1160" t="s">
        <v>946</v>
      </c>
      <c r="C1160" s="553">
        <v>44271</v>
      </c>
      <c r="D1160" s="281" t="s">
        <v>4505</v>
      </c>
      <c r="E1160" s="281" t="s">
        <v>3705</v>
      </c>
      <c r="F1160" s="281">
        <v>2</v>
      </c>
      <c r="G1160" s="28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2">
        <v>6000</v>
      </c>
      <c r="O1160" t="s">
        <v>964</v>
      </c>
    </row>
    <row r="1161" spans="1:15">
      <c r="A1161" t="s">
        <v>942</v>
      </c>
      <c r="B1161" t="s">
        <v>946</v>
      </c>
      <c r="C1161" s="553">
        <v>44271</v>
      </c>
      <c r="D1161" s="281" t="s">
        <v>4505</v>
      </c>
      <c r="E1161" s="281" t="s">
        <v>3705</v>
      </c>
      <c r="F1161" s="281">
        <v>4</v>
      </c>
      <c r="G1161" s="28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2">
        <v>12000</v>
      </c>
      <c r="O1161" t="s">
        <v>970</v>
      </c>
    </row>
    <row r="1162" spans="1:15">
      <c r="A1162" t="s">
        <v>942</v>
      </c>
      <c r="B1162" t="s">
        <v>946</v>
      </c>
      <c r="C1162" s="553">
        <v>44271</v>
      </c>
      <c r="D1162" s="281" t="s">
        <v>4505</v>
      </c>
      <c r="E1162" s="281" t="s">
        <v>3705</v>
      </c>
      <c r="F1162" s="281">
        <v>5</v>
      </c>
      <c r="G1162" s="28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2">
        <v>18000</v>
      </c>
      <c r="O1162" t="s">
        <v>973</v>
      </c>
    </row>
    <row r="1163" spans="1:15">
      <c r="A1163" t="s">
        <v>942</v>
      </c>
      <c r="B1163" t="s">
        <v>946</v>
      </c>
      <c r="C1163" s="553">
        <v>44271</v>
      </c>
      <c r="D1163" s="281" t="s">
        <v>4506</v>
      </c>
      <c r="E1163" s="281" t="s">
        <v>3707</v>
      </c>
      <c r="F1163" s="281">
        <v>1</v>
      </c>
      <c r="G1163" s="28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2">
        <v>24000</v>
      </c>
      <c r="O1163" t="s">
        <v>960</v>
      </c>
    </row>
    <row r="1164" spans="1:15">
      <c r="A1164" t="s">
        <v>942</v>
      </c>
      <c r="B1164" t="s">
        <v>946</v>
      </c>
      <c r="C1164" s="553">
        <v>44271</v>
      </c>
      <c r="D1164" s="281" t="s">
        <v>4506</v>
      </c>
      <c r="E1164" s="281" t="s">
        <v>3707</v>
      </c>
      <c r="F1164" s="281">
        <v>2</v>
      </c>
      <c r="G1164" s="28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2">
        <v>6000</v>
      </c>
      <c r="O1164" t="s">
        <v>964</v>
      </c>
    </row>
    <row r="1165" spans="1:15">
      <c r="A1165" t="s">
        <v>942</v>
      </c>
      <c r="B1165" t="s">
        <v>946</v>
      </c>
      <c r="C1165" s="553">
        <v>44271</v>
      </c>
      <c r="D1165" s="281" t="s">
        <v>4506</v>
      </c>
      <c r="E1165" s="281" t="s">
        <v>3707</v>
      </c>
      <c r="F1165" s="281">
        <v>4</v>
      </c>
      <c r="G1165" s="28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2">
        <v>18000</v>
      </c>
      <c r="O1165" t="s">
        <v>970</v>
      </c>
    </row>
    <row r="1166" spans="1:15">
      <c r="A1166" t="s">
        <v>942</v>
      </c>
      <c r="B1166" t="s">
        <v>946</v>
      </c>
      <c r="C1166" s="553">
        <v>44271</v>
      </c>
      <c r="D1166" s="281" t="s">
        <v>4506</v>
      </c>
      <c r="E1166" s="281" t="s">
        <v>3707</v>
      </c>
      <c r="F1166" s="281">
        <v>5</v>
      </c>
      <c r="G1166" s="28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2">
        <v>18000</v>
      </c>
      <c r="O1166" t="s">
        <v>973</v>
      </c>
    </row>
    <row r="1167" spans="1:15">
      <c r="A1167" t="s">
        <v>942</v>
      </c>
      <c r="B1167" t="s">
        <v>946</v>
      </c>
      <c r="C1167" s="553">
        <v>44271</v>
      </c>
      <c r="D1167" s="281" t="s">
        <v>4507</v>
      </c>
      <c r="E1167" s="281" t="s">
        <v>3710</v>
      </c>
      <c r="F1167" s="281">
        <v>1</v>
      </c>
      <c r="G1167" s="28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2">
        <v>18000</v>
      </c>
      <c r="O1167" t="s">
        <v>960</v>
      </c>
    </row>
    <row r="1168" spans="1:15">
      <c r="A1168" t="s">
        <v>942</v>
      </c>
      <c r="B1168" t="s">
        <v>946</v>
      </c>
      <c r="C1168" s="553">
        <v>44271</v>
      </c>
      <c r="D1168" s="281" t="s">
        <v>4507</v>
      </c>
      <c r="E1168" s="281" t="s">
        <v>3710</v>
      </c>
      <c r="F1168" s="281">
        <v>2</v>
      </c>
      <c r="G1168" s="28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2">
        <v>6000</v>
      </c>
      <c r="O1168" t="s">
        <v>964</v>
      </c>
    </row>
    <row r="1169" spans="1:15">
      <c r="A1169" t="s">
        <v>942</v>
      </c>
      <c r="B1169" t="s">
        <v>946</v>
      </c>
      <c r="C1169" s="553">
        <v>44271</v>
      </c>
      <c r="D1169" s="281" t="s">
        <v>4507</v>
      </c>
      <c r="E1169" s="281" t="s">
        <v>3710</v>
      </c>
      <c r="F1169" s="281">
        <v>3</v>
      </c>
      <c r="G1169" s="28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2">
        <v>6000</v>
      </c>
      <c r="O1169" t="s">
        <v>967</v>
      </c>
    </row>
    <row r="1170" spans="1:15">
      <c r="A1170" t="s">
        <v>942</v>
      </c>
      <c r="B1170" t="s">
        <v>946</v>
      </c>
      <c r="C1170" s="553">
        <v>44271</v>
      </c>
      <c r="D1170" s="281" t="s">
        <v>4507</v>
      </c>
      <c r="E1170" s="281" t="s">
        <v>3710</v>
      </c>
      <c r="F1170" s="281">
        <v>4</v>
      </c>
      <c r="G1170" s="28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2">
        <v>36000</v>
      </c>
      <c r="O1170" t="s">
        <v>970</v>
      </c>
    </row>
    <row r="1171" spans="1:15">
      <c r="A1171" t="s">
        <v>942</v>
      </c>
      <c r="B1171" t="s">
        <v>946</v>
      </c>
      <c r="C1171" s="553">
        <v>44271</v>
      </c>
      <c r="D1171" s="281" t="s">
        <v>4507</v>
      </c>
      <c r="E1171" s="281" t="s">
        <v>3710</v>
      </c>
      <c r="F1171" s="281">
        <v>5</v>
      </c>
      <c r="G1171" s="28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2">
        <v>6000</v>
      </c>
      <c r="O1171" t="s">
        <v>973</v>
      </c>
    </row>
    <row r="1172" spans="1:15">
      <c r="A1172" t="s">
        <v>942</v>
      </c>
      <c r="B1172" t="s">
        <v>946</v>
      </c>
      <c r="C1172" s="553">
        <v>44271</v>
      </c>
      <c r="D1172" s="281" t="s">
        <v>4508</v>
      </c>
      <c r="E1172" s="281" t="s">
        <v>3712</v>
      </c>
      <c r="F1172" s="281">
        <v>1</v>
      </c>
      <c r="G1172" s="28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2">
        <v>12000</v>
      </c>
      <c r="O1172" t="s">
        <v>960</v>
      </c>
    </row>
    <row r="1173" spans="1:15">
      <c r="A1173" t="s">
        <v>942</v>
      </c>
      <c r="B1173" t="s">
        <v>946</v>
      </c>
      <c r="C1173" s="553">
        <v>44271</v>
      </c>
      <c r="D1173" s="281" t="s">
        <v>4508</v>
      </c>
      <c r="E1173" s="281" t="s">
        <v>3712</v>
      </c>
      <c r="F1173" s="281">
        <v>2</v>
      </c>
      <c r="G1173" s="28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2">
        <v>6000</v>
      </c>
      <c r="O1173" t="s">
        <v>964</v>
      </c>
    </row>
    <row r="1174" spans="1:15">
      <c r="A1174" t="s">
        <v>942</v>
      </c>
      <c r="B1174" t="s">
        <v>946</v>
      </c>
      <c r="C1174" s="553">
        <v>44271</v>
      </c>
      <c r="D1174" s="281" t="s">
        <v>4508</v>
      </c>
      <c r="E1174" s="281" t="s">
        <v>3712</v>
      </c>
      <c r="F1174" s="281">
        <v>3</v>
      </c>
      <c r="G1174" s="28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2">
        <v>18000</v>
      </c>
      <c r="O1174" t="s">
        <v>967</v>
      </c>
    </row>
    <row r="1175" spans="1:15">
      <c r="A1175" t="s">
        <v>942</v>
      </c>
      <c r="B1175" t="s">
        <v>946</v>
      </c>
      <c r="C1175" s="553">
        <v>44271</v>
      </c>
      <c r="D1175" s="281" t="s">
        <v>4508</v>
      </c>
      <c r="E1175" s="281" t="s">
        <v>3712</v>
      </c>
      <c r="F1175" s="281">
        <v>4</v>
      </c>
      <c r="G1175" s="28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2">
        <v>12000</v>
      </c>
      <c r="O1175" t="s">
        <v>970</v>
      </c>
    </row>
    <row r="1176" spans="1:15">
      <c r="A1176" t="s">
        <v>942</v>
      </c>
      <c r="B1176" t="s">
        <v>946</v>
      </c>
      <c r="C1176" s="553">
        <v>44271</v>
      </c>
      <c r="D1176" s="281" t="s">
        <v>4509</v>
      </c>
      <c r="E1176" s="281" t="s">
        <v>3857</v>
      </c>
      <c r="F1176" s="281">
        <v>1</v>
      </c>
      <c r="G1176" s="28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2">
        <v>3500</v>
      </c>
      <c r="O1176" t="s">
        <v>961</v>
      </c>
    </row>
    <row r="1177" spans="1:15">
      <c r="A1177" t="s">
        <v>942</v>
      </c>
      <c r="B1177" t="s">
        <v>946</v>
      </c>
      <c r="C1177" s="553">
        <v>44271</v>
      </c>
      <c r="D1177" s="281" t="s">
        <v>4510</v>
      </c>
      <c r="E1177" s="281" t="s">
        <v>3876</v>
      </c>
      <c r="F1177" s="281">
        <v>11</v>
      </c>
      <c r="G1177" s="28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2">
        <v>976560</v>
      </c>
      <c r="O1177" t="s">
        <v>985</v>
      </c>
    </row>
    <row r="1178" spans="1:15">
      <c r="A1178" t="s">
        <v>942</v>
      </c>
      <c r="B1178" t="s">
        <v>946</v>
      </c>
      <c r="C1178" s="553">
        <v>44271</v>
      </c>
      <c r="D1178" s="281" t="s">
        <v>4511</v>
      </c>
      <c r="E1178" s="281" t="s">
        <v>3851</v>
      </c>
      <c r="F1178" s="281">
        <v>3</v>
      </c>
      <c r="G1178" s="28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2">
        <v>2000</v>
      </c>
      <c r="O1178" t="s">
        <v>968</v>
      </c>
    </row>
    <row r="1179" spans="1:15">
      <c r="A1179" t="s">
        <v>942</v>
      </c>
      <c r="B1179" t="s">
        <v>946</v>
      </c>
      <c r="C1179" s="553">
        <v>44271</v>
      </c>
      <c r="D1179" s="281" t="s">
        <v>4512</v>
      </c>
      <c r="E1179" s="281" t="s">
        <v>3752</v>
      </c>
      <c r="F1179" s="281">
        <v>14</v>
      </c>
      <c r="G1179" s="28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2">
        <v>70905.22</v>
      </c>
      <c r="O1179" t="s">
        <v>1221</v>
      </c>
    </row>
    <row r="1180" spans="1:15">
      <c r="A1180" t="s">
        <v>942</v>
      </c>
      <c r="B1180" t="s">
        <v>946</v>
      </c>
      <c r="C1180" s="553">
        <v>44271</v>
      </c>
      <c r="D1180" s="281" t="s">
        <v>4513</v>
      </c>
      <c r="E1180" s="281" t="s">
        <v>3749</v>
      </c>
      <c r="F1180" s="281">
        <v>14</v>
      </c>
      <c r="G1180" s="28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2">
        <v>82098.38</v>
      </c>
      <c r="O1180" t="s">
        <v>1221</v>
      </c>
    </row>
    <row r="1181" spans="1:15">
      <c r="A1181" t="s">
        <v>942</v>
      </c>
      <c r="B1181" t="s">
        <v>946</v>
      </c>
      <c r="C1181" s="553">
        <v>44271</v>
      </c>
      <c r="D1181" s="281" t="s">
        <v>4514</v>
      </c>
      <c r="E1181" s="281" t="s">
        <v>3854</v>
      </c>
      <c r="F1181" s="281">
        <v>1</v>
      </c>
      <c r="G1181" s="28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2">
        <v>9600</v>
      </c>
      <c r="O1181" t="s">
        <v>961</v>
      </c>
    </row>
    <row r="1182" spans="1:15">
      <c r="A1182" t="s">
        <v>942</v>
      </c>
      <c r="B1182" t="s">
        <v>946</v>
      </c>
      <c r="C1182" s="553">
        <v>44271</v>
      </c>
      <c r="D1182" s="281" t="s">
        <v>4515</v>
      </c>
      <c r="E1182" s="281" t="s">
        <v>3746</v>
      </c>
      <c r="F1182" s="281">
        <v>1</v>
      </c>
      <c r="G1182" s="28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2">
        <v>10000</v>
      </c>
      <c r="O1182" t="s">
        <v>961</v>
      </c>
    </row>
    <row r="1183" spans="1:15">
      <c r="A1183" t="s">
        <v>942</v>
      </c>
      <c r="B1183" t="s">
        <v>946</v>
      </c>
      <c r="C1183" s="553">
        <v>44271</v>
      </c>
      <c r="D1183" s="281" t="s">
        <v>4516</v>
      </c>
      <c r="E1183" s="281" t="s">
        <v>3754</v>
      </c>
      <c r="F1183" s="281">
        <v>10</v>
      </c>
      <c r="G1183" s="28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2">
        <v>10000</v>
      </c>
      <c r="O1183" t="s">
        <v>983</v>
      </c>
    </row>
    <row r="1184" spans="1:15">
      <c r="A1184" t="s">
        <v>942</v>
      </c>
      <c r="B1184" t="s">
        <v>946</v>
      </c>
      <c r="C1184" s="553">
        <v>44271</v>
      </c>
      <c r="D1184" s="281" t="s">
        <v>4517</v>
      </c>
      <c r="E1184" s="281" t="s">
        <v>3886</v>
      </c>
      <c r="F1184" s="281">
        <v>3</v>
      </c>
      <c r="G1184" s="28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2">
        <v>6320</v>
      </c>
      <c r="O1184" t="s">
        <v>968</v>
      </c>
    </row>
    <row r="1185" spans="1:15">
      <c r="A1185" t="s">
        <v>942</v>
      </c>
      <c r="B1185" t="s">
        <v>946</v>
      </c>
      <c r="C1185" s="553">
        <v>44271</v>
      </c>
      <c r="D1185" s="281" t="s">
        <v>4518</v>
      </c>
      <c r="E1185" s="281" t="s">
        <v>3889</v>
      </c>
      <c r="F1185" s="281">
        <v>3</v>
      </c>
      <c r="G1185" s="28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2">
        <v>2800</v>
      </c>
      <c r="O1185" t="s">
        <v>968</v>
      </c>
    </row>
    <row r="1186" spans="1:15">
      <c r="A1186" t="s">
        <v>942</v>
      </c>
      <c r="B1186" t="s">
        <v>946</v>
      </c>
      <c r="C1186" s="553">
        <v>44271</v>
      </c>
      <c r="D1186" s="281" t="s">
        <v>4519</v>
      </c>
      <c r="E1186" s="281" t="s">
        <v>3915</v>
      </c>
      <c r="F1186" s="281">
        <v>1</v>
      </c>
      <c r="G1186" s="28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2">
        <v>5390.81</v>
      </c>
      <c r="O1186" t="s">
        <v>961</v>
      </c>
    </row>
    <row r="1187" spans="1:15">
      <c r="A1187" t="s">
        <v>942</v>
      </c>
      <c r="B1187" t="s">
        <v>946</v>
      </c>
      <c r="C1187" s="553">
        <v>44271</v>
      </c>
      <c r="D1187" s="281" t="s">
        <v>4520</v>
      </c>
      <c r="E1187" s="281" t="s">
        <v>3929</v>
      </c>
      <c r="F1187" s="281">
        <v>3</v>
      </c>
      <c r="G1187" s="28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2">
        <v>13600</v>
      </c>
      <c r="O1187" t="s">
        <v>968</v>
      </c>
    </row>
    <row r="1188" spans="1:15">
      <c r="A1188" t="s">
        <v>942</v>
      </c>
      <c r="B1188" t="s">
        <v>946</v>
      </c>
      <c r="C1188" s="553">
        <v>44271</v>
      </c>
      <c r="D1188" s="281" t="s">
        <v>4521</v>
      </c>
      <c r="E1188" s="281" t="s">
        <v>3912</v>
      </c>
      <c r="F1188" s="281">
        <v>10</v>
      </c>
      <c r="G1188" s="28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2">
        <v>5534</v>
      </c>
      <c r="O1188" t="s">
        <v>983</v>
      </c>
    </row>
    <row r="1189" spans="1:15">
      <c r="A1189" t="s">
        <v>942</v>
      </c>
      <c r="B1189" t="s">
        <v>946</v>
      </c>
      <c r="C1189" s="553">
        <v>44271</v>
      </c>
      <c r="D1189" s="281" t="s">
        <v>4521</v>
      </c>
      <c r="E1189" s="281" t="s">
        <v>3912</v>
      </c>
      <c r="F1189" s="281">
        <v>1</v>
      </c>
      <c r="G1189" s="28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2">
        <v>5534</v>
      </c>
      <c r="O1189" t="s">
        <v>961</v>
      </c>
    </row>
    <row r="1190" spans="1:15">
      <c r="A1190" t="s">
        <v>942</v>
      </c>
      <c r="B1190" t="s">
        <v>946</v>
      </c>
      <c r="C1190" s="553">
        <v>44271</v>
      </c>
      <c r="D1190" s="281" t="s">
        <v>4521</v>
      </c>
      <c r="E1190" s="281" t="s">
        <v>3912</v>
      </c>
      <c r="F1190" s="281">
        <v>1</v>
      </c>
      <c r="G1190" s="28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2">
        <v>16188.91</v>
      </c>
      <c r="O1190" t="s">
        <v>961</v>
      </c>
    </row>
    <row r="1191" spans="1:15">
      <c r="A1191" t="s">
        <v>942</v>
      </c>
      <c r="B1191" t="s">
        <v>946</v>
      </c>
      <c r="C1191" s="553">
        <v>44271</v>
      </c>
      <c r="D1191" s="281" t="s">
        <v>4521</v>
      </c>
      <c r="E1191" s="281" t="s">
        <v>3912</v>
      </c>
      <c r="F1191" s="281">
        <v>4</v>
      </c>
      <c r="G1191" s="28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2">
        <v>13112.59</v>
      </c>
      <c r="O1191" t="s">
        <v>971</v>
      </c>
    </row>
    <row r="1192" spans="1:15">
      <c r="A1192" t="s">
        <v>942</v>
      </c>
      <c r="B1192" t="s">
        <v>946</v>
      </c>
      <c r="C1192" s="553">
        <v>44271</v>
      </c>
      <c r="D1192" s="281" t="s">
        <v>4522</v>
      </c>
      <c r="E1192" s="281" t="s">
        <v>3910</v>
      </c>
      <c r="F1192" s="281">
        <v>1</v>
      </c>
      <c r="G1192" s="28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2">
        <v>9200</v>
      </c>
      <c r="O1192" t="s">
        <v>961</v>
      </c>
    </row>
    <row r="1193" spans="1:15">
      <c r="A1193" t="s">
        <v>942</v>
      </c>
      <c r="B1193" t="s">
        <v>946</v>
      </c>
      <c r="C1193" s="553">
        <v>44271</v>
      </c>
      <c r="D1193" s="281" t="s">
        <v>4522</v>
      </c>
      <c r="E1193" s="281" t="s">
        <v>3910</v>
      </c>
      <c r="F1193" s="281">
        <v>1</v>
      </c>
      <c r="G1193" s="28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2">
        <v>3100</v>
      </c>
      <c r="O1193" t="s">
        <v>961</v>
      </c>
    </row>
    <row r="1194" spans="1:15">
      <c r="A1194" t="s">
        <v>942</v>
      </c>
      <c r="B1194" t="s">
        <v>946</v>
      </c>
      <c r="C1194" s="553">
        <v>44271</v>
      </c>
      <c r="D1194" s="281" t="s">
        <v>4523</v>
      </c>
      <c r="E1194" s="281" t="s">
        <v>3907</v>
      </c>
      <c r="F1194" s="281">
        <v>1</v>
      </c>
      <c r="G1194" s="28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2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3">
        <v>44271</v>
      </c>
      <c r="D1195" s="281" t="s">
        <v>4523</v>
      </c>
      <c r="E1195" s="281" t="s">
        <v>3907</v>
      </c>
      <c r="F1195" s="281">
        <v>8</v>
      </c>
      <c r="G1195" s="28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2">
        <v>5448.23</v>
      </c>
      <c r="O1195" t="s">
        <v>980</v>
      </c>
    </row>
    <row r="1196" spans="1:15">
      <c r="A1196" t="s">
        <v>942</v>
      </c>
      <c r="B1196" t="s">
        <v>946</v>
      </c>
      <c r="C1196" s="553">
        <v>44271</v>
      </c>
      <c r="D1196" s="281" t="s">
        <v>4523</v>
      </c>
      <c r="E1196" s="281" t="s">
        <v>3907</v>
      </c>
      <c r="F1196" s="281">
        <v>3</v>
      </c>
      <c r="G1196" s="28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2">
        <v>1373.55</v>
      </c>
      <c r="O1196" t="s">
        <v>968</v>
      </c>
    </row>
    <row r="1197" spans="1:15">
      <c r="A1197" t="s">
        <v>942</v>
      </c>
      <c r="B1197" t="s">
        <v>946</v>
      </c>
      <c r="C1197" s="553">
        <v>44271</v>
      </c>
      <c r="D1197" s="281" t="s">
        <v>4523</v>
      </c>
      <c r="E1197" s="281" t="s">
        <v>3907</v>
      </c>
      <c r="F1197" s="281">
        <v>5</v>
      </c>
      <c r="G1197" s="28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2">
        <v>511.22</v>
      </c>
      <c r="O1197" t="s">
        <v>974</v>
      </c>
    </row>
    <row r="1198" spans="1:15">
      <c r="A1198" t="s">
        <v>942</v>
      </c>
      <c r="B1198" t="s">
        <v>946</v>
      </c>
      <c r="C1198" s="553">
        <v>44271</v>
      </c>
      <c r="D1198" s="281" t="s">
        <v>4524</v>
      </c>
      <c r="E1198" s="281" t="s">
        <v>3918</v>
      </c>
      <c r="F1198" s="281">
        <v>1</v>
      </c>
      <c r="G1198" s="28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2">
        <v>920</v>
      </c>
      <c r="O1198" t="s">
        <v>961</v>
      </c>
    </row>
    <row r="1199" spans="1:15">
      <c r="A1199" t="s">
        <v>942</v>
      </c>
      <c r="B1199" t="s">
        <v>946</v>
      </c>
      <c r="C1199" s="553">
        <v>44271</v>
      </c>
      <c r="D1199" s="281" t="s">
        <v>4525</v>
      </c>
      <c r="E1199" s="281" t="s">
        <v>3893</v>
      </c>
      <c r="F1199" s="281">
        <v>1</v>
      </c>
      <c r="G1199" s="28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2">
        <v>2486</v>
      </c>
      <c r="O1199" t="s">
        <v>961</v>
      </c>
    </row>
    <row r="1200" spans="1:15">
      <c r="A1200" t="s">
        <v>942</v>
      </c>
      <c r="B1200" t="s">
        <v>946</v>
      </c>
      <c r="C1200" s="553">
        <v>44271</v>
      </c>
      <c r="D1200" s="281" t="s">
        <v>4526</v>
      </c>
      <c r="E1200" s="281" t="s">
        <v>3896</v>
      </c>
      <c r="F1200" s="281">
        <v>4</v>
      </c>
      <c r="G1200" s="28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2">
        <v>1200</v>
      </c>
      <c r="O1200" t="s">
        <v>971</v>
      </c>
    </row>
    <row r="1201" spans="1:15">
      <c r="A1201" t="s">
        <v>942</v>
      </c>
      <c r="B1201" t="s">
        <v>946</v>
      </c>
      <c r="C1201" s="553">
        <v>44271</v>
      </c>
      <c r="D1201" s="281" t="s">
        <v>4527</v>
      </c>
      <c r="E1201" s="281" t="s">
        <v>3899</v>
      </c>
      <c r="F1201" s="281">
        <v>1</v>
      </c>
      <c r="G1201" s="28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2">
        <v>13034</v>
      </c>
      <c r="O1201" t="s">
        <v>961</v>
      </c>
    </row>
    <row r="1202" spans="1:15">
      <c r="A1202" t="s">
        <v>942</v>
      </c>
      <c r="B1202" t="s">
        <v>946</v>
      </c>
      <c r="C1202" s="553">
        <v>44271</v>
      </c>
      <c r="D1202" s="281" t="s">
        <v>4528</v>
      </c>
      <c r="E1202" s="281" t="s">
        <v>3902</v>
      </c>
      <c r="F1202" s="281">
        <v>9</v>
      </c>
      <c r="G1202" s="28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2">
        <v>11158</v>
      </c>
      <c r="O1202" t="s">
        <v>982</v>
      </c>
    </row>
    <row r="1203" spans="1:15">
      <c r="A1203" t="s">
        <v>942</v>
      </c>
      <c r="B1203" t="s">
        <v>946</v>
      </c>
      <c r="C1203" s="553">
        <v>44271</v>
      </c>
      <c r="D1203" s="281" t="s">
        <v>4528</v>
      </c>
      <c r="E1203" s="281" t="s">
        <v>3902</v>
      </c>
      <c r="F1203" s="281">
        <v>11</v>
      </c>
      <c r="G1203" s="28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2">
        <v>10143.64</v>
      </c>
      <c r="O1203" t="s">
        <v>985</v>
      </c>
    </row>
    <row r="1204" spans="1:15">
      <c r="A1204" t="s">
        <v>942</v>
      </c>
      <c r="B1204" t="s">
        <v>946</v>
      </c>
      <c r="C1204" s="553">
        <v>44271</v>
      </c>
      <c r="D1204" s="281" t="s">
        <v>4529</v>
      </c>
      <c r="E1204" s="281" t="s">
        <v>3904</v>
      </c>
      <c r="F1204" s="281">
        <v>6</v>
      </c>
      <c r="G1204" s="28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2">
        <v>1200</v>
      </c>
      <c r="O1204" t="s">
        <v>977</v>
      </c>
    </row>
    <row r="1205" spans="1:15">
      <c r="A1205" t="s">
        <v>942</v>
      </c>
      <c r="B1205" t="s">
        <v>946</v>
      </c>
      <c r="C1205" s="553">
        <v>44271</v>
      </c>
      <c r="D1205" s="281" t="s">
        <v>4530</v>
      </c>
      <c r="E1205" s="281" t="s">
        <v>3932</v>
      </c>
      <c r="F1205" s="281">
        <v>3</v>
      </c>
      <c r="G1205" s="28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2">
        <v>1500</v>
      </c>
      <c r="O1205" t="s">
        <v>968</v>
      </c>
    </row>
    <row r="1206" spans="1:15">
      <c r="A1206" t="s">
        <v>942</v>
      </c>
      <c r="B1206" t="s">
        <v>946</v>
      </c>
      <c r="C1206" s="553">
        <v>44271</v>
      </c>
      <c r="D1206" s="281" t="s">
        <v>4531</v>
      </c>
      <c r="E1206" s="281" t="s">
        <v>3936</v>
      </c>
      <c r="F1206" s="281">
        <v>1</v>
      </c>
      <c r="G1206" s="28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2">
        <v>350</v>
      </c>
      <c r="O1206" t="s">
        <v>961</v>
      </c>
    </row>
    <row r="1207" spans="1:15">
      <c r="A1207" t="s">
        <v>942</v>
      </c>
      <c r="B1207" t="s">
        <v>946</v>
      </c>
      <c r="C1207" s="553">
        <v>44271</v>
      </c>
      <c r="D1207" s="281" t="s">
        <v>4532</v>
      </c>
      <c r="E1207" s="281" t="s">
        <v>4131</v>
      </c>
      <c r="F1207" s="281">
        <v>1</v>
      </c>
      <c r="G1207" s="28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2">
        <v>3800</v>
      </c>
      <c r="O1207" t="s">
        <v>961</v>
      </c>
    </row>
    <row r="1208" spans="1:15">
      <c r="A1208" t="s">
        <v>942</v>
      </c>
      <c r="B1208" t="s">
        <v>946</v>
      </c>
      <c r="C1208" s="553">
        <v>44271</v>
      </c>
      <c r="D1208" s="281" t="s">
        <v>4533</v>
      </c>
      <c r="E1208" s="281" t="s">
        <v>3939</v>
      </c>
      <c r="F1208" s="281">
        <v>1</v>
      </c>
      <c r="G1208" s="28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2">
        <v>31800</v>
      </c>
      <c r="O1208" t="s">
        <v>961</v>
      </c>
    </row>
    <row r="1209" spans="1:15">
      <c r="A1209" t="s">
        <v>942</v>
      </c>
      <c r="B1209" t="s">
        <v>946</v>
      </c>
      <c r="C1209" s="553">
        <v>44271</v>
      </c>
      <c r="D1209" s="281" t="s">
        <v>4534</v>
      </c>
      <c r="E1209" s="281" t="s">
        <v>3942</v>
      </c>
      <c r="F1209" s="281">
        <v>1</v>
      </c>
      <c r="G1209" s="28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2">
        <v>480</v>
      </c>
      <c r="O1209" t="s">
        <v>961</v>
      </c>
    </row>
    <row r="1210" spans="1:15">
      <c r="A1210" t="s">
        <v>942</v>
      </c>
      <c r="B1210" t="s">
        <v>946</v>
      </c>
      <c r="C1210" s="553">
        <v>44271</v>
      </c>
      <c r="D1210" s="281" t="s">
        <v>4535</v>
      </c>
      <c r="E1210" s="281" t="s">
        <v>3945</v>
      </c>
      <c r="F1210" s="281">
        <v>13</v>
      </c>
      <c r="G1210" s="28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2">
        <v>48000</v>
      </c>
      <c r="O1210" t="s">
        <v>999</v>
      </c>
    </row>
    <row r="1211" spans="1:15">
      <c r="A1211" t="s">
        <v>942</v>
      </c>
      <c r="B1211" t="s">
        <v>946</v>
      </c>
      <c r="C1211" s="553">
        <v>44271</v>
      </c>
      <c r="D1211" s="281" t="s">
        <v>4536</v>
      </c>
      <c r="E1211" s="281" t="s">
        <v>3962</v>
      </c>
      <c r="F1211" s="281">
        <v>14</v>
      </c>
      <c r="G1211" s="28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2">
        <v>45808.9</v>
      </c>
      <c r="O1211" t="s">
        <v>1221</v>
      </c>
    </row>
    <row r="1212" spans="1:15">
      <c r="A1212" t="s">
        <v>942</v>
      </c>
      <c r="B1212" t="s">
        <v>946</v>
      </c>
      <c r="C1212" s="553">
        <v>44271</v>
      </c>
      <c r="D1212" s="281" t="s">
        <v>4537</v>
      </c>
      <c r="E1212" s="281" t="s">
        <v>3959</v>
      </c>
      <c r="F1212" s="281">
        <v>14</v>
      </c>
      <c r="G1212" s="28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2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3">
        <v>44279</v>
      </c>
      <c r="D1213" s="281" t="s">
        <v>4538</v>
      </c>
      <c r="E1213" s="281" t="s">
        <v>4034</v>
      </c>
      <c r="F1213" s="281">
        <v>8</v>
      </c>
      <c r="G1213" s="28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2">
        <v>76000</v>
      </c>
      <c r="O1213" t="s">
        <v>981</v>
      </c>
    </row>
    <row r="1214" spans="1:15">
      <c r="A1214" t="s">
        <v>942</v>
      </c>
      <c r="B1214" t="s">
        <v>946</v>
      </c>
      <c r="C1214" s="553">
        <v>44279</v>
      </c>
      <c r="D1214" s="281" t="s">
        <v>4539</v>
      </c>
      <c r="E1214" s="281" t="s">
        <v>4038</v>
      </c>
      <c r="F1214" s="281">
        <v>1</v>
      </c>
      <c r="G1214" s="28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2">
        <v>2130</v>
      </c>
      <c r="O1214" t="s">
        <v>961</v>
      </c>
    </row>
    <row r="1215" spans="1:15">
      <c r="A1215" t="s">
        <v>942</v>
      </c>
      <c r="B1215" t="s">
        <v>946</v>
      </c>
      <c r="C1215" s="553">
        <v>44279</v>
      </c>
      <c r="D1215" s="281" t="s">
        <v>4540</v>
      </c>
      <c r="E1215" s="281" t="s">
        <v>4041</v>
      </c>
      <c r="F1215" s="281">
        <v>1</v>
      </c>
      <c r="G1215" s="28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2">
        <v>5175</v>
      </c>
      <c r="O1215" t="s">
        <v>961</v>
      </c>
    </row>
    <row r="1216" spans="1:15">
      <c r="A1216" t="s">
        <v>942</v>
      </c>
      <c r="B1216" t="s">
        <v>946</v>
      </c>
      <c r="C1216" s="553">
        <v>44279</v>
      </c>
      <c r="D1216" s="281" t="s">
        <v>4541</v>
      </c>
      <c r="E1216" s="281" t="s">
        <v>4044</v>
      </c>
      <c r="F1216" s="281">
        <v>5</v>
      </c>
      <c r="G1216" s="28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2">
        <v>1200</v>
      </c>
      <c r="O1216" t="s">
        <v>974</v>
      </c>
    </row>
    <row r="1217" spans="1:15">
      <c r="A1217" t="s">
        <v>942</v>
      </c>
      <c r="B1217" t="s">
        <v>946</v>
      </c>
      <c r="C1217" s="553">
        <v>44279</v>
      </c>
      <c r="D1217" s="281" t="s">
        <v>4541</v>
      </c>
      <c r="E1217" s="281" t="s">
        <v>4044</v>
      </c>
      <c r="F1217" s="281">
        <v>5</v>
      </c>
      <c r="G1217" s="28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2">
        <v>3000</v>
      </c>
      <c r="O1217" t="s">
        <v>974</v>
      </c>
    </row>
    <row r="1218" spans="1:15">
      <c r="A1218" t="s">
        <v>942</v>
      </c>
      <c r="B1218" t="s">
        <v>946</v>
      </c>
      <c r="C1218" s="553">
        <v>44279</v>
      </c>
      <c r="D1218" s="281" t="s">
        <v>4542</v>
      </c>
      <c r="E1218" s="281" t="s">
        <v>4048</v>
      </c>
      <c r="F1218" s="281">
        <v>4</v>
      </c>
      <c r="G1218" s="28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2">
        <v>2688</v>
      </c>
      <c r="O1218" t="s">
        <v>971</v>
      </c>
    </row>
    <row r="1219" spans="1:15">
      <c r="A1219" t="s">
        <v>942</v>
      </c>
      <c r="B1219" t="s">
        <v>946</v>
      </c>
      <c r="C1219" s="553">
        <v>44279</v>
      </c>
      <c r="D1219" s="281" t="s">
        <v>4543</v>
      </c>
      <c r="E1219" s="281" t="s">
        <v>4051</v>
      </c>
      <c r="F1219" s="281">
        <v>3</v>
      </c>
      <c r="G1219" s="28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2">
        <v>2500</v>
      </c>
      <c r="O1219" t="s">
        <v>968</v>
      </c>
    </row>
    <row r="1220" spans="1:15">
      <c r="A1220" t="s">
        <v>942</v>
      </c>
      <c r="B1220" t="s">
        <v>946</v>
      </c>
      <c r="C1220" s="553">
        <v>44279</v>
      </c>
      <c r="D1220" s="281" t="s">
        <v>4544</v>
      </c>
      <c r="E1220" s="281" t="s">
        <v>4054</v>
      </c>
      <c r="F1220" s="281">
        <v>6</v>
      </c>
      <c r="G1220" s="28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2">
        <v>640</v>
      </c>
      <c r="O1220" t="s">
        <v>977</v>
      </c>
    </row>
    <row r="1221" spans="1:15">
      <c r="A1221" t="s">
        <v>942</v>
      </c>
      <c r="B1221" t="s">
        <v>946</v>
      </c>
      <c r="C1221" s="553">
        <v>44279</v>
      </c>
      <c r="D1221" s="281" t="s">
        <v>4545</v>
      </c>
      <c r="E1221" s="281" t="s">
        <v>4057</v>
      </c>
      <c r="F1221" s="281">
        <v>1</v>
      </c>
      <c r="G1221" s="28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2">
        <v>11180</v>
      </c>
      <c r="O1221" t="s">
        <v>961</v>
      </c>
    </row>
    <row r="1222" spans="1:15">
      <c r="A1222" t="s">
        <v>942</v>
      </c>
      <c r="B1222" t="s">
        <v>946</v>
      </c>
      <c r="C1222" s="553">
        <v>44279</v>
      </c>
      <c r="D1222" s="281" t="s">
        <v>4545</v>
      </c>
      <c r="E1222" s="281" t="s">
        <v>4057</v>
      </c>
      <c r="F1222" s="281">
        <v>3</v>
      </c>
      <c r="G1222" s="28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2">
        <v>22000</v>
      </c>
      <c r="O1222" t="s">
        <v>968</v>
      </c>
    </row>
    <row r="1223" spans="1:15">
      <c r="A1223" t="s">
        <v>942</v>
      </c>
      <c r="B1223" t="s">
        <v>946</v>
      </c>
      <c r="C1223" s="553">
        <v>44279</v>
      </c>
      <c r="D1223" s="281" t="s">
        <v>4546</v>
      </c>
      <c r="E1223" s="281" t="s">
        <v>3996</v>
      </c>
      <c r="F1223" s="281">
        <v>1</v>
      </c>
      <c r="G1223" s="28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2">
        <v>750.85</v>
      </c>
      <c r="O1223" t="s">
        <v>961</v>
      </c>
    </row>
    <row r="1224" spans="1:15">
      <c r="A1224" t="s">
        <v>942</v>
      </c>
      <c r="B1224" t="s">
        <v>946</v>
      </c>
      <c r="C1224" s="553">
        <v>44279</v>
      </c>
      <c r="D1224" s="281" t="s">
        <v>4546</v>
      </c>
      <c r="E1224" s="281" t="s">
        <v>3996</v>
      </c>
      <c r="F1224" s="281">
        <v>1</v>
      </c>
      <c r="G1224" s="28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2">
        <v>450</v>
      </c>
      <c r="O1224" t="s">
        <v>961</v>
      </c>
    </row>
    <row r="1225" spans="1:15">
      <c r="A1225" t="s">
        <v>942</v>
      </c>
      <c r="B1225" t="s">
        <v>946</v>
      </c>
      <c r="C1225" s="553">
        <v>44279</v>
      </c>
      <c r="D1225" s="281" t="s">
        <v>4546</v>
      </c>
      <c r="E1225" s="281" t="s">
        <v>3996</v>
      </c>
      <c r="F1225" s="281">
        <v>1</v>
      </c>
      <c r="G1225" s="28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2">
        <v>205</v>
      </c>
      <c r="O1225" t="s">
        <v>961</v>
      </c>
    </row>
    <row r="1226" spans="1:15">
      <c r="A1226" t="s">
        <v>942</v>
      </c>
      <c r="B1226" t="s">
        <v>946</v>
      </c>
      <c r="C1226" s="553">
        <v>44279</v>
      </c>
      <c r="D1226" s="281" t="s">
        <v>4546</v>
      </c>
      <c r="E1226" s="281" t="s">
        <v>3996</v>
      </c>
      <c r="F1226" s="281">
        <v>1</v>
      </c>
      <c r="G1226" s="28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2">
        <v>2550</v>
      </c>
      <c r="O1226" t="s">
        <v>961</v>
      </c>
    </row>
    <row r="1227" spans="1:15">
      <c r="A1227" t="s">
        <v>942</v>
      </c>
      <c r="B1227" t="s">
        <v>946</v>
      </c>
      <c r="C1227" s="553">
        <v>44279</v>
      </c>
      <c r="D1227" s="281" t="s">
        <v>4546</v>
      </c>
      <c r="E1227" s="281" t="s">
        <v>3996</v>
      </c>
      <c r="F1227" s="281">
        <v>1</v>
      </c>
      <c r="G1227" s="28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2">
        <v>400</v>
      </c>
      <c r="O1227" t="s">
        <v>961</v>
      </c>
    </row>
    <row r="1228" spans="1:15">
      <c r="A1228" t="s">
        <v>942</v>
      </c>
      <c r="B1228" t="s">
        <v>946</v>
      </c>
      <c r="C1228" s="553">
        <v>44279</v>
      </c>
      <c r="D1228" s="281" t="s">
        <v>4547</v>
      </c>
      <c r="E1228" s="281" t="s">
        <v>3977</v>
      </c>
      <c r="F1228" s="281">
        <v>1</v>
      </c>
      <c r="G1228" s="28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2">
        <v>2490</v>
      </c>
      <c r="O1228" t="s">
        <v>961</v>
      </c>
    </row>
    <row r="1229" spans="1:15">
      <c r="A1229" t="s">
        <v>942</v>
      </c>
      <c r="B1229" t="s">
        <v>946</v>
      </c>
      <c r="C1229" s="553">
        <v>44279</v>
      </c>
      <c r="D1229" s="281" t="s">
        <v>4547</v>
      </c>
      <c r="E1229" s="281" t="s">
        <v>3977</v>
      </c>
      <c r="F1229" s="281">
        <v>1</v>
      </c>
      <c r="G1229" s="28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2">
        <v>16185</v>
      </c>
      <c r="O1229" t="s">
        <v>961</v>
      </c>
    </row>
    <row r="1230" spans="1:15">
      <c r="A1230" t="s">
        <v>942</v>
      </c>
      <c r="B1230" t="s">
        <v>946</v>
      </c>
      <c r="C1230" s="553">
        <v>44279</v>
      </c>
      <c r="D1230" s="281" t="s">
        <v>4547</v>
      </c>
      <c r="E1230" s="281" t="s">
        <v>3977</v>
      </c>
      <c r="F1230" s="281">
        <v>1</v>
      </c>
      <c r="G1230" s="28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2">
        <v>12764.99</v>
      </c>
      <c r="O1230" t="s">
        <v>961</v>
      </c>
    </row>
    <row r="1231" spans="1:15">
      <c r="A1231" t="s">
        <v>942</v>
      </c>
      <c r="B1231" t="s">
        <v>946</v>
      </c>
      <c r="C1231" s="553">
        <v>44279</v>
      </c>
      <c r="D1231" s="281" t="s">
        <v>4547</v>
      </c>
      <c r="E1231" s="281" t="s">
        <v>3977</v>
      </c>
      <c r="F1231" s="281">
        <v>1</v>
      </c>
      <c r="G1231" s="28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2">
        <v>7096.5</v>
      </c>
      <c r="O1231" t="s">
        <v>961</v>
      </c>
    </row>
    <row r="1232" spans="1:15">
      <c r="A1232" t="s">
        <v>942</v>
      </c>
      <c r="B1232" t="s">
        <v>946</v>
      </c>
      <c r="C1232" s="553">
        <v>44279</v>
      </c>
      <c r="D1232" s="281" t="s">
        <v>4547</v>
      </c>
      <c r="E1232" s="281" t="s">
        <v>3977</v>
      </c>
      <c r="F1232" s="281">
        <v>1</v>
      </c>
      <c r="G1232" s="28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2">
        <v>64117.5</v>
      </c>
      <c r="O1232" t="s">
        <v>961</v>
      </c>
    </row>
    <row r="1233" spans="1:15">
      <c r="A1233" t="s">
        <v>942</v>
      </c>
      <c r="B1233" t="s">
        <v>946</v>
      </c>
      <c r="C1233" s="553">
        <v>44279</v>
      </c>
      <c r="D1233" s="281" t="s">
        <v>4547</v>
      </c>
      <c r="E1233" s="281" t="s">
        <v>3977</v>
      </c>
      <c r="F1233" s="281">
        <v>1</v>
      </c>
      <c r="G1233" s="28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2">
        <v>3112.5</v>
      </c>
      <c r="O1233" t="s">
        <v>961</v>
      </c>
    </row>
    <row r="1234" spans="1:15">
      <c r="A1234" t="s">
        <v>942</v>
      </c>
      <c r="B1234" t="s">
        <v>946</v>
      </c>
      <c r="C1234" s="553">
        <v>44279</v>
      </c>
      <c r="D1234" s="281" t="s">
        <v>4547</v>
      </c>
      <c r="E1234" s="281" t="s">
        <v>3977</v>
      </c>
      <c r="F1234" s="281">
        <v>1</v>
      </c>
      <c r="G1234" s="28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2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3">
        <v>44279</v>
      </c>
      <c r="D1235" s="281" t="s">
        <v>4547</v>
      </c>
      <c r="E1235" s="281" t="s">
        <v>3977</v>
      </c>
      <c r="F1235" s="281">
        <v>1</v>
      </c>
      <c r="G1235" s="28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2">
        <v>10458</v>
      </c>
      <c r="O1235" t="s">
        <v>961</v>
      </c>
    </row>
    <row r="1236" spans="1:15">
      <c r="A1236" t="s">
        <v>942</v>
      </c>
      <c r="B1236" t="s">
        <v>946</v>
      </c>
      <c r="C1236" s="553">
        <v>44279</v>
      </c>
      <c r="D1236" s="281" t="s">
        <v>4547</v>
      </c>
      <c r="E1236" s="281" t="s">
        <v>3977</v>
      </c>
      <c r="F1236" s="281">
        <v>1</v>
      </c>
      <c r="G1236" s="28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2">
        <v>809.25</v>
      </c>
      <c r="O1236" t="s">
        <v>961</v>
      </c>
    </row>
    <row r="1237" spans="1:15">
      <c r="A1237" t="s">
        <v>942</v>
      </c>
      <c r="B1237" t="s">
        <v>946</v>
      </c>
      <c r="C1237" s="553">
        <v>44279</v>
      </c>
      <c r="D1237" s="281" t="s">
        <v>4547</v>
      </c>
      <c r="E1237" s="281" t="s">
        <v>3977</v>
      </c>
      <c r="F1237" s="281">
        <v>1</v>
      </c>
      <c r="G1237" s="28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2">
        <v>747</v>
      </c>
      <c r="O1237" t="s">
        <v>961</v>
      </c>
    </row>
    <row r="1238" spans="1:15">
      <c r="A1238" t="s">
        <v>942</v>
      </c>
      <c r="B1238" t="s">
        <v>946</v>
      </c>
      <c r="C1238" s="553">
        <v>44279</v>
      </c>
      <c r="D1238" s="281" t="s">
        <v>4547</v>
      </c>
      <c r="E1238" s="281" t="s">
        <v>3977</v>
      </c>
      <c r="F1238" s="281">
        <v>1</v>
      </c>
      <c r="G1238" s="28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2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3">
        <v>44279</v>
      </c>
      <c r="D1239" s="281" t="s">
        <v>4547</v>
      </c>
      <c r="E1239" s="281" t="s">
        <v>3977</v>
      </c>
      <c r="F1239" s="281">
        <v>4</v>
      </c>
      <c r="G1239" s="28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2">
        <v>4150</v>
      </c>
      <c r="O1239" t="s">
        <v>971</v>
      </c>
    </row>
    <row r="1240" spans="1:15">
      <c r="A1240" t="s">
        <v>942</v>
      </c>
      <c r="B1240" t="s">
        <v>946</v>
      </c>
      <c r="C1240" s="553">
        <v>44279</v>
      </c>
      <c r="D1240" s="281" t="s">
        <v>4547</v>
      </c>
      <c r="E1240" s="281" t="s">
        <v>3977</v>
      </c>
      <c r="F1240" s="281">
        <v>3</v>
      </c>
      <c r="G1240" s="28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2">
        <v>4150</v>
      </c>
      <c r="O1240" t="s">
        <v>968</v>
      </c>
    </row>
    <row r="1241" spans="1:15">
      <c r="A1241" t="s">
        <v>942</v>
      </c>
      <c r="B1241" t="s">
        <v>946</v>
      </c>
      <c r="C1241" s="553">
        <v>44279</v>
      </c>
      <c r="D1241" s="281" t="s">
        <v>4547</v>
      </c>
      <c r="E1241" s="281" t="s">
        <v>3977</v>
      </c>
      <c r="F1241" s="281">
        <v>3</v>
      </c>
      <c r="G1241" s="28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2">
        <v>2075</v>
      </c>
      <c r="O1241" t="s">
        <v>968</v>
      </c>
    </row>
    <row r="1242" spans="1:15">
      <c r="A1242" t="s">
        <v>942</v>
      </c>
      <c r="B1242" t="s">
        <v>946</v>
      </c>
      <c r="C1242" s="553">
        <v>44279</v>
      </c>
      <c r="D1242" s="281" t="s">
        <v>4547</v>
      </c>
      <c r="E1242" s="281" t="s">
        <v>3977</v>
      </c>
      <c r="F1242" s="281">
        <v>1</v>
      </c>
      <c r="G1242" s="28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2">
        <v>20750</v>
      </c>
      <c r="O1242" t="s">
        <v>961</v>
      </c>
    </row>
    <row r="1243" spans="1:15">
      <c r="A1243" t="s">
        <v>942</v>
      </c>
      <c r="B1243" t="s">
        <v>946</v>
      </c>
      <c r="C1243" s="553">
        <v>44279</v>
      </c>
      <c r="D1243" s="281" t="s">
        <v>4547</v>
      </c>
      <c r="E1243" s="281" t="s">
        <v>3977</v>
      </c>
      <c r="F1243" s="281">
        <v>1</v>
      </c>
      <c r="G1243" s="28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2">
        <v>1037.5</v>
      </c>
      <c r="O1243" t="s">
        <v>961</v>
      </c>
    </row>
    <row r="1244" spans="1:15">
      <c r="A1244" t="s">
        <v>942</v>
      </c>
      <c r="B1244" t="s">
        <v>946</v>
      </c>
      <c r="C1244" s="553">
        <v>44279</v>
      </c>
      <c r="D1244" s="281" t="s">
        <v>4547</v>
      </c>
      <c r="E1244" s="281" t="s">
        <v>3977</v>
      </c>
      <c r="F1244" s="281">
        <v>1</v>
      </c>
      <c r="G1244" s="28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2">
        <v>2864.28</v>
      </c>
      <c r="O1244" t="s">
        <v>961</v>
      </c>
    </row>
    <row r="1245" spans="1:15">
      <c r="A1245" t="s">
        <v>942</v>
      </c>
      <c r="B1245" t="s">
        <v>946</v>
      </c>
      <c r="C1245" s="553">
        <v>44279</v>
      </c>
      <c r="D1245" s="281" t="s">
        <v>4547</v>
      </c>
      <c r="E1245" s="281" t="s">
        <v>3977</v>
      </c>
      <c r="F1245" s="281">
        <v>1</v>
      </c>
      <c r="G1245" s="28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2">
        <v>7215.47</v>
      </c>
      <c r="O1245" t="s">
        <v>961</v>
      </c>
    </row>
    <row r="1246" spans="1:15">
      <c r="A1246" t="s">
        <v>942</v>
      </c>
      <c r="B1246" t="s">
        <v>946</v>
      </c>
      <c r="C1246" s="553">
        <v>44279</v>
      </c>
      <c r="D1246" s="281" t="s">
        <v>4547</v>
      </c>
      <c r="E1246" s="281" t="s">
        <v>3977</v>
      </c>
      <c r="F1246" s="281">
        <v>1</v>
      </c>
      <c r="G1246" s="28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2">
        <v>331287.87</v>
      </c>
      <c r="O1246" t="s">
        <v>961</v>
      </c>
    </row>
    <row r="1247" spans="1:15">
      <c r="A1247" t="s">
        <v>942</v>
      </c>
      <c r="B1247" t="s">
        <v>946</v>
      </c>
      <c r="C1247" s="553">
        <v>44279</v>
      </c>
      <c r="D1247" s="281" t="s">
        <v>4547</v>
      </c>
      <c r="E1247" s="281" t="s">
        <v>3977</v>
      </c>
      <c r="F1247" s="281">
        <v>1</v>
      </c>
      <c r="G1247" s="28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2">
        <v>2282.5</v>
      </c>
      <c r="O1247" t="s">
        <v>961</v>
      </c>
    </row>
    <row r="1248" spans="1:15">
      <c r="A1248" t="s">
        <v>942</v>
      </c>
      <c r="B1248" t="s">
        <v>946</v>
      </c>
      <c r="C1248" s="553">
        <v>44279</v>
      </c>
      <c r="D1248" s="281" t="s">
        <v>4547</v>
      </c>
      <c r="E1248" s="281" t="s">
        <v>3977</v>
      </c>
      <c r="F1248" s="281">
        <v>1</v>
      </c>
      <c r="G1248" s="28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2">
        <v>2075</v>
      </c>
      <c r="O1248" t="s">
        <v>961</v>
      </c>
    </row>
    <row r="1249" spans="1:15">
      <c r="A1249" t="s">
        <v>942</v>
      </c>
      <c r="B1249" t="s">
        <v>946</v>
      </c>
      <c r="C1249" s="553">
        <v>44279</v>
      </c>
      <c r="D1249" s="281" t="s">
        <v>4547</v>
      </c>
      <c r="E1249" s="281" t="s">
        <v>3977</v>
      </c>
      <c r="F1249" s="281">
        <v>1</v>
      </c>
      <c r="G1249" s="28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2">
        <v>10375</v>
      </c>
      <c r="O1249" t="s">
        <v>961</v>
      </c>
    </row>
    <row r="1250" spans="1:15">
      <c r="A1250" t="s">
        <v>942</v>
      </c>
      <c r="B1250" t="s">
        <v>946</v>
      </c>
      <c r="C1250" s="553">
        <v>44279</v>
      </c>
      <c r="D1250" s="281" t="s">
        <v>4547</v>
      </c>
      <c r="E1250" s="281" t="s">
        <v>3977</v>
      </c>
      <c r="F1250" s="281">
        <v>1</v>
      </c>
      <c r="G1250" s="28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2">
        <v>7470</v>
      </c>
      <c r="O1250" t="s">
        <v>961</v>
      </c>
    </row>
    <row r="1251" spans="1:15">
      <c r="A1251" t="s">
        <v>942</v>
      </c>
      <c r="B1251" t="s">
        <v>946</v>
      </c>
      <c r="C1251" s="553">
        <v>44279</v>
      </c>
      <c r="D1251" s="281" t="s">
        <v>4547</v>
      </c>
      <c r="E1251" s="281" t="s">
        <v>3977</v>
      </c>
      <c r="F1251" s="281">
        <v>1</v>
      </c>
      <c r="G1251" s="28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2">
        <v>5312</v>
      </c>
      <c r="O1251" t="s">
        <v>961</v>
      </c>
    </row>
    <row r="1252" spans="1:15">
      <c r="A1252" t="s">
        <v>942</v>
      </c>
      <c r="B1252" t="s">
        <v>946</v>
      </c>
      <c r="C1252" s="553">
        <v>44279</v>
      </c>
      <c r="D1252" s="281" t="s">
        <v>4547</v>
      </c>
      <c r="E1252" s="281" t="s">
        <v>3977</v>
      </c>
      <c r="F1252" s="281">
        <v>3</v>
      </c>
      <c r="G1252" s="28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2">
        <v>4980</v>
      </c>
      <c r="O1252" t="s">
        <v>968</v>
      </c>
    </row>
    <row r="1253" spans="1:15">
      <c r="A1253" t="s">
        <v>942</v>
      </c>
      <c r="B1253" t="s">
        <v>946</v>
      </c>
      <c r="C1253" s="553">
        <v>44279</v>
      </c>
      <c r="D1253" s="281" t="s">
        <v>4547</v>
      </c>
      <c r="E1253" s="281" t="s">
        <v>3977</v>
      </c>
      <c r="F1253" s="281">
        <v>1</v>
      </c>
      <c r="G1253" s="28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2">
        <v>12948</v>
      </c>
      <c r="O1253" t="s">
        <v>961</v>
      </c>
    </row>
    <row r="1254" spans="1:15">
      <c r="A1254" t="s">
        <v>942</v>
      </c>
      <c r="B1254" t="s">
        <v>946</v>
      </c>
      <c r="C1254" s="553">
        <v>44279</v>
      </c>
      <c r="D1254" s="281" t="s">
        <v>4548</v>
      </c>
      <c r="E1254" s="281" t="s">
        <v>3980</v>
      </c>
      <c r="F1254" s="281">
        <v>1</v>
      </c>
      <c r="G1254" s="28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2">
        <v>2490</v>
      </c>
      <c r="O1254" t="s">
        <v>961</v>
      </c>
    </row>
    <row r="1255" spans="1:15">
      <c r="A1255" t="s">
        <v>942</v>
      </c>
      <c r="B1255" t="s">
        <v>946</v>
      </c>
      <c r="C1255" s="553">
        <v>44279</v>
      </c>
      <c r="D1255" s="281" t="s">
        <v>4548</v>
      </c>
      <c r="E1255" s="281" t="s">
        <v>3980</v>
      </c>
      <c r="F1255" s="281">
        <v>1</v>
      </c>
      <c r="G1255" s="28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2">
        <v>14940</v>
      </c>
      <c r="O1255" t="s">
        <v>961</v>
      </c>
    </row>
    <row r="1256" spans="1:15">
      <c r="A1256" t="s">
        <v>942</v>
      </c>
      <c r="B1256" t="s">
        <v>946</v>
      </c>
      <c r="C1256" s="553">
        <v>44279</v>
      </c>
      <c r="D1256" s="281" t="s">
        <v>4548</v>
      </c>
      <c r="E1256" s="281" t="s">
        <v>3980</v>
      </c>
      <c r="F1256" s="281">
        <v>1</v>
      </c>
      <c r="G1256" s="28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2">
        <v>16600</v>
      </c>
      <c r="O1256" t="s">
        <v>961</v>
      </c>
    </row>
    <row r="1257" spans="1:15">
      <c r="A1257" t="s">
        <v>942</v>
      </c>
      <c r="B1257" t="s">
        <v>946</v>
      </c>
      <c r="C1257" s="553">
        <v>44279</v>
      </c>
      <c r="D1257" s="281" t="s">
        <v>4548</v>
      </c>
      <c r="E1257" s="281" t="s">
        <v>3980</v>
      </c>
      <c r="F1257" s="281">
        <v>1</v>
      </c>
      <c r="G1257" s="28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2">
        <v>3237</v>
      </c>
      <c r="O1257" t="s">
        <v>961</v>
      </c>
    </row>
    <row r="1258" spans="1:15">
      <c r="A1258" t="s">
        <v>942</v>
      </c>
      <c r="B1258" t="s">
        <v>946</v>
      </c>
      <c r="C1258" s="553">
        <v>44279</v>
      </c>
      <c r="D1258" s="281" t="s">
        <v>4548</v>
      </c>
      <c r="E1258" s="281" t="s">
        <v>3980</v>
      </c>
      <c r="F1258" s="281">
        <v>1</v>
      </c>
      <c r="G1258" s="28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2">
        <v>57270</v>
      </c>
      <c r="O1258" t="s">
        <v>961</v>
      </c>
    </row>
    <row r="1259" spans="1:15">
      <c r="A1259" t="s">
        <v>942</v>
      </c>
      <c r="B1259" t="s">
        <v>946</v>
      </c>
      <c r="C1259" s="553">
        <v>44279</v>
      </c>
      <c r="D1259" s="281" t="s">
        <v>4548</v>
      </c>
      <c r="E1259" s="281" t="s">
        <v>3980</v>
      </c>
      <c r="F1259" s="281">
        <v>1</v>
      </c>
      <c r="G1259" s="28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2">
        <v>6225</v>
      </c>
      <c r="O1259" t="s">
        <v>961</v>
      </c>
    </row>
    <row r="1260" spans="1:15">
      <c r="A1260" t="s">
        <v>942</v>
      </c>
      <c r="B1260" t="s">
        <v>946</v>
      </c>
      <c r="C1260" s="553">
        <v>44279</v>
      </c>
      <c r="D1260" s="281" t="s">
        <v>4548</v>
      </c>
      <c r="E1260" s="281" t="s">
        <v>3980</v>
      </c>
      <c r="F1260" s="281">
        <v>1</v>
      </c>
      <c r="G1260" s="28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2">
        <v>4482</v>
      </c>
      <c r="O1260" t="s">
        <v>961</v>
      </c>
    </row>
    <row r="1261" spans="1:15">
      <c r="A1261" t="s">
        <v>942</v>
      </c>
      <c r="B1261" t="s">
        <v>946</v>
      </c>
      <c r="C1261" s="553">
        <v>44279</v>
      </c>
      <c r="D1261" s="281" t="s">
        <v>4548</v>
      </c>
      <c r="E1261" s="281" t="s">
        <v>3980</v>
      </c>
      <c r="F1261" s="281">
        <v>1</v>
      </c>
      <c r="G1261" s="28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2">
        <v>1245</v>
      </c>
      <c r="O1261" t="s">
        <v>961</v>
      </c>
    </row>
    <row r="1262" spans="1:15">
      <c r="A1262" t="s">
        <v>942</v>
      </c>
      <c r="B1262" t="s">
        <v>946</v>
      </c>
      <c r="C1262" s="553">
        <v>44279</v>
      </c>
      <c r="D1262" s="281" t="s">
        <v>4548</v>
      </c>
      <c r="E1262" s="281" t="s">
        <v>3980</v>
      </c>
      <c r="F1262" s="281">
        <v>1</v>
      </c>
      <c r="G1262" s="28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2">
        <v>747</v>
      </c>
      <c r="O1262" t="s">
        <v>961</v>
      </c>
    </row>
    <row r="1263" spans="1:15">
      <c r="A1263" t="s">
        <v>942</v>
      </c>
      <c r="B1263" t="s">
        <v>946</v>
      </c>
      <c r="C1263" s="553">
        <v>44279</v>
      </c>
      <c r="D1263" s="281" t="s">
        <v>4548</v>
      </c>
      <c r="E1263" s="281" t="s">
        <v>3980</v>
      </c>
      <c r="F1263" s="281">
        <v>1</v>
      </c>
      <c r="G1263" s="28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2">
        <v>20770.75</v>
      </c>
      <c r="O1263" t="s">
        <v>961</v>
      </c>
    </row>
    <row r="1264" spans="1:15">
      <c r="A1264" t="s">
        <v>942</v>
      </c>
      <c r="B1264" t="s">
        <v>946</v>
      </c>
      <c r="C1264" s="553">
        <v>44279</v>
      </c>
      <c r="D1264" s="281" t="s">
        <v>4548</v>
      </c>
      <c r="E1264" s="281" t="s">
        <v>3980</v>
      </c>
      <c r="F1264" s="281">
        <v>1</v>
      </c>
      <c r="G1264" s="28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2">
        <v>100174.36</v>
      </c>
      <c r="O1264" t="s">
        <v>961</v>
      </c>
    </row>
    <row r="1265" spans="1:15">
      <c r="A1265" t="s">
        <v>942</v>
      </c>
      <c r="B1265" t="s">
        <v>946</v>
      </c>
      <c r="C1265" s="553">
        <v>44279</v>
      </c>
      <c r="D1265" s="281" t="s">
        <v>4548</v>
      </c>
      <c r="E1265" s="281" t="s">
        <v>3980</v>
      </c>
      <c r="F1265" s="281">
        <v>3</v>
      </c>
      <c r="G1265" s="28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2">
        <v>59711.86</v>
      </c>
      <c r="O1265" t="s">
        <v>968</v>
      </c>
    </row>
    <row r="1266" spans="1:15">
      <c r="A1266" t="s">
        <v>942</v>
      </c>
      <c r="B1266" t="s">
        <v>946</v>
      </c>
      <c r="C1266" s="553">
        <v>44279</v>
      </c>
      <c r="D1266" s="281" t="s">
        <v>4548</v>
      </c>
      <c r="E1266" s="281" t="s">
        <v>3980</v>
      </c>
      <c r="F1266" s="281">
        <v>4</v>
      </c>
      <c r="G1266" s="28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2">
        <v>4150</v>
      </c>
      <c r="O1266" t="s">
        <v>971</v>
      </c>
    </row>
    <row r="1267" spans="1:15">
      <c r="A1267" t="s">
        <v>942</v>
      </c>
      <c r="B1267" t="s">
        <v>946</v>
      </c>
      <c r="C1267" s="553">
        <v>44279</v>
      </c>
      <c r="D1267" s="281" t="s">
        <v>4548</v>
      </c>
      <c r="E1267" s="281" t="s">
        <v>3980</v>
      </c>
      <c r="F1267" s="281">
        <v>3</v>
      </c>
      <c r="G1267" s="28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2">
        <v>4150</v>
      </c>
      <c r="O1267" t="s">
        <v>968</v>
      </c>
    </row>
    <row r="1268" spans="1:15">
      <c r="A1268" t="s">
        <v>942</v>
      </c>
      <c r="B1268" t="s">
        <v>946</v>
      </c>
      <c r="C1268" s="553">
        <v>44279</v>
      </c>
      <c r="D1268" s="281" t="s">
        <v>4548</v>
      </c>
      <c r="E1268" s="281" t="s">
        <v>3980</v>
      </c>
      <c r="F1268" s="281">
        <v>3</v>
      </c>
      <c r="G1268" s="28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2">
        <v>2075</v>
      </c>
      <c r="O1268" t="s">
        <v>968</v>
      </c>
    </row>
    <row r="1269" spans="1:15">
      <c r="A1269" t="s">
        <v>942</v>
      </c>
      <c r="B1269" t="s">
        <v>946</v>
      </c>
      <c r="C1269" s="553">
        <v>44279</v>
      </c>
      <c r="D1269" s="281" t="s">
        <v>4548</v>
      </c>
      <c r="E1269" s="281" t="s">
        <v>3980</v>
      </c>
      <c r="F1269" s="281">
        <v>1</v>
      </c>
      <c r="G1269" s="28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2">
        <v>20750</v>
      </c>
      <c r="O1269" t="s">
        <v>961</v>
      </c>
    </row>
    <row r="1270" spans="1:15">
      <c r="A1270" t="s">
        <v>942</v>
      </c>
      <c r="B1270" t="s">
        <v>946</v>
      </c>
      <c r="C1270" s="553">
        <v>44279</v>
      </c>
      <c r="D1270" s="281" t="s">
        <v>4548</v>
      </c>
      <c r="E1270" s="281" t="s">
        <v>3980</v>
      </c>
      <c r="F1270" s="281">
        <v>1</v>
      </c>
      <c r="G1270" s="28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2">
        <v>1037.5</v>
      </c>
      <c r="O1270" t="s">
        <v>961</v>
      </c>
    </row>
    <row r="1271" spans="1:15">
      <c r="A1271" t="s">
        <v>942</v>
      </c>
      <c r="B1271" t="s">
        <v>946</v>
      </c>
      <c r="C1271" s="553">
        <v>44279</v>
      </c>
      <c r="D1271" s="281" t="s">
        <v>4548</v>
      </c>
      <c r="E1271" s="281" t="s">
        <v>3980</v>
      </c>
      <c r="F1271" s="281">
        <v>1</v>
      </c>
      <c r="G1271" s="28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2">
        <v>2697.5</v>
      </c>
      <c r="O1271" t="s">
        <v>961</v>
      </c>
    </row>
    <row r="1272" spans="1:15">
      <c r="A1272" t="s">
        <v>942</v>
      </c>
      <c r="B1272" t="s">
        <v>946</v>
      </c>
      <c r="C1272" s="553">
        <v>44279</v>
      </c>
      <c r="D1272" s="281" t="s">
        <v>4548</v>
      </c>
      <c r="E1272" s="281" t="s">
        <v>3980</v>
      </c>
      <c r="F1272" s="281">
        <v>1</v>
      </c>
      <c r="G1272" s="28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2">
        <v>5414.73</v>
      </c>
      <c r="O1272" t="s">
        <v>961</v>
      </c>
    </row>
    <row r="1273" spans="1:15">
      <c r="A1273" t="s">
        <v>942</v>
      </c>
      <c r="B1273" t="s">
        <v>946</v>
      </c>
      <c r="C1273" s="553">
        <v>44279</v>
      </c>
      <c r="D1273" s="281" t="s">
        <v>4548</v>
      </c>
      <c r="E1273" s="281" t="s">
        <v>3980</v>
      </c>
      <c r="F1273" s="281">
        <v>1</v>
      </c>
      <c r="G1273" s="28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2">
        <v>2075</v>
      </c>
      <c r="O1273" t="s">
        <v>961</v>
      </c>
    </row>
    <row r="1274" spans="1:15">
      <c r="A1274" t="s">
        <v>942</v>
      </c>
      <c r="B1274" t="s">
        <v>946</v>
      </c>
      <c r="C1274" s="553">
        <v>44279</v>
      </c>
      <c r="D1274" s="281" t="s">
        <v>4548</v>
      </c>
      <c r="E1274" s="281" t="s">
        <v>3980</v>
      </c>
      <c r="F1274" s="281">
        <v>1</v>
      </c>
      <c r="G1274" s="28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2">
        <v>10375</v>
      </c>
      <c r="O1274" t="s">
        <v>961</v>
      </c>
    </row>
    <row r="1275" spans="1:15">
      <c r="A1275" t="s">
        <v>942</v>
      </c>
      <c r="B1275" t="s">
        <v>946</v>
      </c>
      <c r="C1275" s="553">
        <v>44279</v>
      </c>
      <c r="D1275" s="281" t="s">
        <v>4548</v>
      </c>
      <c r="E1275" s="281" t="s">
        <v>3980</v>
      </c>
      <c r="F1275" s="281">
        <v>1</v>
      </c>
      <c r="G1275" s="28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2">
        <v>3112.5</v>
      </c>
      <c r="O1275" t="s">
        <v>961</v>
      </c>
    </row>
    <row r="1276" spans="1:15">
      <c r="A1276" t="s">
        <v>942</v>
      </c>
      <c r="B1276" t="s">
        <v>946</v>
      </c>
      <c r="C1276" s="553">
        <v>44279</v>
      </c>
      <c r="D1276" s="281" t="s">
        <v>4548</v>
      </c>
      <c r="E1276" s="281" t="s">
        <v>3980</v>
      </c>
      <c r="F1276" s="281">
        <v>1</v>
      </c>
      <c r="G1276" s="28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2">
        <v>5063</v>
      </c>
      <c r="O1276" t="s">
        <v>961</v>
      </c>
    </row>
    <row r="1277" spans="1:15">
      <c r="A1277" t="s">
        <v>942</v>
      </c>
      <c r="B1277" t="s">
        <v>946</v>
      </c>
      <c r="C1277" s="553">
        <v>44279</v>
      </c>
      <c r="D1277" s="281" t="s">
        <v>4548</v>
      </c>
      <c r="E1277" s="281" t="s">
        <v>3980</v>
      </c>
      <c r="F1277" s="281">
        <v>3</v>
      </c>
      <c r="G1277" s="28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2">
        <v>1037.5</v>
      </c>
      <c r="O1277" t="s">
        <v>968</v>
      </c>
    </row>
    <row r="1278" spans="1:15">
      <c r="A1278" t="s">
        <v>942</v>
      </c>
      <c r="B1278" t="s">
        <v>946</v>
      </c>
      <c r="C1278" s="553">
        <v>44279</v>
      </c>
      <c r="D1278" s="281" t="s">
        <v>4548</v>
      </c>
      <c r="E1278" s="281" t="s">
        <v>3980</v>
      </c>
      <c r="F1278" s="281">
        <v>1</v>
      </c>
      <c r="G1278" s="28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2">
        <v>11952</v>
      </c>
      <c r="O1278" t="s">
        <v>961</v>
      </c>
    </row>
    <row r="1279" spans="1:15">
      <c r="A1279" t="s">
        <v>942</v>
      </c>
      <c r="B1279" t="s">
        <v>946</v>
      </c>
      <c r="C1279" s="553">
        <v>44279</v>
      </c>
      <c r="D1279" s="281" t="s">
        <v>4549</v>
      </c>
      <c r="E1279" s="281" t="s">
        <v>3982</v>
      </c>
      <c r="F1279" s="281">
        <v>1</v>
      </c>
      <c r="G1279" s="28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2">
        <v>1867.5</v>
      </c>
      <c r="O1279" t="s">
        <v>961</v>
      </c>
    </row>
    <row r="1280" spans="1:15">
      <c r="A1280" t="s">
        <v>942</v>
      </c>
      <c r="B1280" t="s">
        <v>946</v>
      </c>
      <c r="C1280" s="553">
        <v>44279</v>
      </c>
      <c r="D1280" s="281" t="s">
        <v>4549</v>
      </c>
      <c r="E1280" s="281" t="s">
        <v>3982</v>
      </c>
      <c r="F1280" s="281">
        <v>1</v>
      </c>
      <c r="G1280" s="28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2">
        <v>14940</v>
      </c>
      <c r="O1280" t="s">
        <v>961</v>
      </c>
    </row>
    <row r="1281" spans="1:15">
      <c r="A1281" t="s">
        <v>942</v>
      </c>
      <c r="B1281" t="s">
        <v>946</v>
      </c>
      <c r="C1281" s="553">
        <v>44279</v>
      </c>
      <c r="D1281" s="281" t="s">
        <v>4549</v>
      </c>
      <c r="E1281" s="281" t="s">
        <v>3982</v>
      </c>
      <c r="F1281" s="281">
        <v>1</v>
      </c>
      <c r="G1281" s="28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2">
        <v>10816.66</v>
      </c>
      <c r="O1281" t="s">
        <v>961</v>
      </c>
    </row>
    <row r="1282" spans="1:15">
      <c r="A1282" t="s">
        <v>942</v>
      </c>
      <c r="B1282" t="s">
        <v>946</v>
      </c>
      <c r="C1282" s="553">
        <v>44279</v>
      </c>
      <c r="D1282" s="281" t="s">
        <v>4549</v>
      </c>
      <c r="E1282" s="281" t="s">
        <v>3982</v>
      </c>
      <c r="F1282" s="281">
        <v>1</v>
      </c>
      <c r="G1282" s="28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2">
        <v>2118.15</v>
      </c>
      <c r="O1282" t="s">
        <v>961</v>
      </c>
    </row>
    <row r="1283" spans="1:15">
      <c r="A1283" t="s">
        <v>942</v>
      </c>
      <c r="B1283" t="s">
        <v>946</v>
      </c>
      <c r="C1283" s="553">
        <v>44279</v>
      </c>
      <c r="D1283" s="281" t="s">
        <v>4549</v>
      </c>
      <c r="E1283" s="281" t="s">
        <v>3982</v>
      </c>
      <c r="F1283" s="281">
        <v>1</v>
      </c>
      <c r="G1283" s="28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2">
        <v>47087.72</v>
      </c>
      <c r="O1283" t="s">
        <v>961</v>
      </c>
    </row>
    <row r="1284" spans="1:15">
      <c r="A1284" t="s">
        <v>942</v>
      </c>
      <c r="B1284" t="s">
        <v>946</v>
      </c>
      <c r="C1284" s="553">
        <v>44279</v>
      </c>
      <c r="D1284" s="281" t="s">
        <v>4549</v>
      </c>
      <c r="E1284" s="281" t="s">
        <v>3982</v>
      </c>
      <c r="F1284" s="281">
        <v>1</v>
      </c>
      <c r="G1284" s="28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2">
        <v>1245</v>
      </c>
      <c r="O1284" t="s">
        <v>961</v>
      </c>
    </row>
    <row r="1285" spans="1:15">
      <c r="A1285" t="s">
        <v>942</v>
      </c>
      <c r="B1285" t="s">
        <v>946</v>
      </c>
      <c r="C1285" s="553">
        <v>44279</v>
      </c>
      <c r="D1285" s="281" t="s">
        <v>4549</v>
      </c>
      <c r="E1285" s="281" t="s">
        <v>3982</v>
      </c>
      <c r="F1285" s="281">
        <v>1</v>
      </c>
      <c r="G1285" s="28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2">
        <v>7586.8</v>
      </c>
      <c r="O1285" t="s">
        <v>961</v>
      </c>
    </row>
    <row r="1286" spans="1:15">
      <c r="A1286" t="s">
        <v>942</v>
      </c>
      <c r="B1286" t="s">
        <v>946</v>
      </c>
      <c r="C1286" s="553">
        <v>44279</v>
      </c>
      <c r="D1286" s="281" t="s">
        <v>4549</v>
      </c>
      <c r="E1286" s="281" t="s">
        <v>3982</v>
      </c>
      <c r="F1286" s="281">
        <v>1</v>
      </c>
      <c r="G1286" s="28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2">
        <v>4482</v>
      </c>
      <c r="O1286" t="s">
        <v>961</v>
      </c>
    </row>
    <row r="1287" spans="1:15">
      <c r="A1287" t="s">
        <v>942</v>
      </c>
      <c r="B1287" t="s">
        <v>946</v>
      </c>
      <c r="C1287" s="553">
        <v>44279</v>
      </c>
      <c r="D1287" s="281" t="s">
        <v>4549</v>
      </c>
      <c r="E1287" s="281" t="s">
        <v>3982</v>
      </c>
      <c r="F1287" s="281">
        <v>1</v>
      </c>
      <c r="G1287" s="28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2">
        <v>871.5</v>
      </c>
      <c r="O1287" t="s">
        <v>961</v>
      </c>
    </row>
    <row r="1288" spans="1:15">
      <c r="A1288" t="s">
        <v>942</v>
      </c>
      <c r="B1288" t="s">
        <v>946</v>
      </c>
      <c r="C1288" s="553">
        <v>44279</v>
      </c>
      <c r="D1288" s="281" t="s">
        <v>4549</v>
      </c>
      <c r="E1288" s="281" t="s">
        <v>3982</v>
      </c>
      <c r="F1288" s="281">
        <v>1</v>
      </c>
      <c r="G1288" s="28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2">
        <v>747</v>
      </c>
      <c r="O1288" t="s">
        <v>961</v>
      </c>
    </row>
    <row r="1289" spans="1:15">
      <c r="A1289" t="s">
        <v>942</v>
      </c>
      <c r="B1289" t="s">
        <v>946</v>
      </c>
      <c r="C1289" s="553">
        <v>44279</v>
      </c>
      <c r="D1289" s="281" t="s">
        <v>4549</v>
      </c>
      <c r="E1289" s="281" t="s">
        <v>3982</v>
      </c>
      <c r="F1289" s="281">
        <v>1</v>
      </c>
      <c r="G1289" s="28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2">
        <v>21580</v>
      </c>
      <c r="O1289" t="s">
        <v>961</v>
      </c>
    </row>
    <row r="1290" spans="1:15">
      <c r="A1290" t="s">
        <v>942</v>
      </c>
      <c r="B1290" t="s">
        <v>946</v>
      </c>
      <c r="C1290" s="553">
        <v>44279</v>
      </c>
      <c r="D1290" s="281" t="s">
        <v>4549</v>
      </c>
      <c r="E1290" s="281" t="s">
        <v>3982</v>
      </c>
      <c r="F1290" s="281">
        <v>1</v>
      </c>
      <c r="G1290" s="28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2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3">
        <v>44279</v>
      </c>
      <c r="D1291" s="281" t="s">
        <v>4549</v>
      </c>
      <c r="E1291" s="281" t="s">
        <v>3982</v>
      </c>
      <c r="F1291" s="281">
        <v>3</v>
      </c>
      <c r="G1291" s="28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2">
        <v>24900</v>
      </c>
      <c r="O1291" t="s">
        <v>968</v>
      </c>
    </row>
    <row r="1292" spans="1:15">
      <c r="A1292" t="s">
        <v>942</v>
      </c>
      <c r="B1292" t="s">
        <v>946</v>
      </c>
      <c r="C1292" s="553">
        <v>44279</v>
      </c>
      <c r="D1292" s="281" t="s">
        <v>4549</v>
      </c>
      <c r="E1292" s="281" t="s">
        <v>3982</v>
      </c>
      <c r="F1292" s="281">
        <v>4</v>
      </c>
      <c r="G1292" s="28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2">
        <v>4150</v>
      </c>
      <c r="O1292" t="s">
        <v>971</v>
      </c>
    </row>
    <row r="1293" spans="1:15">
      <c r="A1293" t="s">
        <v>942</v>
      </c>
      <c r="B1293" t="s">
        <v>946</v>
      </c>
      <c r="C1293" s="553">
        <v>44279</v>
      </c>
      <c r="D1293" s="281" t="s">
        <v>4549</v>
      </c>
      <c r="E1293" s="281" t="s">
        <v>3982</v>
      </c>
      <c r="F1293" s="281">
        <v>3</v>
      </c>
      <c r="G1293" s="28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2">
        <v>4150</v>
      </c>
      <c r="O1293" t="s">
        <v>968</v>
      </c>
    </row>
    <row r="1294" spans="1:15">
      <c r="A1294" t="s">
        <v>942</v>
      </c>
      <c r="B1294" t="s">
        <v>946</v>
      </c>
      <c r="C1294" s="553">
        <v>44279</v>
      </c>
      <c r="D1294" s="281" t="s">
        <v>4549</v>
      </c>
      <c r="E1294" s="281" t="s">
        <v>3982</v>
      </c>
      <c r="F1294" s="281">
        <v>3</v>
      </c>
      <c r="G1294" s="28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2">
        <v>2075</v>
      </c>
      <c r="O1294" t="s">
        <v>968</v>
      </c>
    </row>
    <row r="1295" spans="1:15">
      <c r="A1295" t="s">
        <v>942</v>
      </c>
      <c r="B1295" t="s">
        <v>946</v>
      </c>
      <c r="C1295" s="553">
        <v>44279</v>
      </c>
      <c r="D1295" s="281" t="s">
        <v>4549</v>
      </c>
      <c r="E1295" s="281" t="s">
        <v>3982</v>
      </c>
      <c r="F1295" s="281">
        <v>1</v>
      </c>
      <c r="G1295" s="28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2">
        <v>20750</v>
      </c>
      <c r="O1295" t="s">
        <v>961</v>
      </c>
    </row>
    <row r="1296" spans="1:15">
      <c r="A1296" t="s">
        <v>942</v>
      </c>
      <c r="B1296" t="s">
        <v>946</v>
      </c>
      <c r="C1296" s="553">
        <v>44279</v>
      </c>
      <c r="D1296" s="281" t="s">
        <v>4549</v>
      </c>
      <c r="E1296" s="281" t="s">
        <v>3982</v>
      </c>
      <c r="F1296" s="281">
        <v>1</v>
      </c>
      <c r="G1296" s="28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2">
        <v>1556.25</v>
      </c>
      <c r="O1296" t="s">
        <v>961</v>
      </c>
    </row>
    <row r="1297" spans="1:15">
      <c r="A1297" t="s">
        <v>942</v>
      </c>
      <c r="B1297" t="s">
        <v>946</v>
      </c>
      <c r="C1297" s="553">
        <v>44279</v>
      </c>
      <c r="D1297" s="281" t="s">
        <v>4549</v>
      </c>
      <c r="E1297" s="281" t="s">
        <v>3982</v>
      </c>
      <c r="F1297" s="281">
        <v>1</v>
      </c>
      <c r="G1297" s="28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2">
        <v>2085.38</v>
      </c>
      <c r="O1297" t="s">
        <v>961</v>
      </c>
    </row>
    <row r="1298" spans="1:15">
      <c r="A1298" t="s">
        <v>942</v>
      </c>
      <c r="B1298" t="s">
        <v>946</v>
      </c>
      <c r="C1298" s="553">
        <v>44279</v>
      </c>
      <c r="D1298" s="281" t="s">
        <v>4549</v>
      </c>
      <c r="E1298" s="281" t="s">
        <v>3982</v>
      </c>
      <c r="F1298" s="281">
        <v>1</v>
      </c>
      <c r="G1298" s="28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2">
        <v>4565</v>
      </c>
      <c r="O1298" t="s">
        <v>961</v>
      </c>
    </row>
    <row r="1299" spans="1:15">
      <c r="A1299" t="s">
        <v>942</v>
      </c>
      <c r="B1299" t="s">
        <v>946</v>
      </c>
      <c r="C1299" s="553">
        <v>44279</v>
      </c>
      <c r="D1299" s="281" t="s">
        <v>4549</v>
      </c>
      <c r="E1299" s="281" t="s">
        <v>3982</v>
      </c>
      <c r="F1299" s="281">
        <v>1</v>
      </c>
      <c r="G1299" s="28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2">
        <v>128235</v>
      </c>
      <c r="O1299" t="s">
        <v>961</v>
      </c>
    </row>
    <row r="1300" spans="1:15">
      <c r="A1300" t="s">
        <v>942</v>
      </c>
      <c r="B1300" t="s">
        <v>946</v>
      </c>
      <c r="C1300" s="553">
        <v>44279</v>
      </c>
      <c r="D1300" s="281" t="s">
        <v>4549</v>
      </c>
      <c r="E1300" s="281" t="s">
        <v>3982</v>
      </c>
      <c r="F1300" s="281">
        <v>1</v>
      </c>
      <c r="G1300" s="28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2">
        <v>2075</v>
      </c>
      <c r="O1300" t="s">
        <v>961</v>
      </c>
    </row>
    <row r="1301" spans="1:15">
      <c r="A1301" t="s">
        <v>942</v>
      </c>
      <c r="B1301" t="s">
        <v>946</v>
      </c>
      <c r="C1301" s="553">
        <v>44279</v>
      </c>
      <c r="D1301" s="281" t="s">
        <v>4549</v>
      </c>
      <c r="E1301" s="281" t="s">
        <v>3982</v>
      </c>
      <c r="F1301" s="281">
        <v>1</v>
      </c>
      <c r="G1301" s="28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2">
        <v>10375</v>
      </c>
      <c r="O1301" t="s">
        <v>961</v>
      </c>
    </row>
    <row r="1302" spans="1:15">
      <c r="A1302" t="s">
        <v>942</v>
      </c>
      <c r="B1302" t="s">
        <v>946</v>
      </c>
      <c r="C1302" s="553">
        <v>44279</v>
      </c>
      <c r="D1302" s="281" t="s">
        <v>4549</v>
      </c>
      <c r="E1302" s="281" t="s">
        <v>3982</v>
      </c>
      <c r="F1302" s="281">
        <v>1</v>
      </c>
      <c r="G1302" s="28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2">
        <v>1037.5</v>
      </c>
      <c r="O1302" t="s">
        <v>961</v>
      </c>
    </row>
    <row r="1303" spans="1:15">
      <c r="A1303" t="s">
        <v>942</v>
      </c>
      <c r="B1303" t="s">
        <v>946</v>
      </c>
      <c r="C1303" s="553">
        <v>44279</v>
      </c>
      <c r="D1303" s="281" t="s">
        <v>4549</v>
      </c>
      <c r="E1303" s="281" t="s">
        <v>3982</v>
      </c>
      <c r="F1303" s="281">
        <v>1</v>
      </c>
      <c r="G1303" s="28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2">
        <v>5063</v>
      </c>
      <c r="O1303" t="s">
        <v>961</v>
      </c>
    </row>
    <row r="1304" spans="1:15">
      <c r="A1304" t="s">
        <v>942</v>
      </c>
      <c r="B1304" t="s">
        <v>946</v>
      </c>
      <c r="C1304" s="553">
        <v>44279</v>
      </c>
      <c r="D1304" s="281" t="s">
        <v>4549</v>
      </c>
      <c r="E1304" s="281" t="s">
        <v>3982</v>
      </c>
      <c r="F1304" s="281">
        <v>3</v>
      </c>
      <c r="G1304" s="28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2">
        <v>4980</v>
      </c>
      <c r="O1304" t="s">
        <v>968</v>
      </c>
    </row>
    <row r="1305" spans="1:15">
      <c r="A1305" t="s">
        <v>942</v>
      </c>
      <c r="B1305" t="s">
        <v>946</v>
      </c>
      <c r="C1305" s="553">
        <v>44279</v>
      </c>
      <c r="D1305" s="281" t="s">
        <v>4549</v>
      </c>
      <c r="E1305" s="281" t="s">
        <v>3982</v>
      </c>
      <c r="F1305" s="281">
        <v>1</v>
      </c>
      <c r="G1305" s="28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2">
        <v>11952</v>
      </c>
      <c r="O1305" t="s">
        <v>961</v>
      </c>
    </row>
    <row r="1306" spans="1:15">
      <c r="A1306" t="s">
        <v>942</v>
      </c>
      <c r="B1306" t="s">
        <v>946</v>
      </c>
      <c r="C1306" s="553">
        <v>44279</v>
      </c>
      <c r="D1306" s="281" t="s">
        <v>4550</v>
      </c>
      <c r="E1306" s="281" t="s">
        <v>3984</v>
      </c>
      <c r="F1306" s="281">
        <v>1</v>
      </c>
      <c r="G1306" s="28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2">
        <v>2490</v>
      </c>
      <c r="O1306" t="s">
        <v>961</v>
      </c>
    </row>
    <row r="1307" spans="1:15">
      <c r="A1307" t="s">
        <v>942</v>
      </c>
      <c r="B1307" t="s">
        <v>946</v>
      </c>
      <c r="C1307" s="553">
        <v>44279</v>
      </c>
      <c r="D1307" s="281" t="s">
        <v>4550</v>
      </c>
      <c r="E1307" s="281" t="s">
        <v>3984</v>
      </c>
      <c r="F1307" s="281">
        <v>1</v>
      </c>
      <c r="G1307" s="28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2">
        <v>14940</v>
      </c>
      <c r="O1307" t="s">
        <v>961</v>
      </c>
    </row>
    <row r="1308" spans="1:15">
      <c r="A1308" t="s">
        <v>942</v>
      </c>
      <c r="B1308" t="s">
        <v>946</v>
      </c>
      <c r="C1308" s="553">
        <v>44279</v>
      </c>
      <c r="D1308" s="281" t="s">
        <v>4550</v>
      </c>
      <c r="E1308" s="281" t="s">
        <v>3984</v>
      </c>
      <c r="F1308" s="281">
        <v>1</v>
      </c>
      <c r="G1308" s="28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2">
        <v>7470</v>
      </c>
      <c r="O1308" t="s">
        <v>961</v>
      </c>
    </row>
    <row r="1309" spans="1:15">
      <c r="A1309" t="s">
        <v>942</v>
      </c>
      <c r="B1309" t="s">
        <v>946</v>
      </c>
      <c r="C1309" s="553">
        <v>44279</v>
      </c>
      <c r="D1309" s="281" t="s">
        <v>4550</v>
      </c>
      <c r="E1309" s="281" t="s">
        <v>3984</v>
      </c>
      <c r="F1309" s="281">
        <v>1</v>
      </c>
      <c r="G1309" s="28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2">
        <v>1992</v>
      </c>
      <c r="O1309" t="s">
        <v>961</v>
      </c>
    </row>
    <row r="1310" spans="1:15">
      <c r="A1310" t="s">
        <v>942</v>
      </c>
      <c r="B1310" t="s">
        <v>946</v>
      </c>
      <c r="C1310" s="553">
        <v>44279</v>
      </c>
      <c r="D1310" s="281" t="s">
        <v>4550</v>
      </c>
      <c r="E1310" s="281" t="s">
        <v>3984</v>
      </c>
      <c r="F1310" s="281">
        <v>1</v>
      </c>
      <c r="G1310" s="28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2">
        <v>72625</v>
      </c>
      <c r="O1310" t="s">
        <v>961</v>
      </c>
    </row>
    <row r="1311" spans="1:15">
      <c r="A1311" t="s">
        <v>942</v>
      </c>
      <c r="B1311" t="s">
        <v>946</v>
      </c>
      <c r="C1311" s="553">
        <v>44279</v>
      </c>
      <c r="D1311" s="281" t="s">
        <v>4550</v>
      </c>
      <c r="E1311" s="281" t="s">
        <v>3984</v>
      </c>
      <c r="F1311" s="281">
        <v>1</v>
      </c>
      <c r="G1311" s="28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2">
        <v>12450</v>
      </c>
      <c r="O1311" t="s">
        <v>961</v>
      </c>
    </row>
    <row r="1312" spans="1:15">
      <c r="A1312" t="s">
        <v>942</v>
      </c>
      <c r="B1312" t="s">
        <v>946</v>
      </c>
      <c r="C1312" s="553">
        <v>44279</v>
      </c>
      <c r="D1312" s="281" t="s">
        <v>4550</v>
      </c>
      <c r="E1312" s="281" t="s">
        <v>3984</v>
      </c>
      <c r="F1312" s="281">
        <v>1</v>
      </c>
      <c r="G1312" s="28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2">
        <v>3735</v>
      </c>
      <c r="O1312" t="s">
        <v>961</v>
      </c>
    </row>
    <row r="1313" spans="1:15">
      <c r="A1313" t="s">
        <v>942</v>
      </c>
      <c r="B1313" t="s">
        <v>946</v>
      </c>
      <c r="C1313" s="553">
        <v>44279</v>
      </c>
      <c r="D1313" s="281" t="s">
        <v>4550</v>
      </c>
      <c r="E1313" s="281" t="s">
        <v>3984</v>
      </c>
      <c r="F1313" s="281">
        <v>1</v>
      </c>
      <c r="G1313" s="28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2">
        <v>7470</v>
      </c>
      <c r="O1313" t="s">
        <v>961</v>
      </c>
    </row>
    <row r="1314" spans="1:15">
      <c r="A1314" t="s">
        <v>942</v>
      </c>
      <c r="B1314" t="s">
        <v>946</v>
      </c>
      <c r="C1314" s="553">
        <v>44279</v>
      </c>
      <c r="D1314" s="281" t="s">
        <v>4550</v>
      </c>
      <c r="E1314" s="281" t="s">
        <v>3984</v>
      </c>
      <c r="F1314" s="281">
        <v>1</v>
      </c>
      <c r="G1314" s="28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2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2">
        <v>498</v>
      </c>
      <c r="O1315" t="s">
        <v>961</v>
      </c>
    </row>
    <row r="1316" spans="1:15">
      <c r="A1316" t="s">
        <v>942</v>
      </c>
      <c r="B1316" t="s">
        <v>946</v>
      </c>
      <c r="C1316" s="553">
        <v>44279</v>
      </c>
      <c r="D1316" s="281" t="s">
        <v>4550</v>
      </c>
      <c r="E1316" s="281" t="s">
        <v>3984</v>
      </c>
      <c r="F1316" s="281">
        <v>1</v>
      </c>
      <c r="G1316" s="28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2">
        <v>41541.5</v>
      </c>
      <c r="O1316" t="s">
        <v>961</v>
      </c>
    </row>
    <row r="1317" spans="1:15">
      <c r="A1317" t="s">
        <v>942</v>
      </c>
      <c r="B1317" t="s">
        <v>946</v>
      </c>
      <c r="C1317" s="553">
        <v>44279</v>
      </c>
      <c r="D1317" s="281" t="s">
        <v>4550</v>
      </c>
      <c r="E1317" s="281" t="s">
        <v>3984</v>
      </c>
      <c r="F1317" s="281">
        <v>2</v>
      </c>
      <c r="G1317" s="28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2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3">
        <v>44279</v>
      </c>
      <c r="D1318" s="281" t="s">
        <v>4550</v>
      </c>
      <c r="E1318" s="281" t="s">
        <v>3984</v>
      </c>
      <c r="F1318" s="281">
        <v>4</v>
      </c>
      <c r="G1318" s="28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2">
        <v>4150</v>
      </c>
      <c r="O1318" t="s">
        <v>971</v>
      </c>
    </row>
    <row r="1319" spans="1:15">
      <c r="A1319" t="s">
        <v>942</v>
      </c>
      <c r="B1319" t="s">
        <v>946</v>
      </c>
      <c r="C1319" s="553">
        <v>44279</v>
      </c>
      <c r="D1319" s="281" t="s">
        <v>4550</v>
      </c>
      <c r="E1319" s="281" t="s">
        <v>3984</v>
      </c>
      <c r="F1319" s="281">
        <v>3</v>
      </c>
      <c r="G1319" s="28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2">
        <v>4150</v>
      </c>
      <c r="O1319" t="s">
        <v>968</v>
      </c>
    </row>
    <row r="1320" spans="1:15">
      <c r="A1320" t="s">
        <v>942</v>
      </c>
      <c r="B1320" t="s">
        <v>946</v>
      </c>
      <c r="C1320" s="553">
        <v>44279</v>
      </c>
      <c r="D1320" s="281" t="s">
        <v>4550</v>
      </c>
      <c r="E1320" s="281" t="s">
        <v>3984</v>
      </c>
      <c r="F1320" s="281">
        <v>3</v>
      </c>
      <c r="G1320" s="28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2">
        <v>2075</v>
      </c>
      <c r="O1320" t="s">
        <v>968</v>
      </c>
    </row>
    <row r="1321" spans="1:15">
      <c r="A1321" t="s">
        <v>942</v>
      </c>
      <c r="B1321" t="s">
        <v>946</v>
      </c>
      <c r="C1321" s="553">
        <v>44279</v>
      </c>
      <c r="D1321" s="281" t="s">
        <v>4550</v>
      </c>
      <c r="E1321" s="281" t="s">
        <v>3984</v>
      </c>
      <c r="F1321" s="281">
        <v>1</v>
      </c>
      <c r="G1321" s="28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2">
        <v>16600</v>
      </c>
      <c r="O1321" t="s">
        <v>961</v>
      </c>
    </row>
    <row r="1322" spans="1:15">
      <c r="A1322" t="s">
        <v>942</v>
      </c>
      <c r="B1322" t="s">
        <v>946</v>
      </c>
      <c r="C1322" s="553">
        <v>44279</v>
      </c>
      <c r="D1322" s="281" t="s">
        <v>4550</v>
      </c>
      <c r="E1322" s="281" t="s">
        <v>3984</v>
      </c>
      <c r="F1322" s="281">
        <v>1</v>
      </c>
      <c r="G1322" s="28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2">
        <v>1037.5</v>
      </c>
      <c r="O1322" t="s">
        <v>961</v>
      </c>
    </row>
    <row r="1323" spans="1:15">
      <c r="A1323" t="s">
        <v>942</v>
      </c>
      <c r="B1323" t="s">
        <v>946</v>
      </c>
      <c r="C1323" s="553">
        <v>44279</v>
      </c>
      <c r="D1323" s="281" t="s">
        <v>4550</v>
      </c>
      <c r="E1323" s="281" t="s">
        <v>3984</v>
      </c>
      <c r="F1323" s="281">
        <v>1</v>
      </c>
      <c r="G1323" s="28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2">
        <v>2075</v>
      </c>
      <c r="O1323" t="s">
        <v>961</v>
      </c>
    </row>
    <row r="1324" spans="1:15">
      <c r="A1324" t="s">
        <v>942</v>
      </c>
      <c r="B1324" t="s">
        <v>946</v>
      </c>
      <c r="C1324" s="553">
        <v>44279</v>
      </c>
      <c r="D1324" s="281" t="s">
        <v>4550</v>
      </c>
      <c r="E1324" s="281" t="s">
        <v>3984</v>
      </c>
      <c r="F1324" s="281">
        <v>1</v>
      </c>
      <c r="G1324" s="28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2">
        <v>4565</v>
      </c>
      <c r="O1324" t="s">
        <v>961</v>
      </c>
    </row>
    <row r="1325" spans="1:15">
      <c r="A1325" t="s">
        <v>942</v>
      </c>
      <c r="B1325" t="s">
        <v>946</v>
      </c>
      <c r="C1325" s="553">
        <v>44279</v>
      </c>
      <c r="D1325" s="281" t="s">
        <v>4550</v>
      </c>
      <c r="E1325" s="281" t="s">
        <v>3984</v>
      </c>
      <c r="F1325" s="281">
        <v>1</v>
      </c>
      <c r="G1325" s="28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2">
        <v>123670</v>
      </c>
      <c r="O1325" t="s">
        <v>961</v>
      </c>
    </row>
    <row r="1326" spans="1:15">
      <c r="A1326" t="s">
        <v>942</v>
      </c>
      <c r="B1326" t="s">
        <v>946</v>
      </c>
      <c r="C1326" s="553">
        <v>44279</v>
      </c>
      <c r="D1326" s="281" t="s">
        <v>4550</v>
      </c>
      <c r="E1326" s="281" t="s">
        <v>3984</v>
      </c>
      <c r="F1326" s="281">
        <v>1</v>
      </c>
      <c r="G1326" s="28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2">
        <v>2490</v>
      </c>
      <c r="O1326" t="s">
        <v>961</v>
      </c>
    </row>
    <row r="1327" spans="1:15">
      <c r="A1327" t="s">
        <v>942</v>
      </c>
      <c r="B1327" t="s">
        <v>946</v>
      </c>
      <c r="C1327" s="553">
        <v>44279</v>
      </c>
      <c r="D1327" s="281" t="s">
        <v>4550</v>
      </c>
      <c r="E1327" s="281" t="s">
        <v>3984</v>
      </c>
      <c r="F1327" s="281">
        <v>1</v>
      </c>
      <c r="G1327" s="28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2">
        <v>2075</v>
      </c>
      <c r="O1327" t="s">
        <v>961</v>
      </c>
    </row>
    <row r="1328" spans="1:15">
      <c r="A1328" t="s">
        <v>942</v>
      </c>
      <c r="B1328" t="s">
        <v>946</v>
      </c>
      <c r="C1328" s="553">
        <v>44279</v>
      </c>
      <c r="D1328" s="281" t="s">
        <v>4550</v>
      </c>
      <c r="E1328" s="281" t="s">
        <v>3984</v>
      </c>
      <c r="F1328" s="281">
        <v>1</v>
      </c>
      <c r="G1328" s="28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2">
        <v>10375</v>
      </c>
      <c r="O1328" t="s">
        <v>961</v>
      </c>
    </row>
    <row r="1329" spans="1:15">
      <c r="A1329" t="s">
        <v>942</v>
      </c>
      <c r="B1329" t="s">
        <v>946</v>
      </c>
      <c r="C1329" s="553">
        <v>44279</v>
      </c>
      <c r="D1329" s="281" t="s">
        <v>4550</v>
      </c>
      <c r="E1329" s="281" t="s">
        <v>3984</v>
      </c>
      <c r="F1329" s="281">
        <v>1</v>
      </c>
      <c r="G1329" s="28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2">
        <v>2075</v>
      </c>
      <c r="O1329" t="s">
        <v>961</v>
      </c>
    </row>
    <row r="1330" spans="1:15">
      <c r="A1330" t="s">
        <v>942</v>
      </c>
      <c r="B1330" t="s">
        <v>946</v>
      </c>
      <c r="C1330" s="553">
        <v>44279</v>
      </c>
      <c r="D1330" s="281" t="s">
        <v>4550</v>
      </c>
      <c r="E1330" s="281" t="s">
        <v>3984</v>
      </c>
      <c r="F1330" s="281">
        <v>1</v>
      </c>
      <c r="G1330" s="28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2">
        <v>5063</v>
      </c>
      <c r="O1330" t="s">
        <v>961</v>
      </c>
    </row>
    <row r="1331" spans="1:15">
      <c r="A1331" t="s">
        <v>942</v>
      </c>
      <c r="B1331" t="s">
        <v>946</v>
      </c>
      <c r="C1331" s="553">
        <v>44279</v>
      </c>
      <c r="D1331" s="281" t="s">
        <v>4550</v>
      </c>
      <c r="E1331" s="281" t="s">
        <v>3984</v>
      </c>
      <c r="F1331" s="281">
        <v>3</v>
      </c>
      <c r="G1331" s="28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2">
        <v>4980</v>
      </c>
      <c r="O1331" t="s">
        <v>968</v>
      </c>
    </row>
    <row r="1332" spans="1:15">
      <c r="A1332" t="s">
        <v>942</v>
      </c>
      <c r="B1332" t="s">
        <v>946</v>
      </c>
      <c r="C1332" s="553">
        <v>44279</v>
      </c>
      <c r="D1332" s="281" t="s">
        <v>4550</v>
      </c>
      <c r="E1332" s="281" t="s">
        <v>3984</v>
      </c>
      <c r="F1332" s="281">
        <v>1</v>
      </c>
      <c r="G1332" s="28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2">
        <v>11952</v>
      </c>
      <c r="O1332" t="s">
        <v>961</v>
      </c>
    </row>
    <row r="1333" spans="1:15">
      <c r="A1333" t="s">
        <v>942</v>
      </c>
      <c r="B1333" t="s">
        <v>946</v>
      </c>
      <c r="C1333" s="553">
        <v>44279</v>
      </c>
      <c r="D1333" s="281" t="s">
        <v>4551</v>
      </c>
      <c r="E1333" s="281" t="s">
        <v>3986</v>
      </c>
      <c r="F1333" s="281">
        <v>1</v>
      </c>
      <c r="G1333" s="28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2">
        <v>1494</v>
      </c>
      <c r="O1333" t="s">
        <v>961</v>
      </c>
    </row>
    <row r="1334" spans="1:15">
      <c r="A1334" t="s">
        <v>942</v>
      </c>
      <c r="B1334" t="s">
        <v>946</v>
      </c>
      <c r="C1334" s="553">
        <v>44279</v>
      </c>
      <c r="D1334" s="281" t="s">
        <v>4551</v>
      </c>
      <c r="E1334" s="281" t="s">
        <v>3986</v>
      </c>
      <c r="F1334" s="281">
        <v>1</v>
      </c>
      <c r="G1334" s="28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2">
        <v>11205</v>
      </c>
      <c r="O1334" t="s">
        <v>961</v>
      </c>
    </row>
    <row r="1335" spans="1:15">
      <c r="A1335" t="s">
        <v>942</v>
      </c>
      <c r="B1335" t="s">
        <v>946</v>
      </c>
      <c r="C1335" s="553">
        <v>44279</v>
      </c>
      <c r="D1335" s="281" t="s">
        <v>4551</v>
      </c>
      <c r="E1335" s="281" t="s">
        <v>3986</v>
      </c>
      <c r="F1335" s="281">
        <v>1</v>
      </c>
      <c r="G1335" s="28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2">
        <v>6225</v>
      </c>
      <c r="O1335" t="s">
        <v>961</v>
      </c>
    </row>
    <row r="1336" spans="1:15">
      <c r="A1336" t="s">
        <v>942</v>
      </c>
      <c r="B1336" t="s">
        <v>946</v>
      </c>
      <c r="C1336" s="553">
        <v>44279</v>
      </c>
      <c r="D1336" s="281" t="s">
        <v>4551</v>
      </c>
      <c r="E1336" s="281" t="s">
        <v>3986</v>
      </c>
      <c r="F1336" s="281">
        <v>1</v>
      </c>
      <c r="G1336" s="28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2">
        <v>2490</v>
      </c>
      <c r="O1336" t="s">
        <v>961</v>
      </c>
    </row>
    <row r="1337" spans="1:15">
      <c r="A1337" t="s">
        <v>942</v>
      </c>
      <c r="B1337" t="s">
        <v>946</v>
      </c>
      <c r="C1337" s="553">
        <v>44279</v>
      </c>
      <c r="D1337" s="281" t="s">
        <v>4551</v>
      </c>
      <c r="E1337" s="281" t="s">
        <v>3986</v>
      </c>
      <c r="F1337" s="281">
        <v>1</v>
      </c>
      <c r="G1337" s="28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2">
        <v>9960</v>
      </c>
      <c r="O1337" t="s">
        <v>961</v>
      </c>
    </row>
    <row r="1338" spans="1:15">
      <c r="A1338" t="s">
        <v>942</v>
      </c>
      <c r="B1338" t="s">
        <v>946</v>
      </c>
      <c r="C1338" s="553">
        <v>44279</v>
      </c>
      <c r="D1338" s="281" t="s">
        <v>4551</v>
      </c>
      <c r="E1338" s="281" t="s">
        <v>3986</v>
      </c>
      <c r="F1338" s="281">
        <v>1</v>
      </c>
      <c r="G1338" s="28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2">
        <v>4980</v>
      </c>
      <c r="O1338" t="s">
        <v>961</v>
      </c>
    </row>
    <row r="1339" spans="1:15">
      <c r="A1339" t="s">
        <v>942</v>
      </c>
      <c r="B1339" t="s">
        <v>946</v>
      </c>
      <c r="C1339" s="553">
        <v>44279</v>
      </c>
      <c r="D1339" s="281" t="s">
        <v>4551</v>
      </c>
      <c r="E1339" s="281" t="s">
        <v>3986</v>
      </c>
      <c r="F1339" s="281">
        <v>1</v>
      </c>
      <c r="G1339" s="28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2">
        <v>2490</v>
      </c>
      <c r="O1339" t="s">
        <v>961</v>
      </c>
    </row>
    <row r="1340" spans="1:15">
      <c r="A1340" t="s">
        <v>942</v>
      </c>
      <c r="B1340" t="s">
        <v>946</v>
      </c>
      <c r="C1340" s="553">
        <v>44279</v>
      </c>
      <c r="D1340" s="281" t="s">
        <v>4551</v>
      </c>
      <c r="E1340" s="281" t="s">
        <v>3986</v>
      </c>
      <c r="F1340" s="281">
        <v>1</v>
      </c>
      <c r="G1340" s="28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2">
        <v>4482</v>
      </c>
      <c r="O1340" t="s">
        <v>961</v>
      </c>
    </row>
    <row r="1341" spans="1:15">
      <c r="A1341" t="s">
        <v>942</v>
      </c>
      <c r="B1341" t="s">
        <v>946</v>
      </c>
      <c r="C1341" s="553">
        <v>44279</v>
      </c>
      <c r="D1341" s="281" t="s">
        <v>4551</v>
      </c>
      <c r="E1341" s="281" t="s">
        <v>3986</v>
      </c>
      <c r="F1341" s="281">
        <v>1</v>
      </c>
      <c r="G1341" s="28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2">
        <v>871.5</v>
      </c>
      <c r="O1341" t="s">
        <v>961</v>
      </c>
    </row>
    <row r="1342" spans="1:15">
      <c r="A1342" t="s">
        <v>942</v>
      </c>
      <c r="B1342" t="s">
        <v>946</v>
      </c>
      <c r="C1342" s="553">
        <v>44279</v>
      </c>
      <c r="D1342" s="281" t="s">
        <v>4551</v>
      </c>
      <c r="E1342" s="281" t="s">
        <v>3986</v>
      </c>
      <c r="F1342" s="281">
        <v>1</v>
      </c>
      <c r="G1342" s="28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2">
        <v>2386.25</v>
      </c>
      <c r="O1342" t="s">
        <v>961</v>
      </c>
    </row>
    <row r="1343" spans="1:15">
      <c r="A1343" t="s">
        <v>942</v>
      </c>
      <c r="B1343" t="s">
        <v>946</v>
      </c>
      <c r="C1343" s="553">
        <v>44279</v>
      </c>
      <c r="D1343" s="281" t="s">
        <v>4551</v>
      </c>
      <c r="E1343" s="281" t="s">
        <v>3986</v>
      </c>
      <c r="F1343" s="281">
        <v>1</v>
      </c>
      <c r="G1343" s="28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2">
        <v>23738</v>
      </c>
      <c r="O1343" t="s">
        <v>961</v>
      </c>
    </row>
    <row r="1344" spans="1:15">
      <c r="A1344" t="s">
        <v>942</v>
      </c>
      <c r="B1344" t="s">
        <v>946</v>
      </c>
      <c r="C1344" s="553">
        <v>44279</v>
      </c>
      <c r="D1344" s="281" t="s">
        <v>4551</v>
      </c>
      <c r="E1344" s="281" t="s">
        <v>3986</v>
      </c>
      <c r="F1344" s="281">
        <v>2</v>
      </c>
      <c r="G1344" s="28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2">
        <v>129846.86</v>
      </c>
      <c r="O1344" t="s">
        <v>965</v>
      </c>
    </row>
    <row r="1345" spans="1:15">
      <c r="A1345" t="s">
        <v>942</v>
      </c>
      <c r="B1345" t="s">
        <v>946</v>
      </c>
      <c r="C1345" s="553">
        <v>44279</v>
      </c>
      <c r="D1345" s="281" t="s">
        <v>4551</v>
      </c>
      <c r="E1345" s="281" t="s">
        <v>3986</v>
      </c>
      <c r="F1345" s="281">
        <v>4</v>
      </c>
      <c r="G1345" s="28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2">
        <v>10375</v>
      </c>
      <c r="O1345" t="s">
        <v>971</v>
      </c>
    </row>
    <row r="1346" spans="1:15">
      <c r="A1346" t="s">
        <v>942</v>
      </c>
      <c r="B1346" t="s">
        <v>946</v>
      </c>
      <c r="C1346" s="553">
        <v>44279</v>
      </c>
      <c r="D1346" s="281" t="s">
        <v>4551</v>
      </c>
      <c r="E1346" s="281" t="s">
        <v>3986</v>
      </c>
      <c r="F1346" s="281">
        <v>3</v>
      </c>
      <c r="G1346" s="28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2">
        <v>4150</v>
      </c>
      <c r="O1346" t="s">
        <v>968</v>
      </c>
    </row>
    <row r="1347" spans="1:15">
      <c r="A1347" t="s">
        <v>942</v>
      </c>
      <c r="B1347" t="s">
        <v>946</v>
      </c>
      <c r="C1347" s="553">
        <v>44279</v>
      </c>
      <c r="D1347" s="281" t="s">
        <v>4551</v>
      </c>
      <c r="E1347" s="281" t="s">
        <v>3986</v>
      </c>
      <c r="F1347" s="281">
        <v>3</v>
      </c>
      <c r="G1347" s="28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2">
        <v>2075</v>
      </c>
      <c r="O1347" t="s">
        <v>968</v>
      </c>
    </row>
    <row r="1348" spans="1:15">
      <c r="A1348" t="s">
        <v>942</v>
      </c>
      <c r="B1348" t="s">
        <v>946</v>
      </c>
      <c r="C1348" s="553">
        <v>44279</v>
      </c>
      <c r="D1348" s="281" t="s">
        <v>4551</v>
      </c>
      <c r="E1348" s="281" t="s">
        <v>3986</v>
      </c>
      <c r="F1348" s="281">
        <v>1</v>
      </c>
      <c r="G1348" s="28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2">
        <v>31125</v>
      </c>
      <c r="O1348" t="s">
        <v>961</v>
      </c>
    </row>
    <row r="1349" spans="1:15">
      <c r="A1349" t="s">
        <v>942</v>
      </c>
      <c r="B1349" t="s">
        <v>946</v>
      </c>
      <c r="C1349" s="553">
        <v>44279</v>
      </c>
      <c r="D1349" s="281" t="s">
        <v>4551</v>
      </c>
      <c r="E1349" s="281" t="s">
        <v>3986</v>
      </c>
      <c r="F1349" s="281">
        <v>1</v>
      </c>
      <c r="G1349" s="28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2">
        <v>1037.5</v>
      </c>
      <c r="O1349" t="s">
        <v>961</v>
      </c>
    </row>
    <row r="1350" spans="1:15">
      <c r="A1350" t="s">
        <v>942</v>
      </c>
      <c r="B1350" t="s">
        <v>946</v>
      </c>
      <c r="C1350" s="553">
        <v>44279</v>
      </c>
      <c r="D1350" s="281" t="s">
        <v>4551</v>
      </c>
      <c r="E1350" s="281" t="s">
        <v>3986</v>
      </c>
      <c r="F1350" s="281">
        <v>1</v>
      </c>
      <c r="G1350" s="28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2">
        <v>2619.69</v>
      </c>
      <c r="O1350" t="s">
        <v>961</v>
      </c>
    </row>
    <row r="1351" spans="1:15">
      <c r="A1351" t="s">
        <v>942</v>
      </c>
      <c r="B1351" t="s">
        <v>946</v>
      </c>
      <c r="C1351" s="553">
        <v>44279</v>
      </c>
      <c r="D1351" s="281" t="s">
        <v>4551</v>
      </c>
      <c r="E1351" s="281" t="s">
        <v>3986</v>
      </c>
      <c r="F1351" s="281">
        <v>1</v>
      </c>
      <c r="G1351" s="28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2">
        <v>4565</v>
      </c>
      <c r="O1351" t="s">
        <v>961</v>
      </c>
    </row>
    <row r="1352" spans="1:15">
      <c r="A1352" t="s">
        <v>942</v>
      </c>
      <c r="B1352" t="s">
        <v>946</v>
      </c>
      <c r="C1352" s="553">
        <v>44279</v>
      </c>
      <c r="D1352" s="281" t="s">
        <v>4551</v>
      </c>
      <c r="E1352" s="281" t="s">
        <v>3986</v>
      </c>
      <c r="F1352" s="281">
        <v>1</v>
      </c>
      <c r="G1352" s="28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2">
        <v>54780</v>
      </c>
      <c r="O1352" t="s">
        <v>961</v>
      </c>
    </row>
    <row r="1353" spans="1:15">
      <c r="A1353" t="s">
        <v>942</v>
      </c>
      <c r="B1353" t="s">
        <v>946</v>
      </c>
      <c r="C1353" s="553">
        <v>44279</v>
      </c>
      <c r="D1353" s="281" t="s">
        <v>4551</v>
      </c>
      <c r="E1353" s="281" t="s">
        <v>3986</v>
      </c>
      <c r="F1353" s="281">
        <v>1</v>
      </c>
      <c r="G1353" s="28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2">
        <v>2075</v>
      </c>
      <c r="O1353" t="s">
        <v>961</v>
      </c>
    </row>
    <row r="1354" spans="1:15">
      <c r="A1354" t="s">
        <v>942</v>
      </c>
      <c r="B1354" t="s">
        <v>946</v>
      </c>
      <c r="C1354" s="553">
        <v>44279</v>
      </c>
      <c r="D1354" s="281" t="s">
        <v>4551</v>
      </c>
      <c r="E1354" s="281" t="s">
        <v>3986</v>
      </c>
      <c r="F1354" s="281">
        <v>1</v>
      </c>
      <c r="G1354" s="28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2">
        <v>10375</v>
      </c>
      <c r="O1354" t="s">
        <v>961</v>
      </c>
    </row>
    <row r="1355" spans="1:15">
      <c r="A1355" t="s">
        <v>942</v>
      </c>
      <c r="B1355" t="s">
        <v>946</v>
      </c>
      <c r="C1355" s="553">
        <v>44279</v>
      </c>
      <c r="D1355" s="281" t="s">
        <v>4551</v>
      </c>
      <c r="E1355" s="281" t="s">
        <v>3986</v>
      </c>
      <c r="F1355" s="281">
        <v>1</v>
      </c>
      <c r="G1355" s="28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2">
        <v>1037.5</v>
      </c>
      <c r="O1355" t="s">
        <v>961</v>
      </c>
    </row>
    <row r="1356" spans="1:15">
      <c r="A1356" t="s">
        <v>942</v>
      </c>
      <c r="B1356" t="s">
        <v>946</v>
      </c>
      <c r="C1356" s="553">
        <v>44279</v>
      </c>
      <c r="D1356" s="281" t="s">
        <v>4551</v>
      </c>
      <c r="E1356" s="281" t="s">
        <v>3986</v>
      </c>
      <c r="F1356" s="281">
        <v>1</v>
      </c>
      <c r="G1356" s="28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2">
        <v>4316</v>
      </c>
      <c r="O1356" t="s">
        <v>961</v>
      </c>
    </row>
    <row r="1357" spans="1:15">
      <c r="A1357" t="s">
        <v>942</v>
      </c>
      <c r="B1357" t="s">
        <v>946</v>
      </c>
      <c r="C1357" s="553">
        <v>44279</v>
      </c>
      <c r="D1357" s="281" t="s">
        <v>4551</v>
      </c>
      <c r="E1357" s="281" t="s">
        <v>3986</v>
      </c>
      <c r="F1357" s="281">
        <v>3</v>
      </c>
      <c r="G1357" s="28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2">
        <v>8300</v>
      </c>
      <c r="O1357" t="s">
        <v>968</v>
      </c>
    </row>
    <row r="1358" spans="1:15">
      <c r="A1358" t="s">
        <v>942</v>
      </c>
      <c r="B1358" t="s">
        <v>946</v>
      </c>
      <c r="C1358" s="553">
        <v>44279</v>
      </c>
      <c r="D1358" s="281" t="s">
        <v>4551</v>
      </c>
      <c r="E1358" s="281" t="s">
        <v>3986</v>
      </c>
      <c r="F1358" s="281">
        <v>1</v>
      </c>
      <c r="G1358" s="28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2">
        <v>8964</v>
      </c>
      <c r="O1358" t="s">
        <v>961</v>
      </c>
    </row>
    <row r="1359" spans="1:15">
      <c r="A1359" t="s">
        <v>942</v>
      </c>
      <c r="B1359" t="s">
        <v>946</v>
      </c>
      <c r="C1359" s="553">
        <v>44279</v>
      </c>
      <c r="D1359" s="281" t="s">
        <v>4552</v>
      </c>
      <c r="E1359" s="281" t="s">
        <v>3988</v>
      </c>
      <c r="F1359" s="281">
        <v>11</v>
      </c>
      <c r="G1359" s="28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2">
        <v>57498</v>
      </c>
      <c r="O1359" t="s">
        <v>985</v>
      </c>
    </row>
    <row r="1360" spans="1:15">
      <c r="A1360" t="s">
        <v>942</v>
      </c>
      <c r="B1360" t="s">
        <v>946</v>
      </c>
      <c r="C1360" s="553">
        <v>44279</v>
      </c>
      <c r="D1360" s="281" t="s">
        <v>4552</v>
      </c>
      <c r="E1360" s="281" t="s">
        <v>3988</v>
      </c>
      <c r="F1360" s="281">
        <v>11</v>
      </c>
      <c r="G1360" s="28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2">
        <v>785004</v>
      </c>
      <c r="O1360" t="s">
        <v>985</v>
      </c>
    </row>
    <row r="1361" spans="1:15">
      <c r="A1361" t="s">
        <v>942</v>
      </c>
      <c r="B1361" t="s">
        <v>946</v>
      </c>
      <c r="C1361" s="553">
        <v>44279</v>
      </c>
      <c r="D1361" s="281" t="s">
        <v>4552</v>
      </c>
      <c r="E1361" s="281" t="s">
        <v>3988</v>
      </c>
      <c r="F1361" s="281">
        <v>11</v>
      </c>
      <c r="G1361" s="28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2">
        <v>19166</v>
      </c>
      <c r="O1361" t="s">
        <v>985</v>
      </c>
    </row>
    <row r="1362" spans="1:15">
      <c r="A1362" t="s">
        <v>942</v>
      </c>
      <c r="B1362" t="s">
        <v>946</v>
      </c>
      <c r="C1362" s="553">
        <v>44279</v>
      </c>
      <c r="D1362" s="281" t="s">
        <v>4552</v>
      </c>
      <c r="E1362" s="281" t="s">
        <v>3988</v>
      </c>
      <c r="F1362" s="281">
        <v>11</v>
      </c>
      <c r="G1362" s="28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2">
        <v>38332</v>
      </c>
      <c r="O1362" t="s">
        <v>985</v>
      </c>
    </row>
    <row r="1363" spans="1:15">
      <c r="A1363" t="s">
        <v>942</v>
      </c>
      <c r="B1363" t="s">
        <v>946</v>
      </c>
      <c r="C1363" s="553">
        <v>44280</v>
      </c>
      <c r="D1363" s="281" t="s">
        <v>4553</v>
      </c>
      <c r="E1363" s="281" t="s">
        <v>4009</v>
      </c>
      <c r="F1363" s="281">
        <v>5</v>
      </c>
      <c r="G1363" s="28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2">
        <v>15000</v>
      </c>
      <c r="O1363" t="s">
        <v>974</v>
      </c>
    </row>
    <row r="1364" spans="1:15">
      <c r="A1364" t="s">
        <v>942</v>
      </c>
      <c r="B1364" t="s">
        <v>946</v>
      </c>
      <c r="C1364" s="553">
        <v>44280</v>
      </c>
      <c r="D1364" s="281" t="s">
        <v>4553</v>
      </c>
      <c r="E1364" s="281" t="s">
        <v>4009</v>
      </c>
      <c r="F1364" s="281">
        <v>5</v>
      </c>
      <c r="G1364" s="28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2">
        <v>23000</v>
      </c>
      <c r="O1364" t="s">
        <v>974</v>
      </c>
    </row>
    <row r="1365" spans="1:15">
      <c r="A1365" t="s">
        <v>942</v>
      </c>
      <c r="B1365" t="s">
        <v>946</v>
      </c>
      <c r="C1365" s="553">
        <v>44280</v>
      </c>
      <c r="D1365" s="281" t="s">
        <v>4553</v>
      </c>
      <c r="E1365" s="281" t="s">
        <v>4009</v>
      </c>
      <c r="F1365" s="281">
        <v>5</v>
      </c>
      <c r="G1365" s="28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2">
        <v>5000</v>
      </c>
      <c r="O1365" t="s">
        <v>974</v>
      </c>
    </row>
    <row r="1366" spans="1:15">
      <c r="A1366" t="s">
        <v>942</v>
      </c>
      <c r="B1366" t="s">
        <v>946</v>
      </c>
      <c r="C1366" s="553">
        <v>44280</v>
      </c>
      <c r="D1366" s="281" t="s">
        <v>4553</v>
      </c>
      <c r="E1366" s="281" t="s">
        <v>4009</v>
      </c>
      <c r="F1366" s="281">
        <v>6</v>
      </c>
      <c r="G1366" s="28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2">
        <v>30000</v>
      </c>
      <c r="O1366" t="s">
        <v>977</v>
      </c>
    </row>
    <row r="1367" spans="1:15">
      <c r="A1367" t="s">
        <v>942</v>
      </c>
      <c r="B1367" t="s">
        <v>946</v>
      </c>
      <c r="C1367" s="553">
        <v>44280</v>
      </c>
      <c r="D1367" s="281" t="s">
        <v>4553</v>
      </c>
      <c r="E1367" s="281" t="s">
        <v>4009</v>
      </c>
      <c r="F1367" s="281">
        <v>6</v>
      </c>
      <c r="G1367" s="28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2">
        <v>20000</v>
      </c>
      <c r="O1367" t="s">
        <v>977</v>
      </c>
    </row>
    <row r="1368" spans="1:15">
      <c r="A1368" t="s">
        <v>942</v>
      </c>
      <c r="B1368" t="s">
        <v>946</v>
      </c>
      <c r="C1368" s="553">
        <v>44280</v>
      </c>
      <c r="D1368" s="281" t="s">
        <v>4553</v>
      </c>
      <c r="E1368" s="281" t="s">
        <v>4009</v>
      </c>
      <c r="F1368" s="281">
        <v>6</v>
      </c>
      <c r="G1368" s="28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2">
        <v>147500</v>
      </c>
      <c r="O1368" t="s">
        <v>977</v>
      </c>
    </row>
    <row r="1369" spans="1:15">
      <c r="A1369" t="s">
        <v>942</v>
      </c>
      <c r="B1369" t="s">
        <v>946</v>
      </c>
      <c r="C1369" s="553">
        <v>44280</v>
      </c>
      <c r="D1369" s="281" t="s">
        <v>4553</v>
      </c>
      <c r="E1369" s="281" t="s">
        <v>4009</v>
      </c>
      <c r="F1369" s="281">
        <v>7</v>
      </c>
      <c r="G1369" s="28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2">
        <v>25000</v>
      </c>
      <c r="O1369" t="s">
        <v>979</v>
      </c>
    </row>
    <row r="1370" spans="1:15">
      <c r="A1370" t="s">
        <v>942</v>
      </c>
      <c r="B1370" t="s">
        <v>946</v>
      </c>
      <c r="C1370" s="553">
        <v>44280</v>
      </c>
      <c r="D1370" s="281" t="s">
        <v>4553</v>
      </c>
      <c r="E1370" s="281" t="s">
        <v>4009</v>
      </c>
      <c r="F1370" s="281">
        <v>7</v>
      </c>
      <c r="G1370" s="28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2">
        <v>40000</v>
      </c>
      <c r="O1370" t="s">
        <v>979</v>
      </c>
    </row>
    <row r="1371" spans="1:15">
      <c r="A1371" t="s">
        <v>942</v>
      </c>
      <c r="B1371" t="s">
        <v>946</v>
      </c>
      <c r="C1371" s="553">
        <v>44280</v>
      </c>
      <c r="D1371" s="281" t="s">
        <v>4553</v>
      </c>
      <c r="E1371" s="281" t="s">
        <v>4009</v>
      </c>
      <c r="F1371" s="281">
        <v>7</v>
      </c>
      <c r="G1371" s="28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2">
        <v>40000</v>
      </c>
      <c r="O1371" t="s">
        <v>979</v>
      </c>
    </row>
    <row r="1372" spans="1:15">
      <c r="A1372" t="s">
        <v>942</v>
      </c>
      <c r="B1372" t="s">
        <v>946</v>
      </c>
      <c r="C1372" s="553">
        <v>44280</v>
      </c>
      <c r="D1372" s="281" t="s">
        <v>4554</v>
      </c>
      <c r="E1372" s="281" t="s">
        <v>4012</v>
      </c>
      <c r="F1372" s="281">
        <v>5</v>
      </c>
      <c r="G1372" s="28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2">
        <v>30000</v>
      </c>
      <c r="O1372" t="s">
        <v>974</v>
      </c>
    </row>
    <row r="1373" spans="1:15">
      <c r="A1373" t="s">
        <v>942</v>
      </c>
      <c r="B1373" t="s">
        <v>946</v>
      </c>
      <c r="C1373" s="553">
        <v>44280</v>
      </c>
      <c r="D1373" s="281" t="s">
        <v>4554</v>
      </c>
      <c r="E1373" s="281" t="s">
        <v>4012</v>
      </c>
      <c r="F1373" s="281">
        <v>5</v>
      </c>
      <c r="G1373" s="28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2">
        <v>20000</v>
      </c>
      <c r="O1373" t="s">
        <v>974</v>
      </c>
    </row>
    <row r="1374" spans="1:15">
      <c r="A1374" t="s">
        <v>942</v>
      </c>
      <c r="B1374" t="s">
        <v>946</v>
      </c>
      <c r="C1374" s="553">
        <v>44280</v>
      </c>
      <c r="D1374" s="281" t="s">
        <v>4554</v>
      </c>
      <c r="E1374" s="281" t="s">
        <v>4012</v>
      </c>
      <c r="F1374" s="281">
        <v>5</v>
      </c>
      <c r="G1374" s="28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2">
        <v>10000</v>
      </c>
      <c r="O1374" t="s">
        <v>974</v>
      </c>
    </row>
    <row r="1375" spans="1:15">
      <c r="A1375" t="s">
        <v>942</v>
      </c>
      <c r="B1375" t="s">
        <v>946</v>
      </c>
      <c r="C1375" s="553">
        <v>44280</v>
      </c>
      <c r="D1375" s="281" t="s">
        <v>4554</v>
      </c>
      <c r="E1375" s="281" t="s">
        <v>4012</v>
      </c>
      <c r="F1375" s="281">
        <v>6</v>
      </c>
      <c r="G1375" s="28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2">
        <v>25000</v>
      </c>
      <c r="O1375" t="s">
        <v>977</v>
      </c>
    </row>
    <row r="1376" spans="1:15">
      <c r="A1376" t="s">
        <v>942</v>
      </c>
      <c r="B1376" t="s">
        <v>946</v>
      </c>
      <c r="C1376" s="553">
        <v>44280</v>
      </c>
      <c r="D1376" s="281" t="s">
        <v>4554</v>
      </c>
      <c r="E1376" s="281" t="s">
        <v>4012</v>
      </c>
      <c r="F1376" s="281">
        <v>6</v>
      </c>
      <c r="G1376" s="28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2">
        <v>10000</v>
      </c>
      <c r="O1376" t="s">
        <v>977</v>
      </c>
    </row>
    <row r="1377" spans="1:15">
      <c r="A1377" t="s">
        <v>942</v>
      </c>
      <c r="B1377" t="s">
        <v>946</v>
      </c>
      <c r="C1377" s="553">
        <v>44280</v>
      </c>
      <c r="D1377" s="281" t="s">
        <v>4554</v>
      </c>
      <c r="E1377" s="281" t="s">
        <v>4012</v>
      </c>
      <c r="F1377" s="281">
        <v>6</v>
      </c>
      <c r="G1377" s="28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2">
        <v>241200</v>
      </c>
      <c r="O1377" t="s">
        <v>977</v>
      </c>
    </row>
    <row r="1378" spans="1:15">
      <c r="A1378" t="s">
        <v>942</v>
      </c>
      <c r="B1378" t="s">
        <v>946</v>
      </c>
      <c r="C1378" s="553">
        <v>44280</v>
      </c>
      <c r="D1378" s="281" t="s">
        <v>4554</v>
      </c>
      <c r="E1378" s="281" t="s">
        <v>4012</v>
      </c>
      <c r="F1378" s="281">
        <v>7</v>
      </c>
      <c r="G1378" s="28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2">
        <v>30000</v>
      </c>
      <c r="O1378" t="s">
        <v>979</v>
      </c>
    </row>
    <row r="1379" spans="1:15">
      <c r="A1379" t="s">
        <v>942</v>
      </c>
      <c r="B1379" t="s">
        <v>946</v>
      </c>
      <c r="C1379" s="553">
        <v>44280</v>
      </c>
      <c r="D1379" s="281" t="s">
        <v>4554</v>
      </c>
      <c r="E1379" s="281" t="s">
        <v>4012</v>
      </c>
      <c r="F1379" s="281">
        <v>7</v>
      </c>
      <c r="G1379" s="28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2">
        <v>30000</v>
      </c>
      <c r="O1379" t="s">
        <v>979</v>
      </c>
    </row>
    <row r="1380" spans="1:15">
      <c r="A1380" t="s">
        <v>942</v>
      </c>
      <c r="B1380" t="s">
        <v>946</v>
      </c>
      <c r="C1380" s="553">
        <v>44280</v>
      </c>
      <c r="D1380" s="281" t="s">
        <v>4554</v>
      </c>
      <c r="E1380" s="281" t="s">
        <v>4012</v>
      </c>
      <c r="F1380" s="281">
        <v>7</v>
      </c>
      <c r="G1380" s="28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2">
        <v>70000</v>
      </c>
      <c r="O1380" t="s">
        <v>979</v>
      </c>
    </row>
    <row r="1381" spans="1:15">
      <c r="A1381" t="s">
        <v>942</v>
      </c>
      <c r="B1381" t="s">
        <v>946</v>
      </c>
      <c r="C1381" s="553">
        <v>44280</v>
      </c>
      <c r="D1381" s="281" t="s">
        <v>4555</v>
      </c>
      <c r="E1381" s="281" t="s">
        <v>4014</v>
      </c>
      <c r="F1381" s="281">
        <v>5</v>
      </c>
      <c r="G1381" s="28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2">
        <v>10000</v>
      </c>
      <c r="O1381" t="s">
        <v>974</v>
      </c>
    </row>
    <row r="1382" spans="1:15">
      <c r="A1382" t="s">
        <v>942</v>
      </c>
      <c r="B1382" t="s">
        <v>946</v>
      </c>
      <c r="C1382" s="553">
        <v>44280</v>
      </c>
      <c r="D1382" s="281" t="s">
        <v>4555</v>
      </c>
      <c r="E1382" s="281" t="s">
        <v>4014</v>
      </c>
      <c r="F1382" s="281">
        <v>5</v>
      </c>
      <c r="G1382" s="28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2">
        <v>5000</v>
      </c>
      <c r="O1382" t="s">
        <v>974</v>
      </c>
    </row>
    <row r="1383" spans="1:15">
      <c r="A1383" t="s">
        <v>942</v>
      </c>
      <c r="B1383" t="s">
        <v>946</v>
      </c>
      <c r="C1383" s="553">
        <v>44280</v>
      </c>
      <c r="D1383" s="281" t="s">
        <v>4555</v>
      </c>
      <c r="E1383" s="281" t="s">
        <v>4014</v>
      </c>
      <c r="F1383" s="281">
        <v>5</v>
      </c>
      <c r="G1383" s="28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2">
        <v>5000</v>
      </c>
      <c r="O1383" t="s">
        <v>974</v>
      </c>
    </row>
    <row r="1384" spans="1:15">
      <c r="A1384" t="s">
        <v>942</v>
      </c>
      <c r="B1384" t="s">
        <v>946</v>
      </c>
      <c r="C1384" s="553">
        <v>44280</v>
      </c>
      <c r="D1384" s="281" t="s">
        <v>4555</v>
      </c>
      <c r="E1384" s="281" t="s">
        <v>4014</v>
      </c>
      <c r="F1384" s="281">
        <v>6</v>
      </c>
      <c r="G1384" s="28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2">
        <v>20000</v>
      </c>
      <c r="O1384" t="s">
        <v>977</v>
      </c>
    </row>
    <row r="1385" spans="1:15">
      <c r="A1385" t="s">
        <v>942</v>
      </c>
      <c r="B1385" t="s">
        <v>946</v>
      </c>
      <c r="C1385" s="553">
        <v>44280</v>
      </c>
      <c r="D1385" s="281" t="s">
        <v>4555</v>
      </c>
      <c r="E1385" s="281" t="s">
        <v>4014</v>
      </c>
      <c r="F1385" s="281">
        <v>6</v>
      </c>
      <c r="G1385" s="28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2">
        <v>5000</v>
      </c>
      <c r="O1385" t="s">
        <v>977</v>
      </c>
    </row>
    <row r="1386" spans="1:15">
      <c r="A1386" t="s">
        <v>942</v>
      </c>
      <c r="B1386" t="s">
        <v>946</v>
      </c>
      <c r="C1386" s="553">
        <v>44280</v>
      </c>
      <c r="D1386" s="281" t="s">
        <v>4555</v>
      </c>
      <c r="E1386" s="281" t="s">
        <v>4014</v>
      </c>
      <c r="F1386" s="281">
        <v>6</v>
      </c>
      <c r="G1386" s="28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2">
        <v>80000</v>
      </c>
      <c r="O1386" t="s">
        <v>977</v>
      </c>
    </row>
    <row r="1387" spans="1:15">
      <c r="A1387" t="s">
        <v>942</v>
      </c>
      <c r="B1387" t="s">
        <v>946</v>
      </c>
      <c r="C1387" s="553">
        <v>44280</v>
      </c>
      <c r="D1387" s="281" t="s">
        <v>4555</v>
      </c>
      <c r="E1387" s="281" t="s">
        <v>4014</v>
      </c>
      <c r="F1387" s="281">
        <v>7</v>
      </c>
      <c r="G1387" s="28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2">
        <v>20000</v>
      </c>
      <c r="O1387" t="s">
        <v>979</v>
      </c>
    </row>
    <row r="1388" spans="1:15">
      <c r="A1388" t="s">
        <v>942</v>
      </c>
      <c r="B1388" t="s">
        <v>946</v>
      </c>
      <c r="C1388" s="553">
        <v>44280</v>
      </c>
      <c r="D1388" s="281" t="s">
        <v>4555</v>
      </c>
      <c r="E1388" s="281" t="s">
        <v>4014</v>
      </c>
      <c r="F1388" s="281">
        <v>7</v>
      </c>
      <c r="G1388" s="28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2">
        <v>20000</v>
      </c>
      <c r="O1388" t="s">
        <v>979</v>
      </c>
    </row>
    <row r="1389" spans="1:15">
      <c r="A1389" t="s">
        <v>942</v>
      </c>
      <c r="B1389" t="s">
        <v>946</v>
      </c>
      <c r="C1389" s="553">
        <v>44280</v>
      </c>
      <c r="D1389" s="281" t="s">
        <v>4555</v>
      </c>
      <c r="E1389" s="281" t="s">
        <v>4014</v>
      </c>
      <c r="F1389" s="281">
        <v>7</v>
      </c>
      <c r="G1389" s="28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2">
        <v>40000</v>
      </c>
      <c r="O1389" t="s">
        <v>979</v>
      </c>
    </row>
    <row r="1390" spans="1:15">
      <c r="A1390" t="s">
        <v>942</v>
      </c>
      <c r="B1390" t="s">
        <v>946</v>
      </c>
      <c r="C1390" s="553">
        <v>44280</v>
      </c>
      <c r="D1390" s="281" t="s">
        <v>4556</v>
      </c>
      <c r="E1390" s="281" t="s">
        <v>4016</v>
      </c>
      <c r="F1390" s="281">
        <v>10</v>
      </c>
      <c r="G1390" s="28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2">
        <v>10000</v>
      </c>
      <c r="O1390" t="s">
        <v>983</v>
      </c>
    </row>
    <row r="1391" spans="1:15">
      <c r="A1391" t="s">
        <v>942</v>
      </c>
      <c r="B1391" t="s">
        <v>946</v>
      </c>
      <c r="C1391" s="553">
        <v>44280</v>
      </c>
      <c r="D1391" s="281" t="s">
        <v>4556</v>
      </c>
      <c r="E1391" s="281" t="s">
        <v>4016</v>
      </c>
      <c r="F1391" s="281">
        <v>10</v>
      </c>
      <c r="G1391" s="28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2">
        <v>150000</v>
      </c>
      <c r="O1391" t="s">
        <v>983</v>
      </c>
    </row>
    <row r="1392" spans="1:15">
      <c r="A1392" t="s">
        <v>942</v>
      </c>
      <c r="B1392" t="s">
        <v>946</v>
      </c>
      <c r="C1392" s="553">
        <v>44280</v>
      </c>
      <c r="D1392" s="281" t="s">
        <v>4556</v>
      </c>
      <c r="E1392" s="281" t="s">
        <v>4016</v>
      </c>
      <c r="F1392" s="281">
        <v>10</v>
      </c>
      <c r="G1392" s="28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2">
        <v>60000</v>
      </c>
      <c r="O1392" t="s">
        <v>983</v>
      </c>
    </row>
    <row r="1393" spans="1:15">
      <c r="A1393" t="s">
        <v>942</v>
      </c>
      <c r="B1393" t="s">
        <v>946</v>
      </c>
      <c r="C1393" s="553">
        <v>44280</v>
      </c>
      <c r="D1393" s="281" t="s">
        <v>4556</v>
      </c>
      <c r="E1393" s="281" t="s">
        <v>4016</v>
      </c>
      <c r="F1393" s="281">
        <v>10</v>
      </c>
      <c r="G1393" s="28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2">
        <v>15000</v>
      </c>
      <c r="O1393" t="s">
        <v>983</v>
      </c>
    </row>
    <row r="1394" spans="1:15">
      <c r="A1394" t="s">
        <v>942</v>
      </c>
      <c r="B1394" t="s">
        <v>946</v>
      </c>
      <c r="C1394" s="553">
        <v>44280</v>
      </c>
      <c r="D1394" s="281" t="s">
        <v>4556</v>
      </c>
      <c r="E1394" s="281" t="s">
        <v>4016</v>
      </c>
      <c r="F1394" s="281">
        <v>10</v>
      </c>
      <c r="G1394" s="28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2">
        <v>200000</v>
      </c>
      <c r="O1394" t="s">
        <v>983</v>
      </c>
    </row>
    <row r="1395" spans="1:15">
      <c r="A1395" t="s">
        <v>942</v>
      </c>
      <c r="B1395" t="s">
        <v>946</v>
      </c>
      <c r="C1395" s="553">
        <v>44280</v>
      </c>
      <c r="D1395" s="281" t="s">
        <v>4556</v>
      </c>
      <c r="E1395" s="281" t="s">
        <v>4016</v>
      </c>
      <c r="F1395" s="281">
        <v>10</v>
      </c>
      <c r="G1395" s="28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2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3">
        <v>44280</v>
      </c>
      <c r="D1396" s="281" t="s">
        <v>4557</v>
      </c>
      <c r="E1396" s="281" t="s">
        <v>4019</v>
      </c>
      <c r="F1396" s="281">
        <v>10</v>
      </c>
      <c r="G1396" s="28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2">
        <v>30000</v>
      </c>
      <c r="O1396" t="s">
        <v>983</v>
      </c>
    </row>
    <row r="1397" spans="1:15">
      <c r="A1397" t="s">
        <v>942</v>
      </c>
      <c r="B1397" t="s">
        <v>946</v>
      </c>
      <c r="C1397" s="553">
        <v>44280</v>
      </c>
      <c r="D1397" s="281" t="s">
        <v>4557</v>
      </c>
      <c r="E1397" s="281" t="s">
        <v>4019</v>
      </c>
      <c r="F1397" s="281">
        <v>10</v>
      </c>
      <c r="G1397" s="28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2">
        <v>120000</v>
      </c>
      <c r="O1397" t="s">
        <v>983</v>
      </c>
    </row>
    <row r="1398" spans="1:15">
      <c r="A1398" t="s">
        <v>942</v>
      </c>
      <c r="B1398" t="s">
        <v>946</v>
      </c>
      <c r="C1398" s="553">
        <v>44280</v>
      </c>
      <c r="D1398" s="281" t="s">
        <v>4557</v>
      </c>
      <c r="E1398" s="281" t="s">
        <v>4019</v>
      </c>
      <c r="F1398" s="281">
        <v>10</v>
      </c>
      <c r="G1398" s="28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2">
        <v>30000</v>
      </c>
      <c r="O1398" t="s">
        <v>983</v>
      </c>
    </row>
    <row r="1399" spans="1:15">
      <c r="A1399" t="s">
        <v>942</v>
      </c>
      <c r="B1399" t="s">
        <v>946</v>
      </c>
      <c r="C1399" s="553">
        <v>44280</v>
      </c>
      <c r="D1399" s="281" t="s">
        <v>4557</v>
      </c>
      <c r="E1399" s="281" t="s">
        <v>4019</v>
      </c>
      <c r="F1399" s="281">
        <v>10</v>
      </c>
      <c r="G1399" s="28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2">
        <v>80000</v>
      </c>
      <c r="O1399" t="s">
        <v>983</v>
      </c>
    </row>
    <row r="1400" spans="1:15">
      <c r="A1400" t="s">
        <v>942</v>
      </c>
      <c r="B1400" t="s">
        <v>946</v>
      </c>
      <c r="C1400" s="553">
        <v>44280</v>
      </c>
      <c r="D1400" s="281" t="s">
        <v>4557</v>
      </c>
      <c r="E1400" s="281" t="s">
        <v>4019</v>
      </c>
      <c r="F1400" s="281">
        <v>10</v>
      </c>
      <c r="G1400" s="28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2">
        <v>24121.43</v>
      </c>
      <c r="O1400" t="s">
        <v>983</v>
      </c>
    </row>
    <row r="1401" spans="1:15">
      <c r="A1401" t="s">
        <v>942</v>
      </c>
      <c r="B1401" t="s">
        <v>946</v>
      </c>
      <c r="C1401" s="553">
        <v>44280</v>
      </c>
      <c r="D1401" s="281" t="s">
        <v>4558</v>
      </c>
      <c r="E1401" s="281" t="s">
        <v>4022</v>
      </c>
      <c r="F1401" s="281">
        <v>10</v>
      </c>
      <c r="G1401" s="28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2">
        <v>50000</v>
      </c>
      <c r="O1401" t="s">
        <v>983</v>
      </c>
    </row>
    <row r="1402" spans="1:15">
      <c r="A1402" t="s">
        <v>942</v>
      </c>
      <c r="B1402" t="s">
        <v>946</v>
      </c>
      <c r="C1402" s="553">
        <v>44280</v>
      </c>
      <c r="D1402" s="281" t="s">
        <v>4558</v>
      </c>
      <c r="E1402" s="281" t="s">
        <v>4022</v>
      </c>
      <c r="F1402" s="281">
        <v>10</v>
      </c>
      <c r="G1402" s="28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2">
        <v>50000</v>
      </c>
      <c r="O1402" t="s">
        <v>983</v>
      </c>
    </row>
    <row r="1403" spans="1:15">
      <c r="A1403" t="s">
        <v>942</v>
      </c>
      <c r="B1403" t="s">
        <v>946</v>
      </c>
      <c r="C1403" s="553">
        <v>44280</v>
      </c>
      <c r="D1403" s="281" t="s">
        <v>4558</v>
      </c>
      <c r="E1403" s="281" t="s">
        <v>4022</v>
      </c>
      <c r="F1403" s="281">
        <v>10</v>
      </c>
      <c r="G1403" s="28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2">
        <v>50000</v>
      </c>
      <c r="O1403" t="s">
        <v>983</v>
      </c>
    </row>
    <row r="1404" spans="1:15">
      <c r="A1404" t="s">
        <v>942</v>
      </c>
      <c r="B1404" t="s">
        <v>946</v>
      </c>
      <c r="C1404" s="553">
        <v>44280</v>
      </c>
      <c r="D1404" s="281" t="s">
        <v>4558</v>
      </c>
      <c r="E1404" s="281" t="s">
        <v>4022</v>
      </c>
      <c r="F1404" s="281">
        <v>10</v>
      </c>
      <c r="G1404" s="28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2">
        <v>67000</v>
      </c>
      <c r="O1404" t="s">
        <v>983</v>
      </c>
    </row>
    <row r="1405" spans="1:15">
      <c r="A1405" t="s">
        <v>942</v>
      </c>
      <c r="B1405" t="s">
        <v>946</v>
      </c>
      <c r="C1405" s="553">
        <v>44280</v>
      </c>
      <c r="D1405" s="281" t="s">
        <v>4558</v>
      </c>
      <c r="E1405" s="281" t="s">
        <v>4022</v>
      </c>
      <c r="F1405" s="281">
        <v>10</v>
      </c>
      <c r="G1405" s="28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2">
        <v>24007.14</v>
      </c>
      <c r="O1405" t="s">
        <v>983</v>
      </c>
    </row>
    <row r="1406" spans="1:15">
      <c r="A1406" t="s">
        <v>942</v>
      </c>
      <c r="B1406" t="s">
        <v>946</v>
      </c>
      <c r="C1406" s="553">
        <v>44280</v>
      </c>
      <c r="D1406" s="281" t="s">
        <v>4559</v>
      </c>
      <c r="E1406" s="281" t="s">
        <v>4024</v>
      </c>
      <c r="F1406" s="281">
        <v>10</v>
      </c>
      <c r="G1406" s="28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2">
        <v>50000</v>
      </c>
      <c r="O1406" t="s">
        <v>983</v>
      </c>
    </row>
    <row r="1407" spans="1:15">
      <c r="A1407" t="s">
        <v>942</v>
      </c>
      <c r="B1407" t="s">
        <v>946</v>
      </c>
      <c r="C1407" s="553">
        <v>44280</v>
      </c>
      <c r="D1407" s="281" t="s">
        <v>4559</v>
      </c>
      <c r="E1407" s="281" t="s">
        <v>4024</v>
      </c>
      <c r="F1407" s="281">
        <v>10</v>
      </c>
      <c r="G1407" s="28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2">
        <v>50000</v>
      </c>
      <c r="O1407" t="s">
        <v>983</v>
      </c>
    </row>
    <row r="1408" spans="1:15">
      <c r="A1408" t="s">
        <v>942</v>
      </c>
      <c r="B1408" t="s">
        <v>946</v>
      </c>
      <c r="C1408" s="553">
        <v>44280</v>
      </c>
      <c r="D1408" s="281" t="s">
        <v>4559</v>
      </c>
      <c r="E1408" s="281" t="s">
        <v>4024</v>
      </c>
      <c r="F1408" s="281">
        <v>10</v>
      </c>
      <c r="G1408" s="28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2">
        <v>50000</v>
      </c>
      <c r="O1408" t="s">
        <v>983</v>
      </c>
    </row>
    <row r="1409" spans="1:15">
      <c r="A1409" t="s">
        <v>942</v>
      </c>
      <c r="B1409" t="s">
        <v>946</v>
      </c>
      <c r="C1409" s="553">
        <v>44280</v>
      </c>
      <c r="D1409" s="281" t="s">
        <v>4559</v>
      </c>
      <c r="E1409" s="281" t="s">
        <v>4024</v>
      </c>
      <c r="F1409" s="281">
        <v>10</v>
      </c>
      <c r="G1409" s="28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2">
        <v>147000</v>
      </c>
      <c r="O1409" t="s">
        <v>983</v>
      </c>
    </row>
    <row r="1410" spans="1:15">
      <c r="A1410" t="s">
        <v>942</v>
      </c>
      <c r="B1410" t="s">
        <v>946</v>
      </c>
      <c r="C1410" s="553">
        <v>44280</v>
      </c>
      <c r="D1410" s="281" t="s">
        <v>4559</v>
      </c>
      <c r="E1410" s="281" t="s">
        <v>4024</v>
      </c>
      <c r="F1410" s="281">
        <v>10</v>
      </c>
      <c r="G1410" s="28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2">
        <v>24342.85</v>
      </c>
      <c r="O1410" t="s">
        <v>983</v>
      </c>
    </row>
    <row r="1411" spans="1:15">
      <c r="A1411" t="s">
        <v>942</v>
      </c>
      <c r="B1411" t="s">
        <v>946</v>
      </c>
      <c r="C1411" s="553">
        <v>44280</v>
      </c>
      <c r="D1411" s="281" t="s">
        <v>4560</v>
      </c>
      <c r="E1411" s="281" t="s">
        <v>4151</v>
      </c>
      <c r="F1411" s="281">
        <v>1</v>
      </c>
      <c r="G1411" s="28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2">
        <v>10400</v>
      </c>
      <c r="O1411" t="s">
        <v>961</v>
      </c>
    </row>
    <row r="1412" spans="1:15">
      <c r="A1412" t="s">
        <v>942</v>
      </c>
      <c r="B1412" t="s">
        <v>946</v>
      </c>
      <c r="C1412" s="553">
        <v>44280</v>
      </c>
      <c r="D1412" s="281" t="s">
        <v>4560</v>
      </c>
      <c r="E1412" s="281" t="s">
        <v>4151</v>
      </c>
      <c r="F1412" s="281">
        <v>1</v>
      </c>
      <c r="G1412" s="28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2">
        <v>3720</v>
      </c>
      <c r="O1412" t="s">
        <v>961</v>
      </c>
    </row>
    <row r="1413" spans="1:15">
      <c r="A1413" t="s">
        <v>942</v>
      </c>
      <c r="B1413" t="s">
        <v>946</v>
      </c>
      <c r="C1413" s="553">
        <v>44280</v>
      </c>
      <c r="D1413" s="281" t="s">
        <v>4561</v>
      </c>
      <c r="E1413" s="281" t="s">
        <v>4153</v>
      </c>
      <c r="F1413" s="281">
        <v>10</v>
      </c>
      <c r="G1413" s="28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2">
        <v>5534</v>
      </c>
      <c r="O1413" t="s">
        <v>983</v>
      </c>
    </row>
    <row r="1414" spans="1:15">
      <c r="A1414" t="s">
        <v>942</v>
      </c>
      <c r="B1414" t="s">
        <v>946</v>
      </c>
      <c r="C1414" s="553">
        <v>44280</v>
      </c>
      <c r="D1414" s="281" t="s">
        <v>4561</v>
      </c>
      <c r="E1414" s="281" t="s">
        <v>4153</v>
      </c>
      <c r="F1414" s="281">
        <v>1</v>
      </c>
      <c r="G1414" s="28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2">
        <v>5534</v>
      </c>
      <c r="O1414" t="s">
        <v>961</v>
      </c>
    </row>
    <row r="1415" spans="1:15">
      <c r="A1415" t="s">
        <v>942</v>
      </c>
      <c r="B1415" t="s">
        <v>946</v>
      </c>
      <c r="C1415" s="553">
        <v>44280</v>
      </c>
      <c r="D1415" s="281" t="s">
        <v>4561</v>
      </c>
      <c r="E1415" s="281" t="s">
        <v>4153</v>
      </c>
      <c r="F1415" s="281">
        <v>1</v>
      </c>
      <c r="G1415" s="28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2">
        <v>16692</v>
      </c>
      <c r="O1415" t="s">
        <v>961</v>
      </c>
    </row>
    <row r="1416" spans="1:15">
      <c r="A1416" t="s">
        <v>942</v>
      </c>
      <c r="B1416" t="s">
        <v>946</v>
      </c>
      <c r="C1416" s="553">
        <v>44280</v>
      </c>
      <c r="D1416" s="281" t="s">
        <v>4561</v>
      </c>
      <c r="E1416" s="281" t="s">
        <v>4153</v>
      </c>
      <c r="F1416" s="281">
        <v>4</v>
      </c>
      <c r="G1416" s="28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2">
        <v>16026.5</v>
      </c>
      <c r="O1416" t="s">
        <v>971</v>
      </c>
    </row>
    <row r="1417" spans="1:15">
      <c r="A1417" t="s">
        <v>942</v>
      </c>
      <c r="B1417" t="s">
        <v>946</v>
      </c>
      <c r="C1417" s="553">
        <v>44280</v>
      </c>
      <c r="D1417" s="281" t="s">
        <v>4562</v>
      </c>
      <c r="E1417" s="281" t="s">
        <v>4027</v>
      </c>
      <c r="F1417" s="281">
        <v>7</v>
      </c>
      <c r="G1417" s="28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2">
        <v>1200</v>
      </c>
      <c r="O1417" t="s">
        <v>979</v>
      </c>
    </row>
    <row r="1418" spans="1:15">
      <c r="A1418" t="s">
        <v>942</v>
      </c>
      <c r="B1418" t="s">
        <v>946</v>
      </c>
      <c r="C1418" s="553">
        <v>44280</v>
      </c>
      <c r="D1418" s="281" t="s">
        <v>4563</v>
      </c>
      <c r="E1418" s="281" t="s">
        <v>4063</v>
      </c>
      <c r="F1418" s="281">
        <v>4</v>
      </c>
      <c r="G1418" s="28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2">
        <v>180000</v>
      </c>
      <c r="O1418" t="s">
        <v>971</v>
      </c>
    </row>
    <row r="1419" spans="1:15">
      <c r="A1419" t="s">
        <v>942</v>
      </c>
      <c r="B1419" t="s">
        <v>946</v>
      </c>
      <c r="C1419" s="553">
        <v>44280</v>
      </c>
      <c r="D1419" s="281" t="s">
        <v>4563</v>
      </c>
      <c r="E1419" s="281" t="s">
        <v>4063</v>
      </c>
      <c r="F1419" s="281">
        <v>4</v>
      </c>
      <c r="G1419" s="28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2">
        <v>20000</v>
      </c>
      <c r="O1419" t="s">
        <v>971</v>
      </c>
    </row>
    <row r="1420" spans="1:15">
      <c r="A1420" t="s">
        <v>942</v>
      </c>
      <c r="B1420" t="s">
        <v>946</v>
      </c>
      <c r="C1420" s="553">
        <v>44280</v>
      </c>
      <c r="D1420" s="281" t="s">
        <v>4563</v>
      </c>
      <c r="E1420" s="281" t="s">
        <v>4063</v>
      </c>
      <c r="F1420" s="281">
        <v>4</v>
      </c>
      <c r="G1420" s="28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2">
        <v>6000</v>
      </c>
      <c r="O1420" t="s">
        <v>971</v>
      </c>
    </row>
    <row r="1421" spans="1:15">
      <c r="A1421" t="s">
        <v>942</v>
      </c>
      <c r="B1421" t="s">
        <v>946</v>
      </c>
      <c r="C1421" s="553">
        <v>44280</v>
      </c>
      <c r="D1421" s="281" t="s">
        <v>4563</v>
      </c>
      <c r="E1421" s="281" t="s">
        <v>4063</v>
      </c>
      <c r="F1421" s="281">
        <v>4</v>
      </c>
      <c r="G1421" s="28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2">
        <v>10000</v>
      </c>
      <c r="O1421" t="s">
        <v>971</v>
      </c>
    </row>
    <row r="1422" spans="1:15">
      <c r="A1422" t="s">
        <v>942</v>
      </c>
      <c r="B1422" t="s">
        <v>946</v>
      </c>
      <c r="C1422" s="553">
        <v>44280</v>
      </c>
      <c r="D1422" s="281" t="s">
        <v>4563</v>
      </c>
      <c r="E1422" s="281" t="s">
        <v>4063</v>
      </c>
      <c r="F1422" s="281">
        <v>4</v>
      </c>
      <c r="G1422" s="28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2">
        <v>120000</v>
      </c>
      <c r="O1422" t="s">
        <v>971</v>
      </c>
    </row>
    <row r="1423" spans="1:15">
      <c r="A1423" t="s">
        <v>942</v>
      </c>
      <c r="B1423" t="s">
        <v>946</v>
      </c>
      <c r="C1423" s="553">
        <v>44280</v>
      </c>
      <c r="D1423" s="281" t="s">
        <v>4563</v>
      </c>
      <c r="E1423" s="281" t="s">
        <v>4063</v>
      </c>
      <c r="F1423" s="281">
        <v>4</v>
      </c>
      <c r="G1423" s="28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2">
        <v>140000</v>
      </c>
      <c r="O1423" t="s">
        <v>971</v>
      </c>
    </row>
    <row r="1424" spans="1:15">
      <c r="A1424" t="s">
        <v>942</v>
      </c>
      <c r="B1424" t="s">
        <v>946</v>
      </c>
      <c r="C1424" s="553">
        <v>44280</v>
      </c>
      <c r="D1424" s="281" t="s">
        <v>4563</v>
      </c>
      <c r="E1424" s="281" t="s">
        <v>4063</v>
      </c>
      <c r="F1424" s="281">
        <v>4</v>
      </c>
      <c r="G1424" s="28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2">
        <v>40000</v>
      </c>
      <c r="O1424" t="s">
        <v>971</v>
      </c>
    </row>
    <row r="1425" spans="1:15">
      <c r="A1425" t="s">
        <v>942</v>
      </c>
      <c r="B1425" t="s">
        <v>946</v>
      </c>
      <c r="C1425" s="553">
        <v>44280</v>
      </c>
      <c r="D1425" s="281" t="s">
        <v>4563</v>
      </c>
      <c r="E1425" s="281" t="s">
        <v>4063</v>
      </c>
      <c r="F1425" s="281">
        <v>4</v>
      </c>
      <c r="G1425" s="28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2">
        <v>34000</v>
      </c>
      <c r="O1425" t="s">
        <v>971</v>
      </c>
    </row>
    <row r="1426" spans="1:15">
      <c r="A1426" t="s">
        <v>942</v>
      </c>
      <c r="B1426" t="s">
        <v>946</v>
      </c>
      <c r="C1426" s="553">
        <v>44280</v>
      </c>
      <c r="D1426" s="281" t="s">
        <v>4564</v>
      </c>
      <c r="E1426" s="281" t="s">
        <v>4066</v>
      </c>
      <c r="F1426" s="281">
        <v>4</v>
      </c>
      <c r="G1426" s="28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2">
        <v>190000</v>
      </c>
      <c r="O1426" t="s">
        <v>971</v>
      </c>
    </row>
    <row r="1427" spans="1:15">
      <c r="A1427" t="s">
        <v>942</v>
      </c>
      <c r="B1427" t="s">
        <v>946</v>
      </c>
      <c r="C1427" s="553">
        <v>44280</v>
      </c>
      <c r="D1427" s="281" t="s">
        <v>4564</v>
      </c>
      <c r="E1427" s="281" t="s">
        <v>4066</v>
      </c>
      <c r="F1427" s="281">
        <v>4</v>
      </c>
      <c r="G1427" s="28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2">
        <v>20000</v>
      </c>
      <c r="O1427" t="s">
        <v>971</v>
      </c>
    </row>
    <row r="1428" spans="1:15">
      <c r="A1428" t="s">
        <v>942</v>
      </c>
      <c r="B1428" t="s">
        <v>946</v>
      </c>
      <c r="C1428" s="553">
        <v>44280</v>
      </c>
      <c r="D1428" s="281" t="s">
        <v>4564</v>
      </c>
      <c r="E1428" s="281" t="s">
        <v>4066</v>
      </c>
      <c r="F1428" s="281">
        <v>4</v>
      </c>
      <c r="G1428" s="28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2">
        <v>6000</v>
      </c>
      <c r="O1428" t="s">
        <v>971</v>
      </c>
    </row>
    <row r="1429" spans="1:15">
      <c r="A1429" t="s">
        <v>942</v>
      </c>
      <c r="B1429" t="s">
        <v>946</v>
      </c>
      <c r="C1429" s="553">
        <v>44280</v>
      </c>
      <c r="D1429" s="281" t="s">
        <v>4564</v>
      </c>
      <c r="E1429" s="281" t="s">
        <v>4066</v>
      </c>
      <c r="F1429" s="281">
        <v>4</v>
      </c>
      <c r="G1429" s="28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2">
        <v>10000</v>
      </c>
      <c r="O1429" t="s">
        <v>971</v>
      </c>
    </row>
    <row r="1430" spans="1:15">
      <c r="A1430" t="s">
        <v>942</v>
      </c>
      <c r="B1430" t="s">
        <v>946</v>
      </c>
      <c r="C1430" s="553">
        <v>44280</v>
      </c>
      <c r="D1430" s="281" t="s">
        <v>4564</v>
      </c>
      <c r="E1430" s="281" t="s">
        <v>4066</v>
      </c>
      <c r="F1430" s="281">
        <v>4</v>
      </c>
      <c r="G1430" s="28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2">
        <v>120000</v>
      </c>
      <c r="O1430" t="s">
        <v>971</v>
      </c>
    </row>
    <row r="1431" spans="1:15">
      <c r="A1431" t="s">
        <v>942</v>
      </c>
      <c r="B1431" t="s">
        <v>946</v>
      </c>
      <c r="C1431" s="553">
        <v>44280</v>
      </c>
      <c r="D1431" s="281" t="s">
        <v>4564</v>
      </c>
      <c r="E1431" s="281" t="s">
        <v>4066</v>
      </c>
      <c r="F1431" s="281">
        <v>4</v>
      </c>
      <c r="G1431" s="28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2">
        <v>140000</v>
      </c>
      <c r="O1431" t="s">
        <v>971</v>
      </c>
    </row>
    <row r="1432" spans="1:15">
      <c r="A1432" t="s">
        <v>942</v>
      </c>
      <c r="B1432" t="s">
        <v>946</v>
      </c>
      <c r="C1432" s="553">
        <v>44280</v>
      </c>
      <c r="D1432" s="281" t="s">
        <v>4564</v>
      </c>
      <c r="E1432" s="281" t="s">
        <v>4066</v>
      </c>
      <c r="F1432" s="281">
        <v>4</v>
      </c>
      <c r="G1432" s="28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2">
        <v>60000</v>
      </c>
      <c r="O1432" t="s">
        <v>971</v>
      </c>
    </row>
    <row r="1433" spans="1:15">
      <c r="A1433" t="s">
        <v>942</v>
      </c>
      <c r="B1433" t="s">
        <v>946</v>
      </c>
      <c r="C1433" s="553">
        <v>44280</v>
      </c>
      <c r="D1433" s="281" t="s">
        <v>4564</v>
      </c>
      <c r="E1433" s="281" t="s">
        <v>4066</v>
      </c>
      <c r="F1433" s="281">
        <v>4</v>
      </c>
      <c r="G1433" s="28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2">
        <v>4000</v>
      </c>
      <c r="O1433" t="s">
        <v>971</v>
      </c>
    </row>
    <row r="1434" spans="1:15">
      <c r="A1434" t="s">
        <v>942</v>
      </c>
      <c r="B1434" t="s">
        <v>946</v>
      </c>
      <c r="C1434" s="553">
        <v>44280</v>
      </c>
      <c r="D1434" s="281" t="s">
        <v>4565</v>
      </c>
      <c r="E1434" s="281" t="s">
        <v>4068</v>
      </c>
      <c r="F1434" s="281">
        <v>4</v>
      </c>
      <c r="G1434" s="28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2">
        <v>200000</v>
      </c>
      <c r="O1434" t="s">
        <v>971</v>
      </c>
    </row>
    <row r="1435" spans="1:15">
      <c r="A1435" t="s">
        <v>942</v>
      </c>
      <c r="B1435" t="s">
        <v>946</v>
      </c>
      <c r="C1435" s="553">
        <v>44280</v>
      </c>
      <c r="D1435" s="281" t="s">
        <v>4565</v>
      </c>
      <c r="E1435" s="281" t="s">
        <v>4068</v>
      </c>
      <c r="F1435" s="281">
        <v>4</v>
      </c>
      <c r="G1435" s="28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2">
        <v>20000</v>
      </c>
      <c r="O1435" t="s">
        <v>971</v>
      </c>
    </row>
    <row r="1436" spans="1:15">
      <c r="A1436" t="s">
        <v>942</v>
      </c>
      <c r="B1436" t="s">
        <v>946</v>
      </c>
      <c r="C1436" s="553">
        <v>44280</v>
      </c>
      <c r="D1436" s="281" t="s">
        <v>4565</v>
      </c>
      <c r="E1436" s="281" t="s">
        <v>4068</v>
      </c>
      <c r="F1436" s="281">
        <v>4</v>
      </c>
      <c r="G1436" s="28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2">
        <v>6000</v>
      </c>
      <c r="O1436" t="s">
        <v>971</v>
      </c>
    </row>
    <row r="1437" spans="1:15">
      <c r="A1437" t="s">
        <v>942</v>
      </c>
      <c r="B1437" t="s">
        <v>946</v>
      </c>
      <c r="C1437" s="553">
        <v>44280</v>
      </c>
      <c r="D1437" s="281" t="s">
        <v>4565</v>
      </c>
      <c r="E1437" s="281" t="s">
        <v>4068</v>
      </c>
      <c r="F1437" s="281">
        <v>4</v>
      </c>
      <c r="G1437" s="28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2">
        <v>10000</v>
      </c>
      <c r="O1437" t="s">
        <v>971</v>
      </c>
    </row>
    <row r="1438" spans="1:15">
      <c r="A1438" t="s">
        <v>942</v>
      </c>
      <c r="B1438" t="s">
        <v>946</v>
      </c>
      <c r="C1438" s="553">
        <v>44280</v>
      </c>
      <c r="D1438" s="281" t="s">
        <v>4565</v>
      </c>
      <c r="E1438" s="281" t="s">
        <v>4068</v>
      </c>
      <c r="F1438" s="281">
        <v>4</v>
      </c>
      <c r="G1438" s="28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2">
        <v>120000</v>
      </c>
      <c r="O1438" t="s">
        <v>971</v>
      </c>
    </row>
    <row r="1439" spans="1:15">
      <c r="A1439" t="s">
        <v>942</v>
      </c>
      <c r="B1439" t="s">
        <v>946</v>
      </c>
      <c r="C1439" s="553">
        <v>44280</v>
      </c>
      <c r="D1439" s="281" t="s">
        <v>4565</v>
      </c>
      <c r="E1439" s="281" t="s">
        <v>4068</v>
      </c>
      <c r="F1439" s="281">
        <v>4</v>
      </c>
      <c r="G1439" s="28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2">
        <v>140000</v>
      </c>
      <c r="O1439" t="s">
        <v>971</v>
      </c>
    </row>
    <row r="1440" spans="1:15">
      <c r="A1440" t="s">
        <v>942</v>
      </c>
      <c r="B1440" t="s">
        <v>946</v>
      </c>
      <c r="C1440" s="553">
        <v>44280</v>
      </c>
      <c r="D1440" s="281" t="s">
        <v>4565</v>
      </c>
      <c r="E1440" s="281" t="s">
        <v>4068</v>
      </c>
      <c r="F1440" s="281">
        <v>4</v>
      </c>
      <c r="G1440" s="28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2">
        <v>40000</v>
      </c>
      <c r="O1440" t="s">
        <v>971</v>
      </c>
    </row>
    <row r="1441" spans="1:15">
      <c r="A1441" t="s">
        <v>942</v>
      </c>
      <c r="B1441" t="s">
        <v>946</v>
      </c>
      <c r="C1441" s="553">
        <v>44280</v>
      </c>
      <c r="D1441" s="281" t="s">
        <v>4565</v>
      </c>
      <c r="E1441" s="281" t="s">
        <v>4068</v>
      </c>
      <c r="F1441" s="281">
        <v>4</v>
      </c>
      <c r="G1441" s="28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2">
        <v>64000</v>
      </c>
      <c r="O1441" t="s">
        <v>971</v>
      </c>
    </row>
    <row r="1442" spans="1:15">
      <c r="A1442" t="s">
        <v>942</v>
      </c>
      <c r="B1442" t="s">
        <v>946</v>
      </c>
      <c r="C1442" s="553">
        <v>44280</v>
      </c>
      <c r="D1442" s="281" t="s">
        <v>4566</v>
      </c>
      <c r="E1442" s="281" t="s">
        <v>4070</v>
      </c>
      <c r="F1442" s="281">
        <v>4</v>
      </c>
      <c r="G1442" s="28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2">
        <v>190000</v>
      </c>
      <c r="O1442" t="s">
        <v>971</v>
      </c>
    </row>
    <row r="1443" spans="1:15">
      <c r="A1443" t="s">
        <v>942</v>
      </c>
      <c r="B1443" t="s">
        <v>946</v>
      </c>
      <c r="C1443" s="553">
        <v>44280</v>
      </c>
      <c r="D1443" s="281" t="s">
        <v>4566</v>
      </c>
      <c r="E1443" s="281" t="s">
        <v>4070</v>
      </c>
      <c r="F1443" s="281">
        <v>4</v>
      </c>
      <c r="G1443" s="28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2">
        <v>20000</v>
      </c>
      <c r="O1443" t="s">
        <v>971</v>
      </c>
    </row>
    <row r="1444" spans="1:15">
      <c r="A1444" t="s">
        <v>942</v>
      </c>
      <c r="B1444" t="s">
        <v>946</v>
      </c>
      <c r="C1444" s="553">
        <v>44280</v>
      </c>
      <c r="D1444" s="281" t="s">
        <v>4566</v>
      </c>
      <c r="E1444" s="281" t="s">
        <v>4070</v>
      </c>
      <c r="F1444" s="281">
        <v>4</v>
      </c>
      <c r="G1444" s="28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2">
        <v>6000</v>
      </c>
      <c r="O1444" t="s">
        <v>971</v>
      </c>
    </row>
    <row r="1445" spans="1:15">
      <c r="A1445" t="s">
        <v>942</v>
      </c>
      <c r="B1445" t="s">
        <v>946</v>
      </c>
      <c r="C1445" s="553">
        <v>44280</v>
      </c>
      <c r="D1445" s="281" t="s">
        <v>4566</v>
      </c>
      <c r="E1445" s="281" t="s">
        <v>4070</v>
      </c>
      <c r="F1445" s="281">
        <v>4</v>
      </c>
      <c r="G1445" s="28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2">
        <v>10000</v>
      </c>
      <c r="O1445" t="s">
        <v>971</v>
      </c>
    </row>
    <row r="1446" spans="1:15">
      <c r="A1446" t="s">
        <v>942</v>
      </c>
      <c r="B1446" t="s">
        <v>946</v>
      </c>
      <c r="C1446" s="553">
        <v>44280</v>
      </c>
      <c r="D1446" s="281" t="s">
        <v>4566</v>
      </c>
      <c r="E1446" s="281" t="s">
        <v>4070</v>
      </c>
      <c r="F1446" s="281">
        <v>4</v>
      </c>
      <c r="G1446" s="28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2">
        <v>120000</v>
      </c>
      <c r="O1446" t="s">
        <v>971</v>
      </c>
    </row>
    <row r="1447" spans="1:15">
      <c r="A1447" t="s">
        <v>942</v>
      </c>
      <c r="B1447" t="s">
        <v>946</v>
      </c>
      <c r="C1447" s="553">
        <v>44280</v>
      </c>
      <c r="D1447" s="281" t="s">
        <v>4566</v>
      </c>
      <c r="E1447" s="281" t="s">
        <v>4070</v>
      </c>
      <c r="F1447" s="281">
        <v>4</v>
      </c>
      <c r="G1447" s="28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2">
        <v>140000</v>
      </c>
      <c r="O1447" t="s">
        <v>971</v>
      </c>
    </row>
    <row r="1448" spans="1:15">
      <c r="A1448" t="s">
        <v>942</v>
      </c>
      <c r="B1448" t="s">
        <v>946</v>
      </c>
      <c r="C1448" s="553">
        <v>44280</v>
      </c>
      <c r="D1448" s="281" t="s">
        <v>4566</v>
      </c>
      <c r="E1448" s="281" t="s">
        <v>4070</v>
      </c>
      <c r="F1448" s="281">
        <v>4</v>
      </c>
      <c r="G1448" s="28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2">
        <v>40000</v>
      </c>
      <c r="O1448" t="s">
        <v>971</v>
      </c>
    </row>
    <row r="1449" spans="1:15">
      <c r="A1449" t="s">
        <v>942</v>
      </c>
      <c r="B1449" t="s">
        <v>946</v>
      </c>
      <c r="C1449" s="553">
        <v>44280</v>
      </c>
      <c r="D1449" s="281" t="s">
        <v>4566</v>
      </c>
      <c r="E1449" s="281" t="s">
        <v>4070</v>
      </c>
      <c r="F1449" s="281">
        <v>4</v>
      </c>
      <c r="G1449" s="28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2">
        <v>24000</v>
      </c>
      <c r="O1449" t="s">
        <v>971</v>
      </c>
    </row>
    <row r="1450" spans="1:15">
      <c r="A1450" t="s">
        <v>942</v>
      </c>
      <c r="B1450" t="s">
        <v>946</v>
      </c>
      <c r="C1450" s="553">
        <v>44280</v>
      </c>
      <c r="D1450" s="281" t="s">
        <v>4567</v>
      </c>
      <c r="E1450" s="281" t="s">
        <v>4072</v>
      </c>
      <c r="F1450" s="281">
        <v>4</v>
      </c>
      <c r="G1450" s="28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2">
        <v>180000</v>
      </c>
      <c r="O1450" t="s">
        <v>971</v>
      </c>
    </row>
    <row r="1451" spans="1:15">
      <c r="A1451" t="s">
        <v>942</v>
      </c>
      <c r="B1451" t="s">
        <v>946</v>
      </c>
      <c r="C1451" s="553">
        <v>44280</v>
      </c>
      <c r="D1451" s="281" t="s">
        <v>4567</v>
      </c>
      <c r="E1451" s="281" t="s">
        <v>4072</v>
      </c>
      <c r="F1451" s="281">
        <v>4</v>
      </c>
      <c r="G1451" s="28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2">
        <v>20000</v>
      </c>
      <c r="O1451" t="s">
        <v>971</v>
      </c>
    </row>
    <row r="1452" spans="1:15">
      <c r="A1452" t="s">
        <v>942</v>
      </c>
      <c r="B1452" t="s">
        <v>946</v>
      </c>
      <c r="C1452" s="553">
        <v>44280</v>
      </c>
      <c r="D1452" s="281" t="s">
        <v>4567</v>
      </c>
      <c r="E1452" s="281" t="s">
        <v>4072</v>
      </c>
      <c r="F1452" s="281">
        <v>4</v>
      </c>
      <c r="G1452" s="28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2">
        <v>6000</v>
      </c>
      <c r="O1452" t="s">
        <v>971</v>
      </c>
    </row>
    <row r="1453" spans="1:15">
      <c r="A1453" t="s">
        <v>942</v>
      </c>
      <c r="B1453" t="s">
        <v>946</v>
      </c>
      <c r="C1453" s="553">
        <v>44280</v>
      </c>
      <c r="D1453" s="281" t="s">
        <v>4567</v>
      </c>
      <c r="E1453" s="281" t="s">
        <v>4072</v>
      </c>
      <c r="F1453" s="281">
        <v>4</v>
      </c>
      <c r="G1453" s="28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2">
        <v>10000</v>
      </c>
      <c r="O1453" t="s">
        <v>971</v>
      </c>
    </row>
    <row r="1454" spans="1:15">
      <c r="A1454" t="s">
        <v>942</v>
      </c>
      <c r="B1454" t="s">
        <v>946</v>
      </c>
      <c r="C1454" s="553">
        <v>44280</v>
      </c>
      <c r="D1454" s="281" t="s">
        <v>4567</v>
      </c>
      <c r="E1454" s="281" t="s">
        <v>4072</v>
      </c>
      <c r="F1454" s="281">
        <v>4</v>
      </c>
      <c r="G1454" s="28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2">
        <v>120000</v>
      </c>
      <c r="O1454" t="s">
        <v>971</v>
      </c>
    </row>
    <row r="1455" spans="1:15">
      <c r="A1455" t="s">
        <v>942</v>
      </c>
      <c r="B1455" t="s">
        <v>946</v>
      </c>
      <c r="C1455" s="553">
        <v>44280</v>
      </c>
      <c r="D1455" s="281" t="s">
        <v>4567</v>
      </c>
      <c r="E1455" s="281" t="s">
        <v>4072</v>
      </c>
      <c r="F1455" s="281">
        <v>4</v>
      </c>
      <c r="G1455" s="28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2">
        <v>140000</v>
      </c>
      <c r="O1455" t="s">
        <v>971</v>
      </c>
    </row>
    <row r="1456" spans="1:15">
      <c r="A1456" t="s">
        <v>942</v>
      </c>
      <c r="B1456" t="s">
        <v>946</v>
      </c>
      <c r="C1456" s="553">
        <v>44280</v>
      </c>
      <c r="D1456" s="281" t="s">
        <v>4567</v>
      </c>
      <c r="E1456" s="281" t="s">
        <v>4072</v>
      </c>
      <c r="F1456" s="281">
        <v>4</v>
      </c>
      <c r="G1456" s="28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2">
        <v>40000</v>
      </c>
      <c r="O1456" t="s">
        <v>971</v>
      </c>
    </row>
    <row r="1457" spans="1:15">
      <c r="A1457" t="s">
        <v>942</v>
      </c>
      <c r="B1457" t="s">
        <v>946</v>
      </c>
      <c r="C1457" s="553">
        <v>44280</v>
      </c>
      <c r="D1457" s="281" t="s">
        <v>4567</v>
      </c>
      <c r="E1457" s="281" t="s">
        <v>4072</v>
      </c>
      <c r="F1457" s="281">
        <v>4</v>
      </c>
      <c r="G1457" s="28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2">
        <v>34000</v>
      </c>
      <c r="O1457" t="s">
        <v>971</v>
      </c>
    </row>
    <row r="1458" spans="1:15">
      <c r="A1458" t="s">
        <v>942</v>
      </c>
      <c r="B1458" t="s">
        <v>946</v>
      </c>
      <c r="C1458" s="553">
        <v>44280</v>
      </c>
      <c r="D1458" s="281" t="s">
        <v>4568</v>
      </c>
      <c r="E1458" s="281" t="s">
        <v>4030</v>
      </c>
      <c r="F1458" s="281">
        <v>12</v>
      </c>
      <c r="G1458" s="28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2">
        <v>20000</v>
      </c>
      <c r="O1458" t="s">
        <v>987</v>
      </c>
    </row>
    <row r="1459" spans="1:15">
      <c r="A1459" t="s">
        <v>942</v>
      </c>
      <c r="B1459" t="s">
        <v>946</v>
      </c>
      <c r="C1459" s="553">
        <v>44280</v>
      </c>
      <c r="D1459" s="281" t="s">
        <v>4569</v>
      </c>
      <c r="E1459" s="281" t="s">
        <v>4243</v>
      </c>
      <c r="F1459" s="281">
        <v>11</v>
      </c>
      <c r="G1459" s="28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2">
        <v>0</v>
      </c>
      <c r="O1459" t="s">
        <v>985</v>
      </c>
    </row>
    <row r="1460" spans="1:15">
      <c r="A1460" t="s">
        <v>942</v>
      </c>
      <c r="B1460" t="s">
        <v>946</v>
      </c>
      <c r="C1460" s="553">
        <v>44280</v>
      </c>
      <c r="D1460" s="281" t="s">
        <v>4570</v>
      </c>
      <c r="E1460" s="281" t="s">
        <v>4098</v>
      </c>
      <c r="F1460" s="281">
        <v>2</v>
      </c>
      <c r="G1460" s="28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2">
        <v>101505.45</v>
      </c>
      <c r="O1460" t="s">
        <v>965</v>
      </c>
    </row>
    <row r="1461" spans="1:15">
      <c r="A1461" t="s">
        <v>942</v>
      </c>
      <c r="B1461" t="s">
        <v>946</v>
      </c>
      <c r="C1461" s="553">
        <v>44280</v>
      </c>
      <c r="D1461" s="281" t="s">
        <v>4571</v>
      </c>
      <c r="E1461" s="281" t="s">
        <v>4091</v>
      </c>
      <c r="F1461" s="281">
        <v>4</v>
      </c>
      <c r="G1461" s="28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2">
        <v>13034</v>
      </c>
      <c r="O1461" t="s">
        <v>971</v>
      </c>
    </row>
    <row r="1462" spans="1:15">
      <c r="A1462" t="s">
        <v>942</v>
      </c>
      <c r="B1462" t="s">
        <v>946</v>
      </c>
      <c r="C1462" s="553">
        <v>44280</v>
      </c>
      <c r="D1462" s="281" t="s">
        <v>4572</v>
      </c>
      <c r="E1462" s="281" t="s">
        <v>4094</v>
      </c>
      <c r="F1462" s="281">
        <v>1</v>
      </c>
      <c r="G1462" s="28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2">
        <v>6850</v>
      </c>
      <c r="O1462" t="s">
        <v>961</v>
      </c>
    </row>
    <row r="1463" spans="1:15">
      <c r="A1463" t="s">
        <v>942</v>
      </c>
      <c r="B1463" t="s">
        <v>946</v>
      </c>
      <c r="C1463" s="553">
        <v>44280</v>
      </c>
      <c r="D1463" s="281" t="s">
        <v>4573</v>
      </c>
      <c r="E1463" s="281" t="s">
        <v>4111</v>
      </c>
      <c r="F1463" s="281">
        <v>1</v>
      </c>
      <c r="G1463" s="28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2">
        <v>2500</v>
      </c>
      <c r="O1463" t="s">
        <v>961</v>
      </c>
    </row>
    <row r="1464" spans="1:15">
      <c r="A1464" t="s">
        <v>942</v>
      </c>
      <c r="B1464" t="s">
        <v>946</v>
      </c>
      <c r="C1464" s="553">
        <v>44280</v>
      </c>
      <c r="D1464" s="281" t="s">
        <v>4574</v>
      </c>
      <c r="E1464" s="281" t="s">
        <v>4114</v>
      </c>
      <c r="F1464" s="281">
        <v>4</v>
      </c>
      <c r="G1464" s="28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2">
        <v>2511.36</v>
      </c>
      <c r="O1464" t="s">
        <v>971</v>
      </c>
    </row>
    <row r="1465" spans="1:15">
      <c r="A1465" t="s">
        <v>942</v>
      </c>
      <c r="B1465" t="s">
        <v>946</v>
      </c>
      <c r="C1465" s="553">
        <v>44280</v>
      </c>
      <c r="D1465" s="281" t="s">
        <v>4575</v>
      </c>
      <c r="E1465" s="281" t="s">
        <v>4117</v>
      </c>
      <c r="F1465" s="281">
        <v>10</v>
      </c>
      <c r="G1465" s="28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2">
        <v>10000</v>
      </c>
      <c r="O1465" t="s">
        <v>983</v>
      </c>
    </row>
    <row r="1466" spans="1:15">
      <c r="A1466" t="s">
        <v>942</v>
      </c>
      <c r="B1466" t="s">
        <v>946</v>
      </c>
      <c r="C1466" s="553">
        <v>44280</v>
      </c>
      <c r="D1466" s="281" t="s">
        <v>4576</v>
      </c>
      <c r="E1466" s="281" t="s">
        <v>4119</v>
      </c>
      <c r="F1466" s="281">
        <v>1</v>
      </c>
      <c r="G1466" s="28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2">
        <v>170501.47</v>
      </c>
      <c r="O1466" t="s">
        <v>961</v>
      </c>
    </row>
    <row r="1467" spans="1:15">
      <c r="A1467" t="s">
        <v>942</v>
      </c>
      <c r="B1467" t="s">
        <v>946</v>
      </c>
      <c r="C1467" s="553">
        <v>44280</v>
      </c>
      <c r="D1467" s="281" t="s">
        <v>4577</v>
      </c>
      <c r="E1467" s="281" t="s">
        <v>4122</v>
      </c>
      <c r="F1467" s="281">
        <v>1</v>
      </c>
      <c r="G1467" s="28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2">
        <v>7712.46</v>
      </c>
      <c r="O1467" t="s">
        <v>961</v>
      </c>
    </row>
    <row r="1468" spans="1:15">
      <c r="A1468" t="s">
        <v>942</v>
      </c>
      <c r="B1468" t="s">
        <v>946</v>
      </c>
      <c r="C1468" s="553">
        <v>44280</v>
      </c>
      <c r="D1468" s="281" t="s">
        <v>4578</v>
      </c>
      <c r="E1468" s="281" t="s">
        <v>4125</v>
      </c>
      <c r="F1468" s="281">
        <v>2</v>
      </c>
      <c r="G1468" s="28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2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3">
        <v>44280</v>
      </c>
      <c r="D1469" s="281" t="s">
        <v>4579</v>
      </c>
      <c r="E1469" s="281" t="s">
        <v>4082</v>
      </c>
      <c r="F1469" s="281">
        <v>1</v>
      </c>
      <c r="G1469" s="28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2">
        <v>51050</v>
      </c>
      <c r="O1469" t="s">
        <v>961</v>
      </c>
    </row>
    <row r="1470" spans="1:15">
      <c r="A1470" t="s">
        <v>942</v>
      </c>
      <c r="B1470" t="s">
        <v>946</v>
      </c>
      <c r="C1470" s="553">
        <v>44280</v>
      </c>
      <c r="D1470" s="281" t="s">
        <v>4580</v>
      </c>
      <c r="E1470" s="281" t="s">
        <v>4085</v>
      </c>
      <c r="F1470" s="281">
        <v>1</v>
      </c>
      <c r="G1470" s="28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2">
        <v>100000</v>
      </c>
      <c r="O1470" t="s">
        <v>961</v>
      </c>
    </row>
    <row r="1471" spans="1:15">
      <c r="A1471" t="s">
        <v>942</v>
      </c>
      <c r="B1471" t="s">
        <v>946</v>
      </c>
      <c r="C1471" s="553">
        <v>44280</v>
      </c>
      <c r="D1471" s="281" t="s">
        <v>4581</v>
      </c>
      <c r="E1471" s="281" t="s">
        <v>4087</v>
      </c>
      <c r="F1471" s="281">
        <v>1</v>
      </c>
      <c r="G1471" s="28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2">
        <v>99030</v>
      </c>
      <c r="O1471" t="s">
        <v>961</v>
      </c>
    </row>
    <row r="1472" spans="1:15">
      <c r="A1472" t="s">
        <v>942</v>
      </c>
      <c r="B1472" t="s">
        <v>946</v>
      </c>
      <c r="C1472" s="553">
        <v>44280</v>
      </c>
      <c r="D1472" s="281" t="s">
        <v>4582</v>
      </c>
      <c r="E1472" s="281" t="s">
        <v>4089</v>
      </c>
      <c r="F1472" s="281">
        <v>1</v>
      </c>
      <c r="G1472" s="28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2">
        <v>10250</v>
      </c>
      <c r="O1472" t="s">
        <v>961</v>
      </c>
    </row>
    <row r="1473" spans="1:15">
      <c r="A1473" t="s">
        <v>942</v>
      </c>
      <c r="B1473" t="s">
        <v>946</v>
      </c>
      <c r="C1473" s="553">
        <v>44280</v>
      </c>
      <c r="D1473" s="281" t="s">
        <v>4583</v>
      </c>
      <c r="E1473" s="281" t="s">
        <v>4104</v>
      </c>
      <c r="F1473" s="281">
        <v>1</v>
      </c>
      <c r="G1473" s="28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2">
        <v>11380.25</v>
      </c>
      <c r="O1473" t="s">
        <v>961</v>
      </c>
    </row>
    <row r="1474" spans="1:15">
      <c r="A1474" t="s">
        <v>942</v>
      </c>
      <c r="B1474" t="s">
        <v>946</v>
      </c>
      <c r="C1474" s="553">
        <v>44280</v>
      </c>
      <c r="D1474" s="281" t="s">
        <v>4583</v>
      </c>
      <c r="E1474" s="281" t="s">
        <v>4104</v>
      </c>
      <c r="F1474" s="281">
        <v>5</v>
      </c>
      <c r="G1474" s="28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2">
        <v>75</v>
      </c>
      <c r="O1474" t="s">
        <v>974</v>
      </c>
    </row>
    <row r="1475" spans="1:15">
      <c r="A1475" t="s">
        <v>942</v>
      </c>
      <c r="B1475" t="s">
        <v>946</v>
      </c>
      <c r="C1475" s="553">
        <v>44280</v>
      </c>
      <c r="D1475" s="281" t="s">
        <v>4584</v>
      </c>
      <c r="E1475" s="281" t="s">
        <v>4107</v>
      </c>
      <c r="F1475" s="281">
        <v>14</v>
      </c>
      <c r="G1475" s="28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2">
        <v>8164.75</v>
      </c>
      <c r="O1475" t="s">
        <v>1221</v>
      </c>
    </row>
    <row r="1476" spans="1:15">
      <c r="A1476" t="s">
        <v>942</v>
      </c>
      <c r="B1476" t="s">
        <v>946</v>
      </c>
      <c r="C1476" s="553">
        <v>44284</v>
      </c>
      <c r="D1476" s="281" t="s">
        <v>4585</v>
      </c>
      <c r="E1476" s="281" t="s">
        <v>4148</v>
      </c>
      <c r="F1476" s="281">
        <v>9</v>
      </c>
      <c r="G1476" s="28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2">
        <v>11158</v>
      </c>
      <c r="O1476" t="s">
        <v>982</v>
      </c>
    </row>
    <row r="1477" spans="1:15">
      <c r="A1477" t="s">
        <v>942</v>
      </c>
      <c r="B1477" t="s">
        <v>946</v>
      </c>
      <c r="C1477" s="553">
        <v>44284</v>
      </c>
      <c r="D1477" s="281" t="s">
        <v>4585</v>
      </c>
      <c r="E1477" s="281" t="s">
        <v>4148</v>
      </c>
      <c r="F1477" s="281">
        <v>11</v>
      </c>
      <c r="G1477" s="28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2">
        <v>11158</v>
      </c>
      <c r="O1477" t="s">
        <v>985</v>
      </c>
    </row>
    <row r="1478" spans="1:15">
      <c r="A1478" t="s">
        <v>942</v>
      </c>
      <c r="B1478" t="s">
        <v>946</v>
      </c>
      <c r="C1478" s="553">
        <v>44284</v>
      </c>
      <c r="D1478" s="281" t="s">
        <v>4586</v>
      </c>
      <c r="E1478" s="281" t="s">
        <v>4143</v>
      </c>
      <c r="F1478" s="281">
        <v>12</v>
      </c>
      <c r="G1478" s="28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2">
        <v>52700</v>
      </c>
      <c r="O1478" t="s">
        <v>986</v>
      </c>
    </row>
    <row r="1479" spans="1:15">
      <c r="A1479" t="s">
        <v>942</v>
      </c>
      <c r="B1479" t="s">
        <v>946</v>
      </c>
      <c r="C1479" s="553">
        <v>44284</v>
      </c>
      <c r="D1479" s="281" t="s">
        <v>4586</v>
      </c>
      <c r="E1479" s="281" t="s">
        <v>4143</v>
      </c>
      <c r="F1479" s="281">
        <v>12</v>
      </c>
      <c r="G1479" s="28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2">
        <v>86250</v>
      </c>
      <c r="O1479" t="s">
        <v>987</v>
      </c>
    </row>
    <row r="1480" spans="1:15">
      <c r="A1480" t="s">
        <v>942</v>
      </c>
      <c r="B1480" t="s">
        <v>946</v>
      </c>
      <c r="C1480" s="553">
        <v>44284</v>
      </c>
      <c r="D1480" s="281" t="s">
        <v>4586</v>
      </c>
      <c r="E1480" s="281" t="s">
        <v>4143</v>
      </c>
      <c r="F1480" s="281">
        <v>12</v>
      </c>
      <c r="G1480" s="28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2">
        <v>3750</v>
      </c>
      <c r="O1480" t="s">
        <v>988</v>
      </c>
    </row>
    <row r="1481" spans="1:15">
      <c r="A1481" t="s">
        <v>942</v>
      </c>
      <c r="B1481" t="s">
        <v>946</v>
      </c>
      <c r="C1481" s="553">
        <v>44284</v>
      </c>
      <c r="D1481" s="281" t="s">
        <v>4586</v>
      </c>
      <c r="E1481" s="281" t="s">
        <v>4143</v>
      </c>
      <c r="F1481" s="281">
        <v>12</v>
      </c>
      <c r="G1481" s="28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2">
        <v>1125</v>
      </c>
      <c r="O1481" t="s">
        <v>991</v>
      </c>
    </row>
    <row r="1482" spans="1:15">
      <c r="A1482" t="s">
        <v>942</v>
      </c>
      <c r="B1482" t="s">
        <v>946</v>
      </c>
      <c r="C1482" s="553">
        <v>44284</v>
      </c>
      <c r="D1482" s="281" t="s">
        <v>4586</v>
      </c>
      <c r="E1482" s="281" t="s">
        <v>4143</v>
      </c>
      <c r="F1482" s="281">
        <v>12</v>
      </c>
      <c r="G1482" s="28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2">
        <v>400</v>
      </c>
      <c r="O1482" t="s">
        <v>992</v>
      </c>
    </row>
    <row r="1483" spans="1:15">
      <c r="A1483" t="s">
        <v>942</v>
      </c>
      <c r="B1483" t="s">
        <v>946</v>
      </c>
      <c r="C1483" s="553">
        <v>44284</v>
      </c>
      <c r="D1483" s="281" t="s">
        <v>4586</v>
      </c>
      <c r="E1483" s="281" t="s">
        <v>4143</v>
      </c>
      <c r="F1483" s="281">
        <v>12</v>
      </c>
      <c r="G1483" s="28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2">
        <v>110876</v>
      </c>
      <c r="O1483" t="s">
        <v>993</v>
      </c>
    </row>
    <row r="1484" spans="1:15">
      <c r="A1484" t="s">
        <v>942</v>
      </c>
      <c r="B1484" t="s">
        <v>946</v>
      </c>
      <c r="C1484" s="553">
        <v>44284</v>
      </c>
      <c r="D1484" s="281" t="s">
        <v>4586</v>
      </c>
      <c r="E1484" s="281" t="s">
        <v>4143</v>
      </c>
      <c r="F1484" s="281">
        <v>12</v>
      </c>
      <c r="G1484" s="28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2">
        <v>1000</v>
      </c>
      <c r="O1484" t="s">
        <v>994</v>
      </c>
    </row>
    <row r="1485" spans="1:15">
      <c r="A1485" t="s">
        <v>942</v>
      </c>
      <c r="B1485" t="s">
        <v>946</v>
      </c>
      <c r="C1485" s="553">
        <v>44284</v>
      </c>
      <c r="D1485" s="281" t="s">
        <v>4587</v>
      </c>
      <c r="E1485" s="281" t="s">
        <v>4146</v>
      </c>
      <c r="F1485" s="281">
        <v>12</v>
      </c>
      <c r="G1485" s="28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2">
        <v>37300</v>
      </c>
      <c r="O1485" t="s">
        <v>986</v>
      </c>
    </row>
    <row r="1486" spans="1:15">
      <c r="A1486" t="s">
        <v>942</v>
      </c>
      <c r="B1486" t="s">
        <v>946</v>
      </c>
      <c r="C1486" s="553">
        <v>44284</v>
      </c>
      <c r="D1486" s="281" t="s">
        <v>4587</v>
      </c>
      <c r="E1486" s="281" t="s">
        <v>4146</v>
      </c>
      <c r="F1486" s="281">
        <v>12</v>
      </c>
      <c r="G1486" s="28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2">
        <v>40965</v>
      </c>
      <c r="O1486" t="s">
        <v>987</v>
      </c>
    </row>
    <row r="1487" spans="1:15">
      <c r="A1487" t="s">
        <v>942</v>
      </c>
      <c r="B1487" t="s">
        <v>946</v>
      </c>
      <c r="C1487" s="553">
        <v>44284</v>
      </c>
      <c r="D1487" s="281" t="s">
        <v>4587</v>
      </c>
      <c r="E1487" s="281" t="s">
        <v>4146</v>
      </c>
      <c r="F1487" s="281">
        <v>12</v>
      </c>
      <c r="G1487" s="28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2">
        <v>5000</v>
      </c>
      <c r="O1487" t="s">
        <v>988</v>
      </c>
    </row>
    <row r="1488" spans="1:15">
      <c r="A1488" t="s">
        <v>942</v>
      </c>
      <c r="B1488" t="s">
        <v>946</v>
      </c>
      <c r="C1488" s="553">
        <v>44284</v>
      </c>
      <c r="D1488" s="281" t="s">
        <v>4587</v>
      </c>
      <c r="E1488" s="281" t="s">
        <v>4146</v>
      </c>
      <c r="F1488" s="281">
        <v>12</v>
      </c>
      <c r="G1488" s="28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2">
        <v>1500</v>
      </c>
      <c r="O1488" t="s">
        <v>991</v>
      </c>
    </row>
    <row r="1489" spans="1:15">
      <c r="A1489" t="s">
        <v>942</v>
      </c>
      <c r="B1489" t="s">
        <v>946</v>
      </c>
      <c r="C1489" s="553">
        <v>44284</v>
      </c>
      <c r="D1489" s="281" t="s">
        <v>4587</v>
      </c>
      <c r="E1489" s="281" t="s">
        <v>4146</v>
      </c>
      <c r="F1489" s="281">
        <v>12</v>
      </c>
      <c r="G1489" s="28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2">
        <v>400</v>
      </c>
      <c r="O1489" t="s">
        <v>994</v>
      </c>
    </row>
    <row r="1490" spans="1:15">
      <c r="A1490" t="s">
        <v>942</v>
      </c>
      <c r="B1490" t="s">
        <v>946</v>
      </c>
      <c r="C1490" s="553">
        <v>44284</v>
      </c>
      <c r="D1490" s="281" t="s">
        <v>4587</v>
      </c>
      <c r="E1490" s="281" t="s">
        <v>4146</v>
      </c>
      <c r="F1490" s="281">
        <v>12</v>
      </c>
      <c r="G1490" s="28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2">
        <v>98299</v>
      </c>
      <c r="O1490" t="s">
        <v>994</v>
      </c>
    </row>
    <row r="1491" spans="1:15">
      <c r="A1491" t="s">
        <v>942</v>
      </c>
      <c r="B1491" t="s">
        <v>946</v>
      </c>
      <c r="C1491" s="553">
        <v>44284</v>
      </c>
      <c r="D1491" s="281" t="s">
        <v>4587</v>
      </c>
      <c r="E1491" s="281" t="s">
        <v>4146</v>
      </c>
      <c r="F1491" s="281">
        <v>12</v>
      </c>
      <c r="G1491" s="28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2">
        <v>1000</v>
      </c>
      <c r="O1491" t="s">
        <v>994</v>
      </c>
    </row>
    <row r="1492" spans="1:15">
      <c r="A1492" t="s">
        <v>942</v>
      </c>
      <c r="B1492" t="s">
        <v>946</v>
      </c>
      <c r="C1492" s="553">
        <v>44284</v>
      </c>
      <c r="D1492" s="281" t="s">
        <v>4588</v>
      </c>
      <c r="E1492" s="281" t="s">
        <v>4156</v>
      </c>
      <c r="F1492" s="281">
        <v>8</v>
      </c>
      <c r="G1492" s="28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2">
        <v>100000</v>
      </c>
      <c r="O1492" t="s">
        <v>980</v>
      </c>
    </row>
    <row r="1493" spans="1:15">
      <c r="A1493" t="s">
        <v>942</v>
      </c>
      <c r="B1493" t="s">
        <v>946</v>
      </c>
      <c r="C1493" s="553">
        <v>44284</v>
      </c>
      <c r="D1493" s="281" t="s">
        <v>4588</v>
      </c>
      <c r="E1493" s="281" t="s">
        <v>4156</v>
      </c>
      <c r="F1493" s="281">
        <v>8</v>
      </c>
      <c r="G1493" s="28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2">
        <v>300000</v>
      </c>
      <c r="O1493" t="s">
        <v>980</v>
      </c>
    </row>
    <row r="1494" spans="1:15">
      <c r="A1494" t="s">
        <v>942</v>
      </c>
      <c r="B1494" t="s">
        <v>946</v>
      </c>
      <c r="C1494" s="553">
        <v>44284</v>
      </c>
      <c r="D1494" s="281" t="s">
        <v>4588</v>
      </c>
      <c r="E1494" s="281" t="s">
        <v>4156</v>
      </c>
      <c r="F1494" s="281">
        <v>8</v>
      </c>
      <c r="G1494" s="28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2">
        <v>50000</v>
      </c>
      <c r="O1494" t="s">
        <v>980</v>
      </c>
    </row>
    <row r="1495" spans="1:15">
      <c r="A1495" t="s">
        <v>942</v>
      </c>
      <c r="B1495" t="s">
        <v>946</v>
      </c>
      <c r="C1495" s="553">
        <v>44284</v>
      </c>
      <c r="D1495" s="281" t="s">
        <v>4588</v>
      </c>
      <c r="E1495" s="281" t="s">
        <v>4156</v>
      </c>
      <c r="F1495" s="281">
        <v>8</v>
      </c>
      <c r="G1495" s="28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2">
        <v>914950</v>
      </c>
      <c r="O1495" t="s">
        <v>980</v>
      </c>
    </row>
    <row r="1496" spans="1:15">
      <c r="A1496" t="s">
        <v>942</v>
      </c>
      <c r="B1496" t="s">
        <v>946</v>
      </c>
      <c r="C1496" s="553">
        <v>44284</v>
      </c>
      <c r="D1496" s="281" t="s">
        <v>4588</v>
      </c>
      <c r="E1496" s="281" t="s">
        <v>4156</v>
      </c>
      <c r="F1496" s="281">
        <v>8</v>
      </c>
      <c r="G1496" s="28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2">
        <v>100000</v>
      </c>
      <c r="O1496" t="s">
        <v>980</v>
      </c>
    </row>
    <row r="1497" spans="1:15">
      <c r="A1497" t="s">
        <v>942</v>
      </c>
      <c r="B1497" t="s">
        <v>946</v>
      </c>
      <c r="C1497" s="553">
        <v>44284</v>
      </c>
      <c r="D1497" s="281" t="s">
        <v>4589</v>
      </c>
      <c r="E1497" s="281" t="s">
        <v>4159</v>
      </c>
      <c r="F1497" s="281">
        <v>8</v>
      </c>
      <c r="G1497" s="28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2">
        <v>50000</v>
      </c>
      <c r="O1497" t="s">
        <v>980</v>
      </c>
    </row>
    <row r="1498" spans="1:15">
      <c r="A1498" t="s">
        <v>942</v>
      </c>
      <c r="B1498" t="s">
        <v>946</v>
      </c>
      <c r="C1498" s="553">
        <v>44284</v>
      </c>
      <c r="D1498" s="281" t="s">
        <v>4589</v>
      </c>
      <c r="E1498" s="281" t="s">
        <v>4159</v>
      </c>
      <c r="F1498" s="281">
        <v>8</v>
      </c>
      <c r="G1498" s="28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2">
        <v>150000</v>
      </c>
      <c r="O1498" t="s">
        <v>980</v>
      </c>
    </row>
    <row r="1499" spans="1:15">
      <c r="A1499" t="s">
        <v>942</v>
      </c>
      <c r="B1499" t="s">
        <v>946</v>
      </c>
      <c r="C1499" s="553">
        <v>44284</v>
      </c>
      <c r="D1499" s="281" t="s">
        <v>4589</v>
      </c>
      <c r="E1499" s="281" t="s">
        <v>4159</v>
      </c>
      <c r="F1499" s="281">
        <v>8</v>
      </c>
      <c r="G1499" s="28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2">
        <v>25000</v>
      </c>
      <c r="O1499" t="s">
        <v>980</v>
      </c>
    </row>
    <row r="1500" spans="1:15">
      <c r="A1500" t="s">
        <v>942</v>
      </c>
      <c r="B1500" t="s">
        <v>946</v>
      </c>
      <c r="C1500" s="553">
        <v>44284</v>
      </c>
      <c r="D1500" s="281" t="s">
        <v>4589</v>
      </c>
      <c r="E1500" s="281" t="s">
        <v>4159</v>
      </c>
      <c r="F1500" s="281">
        <v>8</v>
      </c>
      <c r="G1500" s="28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2">
        <v>1016031.21</v>
      </c>
      <c r="O1500" t="s">
        <v>980</v>
      </c>
    </row>
    <row r="1501" spans="1:15">
      <c r="A1501" t="s">
        <v>942</v>
      </c>
      <c r="B1501" t="s">
        <v>946</v>
      </c>
      <c r="C1501" s="553">
        <v>44284</v>
      </c>
      <c r="D1501" s="281" t="s">
        <v>4589</v>
      </c>
      <c r="E1501" s="281" t="s">
        <v>4159</v>
      </c>
      <c r="F1501" s="281">
        <v>8</v>
      </c>
      <c r="G1501" s="28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2">
        <v>25000</v>
      </c>
      <c r="O1501" t="s">
        <v>980</v>
      </c>
    </row>
    <row r="1502" spans="1:15">
      <c r="A1502" t="s">
        <v>942</v>
      </c>
      <c r="B1502" t="s">
        <v>946</v>
      </c>
      <c r="C1502" s="553">
        <v>44284</v>
      </c>
      <c r="D1502" s="281" t="s">
        <v>4590</v>
      </c>
      <c r="E1502" s="281" t="s">
        <v>4162</v>
      </c>
      <c r="F1502" s="281">
        <v>9</v>
      </c>
      <c r="G1502" s="28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2">
        <v>70000</v>
      </c>
      <c r="O1502" t="s">
        <v>982</v>
      </c>
    </row>
    <row r="1503" spans="1:15">
      <c r="A1503" t="s">
        <v>942</v>
      </c>
      <c r="B1503" t="s">
        <v>946</v>
      </c>
      <c r="C1503" s="553">
        <v>44284</v>
      </c>
      <c r="D1503" s="281" t="s">
        <v>4590</v>
      </c>
      <c r="E1503" s="281" t="s">
        <v>4162</v>
      </c>
      <c r="F1503" s="281">
        <v>9</v>
      </c>
      <c r="G1503" s="28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2">
        <v>15000</v>
      </c>
      <c r="O1503" t="s">
        <v>982</v>
      </c>
    </row>
    <row r="1504" spans="1:15">
      <c r="A1504" t="s">
        <v>942</v>
      </c>
      <c r="B1504" t="s">
        <v>946</v>
      </c>
      <c r="C1504" s="553">
        <v>44284</v>
      </c>
      <c r="D1504" s="281" t="s">
        <v>4590</v>
      </c>
      <c r="E1504" s="281" t="s">
        <v>4162</v>
      </c>
      <c r="F1504" s="281">
        <v>9</v>
      </c>
      <c r="G1504" s="28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2">
        <v>10000</v>
      </c>
      <c r="O1504" t="s">
        <v>982</v>
      </c>
    </row>
    <row r="1505" spans="1:15">
      <c r="A1505" t="s">
        <v>942</v>
      </c>
      <c r="B1505" t="s">
        <v>946</v>
      </c>
      <c r="C1505" s="553">
        <v>44284</v>
      </c>
      <c r="D1505" s="281" t="s">
        <v>4590</v>
      </c>
      <c r="E1505" s="281" t="s">
        <v>4162</v>
      </c>
      <c r="F1505" s="281">
        <v>9</v>
      </c>
      <c r="G1505" s="28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2">
        <v>50000</v>
      </c>
      <c r="O1505" t="s">
        <v>982</v>
      </c>
    </row>
    <row r="1506" spans="1:15">
      <c r="A1506" t="s">
        <v>942</v>
      </c>
      <c r="B1506" t="s">
        <v>946</v>
      </c>
      <c r="C1506" s="553">
        <v>44284</v>
      </c>
      <c r="D1506" s="281" t="s">
        <v>4590</v>
      </c>
      <c r="E1506" s="281" t="s">
        <v>4162</v>
      </c>
      <c r="F1506" s="281">
        <v>9</v>
      </c>
      <c r="G1506" s="28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2">
        <v>40000</v>
      </c>
      <c r="O1506" t="s">
        <v>982</v>
      </c>
    </row>
    <row r="1507" spans="1:15">
      <c r="A1507" t="s">
        <v>942</v>
      </c>
      <c r="B1507" t="s">
        <v>946</v>
      </c>
      <c r="C1507" s="553">
        <v>44284</v>
      </c>
      <c r="D1507" s="281" t="s">
        <v>4590</v>
      </c>
      <c r="E1507" s="281" t="s">
        <v>4162</v>
      </c>
      <c r="F1507" s="281">
        <v>9</v>
      </c>
      <c r="G1507" s="28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2">
        <v>63243.76</v>
      </c>
      <c r="O1507" t="s">
        <v>982</v>
      </c>
    </row>
    <row r="1508" spans="1:15">
      <c r="A1508" t="s">
        <v>942</v>
      </c>
      <c r="B1508" t="s">
        <v>946</v>
      </c>
      <c r="C1508" s="553">
        <v>44284</v>
      </c>
      <c r="D1508" s="281" t="s">
        <v>4590</v>
      </c>
      <c r="E1508" s="281" t="s">
        <v>4162</v>
      </c>
      <c r="F1508" s="281">
        <v>9</v>
      </c>
      <c r="G1508" s="28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2">
        <v>25000</v>
      </c>
      <c r="O1508" t="s">
        <v>982</v>
      </c>
    </row>
    <row r="1509" spans="1:15">
      <c r="A1509" t="s">
        <v>942</v>
      </c>
      <c r="B1509" t="s">
        <v>946</v>
      </c>
      <c r="C1509" s="553">
        <v>44284</v>
      </c>
      <c r="D1509" s="281" t="s">
        <v>4590</v>
      </c>
      <c r="E1509" s="281" t="s">
        <v>4162</v>
      </c>
      <c r="F1509" s="281">
        <v>9</v>
      </c>
      <c r="G1509" s="28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2">
        <v>25000</v>
      </c>
      <c r="O1509" t="s">
        <v>982</v>
      </c>
    </row>
    <row r="1510" spans="1:15">
      <c r="A1510" t="s">
        <v>942</v>
      </c>
      <c r="B1510" t="s">
        <v>946</v>
      </c>
      <c r="C1510" s="553">
        <v>44284</v>
      </c>
      <c r="D1510" s="281" t="s">
        <v>4590</v>
      </c>
      <c r="E1510" s="281" t="s">
        <v>4162</v>
      </c>
      <c r="F1510" s="281">
        <v>9</v>
      </c>
      <c r="G1510" s="28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2">
        <v>50000</v>
      </c>
      <c r="O1510" t="s">
        <v>982</v>
      </c>
    </row>
    <row r="1511" spans="1:15">
      <c r="A1511" t="s">
        <v>942</v>
      </c>
      <c r="B1511" t="s">
        <v>946</v>
      </c>
      <c r="C1511" s="553">
        <v>44284</v>
      </c>
      <c r="D1511" s="281" t="s">
        <v>4591</v>
      </c>
      <c r="E1511" s="281" t="s">
        <v>4166</v>
      </c>
      <c r="F1511" s="281">
        <v>9</v>
      </c>
      <c r="G1511" s="28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2">
        <v>70000</v>
      </c>
      <c r="O1511" t="s">
        <v>982</v>
      </c>
    </row>
    <row r="1512" spans="1:15">
      <c r="A1512" t="s">
        <v>942</v>
      </c>
      <c r="B1512" t="s">
        <v>946</v>
      </c>
      <c r="C1512" s="553">
        <v>44284</v>
      </c>
      <c r="D1512" s="281" t="s">
        <v>4591</v>
      </c>
      <c r="E1512" s="281" t="s">
        <v>4166</v>
      </c>
      <c r="F1512" s="281">
        <v>9</v>
      </c>
      <c r="G1512" s="28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2">
        <v>15000</v>
      </c>
      <c r="O1512" t="s">
        <v>982</v>
      </c>
    </row>
    <row r="1513" spans="1:15">
      <c r="A1513" t="s">
        <v>942</v>
      </c>
      <c r="B1513" t="s">
        <v>946</v>
      </c>
      <c r="C1513" s="553">
        <v>44284</v>
      </c>
      <c r="D1513" s="281" t="s">
        <v>4591</v>
      </c>
      <c r="E1513" s="281" t="s">
        <v>4166</v>
      </c>
      <c r="F1513" s="281">
        <v>9</v>
      </c>
      <c r="G1513" s="28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2">
        <v>10000</v>
      </c>
      <c r="O1513" t="s">
        <v>982</v>
      </c>
    </row>
    <row r="1514" spans="1:15">
      <c r="A1514" t="s">
        <v>942</v>
      </c>
      <c r="B1514" t="s">
        <v>946</v>
      </c>
      <c r="C1514" s="553">
        <v>44284</v>
      </c>
      <c r="D1514" s="281" t="s">
        <v>4591</v>
      </c>
      <c r="E1514" s="281" t="s">
        <v>4166</v>
      </c>
      <c r="F1514" s="281">
        <v>9</v>
      </c>
      <c r="G1514" s="28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2">
        <v>50000</v>
      </c>
      <c r="O1514" t="s">
        <v>982</v>
      </c>
    </row>
    <row r="1515" spans="1:15">
      <c r="A1515" t="s">
        <v>942</v>
      </c>
      <c r="B1515" t="s">
        <v>946</v>
      </c>
      <c r="C1515" s="553">
        <v>44284</v>
      </c>
      <c r="D1515" s="281" t="s">
        <v>4591</v>
      </c>
      <c r="E1515" s="281" t="s">
        <v>4166</v>
      </c>
      <c r="F1515" s="281">
        <v>9</v>
      </c>
      <c r="G1515" s="28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2">
        <v>40000</v>
      </c>
      <c r="O1515" t="s">
        <v>982</v>
      </c>
    </row>
    <row r="1516" spans="1:15">
      <c r="A1516" t="s">
        <v>942</v>
      </c>
      <c r="B1516" t="s">
        <v>946</v>
      </c>
      <c r="C1516" s="553">
        <v>44284</v>
      </c>
      <c r="D1516" s="281" t="s">
        <v>4591</v>
      </c>
      <c r="E1516" s="281" t="s">
        <v>4166</v>
      </c>
      <c r="F1516" s="281">
        <v>9</v>
      </c>
      <c r="G1516" s="28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2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3">
        <v>44284</v>
      </c>
      <c r="D1517" s="281" t="s">
        <v>4591</v>
      </c>
      <c r="E1517" s="281" t="s">
        <v>4166</v>
      </c>
      <c r="F1517" s="281">
        <v>9</v>
      </c>
      <c r="G1517" s="28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2">
        <v>25000</v>
      </c>
      <c r="O1517" t="s">
        <v>982</v>
      </c>
    </row>
    <row r="1518" spans="1:15">
      <c r="A1518" t="s">
        <v>942</v>
      </c>
      <c r="B1518" t="s">
        <v>946</v>
      </c>
      <c r="C1518" s="553">
        <v>44284</v>
      </c>
      <c r="D1518" s="281" t="s">
        <v>4591</v>
      </c>
      <c r="E1518" s="281" t="s">
        <v>4166</v>
      </c>
      <c r="F1518" s="281">
        <v>9</v>
      </c>
      <c r="G1518" s="28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2">
        <v>25000</v>
      </c>
      <c r="O1518" t="s">
        <v>982</v>
      </c>
    </row>
    <row r="1519" spans="1:15">
      <c r="A1519" t="s">
        <v>942</v>
      </c>
      <c r="B1519" t="s">
        <v>946</v>
      </c>
      <c r="C1519" s="553">
        <v>44284</v>
      </c>
      <c r="D1519" s="281" t="s">
        <v>4591</v>
      </c>
      <c r="E1519" s="281" t="s">
        <v>4166</v>
      </c>
      <c r="F1519" s="281">
        <v>9</v>
      </c>
      <c r="G1519" s="28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2">
        <v>50000</v>
      </c>
      <c r="O1519" t="s">
        <v>982</v>
      </c>
    </row>
    <row r="1520" spans="1:15">
      <c r="A1520" t="s">
        <v>942</v>
      </c>
      <c r="B1520" t="s">
        <v>946</v>
      </c>
      <c r="C1520" s="553">
        <v>44284</v>
      </c>
      <c r="D1520" s="281" t="s">
        <v>4592</v>
      </c>
      <c r="E1520" s="281" t="s">
        <v>4168</v>
      </c>
      <c r="F1520" s="281">
        <v>9</v>
      </c>
      <c r="G1520" s="28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2">
        <v>70000</v>
      </c>
      <c r="O1520" t="s">
        <v>982</v>
      </c>
    </row>
    <row r="1521" spans="1:15">
      <c r="A1521" t="s">
        <v>942</v>
      </c>
      <c r="B1521" t="s">
        <v>946</v>
      </c>
      <c r="C1521" s="553">
        <v>44284</v>
      </c>
      <c r="D1521" s="281" t="s">
        <v>4592</v>
      </c>
      <c r="E1521" s="281" t="s">
        <v>4168</v>
      </c>
      <c r="F1521" s="281">
        <v>9</v>
      </c>
      <c r="G1521" s="28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2">
        <v>15000</v>
      </c>
      <c r="O1521" t="s">
        <v>982</v>
      </c>
    </row>
    <row r="1522" spans="1:15">
      <c r="A1522" t="s">
        <v>942</v>
      </c>
      <c r="B1522" t="s">
        <v>946</v>
      </c>
      <c r="C1522" s="553">
        <v>44284</v>
      </c>
      <c r="D1522" s="281" t="s">
        <v>4592</v>
      </c>
      <c r="E1522" s="281" t="s">
        <v>4168</v>
      </c>
      <c r="F1522" s="281">
        <v>9</v>
      </c>
      <c r="G1522" s="28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2">
        <v>10000</v>
      </c>
      <c r="O1522" t="s">
        <v>982</v>
      </c>
    </row>
    <row r="1523" spans="1:15">
      <c r="A1523" t="s">
        <v>942</v>
      </c>
      <c r="B1523" t="s">
        <v>946</v>
      </c>
      <c r="C1523" s="553">
        <v>44284</v>
      </c>
      <c r="D1523" s="281" t="s">
        <v>4592</v>
      </c>
      <c r="E1523" s="281" t="s">
        <v>4168</v>
      </c>
      <c r="F1523" s="281">
        <v>9</v>
      </c>
      <c r="G1523" s="28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2">
        <v>50000</v>
      </c>
      <c r="O1523" t="s">
        <v>982</v>
      </c>
    </row>
    <row r="1524" spans="1:15">
      <c r="A1524" t="s">
        <v>942</v>
      </c>
      <c r="B1524" t="s">
        <v>946</v>
      </c>
      <c r="C1524" s="553">
        <v>44284</v>
      </c>
      <c r="D1524" s="281" t="s">
        <v>4592</v>
      </c>
      <c r="E1524" s="281" t="s">
        <v>4168</v>
      </c>
      <c r="F1524" s="281">
        <v>9</v>
      </c>
      <c r="G1524" s="28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2">
        <v>40000</v>
      </c>
      <c r="O1524" t="s">
        <v>982</v>
      </c>
    </row>
    <row r="1525" spans="1:15">
      <c r="A1525" t="s">
        <v>942</v>
      </c>
      <c r="B1525" t="s">
        <v>946</v>
      </c>
      <c r="C1525" s="553">
        <v>44284</v>
      </c>
      <c r="D1525" s="281" t="s">
        <v>4592</v>
      </c>
      <c r="E1525" s="281" t="s">
        <v>4168</v>
      </c>
      <c r="F1525" s="281">
        <v>9</v>
      </c>
      <c r="G1525" s="28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2">
        <v>63243.76</v>
      </c>
      <c r="O1525" t="s">
        <v>982</v>
      </c>
    </row>
    <row r="1526" spans="1:15">
      <c r="A1526" t="s">
        <v>942</v>
      </c>
      <c r="B1526" t="s">
        <v>946</v>
      </c>
      <c r="C1526" s="553">
        <v>44284</v>
      </c>
      <c r="D1526" s="281" t="s">
        <v>4592</v>
      </c>
      <c r="E1526" s="281" t="s">
        <v>4168</v>
      </c>
      <c r="F1526" s="281">
        <v>9</v>
      </c>
      <c r="G1526" s="28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2">
        <v>25000</v>
      </c>
      <c r="O1526" t="s">
        <v>982</v>
      </c>
    </row>
    <row r="1527" spans="1:15">
      <c r="A1527" t="s">
        <v>942</v>
      </c>
      <c r="B1527" t="s">
        <v>946</v>
      </c>
      <c r="C1527" s="553">
        <v>44284</v>
      </c>
      <c r="D1527" s="281" t="s">
        <v>4592</v>
      </c>
      <c r="E1527" s="281" t="s">
        <v>4168</v>
      </c>
      <c r="F1527" s="281">
        <v>9</v>
      </c>
      <c r="G1527" s="28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2">
        <v>25000</v>
      </c>
      <c r="O1527" t="s">
        <v>982</v>
      </c>
    </row>
    <row r="1528" spans="1:15">
      <c r="A1528" t="s">
        <v>942</v>
      </c>
      <c r="B1528" t="s">
        <v>946</v>
      </c>
      <c r="C1528" s="553">
        <v>44284</v>
      </c>
      <c r="D1528" s="281" t="s">
        <v>4592</v>
      </c>
      <c r="E1528" s="281" t="s">
        <v>4168</v>
      </c>
      <c r="F1528" s="281">
        <v>9</v>
      </c>
      <c r="G1528" s="28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2">
        <v>50000</v>
      </c>
      <c r="O1528" t="s">
        <v>982</v>
      </c>
    </row>
    <row r="1529" spans="1:15">
      <c r="A1529" t="s">
        <v>942</v>
      </c>
      <c r="B1529" t="s">
        <v>946</v>
      </c>
      <c r="C1529" s="553">
        <v>44284</v>
      </c>
      <c r="D1529" s="281" t="s">
        <v>4593</v>
      </c>
      <c r="E1529" s="281" t="s">
        <v>4173</v>
      </c>
      <c r="F1529" s="281">
        <v>8</v>
      </c>
      <c r="G1529" s="28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2">
        <v>100000</v>
      </c>
      <c r="O1529" t="s">
        <v>980</v>
      </c>
    </row>
    <row r="1530" spans="1:15">
      <c r="A1530" t="s">
        <v>942</v>
      </c>
      <c r="B1530" t="s">
        <v>946</v>
      </c>
      <c r="C1530" s="553">
        <v>44284</v>
      </c>
      <c r="D1530" s="281" t="s">
        <v>4593</v>
      </c>
      <c r="E1530" s="281" t="s">
        <v>4173</v>
      </c>
      <c r="F1530" s="281">
        <v>8</v>
      </c>
      <c r="G1530" s="28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2">
        <v>200000</v>
      </c>
      <c r="O1530" t="s">
        <v>980</v>
      </c>
    </row>
    <row r="1531" spans="1:15">
      <c r="A1531" t="s">
        <v>942</v>
      </c>
      <c r="B1531" t="s">
        <v>946</v>
      </c>
      <c r="C1531" s="553">
        <v>44284</v>
      </c>
      <c r="D1531" s="281" t="s">
        <v>4593</v>
      </c>
      <c r="E1531" s="281" t="s">
        <v>4173</v>
      </c>
      <c r="F1531" s="281">
        <v>8</v>
      </c>
      <c r="G1531" s="28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2">
        <v>50000</v>
      </c>
      <c r="O1531" t="s">
        <v>980</v>
      </c>
    </row>
    <row r="1532" spans="1:15">
      <c r="A1532" t="s">
        <v>942</v>
      </c>
      <c r="B1532" t="s">
        <v>946</v>
      </c>
      <c r="C1532" s="553">
        <v>44284</v>
      </c>
      <c r="D1532" s="281" t="s">
        <v>4593</v>
      </c>
      <c r="E1532" s="281" t="s">
        <v>4173</v>
      </c>
      <c r="F1532" s="281">
        <v>8</v>
      </c>
      <c r="G1532" s="28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2">
        <v>360350</v>
      </c>
      <c r="O1532" t="s">
        <v>980</v>
      </c>
    </row>
    <row r="1533" spans="1:15">
      <c r="A1533" t="s">
        <v>942</v>
      </c>
      <c r="B1533" t="s">
        <v>946</v>
      </c>
      <c r="C1533" s="553">
        <v>44284</v>
      </c>
      <c r="D1533" s="281" t="s">
        <v>4593</v>
      </c>
      <c r="E1533" s="281" t="s">
        <v>4173</v>
      </c>
      <c r="F1533" s="281">
        <v>8</v>
      </c>
      <c r="G1533" s="28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2">
        <v>50000</v>
      </c>
      <c r="O1533" t="s">
        <v>980</v>
      </c>
    </row>
    <row r="1534" spans="1:15">
      <c r="A1534" t="s">
        <v>942</v>
      </c>
      <c r="B1534" t="s">
        <v>946</v>
      </c>
      <c r="C1534" s="553">
        <v>44284</v>
      </c>
      <c r="D1534" s="281" t="s">
        <v>4594</v>
      </c>
      <c r="E1534" s="281" t="s">
        <v>4176</v>
      </c>
      <c r="F1534" s="281">
        <v>3</v>
      </c>
      <c r="G1534" s="28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2">
        <v>30000</v>
      </c>
      <c r="O1534" t="s">
        <v>968</v>
      </c>
    </row>
    <row r="1535" spans="1:15">
      <c r="A1535" t="s">
        <v>942</v>
      </c>
      <c r="B1535" t="s">
        <v>946</v>
      </c>
      <c r="C1535" s="553">
        <v>44284</v>
      </c>
      <c r="D1535" s="281" t="s">
        <v>4594</v>
      </c>
      <c r="E1535" s="281" t="s">
        <v>4176</v>
      </c>
      <c r="F1535" s="281">
        <v>3</v>
      </c>
      <c r="G1535" s="28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2">
        <v>50000</v>
      </c>
      <c r="O1535" t="s">
        <v>968</v>
      </c>
    </row>
    <row r="1536" spans="1:15">
      <c r="A1536" t="s">
        <v>942</v>
      </c>
      <c r="B1536" t="s">
        <v>946</v>
      </c>
      <c r="C1536" s="553">
        <v>44284</v>
      </c>
      <c r="D1536" s="281" t="s">
        <v>4594</v>
      </c>
      <c r="E1536" s="281" t="s">
        <v>4176</v>
      </c>
      <c r="F1536" s="281">
        <v>3</v>
      </c>
      <c r="G1536" s="28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2">
        <v>10000</v>
      </c>
      <c r="O1536" t="s">
        <v>968</v>
      </c>
    </row>
    <row r="1537" spans="1:15">
      <c r="A1537" t="s">
        <v>942</v>
      </c>
      <c r="B1537" t="s">
        <v>946</v>
      </c>
      <c r="C1537" s="553">
        <v>44284</v>
      </c>
      <c r="D1537" s="281" t="s">
        <v>4594</v>
      </c>
      <c r="E1537" s="281" t="s">
        <v>4176</v>
      </c>
      <c r="F1537" s="281">
        <v>3</v>
      </c>
      <c r="G1537" s="28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2">
        <v>104400</v>
      </c>
      <c r="O1537" t="s">
        <v>968</v>
      </c>
    </row>
    <row r="1538" spans="1:15">
      <c r="A1538" t="s">
        <v>942</v>
      </c>
      <c r="B1538" t="s">
        <v>946</v>
      </c>
      <c r="C1538" s="553">
        <v>44284</v>
      </c>
      <c r="D1538" s="281" t="s">
        <v>4595</v>
      </c>
      <c r="E1538" s="281" t="s">
        <v>4179</v>
      </c>
      <c r="F1538" s="281">
        <v>3</v>
      </c>
      <c r="G1538" s="28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2">
        <v>30000</v>
      </c>
      <c r="O1538" t="s">
        <v>968</v>
      </c>
    </row>
    <row r="1539" spans="1:15">
      <c r="A1539" t="s">
        <v>942</v>
      </c>
      <c r="B1539" t="s">
        <v>946</v>
      </c>
      <c r="C1539" s="553">
        <v>44284</v>
      </c>
      <c r="D1539" s="281" t="s">
        <v>4595</v>
      </c>
      <c r="E1539" s="281" t="s">
        <v>4179</v>
      </c>
      <c r="F1539" s="281">
        <v>3</v>
      </c>
      <c r="G1539" s="28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2">
        <v>50000</v>
      </c>
      <c r="O1539" t="s">
        <v>968</v>
      </c>
    </row>
    <row r="1540" spans="1:15">
      <c r="A1540" t="s">
        <v>942</v>
      </c>
      <c r="B1540" t="s">
        <v>946</v>
      </c>
      <c r="C1540" s="553">
        <v>44284</v>
      </c>
      <c r="D1540" s="281" t="s">
        <v>4595</v>
      </c>
      <c r="E1540" s="281" t="s">
        <v>4179</v>
      </c>
      <c r="F1540" s="281">
        <v>3</v>
      </c>
      <c r="G1540" s="28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2">
        <v>10000</v>
      </c>
      <c r="O1540" t="s">
        <v>968</v>
      </c>
    </row>
    <row r="1541" spans="1:15">
      <c r="A1541" t="s">
        <v>942</v>
      </c>
      <c r="B1541" t="s">
        <v>946</v>
      </c>
      <c r="C1541" s="553">
        <v>44284</v>
      </c>
      <c r="D1541" s="281" t="s">
        <v>4595</v>
      </c>
      <c r="E1541" s="281" t="s">
        <v>4179</v>
      </c>
      <c r="F1541" s="281">
        <v>3</v>
      </c>
      <c r="G1541" s="28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2">
        <v>104400</v>
      </c>
      <c r="O1541" t="s">
        <v>968</v>
      </c>
    </row>
    <row r="1542" spans="1:15">
      <c r="A1542" t="s">
        <v>942</v>
      </c>
      <c r="B1542" t="s">
        <v>946</v>
      </c>
      <c r="C1542" s="553">
        <v>44284</v>
      </c>
      <c r="D1542" s="281" t="s">
        <v>4596</v>
      </c>
      <c r="E1542" s="281" t="s">
        <v>4181</v>
      </c>
      <c r="F1542" s="281">
        <v>3</v>
      </c>
      <c r="G1542" s="28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2">
        <v>30000</v>
      </c>
      <c r="O1542" t="s">
        <v>968</v>
      </c>
    </row>
    <row r="1543" spans="1:15">
      <c r="A1543" t="s">
        <v>942</v>
      </c>
      <c r="B1543" t="s">
        <v>946</v>
      </c>
      <c r="C1543" s="553">
        <v>44284</v>
      </c>
      <c r="D1543" s="281" t="s">
        <v>4596</v>
      </c>
      <c r="E1543" s="281" t="s">
        <v>4181</v>
      </c>
      <c r="F1543" s="281">
        <v>3</v>
      </c>
      <c r="G1543" s="28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2">
        <v>50000</v>
      </c>
      <c r="O1543" t="s">
        <v>968</v>
      </c>
    </row>
    <row r="1544" spans="1:15">
      <c r="A1544" t="s">
        <v>942</v>
      </c>
      <c r="B1544" t="s">
        <v>946</v>
      </c>
      <c r="C1544" s="553">
        <v>44284</v>
      </c>
      <c r="D1544" s="281" t="s">
        <v>4596</v>
      </c>
      <c r="E1544" s="281" t="s">
        <v>4181</v>
      </c>
      <c r="F1544" s="281">
        <v>3</v>
      </c>
      <c r="G1544" s="28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2">
        <v>10000</v>
      </c>
      <c r="O1544" t="s">
        <v>968</v>
      </c>
    </row>
    <row r="1545" spans="1:15">
      <c r="A1545" t="s">
        <v>942</v>
      </c>
      <c r="B1545" t="s">
        <v>946</v>
      </c>
      <c r="C1545" s="553">
        <v>44284</v>
      </c>
      <c r="D1545" s="281" t="s">
        <v>4596</v>
      </c>
      <c r="E1545" s="281" t="s">
        <v>4181</v>
      </c>
      <c r="F1545" s="281">
        <v>3</v>
      </c>
      <c r="G1545" s="28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2">
        <v>104400</v>
      </c>
      <c r="O1545" t="s">
        <v>968</v>
      </c>
    </row>
    <row r="1546" spans="1:15">
      <c r="A1546" t="s">
        <v>942</v>
      </c>
      <c r="B1546" t="s">
        <v>946</v>
      </c>
      <c r="C1546" s="553">
        <v>44285</v>
      </c>
      <c r="D1546" s="281" t="s">
        <v>4597</v>
      </c>
      <c r="E1546" s="281" t="s">
        <v>4183</v>
      </c>
      <c r="F1546" s="281">
        <v>11</v>
      </c>
      <c r="G1546" s="28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2">
        <v>57498</v>
      </c>
      <c r="O1546" t="s">
        <v>985</v>
      </c>
    </row>
    <row r="1547" spans="1:15">
      <c r="A1547" t="s">
        <v>942</v>
      </c>
      <c r="B1547" t="s">
        <v>946</v>
      </c>
      <c r="C1547" s="553">
        <v>44285</v>
      </c>
      <c r="D1547" s="281" t="s">
        <v>4597</v>
      </c>
      <c r="E1547" s="281" t="s">
        <v>4183</v>
      </c>
      <c r="F1547" s="281">
        <v>11</v>
      </c>
      <c r="G1547" s="28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2">
        <v>525004</v>
      </c>
      <c r="O1547" t="s">
        <v>985</v>
      </c>
    </row>
    <row r="1548" spans="1:15">
      <c r="A1548" t="s">
        <v>942</v>
      </c>
      <c r="B1548" t="s">
        <v>946</v>
      </c>
      <c r="C1548" s="553">
        <v>44285</v>
      </c>
      <c r="D1548" s="281" t="s">
        <v>4597</v>
      </c>
      <c r="E1548" s="281" t="s">
        <v>4183</v>
      </c>
      <c r="F1548" s="281">
        <v>11</v>
      </c>
      <c r="G1548" s="28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2">
        <v>19166</v>
      </c>
      <c r="O1548" t="s">
        <v>985</v>
      </c>
    </row>
    <row r="1549" spans="1:15">
      <c r="A1549" t="s">
        <v>942</v>
      </c>
      <c r="B1549" t="s">
        <v>946</v>
      </c>
      <c r="C1549" s="553">
        <v>44285</v>
      </c>
      <c r="D1549" s="281" t="s">
        <v>4597</v>
      </c>
      <c r="E1549" s="281" t="s">
        <v>4183</v>
      </c>
      <c r="F1549" s="281">
        <v>11</v>
      </c>
      <c r="G1549" s="28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2">
        <v>38332</v>
      </c>
      <c r="O1549" t="s">
        <v>985</v>
      </c>
    </row>
    <row r="1550" spans="1:15">
      <c r="A1550" t="s">
        <v>942</v>
      </c>
      <c r="B1550" t="s">
        <v>946</v>
      </c>
      <c r="C1550" s="553">
        <v>44285</v>
      </c>
      <c r="D1550" s="281" t="s">
        <v>4598</v>
      </c>
      <c r="E1550" s="281" t="s">
        <v>4186</v>
      </c>
      <c r="F1550" s="281">
        <v>10</v>
      </c>
      <c r="G1550" s="28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2">
        <v>10000</v>
      </c>
      <c r="O1550" t="s">
        <v>983</v>
      </c>
    </row>
    <row r="1551" spans="1:15">
      <c r="A1551" t="s">
        <v>942</v>
      </c>
      <c r="B1551" t="s">
        <v>946</v>
      </c>
      <c r="C1551" s="553">
        <v>44285</v>
      </c>
      <c r="D1551" s="281" t="s">
        <v>4598</v>
      </c>
      <c r="E1551" s="281" t="s">
        <v>4186</v>
      </c>
      <c r="F1551" s="281">
        <v>10</v>
      </c>
      <c r="G1551" s="28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2">
        <v>80000</v>
      </c>
      <c r="O1551" t="s">
        <v>983</v>
      </c>
    </row>
    <row r="1552" spans="1:15">
      <c r="A1552" t="s">
        <v>942</v>
      </c>
      <c r="B1552" t="s">
        <v>946</v>
      </c>
      <c r="C1552" s="553">
        <v>44285</v>
      </c>
      <c r="D1552" s="281" t="s">
        <v>4598</v>
      </c>
      <c r="E1552" s="281" t="s">
        <v>4186</v>
      </c>
      <c r="F1552" s="281">
        <v>10</v>
      </c>
      <c r="G1552" s="28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2">
        <v>30000</v>
      </c>
      <c r="O1552" t="s">
        <v>983</v>
      </c>
    </row>
    <row r="1553" spans="1:15">
      <c r="A1553" t="s">
        <v>942</v>
      </c>
      <c r="B1553" t="s">
        <v>946</v>
      </c>
      <c r="C1553" s="553">
        <v>44285</v>
      </c>
      <c r="D1553" s="281" t="s">
        <v>4598</v>
      </c>
      <c r="E1553" s="281" t="s">
        <v>4186</v>
      </c>
      <c r="F1553" s="281">
        <v>10</v>
      </c>
      <c r="G1553" s="28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2">
        <v>20000</v>
      </c>
      <c r="O1553" t="s">
        <v>983</v>
      </c>
    </row>
    <row r="1554" spans="1:15">
      <c r="A1554" t="s">
        <v>942</v>
      </c>
      <c r="B1554" t="s">
        <v>946</v>
      </c>
      <c r="C1554" s="553">
        <v>44285</v>
      </c>
      <c r="D1554" s="281" t="s">
        <v>4598</v>
      </c>
      <c r="E1554" s="281" t="s">
        <v>4186</v>
      </c>
      <c r="F1554" s="281">
        <v>10</v>
      </c>
      <c r="G1554" s="28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2">
        <v>147809.53</v>
      </c>
      <c r="O1554" t="s">
        <v>983</v>
      </c>
    </row>
    <row r="1555" spans="1:15">
      <c r="A1555" t="s">
        <v>942</v>
      </c>
      <c r="B1555" t="s">
        <v>946</v>
      </c>
      <c r="C1555" s="553">
        <v>44285</v>
      </c>
      <c r="D1555" s="281" t="s">
        <v>4599</v>
      </c>
      <c r="E1555" s="281" t="s">
        <v>4195</v>
      </c>
      <c r="F1555" s="281">
        <v>1</v>
      </c>
      <c r="G1555" s="28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2">
        <v>3500</v>
      </c>
      <c r="O1555" t="s">
        <v>961</v>
      </c>
    </row>
    <row r="1556" spans="1:15">
      <c r="A1556" t="s">
        <v>942</v>
      </c>
      <c r="B1556" t="s">
        <v>946</v>
      </c>
      <c r="C1556" s="553">
        <v>44285</v>
      </c>
      <c r="D1556" s="281" t="s">
        <v>4600</v>
      </c>
      <c r="E1556" s="281" t="s">
        <v>4198</v>
      </c>
      <c r="F1556" s="281">
        <v>1</v>
      </c>
      <c r="G1556" s="28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2">
        <v>12000</v>
      </c>
      <c r="O1556" t="s">
        <v>961</v>
      </c>
    </row>
    <row r="1557" spans="1:15">
      <c r="A1557" t="s">
        <v>942</v>
      </c>
      <c r="B1557" t="s">
        <v>946</v>
      </c>
      <c r="C1557" s="553">
        <v>44285</v>
      </c>
      <c r="D1557" s="281" t="s">
        <v>4601</v>
      </c>
      <c r="E1557" s="281" t="s">
        <v>4201</v>
      </c>
      <c r="F1557" s="281">
        <v>1</v>
      </c>
      <c r="G1557" s="28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2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2" bestFit="1" customWidth="1"/>
    <col min="5" max="5" width="28.44140625" customWidth="1"/>
    <col min="6" max="6" width="66.6640625" customWidth="1"/>
    <col min="7" max="7" width="13.33203125" style="562" bestFit="1" customWidth="1"/>
    <col min="8" max="9" width="13.33203125" style="562" customWidth="1"/>
    <col min="10" max="10" width="15.88671875" style="562" customWidth="1"/>
    <col min="11" max="12" width="13.33203125" style="562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8" t="s">
        <v>2052</v>
      </c>
      <c r="B2" s="568" t="s">
        <v>940</v>
      </c>
      <c r="C2" s="569" t="s">
        <v>2665</v>
      </c>
      <c r="D2" s="569" t="s">
        <v>2376</v>
      </c>
      <c r="E2" s="568" t="s">
        <v>155</v>
      </c>
      <c r="F2" s="568" t="s">
        <v>156</v>
      </c>
      <c r="G2" s="569" t="s">
        <v>2377</v>
      </c>
      <c r="H2" s="567" t="s">
        <v>4203</v>
      </c>
      <c r="I2" s="568" t="s">
        <v>4204</v>
      </c>
      <c r="J2" s="568" t="s">
        <v>4205</v>
      </c>
      <c r="K2" s="568" t="s">
        <v>4206</v>
      </c>
      <c r="L2" s="568" t="s">
        <v>4207</v>
      </c>
      <c r="M2" s="569" t="s">
        <v>2684</v>
      </c>
      <c r="N2" s="568" t="s">
        <v>2682</v>
      </c>
      <c r="O2" s="568" t="s">
        <v>2677</v>
      </c>
    </row>
    <row r="3" spans="1:15">
      <c r="A3" t="s">
        <v>2688</v>
      </c>
      <c r="B3" t="s">
        <v>2674</v>
      </c>
      <c r="C3" t="s">
        <v>2689</v>
      </c>
      <c r="D3" s="562">
        <v>150000</v>
      </c>
      <c r="E3" t="s">
        <v>1643</v>
      </c>
      <c r="F3" t="s">
        <v>2690</v>
      </c>
      <c r="G3" s="562">
        <v>126494.55</v>
      </c>
      <c r="K3" s="562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2">
        <v>10000</v>
      </c>
      <c r="E4" t="s">
        <v>2693</v>
      </c>
      <c r="F4" t="s">
        <v>2694</v>
      </c>
      <c r="G4" s="562">
        <v>10000</v>
      </c>
      <c r="K4" s="562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2">
        <v>0</v>
      </c>
      <c r="E5" t="s">
        <v>1661</v>
      </c>
      <c r="F5" t="s">
        <v>2696</v>
      </c>
      <c r="G5" s="562">
        <v>23505.45</v>
      </c>
      <c r="K5" s="562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2">
        <v>0</v>
      </c>
      <c r="E6" t="s">
        <v>1661</v>
      </c>
      <c r="F6" t="s">
        <v>2698</v>
      </c>
      <c r="G6" s="562">
        <v>8083.33</v>
      </c>
      <c r="K6" s="562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2">
        <v>1935301.23</v>
      </c>
      <c r="E7" t="s">
        <v>10</v>
      </c>
      <c r="F7" t="s">
        <v>2701</v>
      </c>
      <c r="G7" s="562">
        <v>327788.25</v>
      </c>
      <c r="K7" s="562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2">
        <v>0</v>
      </c>
      <c r="E8" t="s">
        <v>2703</v>
      </c>
      <c r="F8" t="s">
        <v>2704</v>
      </c>
      <c r="G8" s="562">
        <v>195626.4</v>
      </c>
      <c r="K8" s="562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2">
        <v>452644.64</v>
      </c>
      <c r="E9" t="s">
        <v>764</v>
      </c>
      <c r="F9" t="s">
        <v>2701</v>
      </c>
      <c r="G9" s="562">
        <v>76343.53</v>
      </c>
      <c r="K9" s="562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2">
        <v>5000</v>
      </c>
      <c r="E10" t="s">
        <v>2709</v>
      </c>
      <c r="F10" t="s">
        <v>2710</v>
      </c>
      <c r="G10" s="562">
        <v>5000</v>
      </c>
      <c r="K10" s="562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2">
        <v>666774.09000000008</v>
      </c>
      <c r="E11" t="s">
        <v>768</v>
      </c>
      <c r="F11" t="s">
        <v>2701</v>
      </c>
      <c r="G11" s="562">
        <v>138638.1</v>
      </c>
      <c r="K11" s="562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2">
        <v>325034.35000000003</v>
      </c>
      <c r="E12" t="s">
        <v>765</v>
      </c>
      <c r="F12" t="s">
        <v>2701</v>
      </c>
      <c r="G12" s="562">
        <v>81815.520000000004</v>
      </c>
      <c r="K12" s="562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2">
        <v>0</v>
      </c>
      <c r="E13" t="s">
        <v>1661</v>
      </c>
      <c r="F13" t="s">
        <v>2716</v>
      </c>
      <c r="G13" s="562">
        <v>46629.23</v>
      </c>
      <c r="K13" s="562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2">
        <v>452126.62</v>
      </c>
      <c r="E14" t="s">
        <v>765</v>
      </c>
      <c r="F14" t="s">
        <v>2701</v>
      </c>
      <c r="G14" s="562">
        <v>104743.53</v>
      </c>
      <c r="K14" s="562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2">
        <v>0</v>
      </c>
      <c r="E15" t="s">
        <v>2720</v>
      </c>
      <c r="F15" t="s">
        <v>2721</v>
      </c>
      <c r="G15" s="562">
        <v>2793.75</v>
      </c>
      <c r="K15" s="562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2">
        <v>0</v>
      </c>
      <c r="E16" t="s">
        <v>2723</v>
      </c>
      <c r="F16" t="s">
        <v>2724</v>
      </c>
      <c r="G16" s="562">
        <v>506.25</v>
      </c>
      <c r="K16" s="562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2">
        <v>0</v>
      </c>
      <c r="E17" t="s">
        <v>2726</v>
      </c>
      <c r="F17" t="s">
        <v>2727</v>
      </c>
      <c r="G17" s="562">
        <v>22265.62</v>
      </c>
      <c r="K17" s="562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2">
        <v>0</v>
      </c>
      <c r="E18" t="s">
        <v>1669</v>
      </c>
      <c r="F18" t="s">
        <v>2729</v>
      </c>
      <c r="G18" s="562">
        <v>21734.22</v>
      </c>
      <c r="K18" s="562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2">
        <v>0</v>
      </c>
      <c r="E19" t="s">
        <v>2731</v>
      </c>
      <c r="F19" t="s">
        <v>2732</v>
      </c>
      <c r="G19" s="562">
        <v>2343.75</v>
      </c>
      <c r="K19" s="562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2">
        <v>0</v>
      </c>
      <c r="E20" t="s">
        <v>2731</v>
      </c>
      <c r="F20" t="s">
        <v>2734</v>
      </c>
      <c r="G20" s="562">
        <v>2250</v>
      </c>
      <c r="K20" s="562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2">
        <v>0</v>
      </c>
      <c r="E21" t="s">
        <v>2736</v>
      </c>
      <c r="F21" t="s">
        <v>2737</v>
      </c>
      <c r="G21" s="562">
        <v>4576.93</v>
      </c>
      <c r="K21" s="562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2">
        <v>0</v>
      </c>
      <c r="E22" t="s">
        <v>2739</v>
      </c>
      <c r="F22" t="s">
        <v>2740</v>
      </c>
      <c r="G22" s="562">
        <v>2801.43</v>
      </c>
      <c r="K22" s="562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2">
        <v>0</v>
      </c>
      <c r="E23" t="s">
        <v>2742</v>
      </c>
      <c r="F23" t="s">
        <v>2740</v>
      </c>
      <c r="G23" s="562">
        <v>5229.0200000000004</v>
      </c>
      <c r="K23" s="562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2">
        <v>0</v>
      </c>
      <c r="E24" t="s">
        <v>2726</v>
      </c>
      <c r="F24" t="s">
        <v>2744</v>
      </c>
      <c r="G24" s="562">
        <v>3937.5</v>
      </c>
      <c r="K24" s="562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2">
        <v>0</v>
      </c>
      <c r="E25" t="s">
        <v>2746</v>
      </c>
      <c r="F25" t="s">
        <v>2747</v>
      </c>
      <c r="G25" s="562">
        <v>0</v>
      </c>
      <c r="K25" s="562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2">
        <v>0</v>
      </c>
      <c r="E26" t="s">
        <v>2726</v>
      </c>
      <c r="F26" t="s">
        <v>2749</v>
      </c>
      <c r="G26" s="562">
        <v>24492.19</v>
      </c>
      <c r="K26" s="562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2">
        <v>0</v>
      </c>
      <c r="E27" t="s">
        <v>2751</v>
      </c>
      <c r="F27" t="s">
        <v>2752</v>
      </c>
      <c r="G27" s="562">
        <v>6067.2</v>
      </c>
      <c r="K27" s="562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2">
        <v>11250</v>
      </c>
      <c r="E28" t="s">
        <v>1669</v>
      </c>
      <c r="F28" t="s">
        <v>2755</v>
      </c>
      <c r="G28" s="562">
        <v>11250</v>
      </c>
      <c r="K28" s="562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2">
        <v>574114.94999999995</v>
      </c>
      <c r="E29" t="s">
        <v>2758</v>
      </c>
      <c r="F29" t="s">
        <v>2701</v>
      </c>
      <c r="G29" s="562">
        <v>75692.009999999995</v>
      </c>
      <c r="K29" s="562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2">
        <v>2500</v>
      </c>
      <c r="E30" t="s">
        <v>2761</v>
      </c>
      <c r="F30" t="s">
        <v>2762</v>
      </c>
      <c r="G30" s="562">
        <v>2500</v>
      </c>
      <c r="K30" s="562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2">
        <v>0</v>
      </c>
      <c r="E31" t="s">
        <v>2723</v>
      </c>
      <c r="F31" t="s">
        <v>2765</v>
      </c>
      <c r="G31" s="562">
        <v>0</v>
      </c>
      <c r="K31" s="562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2">
        <v>0</v>
      </c>
      <c r="E32" t="s">
        <v>2767</v>
      </c>
      <c r="F32" t="s">
        <v>2768</v>
      </c>
      <c r="G32" s="562">
        <v>16862.849999999999</v>
      </c>
      <c r="K32" s="562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2">
        <v>0</v>
      </c>
      <c r="E33" t="s">
        <v>2739</v>
      </c>
      <c r="F33" t="s">
        <v>2770</v>
      </c>
      <c r="G33" s="562">
        <v>8304.91</v>
      </c>
      <c r="K33" s="562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2">
        <v>0</v>
      </c>
      <c r="E34" t="s">
        <v>2772</v>
      </c>
      <c r="F34" t="s">
        <v>2773</v>
      </c>
      <c r="G34" s="562">
        <v>28500</v>
      </c>
      <c r="K34" s="562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2">
        <v>0</v>
      </c>
      <c r="E35" t="s">
        <v>2775</v>
      </c>
      <c r="F35" t="s">
        <v>2752</v>
      </c>
      <c r="G35" s="562">
        <v>3710</v>
      </c>
      <c r="K35" s="562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2">
        <v>0</v>
      </c>
      <c r="E36" t="s">
        <v>2777</v>
      </c>
      <c r="F36" t="s">
        <v>2778</v>
      </c>
      <c r="G36" s="562">
        <v>520698.79</v>
      </c>
      <c r="K36" s="562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2">
        <v>0</v>
      </c>
      <c r="E37" t="s">
        <v>2720</v>
      </c>
      <c r="F37" t="s">
        <v>2780</v>
      </c>
      <c r="G37" s="562">
        <v>1406.25</v>
      </c>
      <c r="K37" s="562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2">
        <v>0</v>
      </c>
      <c r="E38" t="s">
        <v>2782</v>
      </c>
      <c r="F38" t="s">
        <v>2783</v>
      </c>
      <c r="G38" s="562">
        <v>16875</v>
      </c>
      <c r="K38" s="562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2">
        <v>0</v>
      </c>
      <c r="E39" t="s">
        <v>2746</v>
      </c>
      <c r="F39" t="s">
        <v>2785</v>
      </c>
      <c r="G39" s="562">
        <v>7500</v>
      </c>
      <c r="K39" s="562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2">
        <v>0</v>
      </c>
      <c r="E40" t="s">
        <v>2746</v>
      </c>
      <c r="F40" t="s">
        <v>2787</v>
      </c>
      <c r="G40" s="562">
        <v>4500</v>
      </c>
      <c r="K40" s="562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2">
        <v>0</v>
      </c>
      <c r="E41" t="s">
        <v>2789</v>
      </c>
      <c r="F41" t="s">
        <v>2790</v>
      </c>
      <c r="G41" s="562">
        <v>0</v>
      </c>
      <c r="K41" s="562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2">
        <v>0</v>
      </c>
      <c r="E42" t="s">
        <v>2792</v>
      </c>
      <c r="F42" t="s">
        <v>2793</v>
      </c>
      <c r="G42" s="562">
        <v>0</v>
      </c>
      <c r="K42" s="562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2">
        <v>0</v>
      </c>
      <c r="E43" t="s">
        <v>2795</v>
      </c>
      <c r="F43" t="s">
        <v>2793</v>
      </c>
      <c r="G43" s="562">
        <v>0</v>
      </c>
      <c r="K43" s="562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2">
        <v>0</v>
      </c>
      <c r="E44" t="s">
        <v>2797</v>
      </c>
      <c r="F44" t="s">
        <v>2793</v>
      </c>
      <c r="G44" s="562">
        <v>0</v>
      </c>
      <c r="K44" s="562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2">
        <v>0</v>
      </c>
      <c r="E45" t="s">
        <v>2799</v>
      </c>
      <c r="F45" t="s">
        <v>2793</v>
      </c>
      <c r="G45" s="562">
        <v>0</v>
      </c>
      <c r="K45" s="562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2">
        <v>0</v>
      </c>
      <c r="E46" t="s">
        <v>2801</v>
      </c>
      <c r="F46" t="s">
        <v>2793</v>
      </c>
      <c r="G46" s="562">
        <v>2850</v>
      </c>
      <c r="K46" s="562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2">
        <v>0</v>
      </c>
      <c r="E47" t="s">
        <v>2803</v>
      </c>
      <c r="F47" t="s">
        <v>2793</v>
      </c>
      <c r="G47" s="562">
        <v>0</v>
      </c>
      <c r="K47" s="562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2">
        <v>0</v>
      </c>
      <c r="E48" t="s">
        <v>2805</v>
      </c>
      <c r="F48" t="s">
        <v>2793</v>
      </c>
      <c r="G48" s="562">
        <v>0</v>
      </c>
      <c r="K48" s="562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2">
        <v>0</v>
      </c>
      <c r="E49" t="s">
        <v>2807</v>
      </c>
      <c r="F49" t="s">
        <v>2808</v>
      </c>
      <c r="G49" s="562">
        <v>0</v>
      </c>
      <c r="K49" s="562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2">
        <v>22550.49</v>
      </c>
      <c r="E50" t="s">
        <v>2811</v>
      </c>
      <c r="F50" t="s">
        <v>2812</v>
      </c>
      <c r="G50" s="562">
        <v>21342.43</v>
      </c>
      <c r="K50" s="562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2">
        <v>7800</v>
      </c>
      <c r="E51" t="s">
        <v>820</v>
      </c>
      <c r="F51" t="s">
        <v>2815</v>
      </c>
      <c r="G51" s="562">
        <v>7800</v>
      </c>
      <c r="K51" s="562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2">
        <v>7800</v>
      </c>
      <c r="E52" t="s">
        <v>821</v>
      </c>
      <c r="F52" t="s">
        <v>2815</v>
      </c>
      <c r="G52" s="562">
        <v>7800</v>
      </c>
      <c r="K52" s="562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2">
        <v>7800</v>
      </c>
      <c r="E53" t="s">
        <v>2820</v>
      </c>
      <c r="F53" t="s">
        <v>2815</v>
      </c>
      <c r="G53" s="562">
        <v>7800</v>
      </c>
      <c r="K53" s="562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2">
        <v>7800</v>
      </c>
      <c r="E54" t="s">
        <v>2823</v>
      </c>
      <c r="F54" t="s">
        <v>2815</v>
      </c>
      <c r="G54" s="562">
        <v>7800</v>
      </c>
      <c r="K54" s="562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2">
        <v>7800</v>
      </c>
      <c r="E55" t="s">
        <v>2826</v>
      </c>
      <c r="F55" t="s">
        <v>2815</v>
      </c>
      <c r="G55" s="562">
        <v>7800</v>
      </c>
      <c r="K55" s="562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2">
        <v>0</v>
      </c>
      <c r="E56" t="s">
        <v>10</v>
      </c>
      <c r="F56" t="s">
        <v>2828</v>
      </c>
      <c r="G56" s="562">
        <v>331488.05</v>
      </c>
      <c r="K56" s="562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2">
        <v>0</v>
      </c>
      <c r="E57" t="s">
        <v>777</v>
      </c>
      <c r="F57" t="s">
        <v>2828</v>
      </c>
      <c r="G57" s="562">
        <v>104743.46</v>
      </c>
      <c r="K57" s="562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2">
        <v>0</v>
      </c>
      <c r="E58" t="s">
        <v>764</v>
      </c>
      <c r="F58" t="s">
        <v>2828</v>
      </c>
      <c r="G58" s="562">
        <v>76343.490000000005</v>
      </c>
      <c r="K58" s="562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2">
        <v>0</v>
      </c>
      <c r="E59" t="s">
        <v>768</v>
      </c>
      <c r="F59" t="s">
        <v>2828</v>
      </c>
      <c r="G59" s="562">
        <v>138575.47</v>
      </c>
      <c r="K59" s="562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2">
        <v>0</v>
      </c>
      <c r="E60" t="s">
        <v>765</v>
      </c>
      <c r="F60" t="s">
        <v>2828</v>
      </c>
      <c r="G60" s="562">
        <v>81815.55</v>
      </c>
      <c r="K60" s="562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2">
        <v>0</v>
      </c>
      <c r="E61" t="s">
        <v>2834</v>
      </c>
      <c r="F61" t="s">
        <v>2828</v>
      </c>
      <c r="G61" s="562">
        <v>82918.22</v>
      </c>
      <c r="K61" s="562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2">
        <v>4313.25</v>
      </c>
      <c r="E62" t="s">
        <v>2709</v>
      </c>
      <c r="F62" t="s">
        <v>2837</v>
      </c>
      <c r="G62" s="562">
        <v>4313.25</v>
      </c>
      <c r="K62" s="562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2">
        <v>0</v>
      </c>
      <c r="E63" t="s">
        <v>2839</v>
      </c>
      <c r="F63" t="s">
        <v>2840</v>
      </c>
      <c r="G63" s="562">
        <v>73005.710000000006</v>
      </c>
      <c r="K63" s="562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2">
        <v>0</v>
      </c>
      <c r="E64" t="s">
        <v>2746</v>
      </c>
      <c r="F64" t="s">
        <v>2842</v>
      </c>
      <c r="G64" s="562">
        <v>7500</v>
      </c>
      <c r="K64" s="562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2">
        <v>160190.04</v>
      </c>
      <c r="E65" t="s">
        <v>2844</v>
      </c>
      <c r="F65" t="s">
        <v>2845</v>
      </c>
      <c r="G65" s="562">
        <v>0</v>
      </c>
      <c r="K65" s="562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2">
        <v>10311.43</v>
      </c>
      <c r="E66" t="s">
        <v>2844</v>
      </c>
      <c r="F66" t="s">
        <v>2847</v>
      </c>
      <c r="G66" s="562">
        <v>0</v>
      </c>
      <c r="K66" s="562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2">
        <v>0</v>
      </c>
      <c r="E67" t="s">
        <v>2849</v>
      </c>
      <c r="F67" t="s">
        <v>2850</v>
      </c>
      <c r="G67" s="562">
        <v>9230.6299999999992</v>
      </c>
      <c r="K67" s="562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2">
        <v>0</v>
      </c>
      <c r="E68" t="s">
        <v>2720</v>
      </c>
      <c r="F68" t="s">
        <v>2852</v>
      </c>
      <c r="G68" s="562">
        <v>0</v>
      </c>
      <c r="K68" s="562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2">
        <v>0</v>
      </c>
      <c r="E69" t="s">
        <v>1677</v>
      </c>
      <c r="F69" t="s">
        <v>2854</v>
      </c>
      <c r="G69" s="562">
        <v>1218.24</v>
      </c>
      <c r="K69" s="562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2">
        <v>59500</v>
      </c>
      <c r="E70" t="s">
        <v>2751</v>
      </c>
      <c r="F70" t="s">
        <v>2856</v>
      </c>
      <c r="G70" s="562">
        <v>57120</v>
      </c>
      <c r="K70" s="562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2">
        <v>18046.37</v>
      </c>
      <c r="E71" t="s">
        <v>1761</v>
      </c>
      <c r="F71" t="s">
        <v>2859</v>
      </c>
      <c r="G71" s="562">
        <v>13940.25</v>
      </c>
      <c r="K71" s="562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2">
        <v>0</v>
      </c>
      <c r="E72" t="s">
        <v>2861</v>
      </c>
      <c r="F72" t="s">
        <v>2862</v>
      </c>
      <c r="G72" s="562">
        <v>0</v>
      </c>
      <c r="K72" s="562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2">
        <v>0</v>
      </c>
      <c r="E73" t="s">
        <v>2864</v>
      </c>
      <c r="F73" t="s">
        <v>2865</v>
      </c>
      <c r="G73" s="562">
        <v>0</v>
      </c>
      <c r="K73" s="562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2">
        <v>0</v>
      </c>
      <c r="E74" t="s">
        <v>2739</v>
      </c>
      <c r="F74" t="s">
        <v>2867</v>
      </c>
      <c r="G74" s="562">
        <v>8762.98</v>
      </c>
      <c r="K74" s="562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2">
        <v>0</v>
      </c>
      <c r="E75" t="s">
        <v>2739</v>
      </c>
      <c r="F75" t="s">
        <v>2869</v>
      </c>
      <c r="G75" s="562">
        <v>17035.72</v>
      </c>
      <c r="K75" s="562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2">
        <v>0</v>
      </c>
      <c r="E76" t="s">
        <v>2871</v>
      </c>
      <c r="F76" t="s">
        <v>2872</v>
      </c>
      <c r="G76" s="562">
        <v>8044.65</v>
      </c>
      <c r="K76" s="562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2">
        <v>0</v>
      </c>
      <c r="E77" t="s">
        <v>2871</v>
      </c>
      <c r="F77" t="s">
        <v>2874</v>
      </c>
      <c r="G77" s="562">
        <v>44103.57</v>
      </c>
      <c r="K77" s="562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2">
        <v>0</v>
      </c>
      <c r="E78" t="s">
        <v>2876</v>
      </c>
      <c r="F78" t="s">
        <v>2877</v>
      </c>
      <c r="G78" s="562">
        <v>0</v>
      </c>
      <c r="K78" s="562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2">
        <v>0</v>
      </c>
      <c r="E79" t="s">
        <v>2879</v>
      </c>
      <c r="F79" t="s">
        <v>2880</v>
      </c>
      <c r="G79" s="562">
        <v>0</v>
      </c>
      <c r="K79" s="562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2">
        <v>0</v>
      </c>
      <c r="E80" t="s">
        <v>2882</v>
      </c>
      <c r="F80" t="s">
        <v>2883</v>
      </c>
      <c r="G80" s="562">
        <v>0</v>
      </c>
      <c r="K80" s="562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2">
        <v>0</v>
      </c>
      <c r="E81" t="s">
        <v>2885</v>
      </c>
      <c r="F81" t="s">
        <v>2886</v>
      </c>
      <c r="G81" s="562">
        <v>0</v>
      </c>
      <c r="K81" s="562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2">
        <v>0</v>
      </c>
      <c r="E82" t="s">
        <v>2888</v>
      </c>
      <c r="F82" t="s">
        <v>2889</v>
      </c>
      <c r="G82" s="562">
        <v>0</v>
      </c>
      <c r="K82" s="562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2">
        <v>0</v>
      </c>
      <c r="E83" t="s">
        <v>2891</v>
      </c>
      <c r="F83" t="s">
        <v>2892</v>
      </c>
      <c r="G83" s="562">
        <v>0</v>
      </c>
      <c r="K83" s="562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2">
        <v>0</v>
      </c>
      <c r="E84" t="s">
        <v>2894</v>
      </c>
      <c r="F84" t="s">
        <v>2895</v>
      </c>
      <c r="G84" s="562">
        <v>0</v>
      </c>
      <c r="K84" s="562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2">
        <v>0</v>
      </c>
      <c r="E85" t="s">
        <v>2894</v>
      </c>
      <c r="F85" t="s">
        <v>2897</v>
      </c>
      <c r="G85" s="562">
        <v>0</v>
      </c>
      <c r="K85" s="562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2">
        <v>0</v>
      </c>
      <c r="E86" t="s">
        <v>2899</v>
      </c>
      <c r="F86" t="s">
        <v>2900</v>
      </c>
      <c r="G86" s="562">
        <v>0</v>
      </c>
      <c r="K86" s="562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2">
        <v>20061.82</v>
      </c>
      <c r="E87" t="s">
        <v>2902</v>
      </c>
      <c r="F87" t="s">
        <v>2903</v>
      </c>
      <c r="G87" s="562">
        <v>10812.52</v>
      </c>
      <c r="K87" s="562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2">
        <v>33474</v>
      </c>
      <c r="E88" t="s">
        <v>2902</v>
      </c>
      <c r="F88" t="s">
        <v>2903</v>
      </c>
      <c r="G88" s="562">
        <v>31974</v>
      </c>
      <c r="K88" s="562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2">
        <v>14080</v>
      </c>
      <c r="E89" t="s">
        <v>2902</v>
      </c>
      <c r="F89" t="s">
        <v>2903</v>
      </c>
      <c r="G89" s="562">
        <v>14080</v>
      </c>
      <c r="K89" s="562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2">
        <v>0</v>
      </c>
      <c r="E90" t="s">
        <v>2908</v>
      </c>
      <c r="F90" t="s">
        <v>2909</v>
      </c>
      <c r="G90" s="562">
        <v>98027.49</v>
      </c>
      <c r="K90" s="562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2">
        <v>0</v>
      </c>
      <c r="E91" t="s">
        <v>2912</v>
      </c>
      <c r="F91" t="s">
        <v>2913</v>
      </c>
      <c r="G91" s="562">
        <v>0</v>
      </c>
      <c r="K91" s="562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2">
        <v>10895.41</v>
      </c>
      <c r="E92" t="s">
        <v>2916</v>
      </c>
      <c r="F92" t="s">
        <v>2917</v>
      </c>
      <c r="G92" s="562">
        <v>10895.41</v>
      </c>
      <c r="K92" s="562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2">
        <v>3675</v>
      </c>
      <c r="E93" t="s">
        <v>1762</v>
      </c>
      <c r="F93" t="s">
        <v>2920</v>
      </c>
      <c r="G93" s="562">
        <v>3478.13</v>
      </c>
      <c r="K93" s="562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2">
        <v>1880</v>
      </c>
      <c r="E94" t="s">
        <v>2923</v>
      </c>
      <c r="F94" t="s">
        <v>2924</v>
      </c>
      <c r="G94" s="562">
        <v>1880</v>
      </c>
      <c r="K94" s="562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2">
        <v>0</v>
      </c>
      <c r="E95" t="s">
        <v>1669</v>
      </c>
      <c r="F95" t="s">
        <v>2926</v>
      </c>
      <c r="G95" s="562">
        <v>2000</v>
      </c>
      <c r="K95" s="562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2">
        <v>0</v>
      </c>
      <c r="E96" t="s">
        <v>1669</v>
      </c>
      <c r="F96" t="s">
        <v>2928</v>
      </c>
      <c r="G96" s="562">
        <v>2674.02</v>
      </c>
      <c r="K96" s="562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2">
        <v>0</v>
      </c>
      <c r="E97" t="s">
        <v>2930</v>
      </c>
      <c r="F97" t="s">
        <v>2931</v>
      </c>
      <c r="G97" s="562">
        <v>27440</v>
      </c>
      <c r="K97" s="562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2">
        <v>0</v>
      </c>
      <c r="E98" t="s">
        <v>2933</v>
      </c>
      <c r="F98" t="s">
        <v>2934</v>
      </c>
      <c r="G98" s="562">
        <v>44865.51</v>
      </c>
      <c r="K98" s="562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2">
        <v>0</v>
      </c>
      <c r="E99" t="s">
        <v>2936</v>
      </c>
      <c r="F99" t="s">
        <v>2937</v>
      </c>
      <c r="G99" s="562">
        <v>9700</v>
      </c>
      <c r="K99" s="562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2">
        <v>0</v>
      </c>
      <c r="E100" t="s">
        <v>2939</v>
      </c>
      <c r="F100" t="s">
        <v>2940</v>
      </c>
      <c r="G100" s="562">
        <v>903</v>
      </c>
      <c r="K100" s="562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2">
        <v>0</v>
      </c>
      <c r="E101" t="s">
        <v>2942</v>
      </c>
      <c r="F101" t="s">
        <v>2943</v>
      </c>
      <c r="G101" s="562">
        <v>194068.8</v>
      </c>
      <c r="K101" s="562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2">
        <v>0</v>
      </c>
      <c r="E102" t="s">
        <v>2945</v>
      </c>
      <c r="F102" t="s">
        <v>2946</v>
      </c>
      <c r="G102" s="562">
        <v>31716.67</v>
      </c>
      <c r="K102" s="562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2">
        <v>0</v>
      </c>
      <c r="E103" t="s">
        <v>1690</v>
      </c>
      <c r="F103" t="s">
        <v>2946</v>
      </c>
      <c r="G103" s="562">
        <v>58756.68</v>
      </c>
      <c r="K103" s="562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2">
        <v>0</v>
      </c>
      <c r="E104" t="s">
        <v>2949</v>
      </c>
      <c r="F104" t="s">
        <v>2946</v>
      </c>
      <c r="G104" s="562">
        <v>98042.33</v>
      </c>
      <c r="K104" s="562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2">
        <v>0</v>
      </c>
      <c r="E105" t="s">
        <v>2951</v>
      </c>
      <c r="F105" t="s">
        <v>2952</v>
      </c>
      <c r="G105" s="562">
        <v>3955.36</v>
      </c>
      <c r="K105" s="562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2">
        <v>51777.94</v>
      </c>
      <c r="E106" t="s">
        <v>2955</v>
      </c>
      <c r="F106" t="s">
        <v>2956</v>
      </c>
      <c r="G106" s="562">
        <v>28194.01</v>
      </c>
      <c r="K106" s="562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2">
        <v>92085.57</v>
      </c>
      <c r="E107" t="s">
        <v>2959</v>
      </c>
      <c r="F107" t="s">
        <v>2956</v>
      </c>
      <c r="G107" s="562">
        <v>59624.21</v>
      </c>
      <c r="K107" s="562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2">
        <v>40307.629999999997</v>
      </c>
      <c r="E108" t="s">
        <v>2962</v>
      </c>
      <c r="F108" t="s">
        <v>2956</v>
      </c>
      <c r="G108" s="562">
        <v>29978.37</v>
      </c>
      <c r="K108" s="562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2">
        <v>40307.629999999997</v>
      </c>
      <c r="E109" t="s">
        <v>1756</v>
      </c>
      <c r="F109" t="s">
        <v>2956</v>
      </c>
      <c r="G109" s="562">
        <v>18148.37</v>
      </c>
      <c r="K109" s="562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2">
        <v>92085.57</v>
      </c>
      <c r="E110" t="s">
        <v>2967</v>
      </c>
      <c r="F110" t="s">
        <v>2956</v>
      </c>
      <c r="G110" s="562">
        <v>64105.75</v>
      </c>
      <c r="K110" s="562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2">
        <v>40307.629999999997</v>
      </c>
      <c r="E111" t="s">
        <v>1757</v>
      </c>
      <c r="F111" t="s">
        <v>2956</v>
      </c>
      <c r="G111" s="562">
        <v>28358.37</v>
      </c>
      <c r="K111" s="562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2">
        <v>0</v>
      </c>
      <c r="E112" t="s">
        <v>2971</v>
      </c>
      <c r="F112" t="s">
        <v>2972</v>
      </c>
      <c r="G112" s="562">
        <v>0</v>
      </c>
      <c r="K112" s="562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2">
        <v>0</v>
      </c>
      <c r="E113" t="s">
        <v>2974</v>
      </c>
      <c r="F113" t="s">
        <v>2975</v>
      </c>
      <c r="G113" s="562">
        <v>0</v>
      </c>
      <c r="K113" s="562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2">
        <v>0</v>
      </c>
      <c r="E114" t="s">
        <v>1105</v>
      </c>
      <c r="F114" t="s">
        <v>2977</v>
      </c>
      <c r="G114" s="562">
        <v>1623829.3</v>
      </c>
      <c r="K114" s="562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2">
        <v>0</v>
      </c>
      <c r="E115" t="s">
        <v>2979</v>
      </c>
      <c r="F115" t="s">
        <v>2980</v>
      </c>
      <c r="G115" s="562">
        <v>9500</v>
      </c>
      <c r="K115" s="562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2">
        <v>17600</v>
      </c>
      <c r="E116" t="s">
        <v>2912</v>
      </c>
      <c r="F116" t="s">
        <v>2913</v>
      </c>
      <c r="G116" s="562">
        <v>16028.58</v>
      </c>
      <c r="K116" s="562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2">
        <v>0</v>
      </c>
      <c r="E117" t="s">
        <v>2789</v>
      </c>
      <c r="F117" t="s">
        <v>2790</v>
      </c>
      <c r="G117" s="562">
        <v>950</v>
      </c>
      <c r="K117" s="562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2">
        <v>0</v>
      </c>
      <c r="E118" t="s">
        <v>2792</v>
      </c>
      <c r="F118" t="s">
        <v>2793</v>
      </c>
      <c r="G118" s="562">
        <v>1900</v>
      </c>
      <c r="K118" s="562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2">
        <v>0</v>
      </c>
      <c r="E119" t="s">
        <v>2795</v>
      </c>
      <c r="F119" t="s">
        <v>2793</v>
      </c>
      <c r="G119" s="562">
        <v>950</v>
      </c>
      <c r="K119" s="562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2">
        <v>0</v>
      </c>
      <c r="E120" t="s">
        <v>2797</v>
      </c>
      <c r="F120" t="s">
        <v>2793</v>
      </c>
      <c r="G120" s="562">
        <v>950</v>
      </c>
      <c r="K120" s="562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2">
        <v>0</v>
      </c>
      <c r="E121" t="s">
        <v>2803</v>
      </c>
      <c r="F121" t="s">
        <v>2793</v>
      </c>
      <c r="G121" s="562">
        <v>2850</v>
      </c>
      <c r="K121" s="562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2">
        <v>0</v>
      </c>
      <c r="E122" t="s">
        <v>2805</v>
      </c>
      <c r="F122" t="s">
        <v>2793</v>
      </c>
      <c r="G122" s="562">
        <v>1900</v>
      </c>
      <c r="K122" s="562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2">
        <v>0</v>
      </c>
      <c r="E123" t="s">
        <v>2888</v>
      </c>
      <c r="F123" t="s">
        <v>2889</v>
      </c>
      <c r="G123" s="562">
        <v>42750</v>
      </c>
      <c r="K123" s="562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2">
        <v>0</v>
      </c>
      <c r="E124" t="s">
        <v>2879</v>
      </c>
      <c r="F124" t="s">
        <v>2880</v>
      </c>
      <c r="G124" s="562">
        <v>6000</v>
      </c>
      <c r="K124" s="562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2">
        <v>0</v>
      </c>
      <c r="E125" t="s">
        <v>2891</v>
      </c>
      <c r="F125" t="s">
        <v>2892</v>
      </c>
      <c r="G125" s="562">
        <v>7125</v>
      </c>
      <c r="K125" s="562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2">
        <v>0</v>
      </c>
      <c r="E126" t="s">
        <v>2894</v>
      </c>
      <c r="F126" t="s">
        <v>2895</v>
      </c>
      <c r="G126" s="562">
        <v>6175</v>
      </c>
      <c r="K126" s="562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2">
        <v>0</v>
      </c>
      <c r="E127" t="s">
        <v>2994</v>
      </c>
      <c r="F127" t="s">
        <v>2995</v>
      </c>
      <c r="G127" s="562">
        <v>1566.1</v>
      </c>
      <c r="K127" s="562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2">
        <v>0</v>
      </c>
      <c r="E128" t="s">
        <v>1691</v>
      </c>
      <c r="F128" t="s">
        <v>2997</v>
      </c>
      <c r="G128" s="562">
        <v>465.72</v>
      </c>
      <c r="K128" s="562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2">
        <v>0</v>
      </c>
      <c r="E129" t="s">
        <v>1759</v>
      </c>
      <c r="F129" t="s">
        <v>2999</v>
      </c>
      <c r="G129" s="562">
        <v>200</v>
      </c>
      <c r="K129" s="562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2">
        <v>0</v>
      </c>
      <c r="E130" t="s">
        <v>3001</v>
      </c>
      <c r="F130" t="s">
        <v>3002</v>
      </c>
      <c r="G130" s="562">
        <v>39000</v>
      </c>
      <c r="K130" s="562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2">
        <v>0</v>
      </c>
      <c r="E131" t="s">
        <v>1105</v>
      </c>
      <c r="F131" t="s">
        <v>2999</v>
      </c>
      <c r="G131" s="562">
        <v>3044.55</v>
      </c>
      <c r="K131" s="562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2">
        <v>0</v>
      </c>
      <c r="E132" t="s">
        <v>3005</v>
      </c>
      <c r="F132" t="s">
        <v>3006</v>
      </c>
      <c r="G132" s="562">
        <v>170</v>
      </c>
      <c r="K132" s="562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2">
        <v>0</v>
      </c>
      <c r="E133" t="s">
        <v>2933</v>
      </c>
      <c r="F133" t="s">
        <v>3008</v>
      </c>
      <c r="G133" s="562">
        <v>200</v>
      </c>
      <c r="K133" s="562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2">
        <v>0</v>
      </c>
      <c r="E134" t="s">
        <v>2936</v>
      </c>
      <c r="F134" t="s">
        <v>3010</v>
      </c>
      <c r="G134" s="562">
        <v>50</v>
      </c>
      <c r="K134" s="562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2">
        <v>0</v>
      </c>
      <c r="E135" t="s">
        <v>3012</v>
      </c>
      <c r="F135" t="s">
        <v>3013</v>
      </c>
      <c r="G135" s="562">
        <v>16406.25</v>
      </c>
      <c r="K135" s="562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2">
        <v>0</v>
      </c>
      <c r="E136" t="s">
        <v>1691</v>
      </c>
      <c r="F136" t="s">
        <v>3015</v>
      </c>
      <c r="G136" s="562">
        <v>8967.5399999999991</v>
      </c>
      <c r="K136" s="562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2">
        <v>0</v>
      </c>
      <c r="E137" t="s">
        <v>1105</v>
      </c>
      <c r="F137" t="s">
        <v>3015</v>
      </c>
      <c r="G137" s="562">
        <v>79011.26999999999</v>
      </c>
      <c r="K137" s="562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2">
        <v>0</v>
      </c>
      <c r="E138" t="s">
        <v>1759</v>
      </c>
      <c r="F138" t="s">
        <v>3018</v>
      </c>
      <c r="G138" s="562">
        <v>4845.12</v>
      </c>
      <c r="K138" s="562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2">
        <v>0</v>
      </c>
      <c r="E139" t="s">
        <v>3005</v>
      </c>
      <c r="F139" t="s">
        <v>3020</v>
      </c>
      <c r="G139" s="562">
        <v>840</v>
      </c>
      <c r="K139" s="562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2">
        <v>0</v>
      </c>
      <c r="E140" t="s">
        <v>2936</v>
      </c>
      <c r="F140" t="s">
        <v>3022</v>
      </c>
      <c r="G140" s="562">
        <v>1500</v>
      </c>
      <c r="K140" s="562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2">
        <v>0</v>
      </c>
      <c r="E141" t="s">
        <v>2994</v>
      </c>
      <c r="F141" t="s">
        <v>3024</v>
      </c>
      <c r="G141" s="562">
        <v>4440</v>
      </c>
      <c r="K141" s="562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2">
        <v>150000</v>
      </c>
      <c r="E142" t="s">
        <v>3001</v>
      </c>
      <c r="F142" t="s">
        <v>3027</v>
      </c>
      <c r="G142" s="562">
        <v>127518.05</v>
      </c>
      <c r="K142" s="562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2">
        <v>0</v>
      </c>
      <c r="E143" t="s">
        <v>1661</v>
      </c>
      <c r="F143" t="s">
        <v>3029</v>
      </c>
      <c r="G143" s="562">
        <v>22481.95</v>
      </c>
      <c r="K143" s="562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2">
        <v>80000</v>
      </c>
      <c r="E144" t="s">
        <v>1682</v>
      </c>
      <c r="F144" t="s">
        <v>3032</v>
      </c>
      <c r="G144" s="562">
        <v>80000</v>
      </c>
      <c r="K144" s="562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2">
        <v>97200</v>
      </c>
      <c r="E145" t="s">
        <v>1682</v>
      </c>
      <c r="F145" t="s">
        <v>3035</v>
      </c>
      <c r="G145" s="562">
        <v>97200</v>
      </c>
      <c r="K145" s="562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2">
        <v>97200</v>
      </c>
      <c r="E146" t="s">
        <v>820</v>
      </c>
      <c r="F146" t="s">
        <v>3035</v>
      </c>
      <c r="G146" s="562">
        <v>97200</v>
      </c>
      <c r="K146" s="562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2">
        <v>97200</v>
      </c>
      <c r="E147" t="s">
        <v>1539</v>
      </c>
      <c r="F147" t="s">
        <v>3035</v>
      </c>
      <c r="G147" s="562">
        <v>97200</v>
      </c>
      <c r="K147" s="562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2">
        <v>97200</v>
      </c>
      <c r="E148" t="s">
        <v>822</v>
      </c>
      <c r="F148" t="s">
        <v>3035</v>
      </c>
      <c r="G148" s="562">
        <v>97200</v>
      </c>
      <c r="K148" s="562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2">
        <v>97200</v>
      </c>
      <c r="E149" t="s">
        <v>823</v>
      </c>
      <c r="F149" t="s">
        <v>3035</v>
      </c>
      <c r="G149" s="562">
        <v>97200</v>
      </c>
      <c r="K149" s="562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2">
        <v>62500</v>
      </c>
      <c r="E150" t="s">
        <v>1682</v>
      </c>
      <c r="F150" t="s">
        <v>3046</v>
      </c>
      <c r="G150" s="562">
        <v>62500</v>
      </c>
      <c r="K150" s="562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2">
        <v>50000</v>
      </c>
      <c r="E151" t="s">
        <v>820</v>
      </c>
      <c r="F151" t="s">
        <v>3046</v>
      </c>
      <c r="G151" s="562">
        <v>50000</v>
      </c>
      <c r="K151" s="562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2">
        <v>50000</v>
      </c>
      <c r="E152" t="s">
        <v>1539</v>
      </c>
      <c r="F152" t="s">
        <v>3046</v>
      </c>
      <c r="G152" s="562">
        <v>50000</v>
      </c>
      <c r="K152" s="562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2">
        <v>50000</v>
      </c>
      <c r="E153" t="s">
        <v>822</v>
      </c>
      <c r="F153" t="s">
        <v>3046</v>
      </c>
      <c r="G153" s="562">
        <v>50000</v>
      </c>
      <c r="K153" s="562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2">
        <v>50000</v>
      </c>
      <c r="E154" t="s">
        <v>823</v>
      </c>
      <c r="F154" t="s">
        <v>3046</v>
      </c>
      <c r="G154" s="562">
        <v>50000</v>
      </c>
      <c r="K154" s="562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2">
        <v>528841.48</v>
      </c>
      <c r="E155" t="s">
        <v>1682</v>
      </c>
      <c r="F155" t="s">
        <v>3057</v>
      </c>
      <c r="G155" s="562">
        <v>528841.48</v>
      </c>
      <c r="K155" s="562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2">
        <v>241528.69</v>
      </c>
      <c r="E156" t="s">
        <v>820</v>
      </c>
      <c r="F156" t="s">
        <v>3057</v>
      </c>
      <c r="G156" s="562">
        <v>241528.69</v>
      </c>
      <c r="K156" s="562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2">
        <v>337586.4</v>
      </c>
      <c r="E157" t="s">
        <v>821</v>
      </c>
      <c r="F157" t="s">
        <v>3057</v>
      </c>
      <c r="G157" s="562">
        <v>337586.4</v>
      </c>
      <c r="K157" s="562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2">
        <v>355426.3600000001</v>
      </c>
      <c r="E158" t="s">
        <v>822</v>
      </c>
      <c r="F158" t="s">
        <v>3057</v>
      </c>
      <c r="G158" s="562">
        <v>355426.36</v>
      </c>
      <c r="K158" s="562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2">
        <v>230967.52</v>
      </c>
      <c r="E159" t="s">
        <v>823</v>
      </c>
      <c r="F159" t="s">
        <v>3057</v>
      </c>
      <c r="G159" s="562">
        <v>230967.52</v>
      </c>
      <c r="K159" s="562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2">
        <v>65016.91</v>
      </c>
      <c r="E160" t="s">
        <v>1075</v>
      </c>
      <c r="F160" t="s">
        <v>3068</v>
      </c>
      <c r="G160" s="562">
        <v>59233.58</v>
      </c>
      <c r="K160" s="562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2">
        <v>16881.330000000002</v>
      </c>
      <c r="E161" t="s">
        <v>1075</v>
      </c>
      <c r="F161" t="s">
        <v>3068</v>
      </c>
      <c r="G161" s="562">
        <v>16881.330000000002</v>
      </c>
      <c r="K161" s="562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2">
        <v>0</v>
      </c>
      <c r="E162" t="s">
        <v>2974</v>
      </c>
      <c r="F162" t="s">
        <v>2975</v>
      </c>
      <c r="G162" s="562">
        <v>31350</v>
      </c>
      <c r="K162" s="562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2">
        <v>0</v>
      </c>
      <c r="E163" t="s">
        <v>2876</v>
      </c>
      <c r="F163" t="s">
        <v>2877</v>
      </c>
      <c r="G163" s="562">
        <v>34320</v>
      </c>
      <c r="K163" s="562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2">
        <v>0</v>
      </c>
      <c r="E164" t="s">
        <v>2882</v>
      </c>
      <c r="F164" t="s">
        <v>2883</v>
      </c>
      <c r="G164" s="562">
        <v>11313.6</v>
      </c>
      <c r="K164" s="562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2">
        <v>0</v>
      </c>
      <c r="E165" t="s">
        <v>3075</v>
      </c>
      <c r="F165" t="s">
        <v>3076</v>
      </c>
      <c r="G165" s="562">
        <v>655.56</v>
      </c>
      <c r="K165" s="562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2">
        <v>10000</v>
      </c>
      <c r="E166" t="s">
        <v>2693</v>
      </c>
      <c r="F166" t="s">
        <v>3079</v>
      </c>
      <c r="G166" s="562">
        <v>10000</v>
      </c>
      <c r="K166" s="562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2">
        <v>28636.36</v>
      </c>
      <c r="E167" t="s">
        <v>3001</v>
      </c>
      <c r="F167" t="s">
        <v>3082</v>
      </c>
      <c r="G167" s="562">
        <v>28636.36</v>
      </c>
      <c r="K167" s="562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2">
        <v>0</v>
      </c>
      <c r="E168" t="s">
        <v>3084</v>
      </c>
      <c r="F168" t="s">
        <v>2862</v>
      </c>
      <c r="G168" s="562">
        <v>17100</v>
      </c>
      <c r="K168" s="562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2">
        <v>4734.25</v>
      </c>
      <c r="E169" t="s">
        <v>2709</v>
      </c>
      <c r="F169" t="s">
        <v>3087</v>
      </c>
      <c r="G169" s="562">
        <v>4734.25</v>
      </c>
      <c r="K169" s="562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2">
        <v>1350</v>
      </c>
      <c r="E170" t="s">
        <v>1677</v>
      </c>
      <c r="F170" t="s">
        <v>3090</v>
      </c>
      <c r="G170" s="562">
        <v>1296</v>
      </c>
      <c r="K170" s="562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2">
        <v>750</v>
      </c>
      <c r="E171" t="s">
        <v>3093</v>
      </c>
      <c r="F171" t="s">
        <v>3094</v>
      </c>
      <c r="G171" s="562">
        <v>750</v>
      </c>
      <c r="K171" s="562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2">
        <v>750</v>
      </c>
      <c r="E172" t="s">
        <v>3097</v>
      </c>
      <c r="F172" t="s">
        <v>3094</v>
      </c>
      <c r="G172" s="562">
        <v>750</v>
      </c>
      <c r="K172" s="562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2">
        <v>750</v>
      </c>
      <c r="E173" t="s">
        <v>3100</v>
      </c>
      <c r="F173" t="s">
        <v>3094</v>
      </c>
      <c r="G173" s="562">
        <v>750</v>
      </c>
      <c r="K173" s="562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2">
        <v>0</v>
      </c>
      <c r="E174" t="s">
        <v>2894</v>
      </c>
      <c r="F174" t="s">
        <v>2897</v>
      </c>
      <c r="G174" s="562">
        <v>14250</v>
      </c>
      <c r="K174" s="562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2">
        <v>0</v>
      </c>
      <c r="E175" t="s">
        <v>2899</v>
      </c>
      <c r="F175" t="s">
        <v>2900</v>
      </c>
      <c r="G175" s="562">
        <v>1295</v>
      </c>
      <c r="K175" s="562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2">
        <v>0</v>
      </c>
      <c r="E176" t="s">
        <v>1680</v>
      </c>
      <c r="F176" t="s">
        <v>3104</v>
      </c>
      <c r="G176" s="562">
        <v>7041.43</v>
      </c>
      <c r="K176" s="562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2">
        <v>0</v>
      </c>
      <c r="E177" t="s">
        <v>3106</v>
      </c>
      <c r="F177" t="s">
        <v>3107</v>
      </c>
      <c r="G177" s="562">
        <v>19268.16</v>
      </c>
      <c r="K177" s="562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2">
        <v>0</v>
      </c>
      <c r="E178" t="s">
        <v>1684</v>
      </c>
      <c r="F178" t="s">
        <v>3109</v>
      </c>
      <c r="G178" s="562">
        <v>5606.65</v>
      </c>
      <c r="K178" s="562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2">
        <v>2073.09</v>
      </c>
      <c r="E179" t="s">
        <v>3112</v>
      </c>
      <c r="F179" t="s">
        <v>3113</v>
      </c>
      <c r="G179" s="562">
        <v>2073.09</v>
      </c>
      <c r="K179" s="562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2">
        <v>0</v>
      </c>
      <c r="E180" t="s">
        <v>3116</v>
      </c>
      <c r="F180" t="s">
        <v>3117</v>
      </c>
      <c r="G180" s="562">
        <v>0</v>
      </c>
      <c r="K180" s="562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2">
        <v>4194.7300000000005</v>
      </c>
      <c r="E181" t="s">
        <v>2761</v>
      </c>
      <c r="F181" t="s">
        <v>3120</v>
      </c>
      <c r="G181" s="562">
        <v>3599.8700000000003</v>
      </c>
      <c r="K181" s="562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2">
        <v>0</v>
      </c>
      <c r="E182" t="s">
        <v>1105</v>
      </c>
      <c r="F182" t="s">
        <v>3122</v>
      </c>
      <c r="G182" s="562">
        <v>424.62</v>
      </c>
      <c r="K182" s="562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2">
        <v>0</v>
      </c>
      <c r="E183" t="s">
        <v>1105</v>
      </c>
      <c r="F183" t="s">
        <v>3124</v>
      </c>
      <c r="G183" s="562">
        <v>170.24</v>
      </c>
      <c r="K183" s="562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2">
        <v>0</v>
      </c>
      <c r="E184" t="s">
        <v>2949</v>
      </c>
      <c r="F184" t="s">
        <v>3126</v>
      </c>
      <c r="G184" s="562">
        <v>17032.63</v>
      </c>
      <c r="K184" s="562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2">
        <v>36158</v>
      </c>
      <c r="E185" t="s">
        <v>843</v>
      </c>
      <c r="F185" t="s">
        <v>3129</v>
      </c>
      <c r="G185" s="562">
        <v>35658</v>
      </c>
      <c r="K185" s="562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2">
        <v>1046300</v>
      </c>
      <c r="E186" t="s">
        <v>1682</v>
      </c>
      <c r="F186" t="s">
        <v>3132</v>
      </c>
      <c r="G186" s="562">
        <v>1046300</v>
      </c>
      <c r="K186" s="562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2">
        <v>535050</v>
      </c>
      <c r="E187" t="s">
        <v>820</v>
      </c>
      <c r="F187" t="s">
        <v>3132</v>
      </c>
      <c r="G187" s="562">
        <v>535050</v>
      </c>
      <c r="K187" s="562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2">
        <v>963500</v>
      </c>
      <c r="E188" t="s">
        <v>821</v>
      </c>
      <c r="F188" t="s">
        <v>3132</v>
      </c>
      <c r="G188" s="562">
        <v>963500</v>
      </c>
      <c r="K188" s="562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2">
        <v>870350</v>
      </c>
      <c r="E189" t="s">
        <v>822</v>
      </c>
      <c r="F189" t="s">
        <v>3132</v>
      </c>
      <c r="G189" s="562">
        <v>870350</v>
      </c>
      <c r="K189" s="562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2">
        <v>815900</v>
      </c>
      <c r="E190" t="s">
        <v>823</v>
      </c>
      <c r="F190" t="s">
        <v>3132</v>
      </c>
      <c r="G190" s="562">
        <v>815900</v>
      </c>
      <c r="K190" s="562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2">
        <v>0</v>
      </c>
      <c r="E191" t="s">
        <v>2885</v>
      </c>
      <c r="F191" t="s">
        <v>2886</v>
      </c>
      <c r="G191" s="562">
        <v>7680</v>
      </c>
      <c r="K191" s="562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2">
        <v>0</v>
      </c>
      <c r="E192" t="s">
        <v>3143</v>
      </c>
      <c r="F192" t="s">
        <v>3144</v>
      </c>
      <c r="G192" s="562">
        <v>10000</v>
      </c>
      <c r="K192" s="562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2">
        <v>0</v>
      </c>
      <c r="E193" t="s">
        <v>2720</v>
      </c>
      <c r="F193" t="s">
        <v>2852</v>
      </c>
      <c r="G193" s="562">
        <v>1125</v>
      </c>
      <c r="K193" s="562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2">
        <v>62014.22</v>
      </c>
      <c r="E194" t="s">
        <v>10</v>
      </c>
      <c r="F194" t="s">
        <v>3148</v>
      </c>
      <c r="G194" s="562">
        <v>49219.630000000005</v>
      </c>
      <c r="K194" s="562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2">
        <v>17167.73</v>
      </c>
      <c r="E195" t="s">
        <v>3151</v>
      </c>
      <c r="F195" t="s">
        <v>3148</v>
      </c>
      <c r="G195" s="562">
        <v>13654.27</v>
      </c>
      <c r="K195" s="562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2">
        <v>17698.68</v>
      </c>
      <c r="E196" t="s">
        <v>777</v>
      </c>
      <c r="F196" t="s">
        <v>3148</v>
      </c>
      <c r="G196" s="562">
        <v>13997.75</v>
      </c>
      <c r="K196" s="562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2">
        <v>18167.440000000002</v>
      </c>
      <c r="E197" t="s">
        <v>764</v>
      </c>
      <c r="F197" t="s">
        <v>3148</v>
      </c>
      <c r="G197" s="562">
        <v>14367.369999999999</v>
      </c>
      <c r="K197" s="562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2">
        <v>21594.01</v>
      </c>
      <c r="E198" t="s">
        <v>768</v>
      </c>
      <c r="F198" t="s">
        <v>3148</v>
      </c>
      <c r="G198" s="562">
        <v>17130.28</v>
      </c>
      <c r="K198" s="562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2">
        <v>12904.51</v>
      </c>
      <c r="E199" t="s">
        <v>765</v>
      </c>
      <c r="F199" t="s">
        <v>3148</v>
      </c>
      <c r="G199" s="562">
        <v>10233.43</v>
      </c>
      <c r="K199" s="562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2">
        <v>1200</v>
      </c>
      <c r="E200" t="s">
        <v>3162</v>
      </c>
      <c r="F200" t="s">
        <v>3163</v>
      </c>
      <c r="G200" s="562">
        <v>1125</v>
      </c>
      <c r="K200" s="562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2">
        <v>8885.08</v>
      </c>
      <c r="E201" t="s">
        <v>1105</v>
      </c>
      <c r="F201" t="s">
        <v>3166</v>
      </c>
      <c r="G201" s="562">
        <v>8885.08</v>
      </c>
      <c r="K201" s="562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2">
        <v>2400</v>
      </c>
      <c r="E202" t="s">
        <v>3162</v>
      </c>
      <c r="F202" t="s">
        <v>3169</v>
      </c>
      <c r="G202" s="562">
        <v>2250</v>
      </c>
      <c r="K202" s="562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2">
        <v>10600</v>
      </c>
      <c r="E203" t="s">
        <v>2746</v>
      </c>
      <c r="F203" t="s">
        <v>3172</v>
      </c>
      <c r="G203" s="562">
        <v>9937.5</v>
      </c>
      <c r="K203" s="562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2">
        <v>2049964.0999999999</v>
      </c>
      <c r="E204" t="s">
        <v>10</v>
      </c>
      <c r="F204" t="s">
        <v>3175</v>
      </c>
      <c r="G204" s="562">
        <v>380927.66</v>
      </c>
      <c r="K204" s="562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2">
        <v>429402.37</v>
      </c>
      <c r="E205" t="s">
        <v>777</v>
      </c>
      <c r="F205" t="s">
        <v>3175</v>
      </c>
      <c r="G205" s="562">
        <v>102762.6</v>
      </c>
      <c r="K205" s="562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2">
        <v>389716.8</v>
      </c>
      <c r="E206" t="s">
        <v>765</v>
      </c>
      <c r="F206" t="s">
        <v>3175</v>
      </c>
      <c r="G206" s="562">
        <v>95341.3</v>
      </c>
      <c r="K206" s="562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2">
        <v>457.27</v>
      </c>
      <c r="E207" t="s">
        <v>2923</v>
      </c>
      <c r="F207" t="s">
        <v>3182</v>
      </c>
      <c r="G207" s="562">
        <v>416.38</v>
      </c>
      <c r="K207" s="562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2">
        <v>258.18</v>
      </c>
      <c r="E208" t="s">
        <v>3185</v>
      </c>
      <c r="F208" t="s">
        <v>3182</v>
      </c>
      <c r="G208" s="562">
        <v>235.09</v>
      </c>
      <c r="K208" s="562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2">
        <v>614.54999999999995</v>
      </c>
      <c r="E209" t="s">
        <v>1761</v>
      </c>
      <c r="F209" t="s">
        <v>3182</v>
      </c>
      <c r="G209" s="562">
        <v>559.6</v>
      </c>
      <c r="K209" s="562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2">
        <v>105049.54</v>
      </c>
      <c r="E210" t="s">
        <v>3001</v>
      </c>
      <c r="F210" t="s">
        <v>3190</v>
      </c>
      <c r="G210" s="562">
        <v>84139.95</v>
      </c>
      <c r="K210" s="562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2">
        <v>40307.629999999997</v>
      </c>
      <c r="E211" t="s">
        <v>1757</v>
      </c>
      <c r="F211" t="s">
        <v>3175</v>
      </c>
      <c r="G211" s="562">
        <v>14179.18</v>
      </c>
      <c r="K211" s="562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2">
        <v>51777.93</v>
      </c>
      <c r="E212" t="s">
        <v>3195</v>
      </c>
      <c r="F212" t="s">
        <v>3175</v>
      </c>
      <c r="G212" s="562">
        <v>13134.87</v>
      </c>
      <c r="K212" s="562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2">
        <v>470812.07</v>
      </c>
      <c r="E213" t="s">
        <v>764</v>
      </c>
      <c r="F213" t="s">
        <v>3175</v>
      </c>
      <c r="G213" s="562">
        <v>83314.61</v>
      </c>
      <c r="K213" s="562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2">
        <v>40307.629999999997</v>
      </c>
      <c r="E214" t="s">
        <v>2962</v>
      </c>
      <c r="F214" t="s">
        <v>3175</v>
      </c>
      <c r="G214" s="562">
        <v>14989.19</v>
      </c>
      <c r="K214" s="562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2">
        <v>92085.57</v>
      </c>
      <c r="E215" t="s">
        <v>768</v>
      </c>
      <c r="F215" t="s">
        <v>3175</v>
      </c>
      <c r="G215" s="562">
        <v>30522.880000000001</v>
      </c>
      <c r="K215" s="562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2">
        <v>688368.09</v>
      </c>
      <c r="E216" t="s">
        <v>768</v>
      </c>
      <c r="F216" t="s">
        <v>3175</v>
      </c>
      <c r="G216" s="562">
        <v>145801.79</v>
      </c>
      <c r="K216" s="562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2">
        <v>666486.65999999992</v>
      </c>
      <c r="E217" t="s">
        <v>3151</v>
      </c>
      <c r="F217" t="s">
        <v>3175</v>
      </c>
      <c r="G217" s="562">
        <v>99408.34</v>
      </c>
      <c r="K217" s="562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2">
        <v>92085.57</v>
      </c>
      <c r="E218" t="s">
        <v>3151</v>
      </c>
      <c r="F218" t="s">
        <v>3175</v>
      </c>
      <c r="G218" s="562">
        <v>26940.43</v>
      </c>
      <c r="K218" s="562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2">
        <v>40307.629999999997</v>
      </c>
      <c r="E219" t="s">
        <v>1756</v>
      </c>
      <c r="F219" t="s">
        <v>3175</v>
      </c>
      <c r="G219" s="562">
        <v>9184.18</v>
      </c>
      <c r="K219" s="562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2">
        <v>0</v>
      </c>
      <c r="E220" t="s">
        <v>2799</v>
      </c>
      <c r="F220" t="s">
        <v>2793</v>
      </c>
      <c r="G220" s="562">
        <v>950</v>
      </c>
      <c r="K220" s="562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2">
        <v>13614.41</v>
      </c>
      <c r="E221" t="s">
        <v>3213</v>
      </c>
      <c r="F221" t="s">
        <v>3214</v>
      </c>
      <c r="G221" s="562">
        <v>9913.64</v>
      </c>
      <c r="K221" s="562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2">
        <v>13614.41</v>
      </c>
      <c r="E222" t="s">
        <v>3217</v>
      </c>
      <c r="F222" t="s">
        <v>3214</v>
      </c>
      <c r="G222" s="562">
        <v>9913.64</v>
      </c>
      <c r="K222" s="562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2">
        <v>13614.41</v>
      </c>
      <c r="E223" t="s">
        <v>3220</v>
      </c>
      <c r="F223" t="s">
        <v>3214</v>
      </c>
      <c r="G223" s="562">
        <v>9913.64</v>
      </c>
      <c r="K223" s="562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2">
        <v>13614.41</v>
      </c>
      <c r="E224" t="s">
        <v>3223</v>
      </c>
      <c r="F224" t="s">
        <v>3214</v>
      </c>
      <c r="G224" s="562">
        <v>9913.64</v>
      </c>
      <c r="K224" s="562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2">
        <v>13614.41</v>
      </c>
      <c r="E225" t="s">
        <v>3226</v>
      </c>
      <c r="F225" t="s">
        <v>3214</v>
      </c>
      <c r="G225" s="562">
        <v>9913.64</v>
      </c>
      <c r="K225" s="562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2">
        <v>29300.399999999998</v>
      </c>
      <c r="E226" t="s">
        <v>3213</v>
      </c>
      <c r="F226" t="s">
        <v>3229</v>
      </c>
      <c r="G226" s="562">
        <v>11559.96</v>
      </c>
      <c r="K226" s="562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2">
        <v>0</v>
      </c>
      <c r="E227" t="s">
        <v>2994</v>
      </c>
      <c r="F227" t="s">
        <v>3231</v>
      </c>
      <c r="G227" s="562">
        <v>177751.92</v>
      </c>
      <c r="K227" s="562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2">
        <v>0</v>
      </c>
      <c r="E228" t="s">
        <v>3234</v>
      </c>
      <c r="F228" t="s">
        <v>3235</v>
      </c>
      <c r="G228" s="562">
        <v>0</v>
      </c>
      <c r="K228" s="562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2">
        <v>640000</v>
      </c>
      <c r="E229" t="s">
        <v>820</v>
      </c>
      <c r="F229" t="s">
        <v>3235</v>
      </c>
      <c r="G229" s="562">
        <v>640000</v>
      </c>
      <c r="K229" s="562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2">
        <v>0</v>
      </c>
      <c r="E230" t="s">
        <v>821</v>
      </c>
      <c r="F230" t="s">
        <v>3235</v>
      </c>
      <c r="G230" s="562">
        <v>0</v>
      </c>
      <c r="K230" s="562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2">
        <v>0</v>
      </c>
      <c r="E231" t="s">
        <v>822</v>
      </c>
      <c r="F231" t="s">
        <v>3235</v>
      </c>
      <c r="G231" s="562">
        <v>0</v>
      </c>
      <c r="K231" s="562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2">
        <v>0</v>
      </c>
      <c r="E232" t="s">
        <v>823</v>
      </c>
      <c r="F232" t="s">
        <v>3235</v>
      </c>
      <c r="G232" s="562">
        <v>0</v>
      </c>
      <c r="K232" s="562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2">
        <v>144603.29</v>
      </c>
      <c r="E233" t="s">
        <v>3001</v>
      </c>
      <c r="F233" t="s">
        <v>3246</v>
      </c>
      <c r="G233" s="562">
        <v>144603.29</v>
      </c>
      <c r="K233" s="562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2">
        <v>170501.47</v>
      </c>
      <c r="E234" t="s">
        <v>2844</v>
      </c>
      <c r="F234" t="s">
        <v>3249</v>
      </c>
      <c r="G234" s="562">
        <v>155278.13</v>
      </c>
      <c r="K234" s="562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2">
        <v>11500</v>
      </c>
      <c r="E235" t="s">
        <v>3252</v>
      </c>
      <c r="F235" t="s">
        <v>3253</v>
      </c>
      <c r="G235" s="562">
        <v>10473.219999999999</v>
      </c>
      <c r="K235" s="562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2">
        <v>28839.81</v>
      </c>
      <c r="E236" t="s">
        <v>3256</v>
      </c>
      <c r="F236" t="s">
        <v>3257</v>
      </c>
      <c r="G236" s="562">
        <v>27037.32</v>
      </c>
      <c r="K236" s="562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2">
        <v>18000</v>
      </c>
      <c r="E237" t="s">
        <v>3256</v>
      </c>
      <c r="F237" t="s">
        <v>3260</v>
      </c>
      <c r="G237" s="562">
        <v>16875</v>
      </c>
      <c r="K237" s="562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2">
        <v>560</v>
      </c>
      <c r="E238" t="s">
        <v>3256</v>
      </c>
      <c r="F238" t="s">
        <v>3263</v>
      </c>
      <c r="G238" s="562">
        <v>525</v>
      </c>
      <c r="K238" s="562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2">
        <v>918.4</v>
      </c>
      <c r="E239" t="s">
        <v>3256</v>
      </c>
      <c r="F239" t="s">
        <v>3266</v>
      </c>
      <c r="G239" s="562">
        <v>861</v>
      </c>
      <c r="K239" s="562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2">
        <v>14000</v>
      </c>
      <c r="E240" t="s">
        <v>3269</v>
      </c>
      <c r="F240" t="s">
        <v>3270</v>
      </c>
      <c r="G240" s="562">
        <v>13125</v>
      </c>
      <c r="K240" s="562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2">
        <v>8774</v>
      </c>
      <c r="E241" t="s">
        <v>3273</v>
      </c>
      <c r="F241" t="s">
        <v>3274</v>
      </c>
      <c r="G241" s="562">
        <v>8225.6200000000008</v>
      </c>
      <c r="K241" s="562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2">
        <v>2850</v>
      </c>
      <c r="E242" t="s">
        <v>3100</v>
      </c>
      <c r="F242" t="s">
        <v>3277</v>
      </c>
      <c r="G242" s="562">
        <v>2850</v>
      </c>
      <c r="K242" s="562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2">
        <v>500</v>
      </c>
      <c r="E243" t="s">
        <v>3100</v>
      </c>
      <c r="F243" t="s">
        <v>3280</v>
      </c>
      <c r="G243" s="562">
        <v>500</v>
      </c>
      <c r="K243" s="562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2">
        <v>22320</v>
      </c>
      <c r="E244" t="s">
        <v>1680</v>
      </c>
      <c r="F244" t="s">
        <v>3283</v>
      </c>
      <c r="G244" s="562">
        <v>21124.28</v>
      </c>
      <c r="K244" s="562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2">
        <v>0</v>
      </c>
      <c r="E245" t="s">
        <v>2971</v>
      </c>
      <c r="F245" t="s">
        <v>3285</v>
      </c>
      <c r="G245" s="562">
        <v>17967.22</v>
      </c>
      <c r="K245" s="562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2">
        <v>0</v>
      </c>
      <c r="E246" t="s">
        <v>2746</v>
      </c>
      <c r="F246" t="s">
        <v>2747</v>
      </c>
      <c r="G246" s="562">
        <v>11625</v>
      </c>
      <c r="K246" s="562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2">
        <v>0</v>
      </c>
      <c r="E247" t="s">
        <v>3288</v>
      </c>
      <c r="F247" t="s">
        <v>3289</v>
      </c>
      <c r="G247" s="562">
        <v>37508.5</v>
      </c>
      <c r="K247" s="562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2">
        <v>25000</v>
      </c>
      <c r="E248" t="s">
        <v>3292</v>
      </c>
      <c r="F248" t="s">
        <v>3293</v>
      </c>
      <c r="G248" s="562">
        <v>23437.5</v>
      </c>
      <c r="K248" s="562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2">
        <v>1990</v>
      </c>
      <c r="E249" t="s">
        <v>3296</v>
      </c>
      <c r="F249" t="s">
        <v>3297</v>
      </c>
      <c r="G249" s="562">
        <v>1883.39</v>
      </c>
      <c r="K249" s="562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2">
        <v>0</v>
      </c>
      <c r="E250" t="s">
        <v>3299</v>
      </c>
      <c r="F250" t="s">
        <v>3300</v>
      </c>
      <c r="G250" s="562">
        <v>10735</v>
      </c>
      <c r="K250" s="562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2">
        <v>119889.07</v>
      </c>
      <c r="E251" t="s">
        <v>3001</v>
      </c>
      <c r="F251" t="s">
        <v>3246</v>
      </c>
      <c r="G251" s="562">
        <v>119889.07</v>
      </c>
      <c r="K251" s="562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2">
        <v>83142.720000000001</v>
      </c>
      <c r="E252" t="s">
        <v>3001</v>
      </c>
      <c r="F252" t="s">
        <v>3246</v>
      </c>
      <c r="G252" s="562">
        <v>83142.720000000001</v>
      </c>
      <c r="K252" s="562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2">
        <v>106531.33</v>
      </c>
      <c r="E253" t="s">
        <v>3001</v>
      </c>
      <c r="F253" t="s">
        <v>3246</v>
      </c>
      <c r="G253" s="562">
        <v>106531.33</v>
      </c>
      <c r="K253" s="562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2">
        <v>135125</v>
      </c>
      <c r="E254" t="s">
        <v>820</v>
      </c>
      <c r="F254" t="s">
        <v>3309</v>
      </c>
      <c r="G254" s="562">
        <v>135125</v>
      </c>
      <c r="K254" s="562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2">
        <v>80335.709999999992</v>
      </c>
      <c r="E255" t="s">
        <v>3312</v>
      </c>
      <c r="F255" t="s">
        <v>3313</v>
      </c>
      <c r="G255" s="562">
        <v>80335.710000000006</v>
      </c>
      <c r="K255" s="562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2">
        <v>31356</v>
      </c>
      <c r="E256" t="s">
        <v>820</v>
      </c>
      <c r="F256" t="s">
        <v>3316</v>
      </c>
      <c r="G256" s="562">
        <v>31356</v>
      </c>
      <c r="K256" s="562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2">
        <v>100000</v>
      </c>
      <c r="E257" t="s">
        <v>1540</v>
      </c>
      <c r="F257" t="s">
        <v>3309</v>
      </c>
      <c r="G257" s="562">
        <v>100000</v>
      </c>
      <c r="K257" s="562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2">
        <v>0</v>
      </c>
      <c r="E258" t="s">
        <v>10</v>
      </c>
      <c r="F258" t="s">
        <v>3320</v>
      </c>
      <c r="G258" s="562">
        <v>380927.53</v>
      </c>
      <c r="K258" s="562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2">
        <v>0</v>
      </c>
      <c r="E259" t="s">
        <v>10</v>
      </c>
      <c r="F259" t="s">
        <v>3322</v>
      </c>
      <c r="G259" s="562">
        <v>3900</v>
      </c>
      <c r="K259" s="562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2">
        <v>0</v>
      </c>
      <c r="E260" t="s">
        <v>3151</v>
      </c>
      <c r="F260" t="s">
        <v>3320</v>
      </c>
      <c r="G260" s="562">
        <v>99285.77</v>
      </c>
      <c r="K260" s="562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2">
        <v>0</v>
      </c>
      <c r="E261" t="s">
        <v>777</v>
      </c>
      <c r="F261" t="s">
        <v>3320</v>
      </c>
      <c r="G261" s="562">
        <v>102762.55</v>
      </c>
      <c r="K261" s="562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2">
        <v>0</v>
      </c>
      <c r="E262" t="s">
        <v>764</v>
      </c>
      <c r="F262" t="s">
        <v>3320</v>
      </c>
      <c r="G262" s="562">
        <v>82214.570000000007</v>
      </c>
      <c r="K262" s="562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2">
        <v>0</v>
      </c>
      <c r="E263" t="s">
        <v>768</v>
      </c>
      <c r="F263" t="s">
        <v>3320</v>
      </c>
      <c r="G263" s="562">
        <v>145801.79</v>
      </c>
      <c r="K263" s="562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2">
        <v>0</v>
      </c>
      <c r="E264" t="s">
        <v>765</v>
      </c>
      <c r="F264" t="s">
        <v>3320</v>
      </c>
      <c r="G264" s="562">
        <v>95341.34</v>
      </c>
      <c r="K264" s="562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2">
        <v>0</v>
      </c>
      <c r="E265" t="s">
        <v>3195</v>
      </c>
      <c r="F265" t="s">
        <v>3329</v>
      </c>
      <c r="G265" s="562">
        <v>13134.87</v>
      </c>
      <c r="K265" s="562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2">
        <v>0</v>
      </c>
      <c r="E266" t="s">
        <v>2834</v>
      </c>
      <c r="F266" t="s">
        <v>3329</v>
      </c>
      <c r="G266" s="562">
        <v>26940.44</v>
      </c>
      <c r="K266" s="562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2">
        <v>0</v>
      </c>
      <c r="E267" t="s">
        <v>2962</v>
      </c>
      <c r="F267" t="s">
        <v>3329</v>
      </c>
      <c r="G267" s="562">
        <v>14989.18</v>
      </c>
      <c r="K267" s="562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2">
        <v>0</v>
      </c>
      <c r="E268" t="s">
        <v>1756</v>
      </c>
      <c r="F268" t="s">
        <v>3329</v>
      </c>
      <c r="G268" s="562">
        <v>8584.19</v>
      </c>
      <c r="K268" s="562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2">
        <v>0</v>
      </c>
      <c r="E269" t="s">
        <v>768</v>
      </c>
      <c r="F269" t="s">
        <v>3329</v>
      </c>
      <c r="G269" s="562">
        <v>30522.87</v>
      </c>
      <c r="K269" s="562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2">
        <v>0</v>
      </c>
      <c r="E270" t="s">
        <v>1757</v>
      </c>
      <c r="F270" t="s">
        <v>3329</v>
      </c>
      <c r="G270" s="562">
        <v>14179.19</v>
      </c>
      <c r="K270" s="562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2">
        <v>0</v>
      </c>
      <c r="E271" t="s">
        <v>3195</v>
      </c>
      <c r="F271" t="s">
        <v>3336</v>
      </c>
      <c r="G271" s="562">
        <v>1744.26</v>
      </c>
      <c r="K271" s="562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2">
        <v>0</v>
      </c>
      <c r="E272" t="s">
        <v>1105</v>
      </c>
      <c r="F272" t="s">
        <v>3338</v>
      </c>
      <c r="G272" s="562">
        <v>0</v>
      </c>
      <c r="K272" s="562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2">
        <v>0</v>
      </c>
      <c r="E273" t="s">
        <v>1105</v>
      </c>
      <c r="F273" t="s">
        <v>3340</v>
      </c>
      <c r="G273" s="562">
        <v>91461.27</v>
      </c>
      <c r="K273" s="562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2">
        <v>0</v>
      </c>
      <c r="E274" t="s">
        <v>1759</v>
      </c>
      <c r="F274" t="s">
        <v>3342</v>
      </c>
      <c r="G274" s="562">
        <v>4845.12</v>
      </c>
      <c r="K274" s="562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2">
        <v>0</v>
      </c>
      <c r="E275" t="s">
        <v>1679</v>
      </c>
      <c r="F275" t="s">
        <v>2995</v>
      </c>
      <c r="G275" s="562">
        <v>8967.5400000000009</v>
      </c>
      <c r="K275" s="562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2">
        <v>0</v>
      </c>
      <c r="E276" t="s">
        <v>2933</v>
      </c>
      <c r="F276" t="s">
        <v>3345</v>
      </c>
      <c r="G276" s="562">
        <v>800</v>
      </c>
      <c r="K276" s="562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2">
        <v>0</v>
      </c>
      <c r="E277" t="s">
        <v>3347</v>
      </c>
      <c r="F277" t="s">
        <v>3348</v>
      </c>
      <c r="G277" s="562">
        <v>300</v>
      </c>
      <c r="K277" s="562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2">
        <v>0</v>
      </c>
      <c r="E278" t="s">
        <v>3350</v>
      </c>
      <c r="F278" t="s">
        <v>2995</v>
      </c>
      <c r="G278" s="562">
        <v>4640</v>
      </c>
      <c r="K278" s="562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2">
        <v>0</v>
      </c>
      <c r="E279" t="s">
        <v>1690</v>
      </c>
      <c r="F279" t="s">
        <v>3352</v>
      </c>
      <c r="G279" s="562">
        <v>1030</v>
      </c>
      <c r="K279" s="562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2">
        <v>0</v>
      </c>
      <c r="E280" t="s">
        <v>3354</v>
      </c>
      <c r="F280" t="s">
        <v>3355</v>
      </c>
      <c r="G280" s="562">
        <v>4500</v>
      </c>
      <c r="K280" s="562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2">
        <v>0</v>
      </c>
      <c r="E281" t="s">
        <v>1757</v>
      </c>
      <c r="F281" t="s">
        <v>3357</v>
      </c>
      <c r="G281" s="562">
        <v>120</v>
      </c>
      <c r="K281" s="562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2">
        <v>0</v>
      </c>
      <c r="E282" t="s">
        <v>3112</v>
      </c>
      <c r="F282" t="s">
        <v>3360</v>
      </c>
      <c r="G282" s="562">
        <v>0</v>
      </c>
      <c r="K282" s="562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2">
        <v>10000</v>
      </c>
      <c r="E283" t="s">
        <v>3363</v>
      </c>
      <c r="F283" t="s">
        <v>3364</v>
      </c>
      <c r="G283" s="562">
        <v>9000</v>
      </c>
      <c r="K283" s="562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2">
        <v>10790</v>
      </c>
      <c r="E284" t="s">
        <v>1075</v>
      </c>
      <c r="F284" t="s">
        <v>3364</v>
      </c>
      <c r="G284" s="562">
        <v>10790</v>
      </c>
      <c r="K284" s="562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2">
        <v>12352.18</v>
      </c>
      <c r="E285" t="s">
        <v>1075</v>
      </c>
      <c r="F285" t="s">
        <v>3364</v>
      </c>
      <c r="G285" s="562">
        <v>11852.18</v>
      </c>
      <c r="K285" s="562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2">
        <v>23474</v>
      </c>
      <c r="E286" t="s">
        <v>1075</v>
      </c>
      <c r="F286" t="s">
        <v>3364</v>
      </c>
      <c r="G286" s="562">
        <v>23474</v>
      </c>
      <c r="K286" s="562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2">
        <v>27256.91</v>
      </c>
      <c r="E287" t="s">
        <v>1075</v>
      </c>
      <c r="F287" t="s">
        <v>3364</v>
      </c>
      <c r="G287" s="562">
        <v>21473.58</v>
      </c>
      <c r="K287" s="562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2">
        <v>7321.62</v>
      </c>
      <c r="E288" t="s">
        <v>3375</v>
      </c>
      <c r="F288" t="s">
        <v>3376</v>
      </c>
      <c r="G288" s="562">
        <v>7321.62</v>
      </c>
      <c r="K288" s="562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2">
        <v>0</v>
      </c>
      <c r="E289" t="s">
        <v>2994</v>
      </c>
      <c r="F289" t="s">
        <v>3378</v>
      </c>
      <c r="G289" s="562">
        <v>0</v>
      </c>
      <c r="K289" s="562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2">
        <v>0</v>
      </c>
      <c r="E290" t="s">
        <v>3381</v>
      </c>
      <c r="F290" t="s">
        <v>3382</v>
      </c>
      <c r="G290" s="562">
        <v>0</v>
      </c>
      <c r="K290" s="562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2">
        <v>0</v>
      </c>
      <c r="E291" t="s">
        <v>3162</v>
      </c>
      <c r="F291" t="s">
        <v>3385</v>
      </c>
      <c r="G291" s="562">
        <v>0</v>
      </c>
      <c r="K291" s="562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2">
        <v>0</v>
      </c>
      <c r="E292" t="s">
        <v>2939</v>
      </c>
      <c r="F292" t="s">
        <v>3387</v>
      </c>
      <c r="G292" s="562">
        <v>0</v>
      </c>
      <c r="K292" s="562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2">
        <v>0</v>
      </c>
      <c r="E293" t="s">
        <v>1690</v>
      </c>
      <c r="F293" t="s">
        <v>3231</v>
      </c>
      <c r="G293" s="562">
        <v>0</v>
      </c>
      <c r="K293" s="562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2">
        <v>0</v>
      </c>
      <c r="E294" t="s">
        <v>3390</v>
      </c>
      <c r="F294" t="s">
        <v>3391</v>
      </c>
      <c r="G294" s="562">
        <v>46237.5</v>
      </c>
      <c r="K294" s="562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2">
        <v>0</v>
      </c>
      <c r="E295" t="s">
        <v>3393</v>
      </c>
      <c r="F295" t="s">
        <v>3394</v>
      </c>
      <c r="G295" s="562">
        <v>3750</v>
      </c>
      <c r="K295" s="562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2">
        <v>0</v>
      </c>
      <c r="E296" t="s">
        <v>3396</v>
      </c>
      <c r="F296" t="s">
        <v>3397</v>
      </c>
      <c r="G296" s="562">
        <v>3217.58</v>
      </c>
      <c r="K296" s="562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2">
        <v>0</v>
      </c>
      <c r="E297" t="s">
        <v>1105</v>
      </c>
      <c r="F297" t="s">
        <v>3399</v>
      </c>
      <c r="G297" s="562">
        <v>27726.3</v>
      </c>
      <c r="K297" s="562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2">
        <v>0</v>
      </c>
      <c r="E298" t="s">
        <v>3396</v>
      </c>
      <c r="F298" t="s">
        <v>3401</v>
      </c>
      <c r="G298" s="562">
        <v>103430.25</v>
      </c>
      <c r="K298" s="562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2">
        <v>0</v>
      </c>
      <c r="E299" t="s">
        <v>3403</v>
      </c>
      <c r="F299" t="s">
        <v>3404</v>
      </c>
      <c r="G299" s="562">
        <v>4000.04</v>
      </c>
      <c r="K299" s="562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2">
        <v>0</v>
      </c>
      <c r="E300" t="s">
        <v>3217</v>
      </c>
      <c r="F300" t="s">
        <v>3406</v>
      </c>
      <c r="G300" s="562">
        <v>11559.96</v>
      </c>
      <c r="K300" s="562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2">
        <v>0</v>
      </c>
      <c r="E301" t="s">
        <v>3213</v>
      </c>
      <c r="F301" t="s">
        <v>3408</v>
      </c>
      <c r="G301" s="562">
        <v>11559.96</v>
      </c>
      <c r="K301" s="562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2">
        <v>4032</v>
      </c>
      <c r="E302" t="s">
        <v>2775</v>
      </c>
      <c r="F302" t="s">
        <v>3411</v>
      </c>
      <c r="G302" s="562">
        <v>3816</v>
      </c>
      <c r="K302" s="562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2">
        <v>0</v>
      </c>
      <c r="E303" t="s">
        <v>3413</v>
      </c>
      <c r="F303" t="s">
        <v>3414</v>
      </c>
      <c r="G303" s="562">
        <v>2395.17</v>
      </c>
      <c r="K303" s="562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2">
        <v>0</v>
      </c>
      <c r="E304" t="s">
        <v>1664</v>
      </c>
      <c r="F304" t="s">
        <v>3416</v>
      </c>
      <c r="G304" s="562">
        <v>1680166.27</v>
      </c>
      <c r="K304" s="562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2">
        <v>0</v>
      </c>
      <c r="E305" t="s">
        <v>3418</v>
      </c>
      <c r="F305" t="s">
        <v>3419</v>
      </c>
      <c r="G305" s="562">
        <v>1200</v>
      </c>
      <c r="K305" s="562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2">
        <v>0</v>
      </c>
      <c r="E306" t="s">
        <v>3418</v>
      </c>
      <c r="F306" t="s">
        <v>3421</v>
      </c>
      <c r="G306" s="562">
        <v>27440</v>
      </c>
      <c r="K306" s="562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2">
        <v>0</v>
      </c>
      <c r="E307" t="s">
        <v>3396</v>
      </c>
      <c r="F307" t="s">
        <v>3423</v>
      </c>
      <c r="G307" s="562">
        <v>1255.3</v>
      </c>
      <c r="K307" s="562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2">
        <v>0</v>
      </c>
      <c r="E308" t="s">
        <v>1105</v>
      </c>
      <c r="F308" t="s">
        <v>3425</v>
      </c>
      <c r="G308" s="562">
        <v>19423.169999999998</v>
      </c>
      <c r="K308" s="562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2">
        <v>0</v>
      </c>
      <c r="E309" t="s">
        <v>1690</v>
      </c>
      <c r="F309" t="s">
        <v>3231</v>
      </c>
      <c r="G309" s="562">
        <v>54327.25</v>
      </c>
      <c r="K309" s="562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2">
        <v>0</v>
      </c>
      <c r="E310" t="s">
        <v>2939</v>
      </c>
      <c r="F310" t="s">
        <v>3387</v>
      </c>
      <c r="G310" s="562">
        <v>903</v>
      </c>
      <c r="K310" s="562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2">
        <v>0</v>
      </c>
      <c r="E311" t="s">
        <v>1759</v>
      </c>
      <c r="F311" t="s">
        <v>3429</v>
      </c>
      <c r="G311" s="562">
        <v>1000</v>
      </c>
      <c r="K311" s="562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2">
        <v>0</v>
      </c>
      <c r="E312" t="s">
        <v>3396</v>
      </c>
      <c r="F312" t="s">
        <v>3431</v>
      </c>
      <c r="G312" s="562">
        <v>3581.55</v>
      </c>
      <c r="K312" s="562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2">
        <v>0</v>
      </c>
      <c r="E313" t="s">
        <v>1105</v>
      </c>
      <c r="F313" t="s">
        <v>3433</v>
      </c>
      <c r="G313" s="562">
        <v>11322.3</v>
      </c>
      <c r="K313" s="562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2">
        <v>0</v>
      </c>
      <c r="E314" t="s">
        <v>3005</v>
      </c>
      <c r="F314" t="s">
        <v>3435</v>
      </c>
      <c r="G314" s="562">
        <v>850</v>
      </c>
      <c r="K314" s="562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2">
        <v>0</v>
      </c>
      <c r="E315" t="s">
        <v>3437</v>
      </c>
      <c r="F315" t="s">
        <v>3438</v>
      </c>
      <c r="G315" s="562">
        <v>250</v>
      </c>
      <c r="K315" s="562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2">
        <v>0</v>
      </c>
      <c r="E316" t="s">
        <v>3440</v>
      </c>
      <c r="F316" t="s">
        <v>3441</v>
      </c>
      <c r="G316" s="562">
        <v>1000</v>
      </c>
      <c r="K316" s="562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2">
        <v>0</v>
      </c>
      <c r="E317" t="s">
        <v>1759</v>
      </c>
      <c r="F317" t="s">
        <v>3443</v>
      </c>
      <c r="G317" s="562">
        <v>202411.41</v>
      </c>
      <c r="K317" s="562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2">
        <v>29300.399999999998</v>
      </c>
      <c r="E318" t="s">
        <v>3220</v>
      </c>
      <c r="F318" t="s">
        <v>3446</v>
      </c>
      <c r="G318" s="562">
        <v>23119.919999999998</v>
      </c>
      <c r="K318" s="562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2">
        <v>29300.399999999998</v>
      </c>
      <c r="E319" t="s">
        <v>3223</v>
      </c>
      <c r="F319" t="s">
        <v>3446</v>
      </c>
      <c r="G319" s="562">
        <v>23119.919999999998</v>
      </c>
      <c r="K319" s="562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2">
        <v>9170</v>
      </c>
      <c r="E320" t="s">
        <v>3451</v>
      </c>
      <c r="F320" t="s">
        <v>3452</v>
      </c>
      <c r="G320" s="562">
        <v>9170</v>
      </c>
      <c r="K320" s="562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2">
        <v>29300.399999999998</v>
      </c>
      <c r="E321" t="s">
        <v>3226</v>
      </c>
      <c r="F321" t="s">
        <v>3446</v>
      </c>
      <c r="G321" s="562">
        <v>23119.919999999998</v>
      </c>
      <c r="K321" s="562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2">
        <v>83842.210000000006</v>
      </c>
      <c r="E322" t="s">
        <v>3457</v>
      </c>
      <c r="F322" t="s">
        <v>3458</v>
      </c>
      <c r="G322" s="562">
        <v>83842.210000000006</v>
      </c>
      <c r="K322" s="562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2">
        <v>83842.210000000006</v>
      </c>
      <c r="E323" t="s">
        <v>3457</v>
      </c>
      <c r="F323" t="s">
        <v>3461</v>
      </c>
      <c r="G323" s="562">
        <v>83842.210000000006</v>
      </c>
      <c r="K323" s="562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2">
        <v>1200</v>
      </c>
      <c r="E324" t="s">
        <v>3464</v>
      </c>
      <c r="F324" t="s">
        <v>3465</v>
      </c>
      <c r="G324" s="562">
        <v>1200</v>
      </c>
      <c r="K324" s="562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2">
        <v>2404.7800000000002</v>
      </c>
      <c r="E325" t="s">
        <v>3112</v>
      </c>
      <c r="F325" t="s">
        <v>3468</v>
      </c>
      <c r="G325" s="562">
        <v>2404.7800000000002</v>
      </c>
      <c r="K325" s="562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2">
        <v>11000</v>
      </c>
      <c r="E326" t="s">
        <v>3381</v>
      </c>
      <c r="F326" t="s">
        <v>3382</v>
      </c>
      <c r="G326" s="562">
        <v>10312.5</v>
      </c>
      <c r="K326" s="562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2">
        <v>2500</v>
      </c>
      <c r="E327" t="s">
        <v>3162</v>
      </c>
      <c r="F327" t="s">
        <v>3385</v>
      </c>
      <c r="G327" s="562">
        <v>2343.75</v>
      </c>
      <c r="K327" s="562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2">
        <v>4223.5</v>
      </c>
      <c r="E328" t="s">
        <v>2709</v>
      </c>
      <c r="F328" t="s">
        <v>3475</v>
      </c>
      <c r="G328" s="562">
        <v>4223.5</v>
      </c>
      <c r="K328" s="562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2">
        <v>0</v>
      </c>
      <c r="E329" t="s">
        <v>3477</v>
      </c>
      <c r="F329" t="s">
        <v>3478</v>
      </c>
      <c r="G329" s="562">
        <v>1000</v>
      </c>
      <c r="K329" s="562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2">
        <v>0</v>
      </c>
      <c r="E330" t="s">
        <v>3480</v>
      </c>
      <c r="F330" t="s">
        <v>3478</v>
      </c>
      <c r="G330" s="562">
        <v>770.25</v>
      </c>
      <c r="K330" s="562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2">
        <v>0</v>
      </c>
      <c r="E331" t="s">
        <v>2949</v>
      </c>
      <c r="F331" t="s">
        <v>3482</v>
      </c>
      <c r="G331" s="562">
        <v>22481.95</v>
      </c>
      <c r="K331" s="562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2">
        <v>0</v>
      </c>
      <c r="E332" t="s">
        <v>2949</v>
      </c>
      <c r="F332" t="s">
        <v>3484</v>
      </c>
      <c r="G332" s="562">
        <v>13866.66</v>
      </c>
      <c r="K332" s="562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2">
        <v>64106</v>
      </c>
      <c r="E333" t="s">
        <v>3487</v>
      </c>
      <c r="F333" t="s">
        <v>3488</v>
      </c>
      <c r="G333" s="562">
        <v>64106</v>
      </c>
      <c r="K333" s="562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2">
        <v>0</v>
      </c>
      <c r="E334" t="s">
        <v>3490</v>
      </c>
      <c r="F334" t="s">
        <v>3478</v>
      </c>
      <c r="G334" s="562">
        <v>5144.79</v>
      </c>
      <c r="K334" s="562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2">
        <v>10000</v>
      </c>
      <c r="E335" t="s">
        <v>3363</v>
      </c>
      <c r="F335" t="s">
        <v>3493</v>
      </c>
      <c r="G335" s="562">
        <v>9000</v>
      </c>
      <c r="K335" s="562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2">
        <v>27760</v>
      </c>
      <c r="E336" t="s">
        <v>3451</v>
      </c>
      <c r="F336" t="s">
        <v>3496</v>
      </c>
      <c r="G336" s="562">
        <v>22676.67</v>
      </c>
      <c r="K336" s="562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2">
        <v>16332.5</v>
      </c>
      <c r="E337" t="s">
        <v>3499</v>
      </c>
      <c r="F337" t="s">
        <v>3500</v>
      </c>
      <c r="G337" s="562">
        <v>16332.5</v>
      </c>
      <c r="K337" s="562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2">
        <v>22316</v>
      </c>
      <c r="E338" t="s">
        <v>3451</v>
      </c>
      <c r="F338" t="s">
        <v>3496</v>
      </c>
      <c r="G338" s="562">
        <v>22316</v>
      </c>
      <c r="K338" s="562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2">
        <v>13034</v>
      </c>
      <c r="E339" t="s">
        <v>3451</v>
      </c>
      <c r="F339" t="s">
        <v>3496</v>
      </c>
      <c r="G339" s="562">
        <v>12534</v>
      </c>
      <c r="K339" s="562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2">
        <v>150000</v>
      </c>
      <c r="E340" t="s">
        <v>3457</v>
      </c>
      <c r="F340" t="s">
        <v>3507</v>
      </c>
      <c r="G340" s="562">
        <v>127518.05</v>
      </c>
      <c r="K340" s="562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2">
        <v>16332.5</v>
      </c>
      <c r="E341" t="s">
        <v>3510</v>
      </c>
      <c r="F341" t="s">
        <v>3511</v>
      </c>
      <c r="G341" s="562">
        <v>16332.5</v>
      </c>
      <c r="K341" s="562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2">
        <v>6617.76</v>
      </c>
      <c r="E342" t="s">
        <v>1105</v>
      </c>
      <c r="F342" t="s">
        <v>3514</v>
      </c>
      <c r="G342" s="562">
        <v>6617.76</v>
      </c>
      <c r="K342" s="562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2">
        <v>2179.06</v>
      </c>
      <c r="E343" t="s">
        <v>3517</v>
      </c>
      <c r="F343" t="s">
        <v>3518</v>
      </c>
      <c r="G343" s="562">
        <v>2179.06</v>
      </c>
      <c r="K343" s="562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2">
        <v>3075</v>
      </c>
      <c r="E344" t="s">
        <v>3521</v>
      </c>
      <c r="F344" t="s">
        <v>3522</v>
      </c>
      <c r="G344" s="562">
        <v>3075</v>
      </c>
      <c r="K344" s="562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2">
        <v>3048</v>
      </c>
      <c r="E345" t="s">
        <v>2775</v>
      </c>
      <c r="F345" t="s">
        <v>3525</v>
      </c>
      <c r="G345" s="562">
        <v>2884.72</v>
      </c>
      <c r="K345" s="562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2">
        <v>1080</v>
      </c>
      <c r="E346" t="s">
        <v>1676</v>
      </c>
      <c r="F346" t="s">
        <v>3528</v>
      </c>
      <c r="G346" s="562">
        <v>1012.5</v>
      </c>
      <c r="K346" s="562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2">
        <v>8800</v>
      </c>
      <c r="E347" t="s">
        <v>3531</v>
      </c>
      <c r="F347" t="s">
        <v>3532</v>
      </c>
      <c r="G347" s="562">
        <v>8014.28</v>
      </c>
      <c r="K347" s="562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2">
        <v>29318.18</v>
      </c>
      <c r="E348" t="s">
        <v>3001</v>
      </c>
      <c r="F348" t="s">
        <v>3535</v>
      </c>
      <c r="G348" s="562">
        <v>29318.18</v>
      </c>
      <c r="K348" s="562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2">
        <v>9565</v>
      </c>
      <c r="E349" t="s">
        <v>3538</v>
      </c>
      <c r="F349" t="s">
        <v>3539</v>
      </c>
      <c r="G349" s="562">
        <v>9052.59</v>
      </c>
      <c r="K349" s="562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2">
        <v>1560</v>
      </c>
      <c r="E350" t="s">
        <v>2739</v>
      </c>
      <c r="F350" t="s">
        <v>3539</v>
      </c>
      <c r="G350" s="562">
        <v>1476.43</v>
      </c>
      <c r="K350" s="562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2">
        <v>17820</v>
      </c>
      <c r="E351" t="s">
        <v>1684</v>
      </c>
      <c r="F351" t="s">
        <v>3539</v>
      </c>
      <c r="G351" s="562">
        <v>16865.349999999999</v>
      </c>
      <c r="K351" s="562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2">
        <v>11547.23</v>
      </c>
      <c r="E352" t="s">
        <v>3546</v>
      </c>
      <c r="F352" t="s">
        <v>3547</v>
      </c>
      <c r="G352" s="562">
        <v>10825.529999999999</v>
      </c>
      <c r="K352" s="562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2">
        <v>9900</v>
      </c>
      <c r="E353" t="s">
        <v>3550</v>
      </c>
      <c r="F353" t="s">
        <v>3551</v>
      </c>
      <c r="G353" s="562">
        <v>9405</v>
      </c>
      <c r="K353" s="562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2">
        <v>1840</v>
      </c>
      <c r="E354" t="s">
        <v>2899</v>
      </c>
      <c r="F354" t="s">
        <v>3554</v>
      </c>
      <c r="G354" s="562">
        <v>1840</v>
      </c>
      <c r="K354" s="562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2">
        <v>17500</v>
      </c>
      <c r="E355" t="s">
        <v>3557</v>
      </c>
      <c r="F355" t="s">
        <v>3558</v>
      </c>
      <c r="G355" s="562">
        <v>16800</v>
      </c>
      <c r="K355" s="562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2">
        <v>1800</v>
      </c>
      <c r="E356" t="s">
        <v>3561</v>
      </c>
      <c r="F356" t="s">
        <v>3562</v>
      </c>
      <c r="G356" s="562">
        <v>1800</v>
      </c>
      <c r="K356" s="562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2">
        <v>20626.73</v>
      </c>
      <c r="E357" t="s">
        <v>3565</v>
      </c>
      <c r="F357" t="s">
        <v>3566</v>
      </c>
      <c r="G357" s="562">
        <v>20626.73</v>
      </c>
      <c r="K357" s="562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2">
        <v>16308.47</v>
      </c>
      <c r="E358" t="s">
        <v>3569</v>
      </c>
      <c r="F358" t="s">
        <v>3570</v>
      </c>
      <c r="G358" s="562">
        <v>16308.47</v>
      </c>
      <c r="K358" s="562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2">
        <v>7200</v>
      </c>
      <c r="E359" t="s">
        <v>3573</v>
      </c>
      <c r="F359" t="s">
        <v>3574</v>
      </c>
      <c r="G359" s="562">
        <v>7200</v>
      </c>
      <c r="K359" s="562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2">
        <v>12900</v>
      </c>
      <c r="E360" t="s">
        <v>2746</v>
      </c>
      <c r="F360" t="s">
        <v>3577</v>
      </c>
      <c r="G360" s="562">
        <v>12093.75</v>
      </c>
      <c r="K360" s="562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2">
        <v>4950</v>
      </c>
      <c r="E361" t="s">
        <v>2746</v>
      </c>
      <c r="F361" t="s">
        <v>3580</v>
      </c>
      <c r="G361" s="562">
        <v>4640.63</v>
      </c>
      <c r="K361" s="562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2">
        <v>7830</v>
      </c>
      <c r="E362" t="s">
        <v>1684</v>
      </c>
      <c r="F362" t="s">
        <v>3583</v>
      </c>
      <c r="G362" s="562">
        <v>7410.54</v>
      </c>
      <c r="K362" s="562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2">
        <v>27000</v>
      </c>
      <c r="E363" t="s">
        <v>3586</v>
      </c>
      <c r="F363" t="s">
        <v>3587</v>
      </c>
      <c r="G363" s="562">
        <v>25553.57</v>
      </c>
      <c r="K363" s="562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2">
        <v>0</v>
      </c>
      <c r="E364" t="s">
        <v>2949</v>
      </c>
      <c r="F364" t="s">
        <v>3589</v>
      </c>
      <c r="G364" s="562">
        <v>180829.47</v>
      </c>
      <c r="K364" s="562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2">
        <v>3400</v>
      </c>
      <c r="E365" t="s">
        <v>3592</v>
      </c>
      <c r="F365" t="s">
        <v>3593</v>
      </c>
      <c r="G365" s="562">
        <v>3187.5</v>
      </c>
      <c r="K365" s="562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2">
        <v>0</v>
      </c>
      <c r="E366" t="s">
        <v>3195</v>
      </c>
      <c r="F366" t="s">
        <v>3595</v>
      </c>
      <c r="G366" s="562">
        <v>220</v>
      </c>
      <c r="K366" s="562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2">
        <v>5600</v>
      </c>
      <c r="E367" t="s">
        <v>3598</v>
      </c>
      <c r="F367" t="s">
        <v>3599</v>
      </c>
      <c r="G367" s="562">
        <v>5250</v>
      </c>
      <c r="K367" s="562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2">
        <v>22882.230000000003</v>
      </c>
      <c r="E368" t="s">
        <v>2811</v>
      </c>
      <c r="F368" t="s">
        <v>3602</v>
      </c>
      <c r="G368" s="562">
        <v>21452.09</v>
      </c>
      <c r="K368" s="562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2">
        <v>2275</v>
      </c>
      <c r="E369" t="s">
        <v>3605</v>
      </c>
      <c r="F369" t="s">
        <v>3606</v>
      </c>
      <c r="G369" s="562">
        <v>2153.13</v>
      </c>
      <c r="K369" s="562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2">
        <v>6323</v>
      </c>
      <c r="E370" t="s">
        <v>3609</v>
      </c>
      <c r="F370" t="s">
        <v>3610</v>
      </c>
      <c r="G370" s="562">
        <v>5927.81</v>
      </c>
      <c r="K370" s="562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2">
        <v>1242</v>
      </c>
      <c r="E371" t="s">
        <v>3613</v>
      </c>
      <c r="F371" t="s">
        <v>3614</v>
      </c>
      <c r="G371" s="562">
        <v>1192.32</v>
      </c>
      <c r="K371" s="562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2">
        <v>170501.47</v>
      </c>
      <c r="E372" t="s">
        <v>2844</v>
      </c>
      <c r="F372" t="s">
        <v>3617</v>
      </c>
      <c r="G372" s="562">
        <v>155278.13</v>
      </c>
      <c r="K372" s="562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2">
        <v>2049964.0999999999</v>
      </c>
      <c r="E373" t="s">
        <v>1704</v>
      </c>
      <c r="F373" t="s">
        <v>3620</v>
      </c>
      <c r="G373" s="562">
        <v>375596.07000000018</v>
      </c>
      <c r="K373" s="562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2">
        <v>429402.37</v>
      </c>
      <c r="E374" t="s">
        <v>1706</v>
      </c>
      <c r="F374" t="s">
        <v>3620</v>
      </c>
      <c r="G374" s="562">
        <v>102762.59999999998</v>
      </c>
      <c r="K374" s="562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2">
        <v>688368.09</v>
      </c>
      <c r="E375" t="s">
        <v>1707</v>
      </c>
      <c r="F375" t="s">
        <v>3620</v>
      </c>
      <c r="G375" s="562">
        <v>146482.77999999994</v>
      </c>
      <c r="K375" s="562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2">
        <v>389716.8</v>
      </c>
      <c r="E376" t="s">
        <v>1708</v>
      </c>
      <c r="F376" t="s">
        <v>3620</v>
      </c>
      <c r="G376" s="562">
        <v>93042.809999999969</v>
      </c>
      <c r="K376" s="562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2">
        <v>40307.629999999997</v>
      </c>
      <c r="E377" t="s">
        <v>1757</v>
      </c>
      <c r="F377" t="s">
        <v>3629</v>
      </c>
      <c r="G377" s="562">
        <v>14239.179999999995</v>
      </c>
      <c r="K377" s="562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2">
        <v>51777.94</v>
      </c>
      <c r="E378" t="s">
        <v>3195</v>
      </c>
      <c r="F378" t="s">
        <v>3629</v>
      </c>
      <c r="G378" s="562">
        <v>14057.010000000002</v>
      </c>
      <c r="K378" s="562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2">
        <v>92085.57</v>
      </c>
      <c r="E379" t="s">
        <v>3634</v>
      </c>
      <c r="F379" t="s">
        <v>3629</v>
      </c>
      <c r="G379" s="562">
        <v>29322.880000000012</v>
      </c>
      <c r="K379" s="562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2">
        <v>40307.629999999997</v>
      </c>
      <c r="E380" t="s">
        <v>2962</v>
      </c>
      <c r="F380" t="s">
        <v>3629</v>
      </c>
      <c r="G380" s="562">
        <v>14929.189999999997</v>
      </c>
      <c r="K380" s="562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2">
        <v>29300.399999999998</v>
      </c>
      <c r="E381" t="s">
        <v>3213</v>
      </c>
      <c r="F381" t="s">
        <v>3639</v>
      </c>
      <c r="G381" s="562">
        <v>9059.9600000000028</v>
      </c>
      <c r="K381" s="562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2">
        <v>29300.399999999998</v>
      </c>
      <c r="E382" t="s">
        <v>3217</v>
      </c>
      <c r="F382" t="s">
        <v>3639</v>
      </c>
      <c r="G382" s="562">
        <v>11559.960000000003</v>
      </c>
      <c r="K382" s="562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2">
        <v>29300.399999999998</v>
      </c>
      <c r="E383" t="s">
        <v>3226</v>
      </c>
      <c r="F383" t="s">
        <v>3639</v>
      </c>
      <c r="G383" s="562">
        <v>11559.960000000003</v>
      </c>
      <c r="K383" s="562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2">
        <v>29300.399999999998</v>
      </c>
      <c r="E384" t="s">
        <v>3646</v>
      </c>
      <c r="F384" t="s">
        <v>3647</v>
      </c>
      <c r="G384" s="562">
        <v>22949.920000000002</v>
      </c>
      <c r="K384" s="562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2">
        <v>29300.399999999998</v>
      </c>
      <c r="E385" t="s">
        <v>3223</v>
      </c>
      <c r="F385" t="s">
        <v>3639</v>
      </c>
      <c r="G385" s="562">
        <v>11559.960000000003</v>
      </c>
      <c r="K385" s="562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2">
        <v>29300.399999999998</v>
      </c>
      <c r="E386" t="s">
        <v>3646</v>
      </c>
      <c r="F386" t="s">
        <v>3639</v>
      </c>
      <c r="G386" s="562">
        <v>11559.960000000003</v>
      </c>
      <c r="K386" s="562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2">
        <v>470812.07</v>
      </c>
      <c r="E387" t="s">
        <v>3654</v>
      </c>
      <c r="F387" t="s">
        <v>3620</v>
      </c>
      <c r="G387" s="562">
        <v>82889.609999999986</v>
      </c>
      <c r="K387" s="562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2">
        <v>40307.629999999997</v>
      </c>
      <c r="E388" t="s">
        <v>1756</v>
      </c>
      <c r="F388" t="s">
        <v>3629</v>
      </c>
      <c r="G388" s="562">
        <v>8884.1799999999948</v>
      </c>
      <c r="K388" s="562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2">
        <v>39600</v>
      </c>
      <c r="E389" t="s">
        <v>3550</v>
      </c>
      <c r="F389" t="s">
        <v>3659</v>
      </c>
      <c r="G389" s="562">
        <v>37620</v>
      </c>
      <c r="K389" s="562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2">
        <v>1800</v>
      </c>
      <c r="E390" t="s">
        <v>3521</v>
      </c>
      <c r="F390" t="s">
        <v>3662</v>
      </c>
      <c r="G390" s="562">
        <v>1800</v>
      </c>
      <c r="K390" s="562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2">
        <v>7635</v>
      </c>
      <c r="E391" t="s">
        <v>3665</v>
      </c>
      <c r="F391" t="s">
        <v>3666</v>
      </c>
      <c r="G391" s="562">
        <v>7635</v>
      </c>
      <c r="K391" s="562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2">
        <v>29300.399999999998</v>
      </c>
      <c r="E392" t="s">
        <v>3217</v>
      </c>
      <c r="F392" t="s">
        <v>3669</v>
      </c>
      <c r="G392" s="562">
        <v>11559.960000000003</v>
      </c>
      <c r="K392" s="562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2">
        <v>29300.399999999998</v>
      </c>
      <c r="E393" t="s">
        <v>3220</v>
      </c>
      <c r="F393" t="s">
        <v>3639</v>
      </c>
      <c r="G393" s="562">
        <v>11559.960000000003</v>
      </c>
      <c r="K393" s="562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2">
        <v>92085.57</v>
      </c>
      <c r="E394" t="s">
        <v>3151</v>
      </c>
      <c r="F394" t="s">
        <v>3629</v>
      </c>
      <c r="G394" s="562">
        <v>26940.44000000001</v>
      </c>
      <c r="K394" s="562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2">
        <v>666486.65999999992</v>
      </c>
      <c r="E395" t="s">
        <v>3151</v>
      </c>
      <c r="F395" t="s">
        <v>3620</v>
      </c>
      <c r="G395" s="562">
        <v>100622.31999999999</v>
      </c>
      <c r="K395" s="562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2">
        <v>2016</v>
      </c>
      <c r="E396" t="s">
        <v>2775</v>
      </c>
      <c r="F396" t="s">
        <v>3678</v>
      </c>
      <c r="G396" s="562">
        <v>1908</v>
      </c>
      <c r="K396" s="562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2">
        <v>1344</v>
      </c>
      <c r="E397" t="s">
        <v>2775</v>
      </c>
      <c r="F397" t="s">
        <v>3681</v>
      </c>
      <c r="G397" s="562">
        <v>1272</v>
      </c>
      <c r="K397" s="562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2">
        <v>1651.12</v>
      </c>
      <c r="E398" t="s">
        <v>3112</v>
      </c>
      <c r="F398" t="s">
        <v>3684</v>
      </c>
      <c r="G398" s="562">
        <v>1651.12</v>
      </c>
      <c r="K398" s="562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2">
        <v>22000</v>
      </c>
      <c r="E399" t="s">
        <v>3687</v>
      </c>
      <c r="F399" t="s">
        <v>3688</v>
      </c>
      <c r="G399" s="562">
        <v>20821.43</v>
      </c>
      <c r="K399" s="562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2">
        <v>94707.14</v>
      </c>
      <c r="E400" t="s">
        <v>820</v>
      </c>
      <c r="F400" t="s">
        <v>3691</v>
      </c>
      <c r="G400" s="562">
        <v>94707.14</v>
      </c>
      <c r="K400" s="562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2">
        <v>640000</v>
      </c>
      <c r="E401" t="s">
        <v>823</v>
      </c>
      <c r="F401" t="s">
        <v>3694</v>
      </c>
      <c r="G401" s="562">
        <v>640000</v>
      </c>
      <c r="K401" s="562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2">
        <v>160000</v>
      </c>
      <c r="E402" t="s">
        <v>818</v>
      </c>
      <c r="F402" t="s">
        <v>3697</v>
      </c>
      <c r="G402" s="562">
        <v>160000</v>
      </c>
      <c r="K402" s="562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2">
        <v>119634</v>
      </c>
      <c r="E403" t="s">
        <v>818</v>
      </c>
      <c r="F403" t="s">
        <v>3700</v>
      </c>
      <c r="G403" s="562">
        <v>119634</v>
      </c>
      <c r="K403" s="562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2">
        <v>60000</v>
      </c>
      <c r="E404" t="s">
        <v>789</v>
      </c>
      <c r="F404" t="s">
        <v>3703</v>
      </c>
      <c r="G404" s="562">
        <v>60000</v>
      </c>
      <c r="K404" s="562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2">
        <v>60000</v>
      </c>
      <c r="E405" t="s">
        <v>777</v>
      </c>
      <c r="F405" t="s">
        <v>3703</v>
      </c>
      <c r="G405" s="562">
        <v>60000</v>
      </c>
      <c r="K405" s="562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2">
        <v>66000</v>
      </c>
      <c r="E406" t="s">
        <v>3708</v>
      </c>
      <c r="F406" t="s">
        <v>3703</v>
      </c>
      <c r="G406" s="562">
        <v>66000</v>
      </c>
      <c r="K406" s="562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2">
        <v>72000</v>
      </c>
      <c r="E407" t="s">
        <v>768</v>
      </c>
      <c r="F407" t="s">
        <v>3703</v>
      </c>
      <c r="G407" s="562">
        <v>72000</v>
      </c>
      <c r="K407" s="562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2">
        <v>48000</v>
      </c>
      <c r="E408" t="s">
        <v>765</v>
      </c>
      <c r="F408" t="s">
        <v>3703</v>
      </c>
      <c r="G408" s="562">
        <v>48000</v>
      </c>
      <c r="K408" s="562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2">
        <v>14000</v>
      </c>
      <c r="E409" t="s">
        <v>1344</v>
      </c>
      <c r="F409" t="s">
        <v>3715</v>
      </c>
      <c r="G409" s="562">
        <v>14000</v>
      </c>
      <c r="K409" s="562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2">
        <v>216000</v>
      </c>
      <c r="E410" t="s">
        <v>10</v>
      </c>
      <c r="F410" t="s">
        <v>3703</v>
      </c>
      <c r="G410" s="562">
        <v>216000</v>
      </c>
      <c r="K410" s="562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2">
        <v>0</v>
      </c>
      <c r="E411" t="s">
        <v>3719</v>
      </c>
      <c r="F411" t="s">
        <v>3720</v>
      </c>
      <c r="G411" s="562">
        <v>2246.61</v>
      </c>
      <c r="K411" s="562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2">
        <v>0</v>
      </c>
      <c r="E412" t="s">
        <v>1759</v>
      </c>
      <c r="F412" t="s">
        <v>3722</v>
      </c>
      <c r="G412" s="562">
        <v>190201.32</v>
      </c>
      <c r="K412" s="562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2">
        <v>0</v>
      </c>
      <c r="E413" t="s">
        <v>2908</v>
      </c>
      <c r="F413" t="s">
        <v>3724</v>
      </c>
      <c r="G413" s="562">
        <v>103430.25</v>
      </c>
      <c r="K413" s="562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2">
        <v>0</v>
      </c>
      <c r="E414" t="s">
        <v>2933</v>
      </c>
      <c r="F414" t="s">
        <v>3726</v>
      </c>
      <c r="G414" s="562">
        <v>49734.05</v>
      </c>
      <c r="K414" s="562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2">
        <v>0</v>
      </c>
      <c r="E415" t="s">
        <v>2936</v>
      </c>
      <c r="F415" t="s">
        <v>3728</v>
      </c>
      <c r="G415" s="562">
        <v>3750</v>
      </c>
      <c r="K415" s="562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2">
        <v>0</v>
      </c>
      <c r="E416" t="s">
        <v>3005</v>
      </c>
      <c r="F416" t="s">
        <v>3730</v>
      </c>
      <c r="G416" s="562">
        <v>27440</v>
      </c>
      <c r="K416" s="562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2">
        <v>0</v>
      </c>
      <c r="E417" t="s">
        <v>1661</v>
      </c>
      <c r="F417" t="s">
        <v>3732</v>
      </c>
      <c r="G417" s="562">
        <v>101497.04</v>
      </c>
      <c r="K417" s="562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2">
        <v>0</v>
      </c>
      <c r="E418" t="s">
        <v>1690</v>
      </c>
      <c r="F418" t="s">
        <v>3732</v>
      </c>
      <c r="G418" s="562">
        <v>63707.289999999994</v>
      </c>
      <c r="K418" s="562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2">
        <v>0</v>
      </c>
      <c r="E419" t="s">
        <v>3354</v>
      </c>
      <c r="F419" t="s">
        <v>3732</v>
      </c>
      <c r="G419" s="562">
        <v>37916.67</v>
      </c>
      <c r="K419" s="562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2">
        <v>0</v>
      </c>
      <c r="E420" t="s">
        <v>2939</v>
      </c>
      <c r="F420" t="s">
        <v>3736</v>
      </c>
      <c r="G420" s="562">
        <v>903</v>
      </c>
      <c r="K420" s="562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2">
        <v>0</v>
      </c>
      <c r="E421" t="s">
        <v>1669</v>
      </c>
      <c r="F421" t="s">
        <v>3738</v>
      </c>
      <c r="G421" s="562">
        <v>2796.63</v>
      </c>
      <c r="K421" s="562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2">
        <v>0</v>
      </c>
      <c r="E422" t="s">
        <v>1761</v>
      </c>
      <c r="F422" t="s">
        <v>3740</v>
      </c>
      <c r="G422" s="562">
        <v>24.15</v>
      </c>
      <c r="K422" s="562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2">
        <v>0</v>
      </c>
      <c r="E423" t="s">
        <v>2949</v>
      </c>
      <c r="F423" t="s">
        <v>3742</v>
      </c>
      <c r="G423" s="562">
        <v>104315.37</v>
      </c>
      <c r="K423" s="562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2">
        <v>0</v>
      </c>
      <c r="E424" t="s">
        <v>1105</v>
      </c>
      <c r="F424" t="s">
        <v>3744</v>
      </c>
      <c r="G424" s="562">
        <v>1698029.37</v>
      </c>
      <c r="K424" s="562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2">
        <v>10000</v>
      </c>
      <c r="E425" t="s">
        <v>2693</v>
      </c>
      <c r="F425" t="s">
        <v>3747</v>
      </c>
      <c r="G425" s="562">
        <v>10000</v>
      </c>
      <c r="K425" s="562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2">
        <v>82098.38</v>
      </c>
      <c r="E426" t="s">
        <v>3001</v>
      </c>
      <c r="F426" t="s">
        <v>3750</v>
      </c>
      <c r="G426" s="562">
        <v>82098.38</v>
      </c>
      <c r="K426" s="562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2">
        <v>70905.22</v>
      </c>
      <c r="E427" t="s">
        <v>3001</v>
      </c>
      <c r="F427" t="s">
        <v>3750</v>
      </c>
      <c r="G427" s="562">
        <v>70905.22</v>
      </c>
      <c r="K427" s="562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2">
        <v>10000</v>
      </c>
      <c r="E428" t="s">
        <v>3363</v>
      </c>
      <c r="F428" t="s">
        <v>3755</v>
      </c>
      <c r="G428" s="562">
        <v>9000</v>
      </c>
      <c r="K428" s="562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2">
        <v>0</v>
      </c>
      <c r="E429" t="s">
        <v>1105</v>
      </c>
      <c r="F429" t="s">
        <v>3757</v>
      </c>
      <c r="G429" s="562">
        <v>91461.26999999999</v>
      </c>
      <c r="K429" s="562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2">
        <v>0</v>
      </c>
      <c r="E430" t="s">
        <v>1759</v>
      </c>
      <c r="F430" t="s">
        <v>3759</v>
      </c>
      <c r="G430" s="562">
        <v>4845.12</v>
      </c>
      <c r="K430" s="562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2">
        <v>0</v>
      </c>
      <c r="E431" t="s">
        <v>1691</v>
      </c>
      <c r="F431" t="s">
        <v>3761</v>
      </c>
      <c r="G431" s="562">
        <v>8967.5399999999991</v>
      </c>
      <c r="K431" s="562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2">
        <v>0</v>
      </c>
      <c r="E432" t="s">
        <v>2933</v>
      </c>
      <c r="F432" t="s">
        <v>3763</v>
      </c>
      <c r="G432" s="562">
        <v>800</v>
      </c>
      <c r="K432" s="562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2">
        <v>0</v>
      </c>
      <c r="E433" t="s">
        <v>2936</v>
      </c>
      <c r="F433" t="s">
        <v>3765</v>
      </c>
      <c r="G433" s="562">
        <v>300</v>
      </c>
      <c r="K433" s="562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2">
        <v>0</v>
      </c>
      <c r="E434" t="s">
        <v>3418</v>
      </c>
      <c r="F434" t="s">
        <v>3767</v>
      </c>
      <c r="G434" s="562">
        <v>120</v>
      </c>
      <c r="K434" s="562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2">
        <v>0</v>
      </c>
      <c r="E435" t="s">
        <v>3769</v>
      </c>
      <c r="F435" t="s">
        <v>3770</v>
      </c>
      <c r="G435" s="562">
        <v>4640</v>
      </c>
      <c r="K435" s="562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2">
        <v>0</v>
      </c>
      <c r="E436" t="s">
        <v>1690</v>
      </c>
      <c r="F436" t="s">
        <v>3770</v>
      </c>
      <c r="G436" s="562">
        <v>1030</v>
      </c>
      <c r="K436" s="562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2">
        <v>0</v>
      </c>
      <c r="E437" t="s">
        <v>3354</v>
      </c>
      <c r="F437" t="s">
        <v>3773</v>
      </c>
      <c r="G437" s="562">
        <v>6900</v>
      </c>
      <c r="K437" s="562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2">
        <v>0</v>
      </c>
      <c r="E438" t="s">
        <v>3418</v>
      </c>
      <c r="F438" t="s">
        <v>3775</v>
      </c>
      <c r="G438" s="562">
        <v>170</v>
      </c>
      <c r="K438" s="562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2">
        <v>0</v>
      </c>
      <c r="E439" t="s">
        <v>2936</v>
      </c>
      <c r="F439" t="s">
        <v>3777</v>
      </c>
      <c r="G439" s="562">
        <v>200</v>
      </c>
      <c r="K439" s="562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2">
        <v>0</v>
      </c>
      <c r="E440" t="s">
        <v>2933</v>
      </c>
      <c r="F440" t="s">
        <v>3779</v>
      </c>
      <c r="G440" s="562">
        <v>600</v>
      </c>
      <c r="K440" s="562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2">
        <v>0</v>
      </c>
      <c r="E441" t="s">
        <v>3396</v>
      </c>
      <c r="F441" t="s">
        <v>3781</v>
      </c>
      <c r="G441" s="562">
        <v>4297.8599999999997</v>
      </c>
      <c r="K441" s="562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2">
        <v>0</v>
      </c>
      <c r="E442" t="s">
        <v>1759</v>
      </c>
      <c r="F442" t="s">
        <v>3783</v>
      </c>
      <c r="G442" s="562">
        <v>1200</v>
      </c>
      <c r="K442" s="562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2">
        <v>0</v>
      </c>
      <c r="E443" t="s">
        <v>1105</v>
      </c>
      <c r="F443" t="s">
        <v>3785</v>
      </c>
      <c r="G443" s="562">
        <v>30685.02</v>
      </c>
      <c r="K443" s="562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2">
        <v>0</v>
      </c>
      <c r="E444" t="s">
        <v>1661</v>
      </c>
      <c r="F444" t="s">
        <v>3787</v>
      </c>
      <c r="G444" s="562">
        <v>5000</v>
      </c>
      <c r="K444" s="562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2">
        <v>0</v>
      </c>
      <c r="E445" t="s">
        <v>3347</v>
      </c>
      <c r="F445" t="s">
        <v>3789</v>
      </c>
      <c r="G445" s="562">
        <v>300</v>
      </c>
      <c r="K445" s="562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2">
        <v>0</v>
      </c>
      <c r="E446" t="s">
        <v>2933</v>
      </c>
      <c r="F446" t="s">
        <v>3791</v>
      </c>
      <c r="G446" s="562">
        <v>600</v>
      </c>
      <c r="K446" s="562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2">
        <v>0</v>
      </c>
      <c r="E447" t="s">
        <v>2908</v>
      </c>
      <c r="F447" t="s">
        <v>3793</v>
      </c>
      <c r="G447" s="562">
        <v>4297.8599999999997</v>
      </c>
      <c r="K447" s="562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2">
        <v>0</v>
      </c>
      <c r="E448" t="s">
        <v>1759</v>
      </c>
      <c r="F448" t="s">
        <v>3795</v>
      </c>
      <c r="G448" s="562">
        <v>1200</v>
      </c>
      <c r="K448" s="562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2">
        <v>0</v>
      </c>
      <c r="E449" t="s">
        <v>1105</v>
      </c>
      <c r="F449" t="s">
        <v>3797</v>
      </c>
      <c r="G449" s="562">
        <v>30685.02</v>
      </c>
      <c r="K449" s="562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2">
        <v>0</v>
      </c>
      <c r="E450" t="s">
        <v>3799</v>
      </c>
      <c r="F450" t="s">
        <v>3800</v>
      </c>
      <c r="G450" s="562">
        <v>63576.729999999996</v>
      </c>
      <c r="K450" s="562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2">
        <v>0</v>
      </c>
      <c r="E451" t="s">
        <v>3802</v>
      </c>
      <c r="F451" t="s">
        <v>3803</v>
      </c>
      <c r="G451" s="562">
        <v>2375</v>
      </c>
      <c r="K451" s="562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2">
        <v>0</v>
      </c>
      <c r="E452" t="s">
        <v>3805</v>
      </c>
      <c r="F452" t="s">
        <v>3806</v>
      </c>
      <c r="G452" s="562">
        <v>3171.56</v>
      </c>
      <c r="K452" s="562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2">
        <v>0</v>
      </c>
      <c r="E453" t="s">
        <v>3808</v>
      </c>
      <c r="F453" t="s">
        <v>3809</v>
      </c>
      <c r="G453" s="562">
        <v>230</v>
      </c>
      <c r="K453" s="562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2">
        <v>0</v>
      </c>
      <c r="E454" t="s">
        <v>3811</v>
      </c>
      <c r="F454" t="s">
        <v>3812</v>
      </c>
      <c r="G454" s="562">
        <v>40600</v>
      </c>
      <c r="K454" s="562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2">
        <v>0</v>
      </c>
      <c r="E455" t="s">
        <v>3814</v>
      </c>
      <c r="F455" t="s">
        <v>3815</v>
      </c>
      <c r="G455" s="562">
        <v>0</v>
      </c>
      <c r="K455" s="562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2">
        <v>0</v>
      </c>
      <c r="E456" t="s">
        <v>3162</v>
      </c>
      <c r="F456" t="s">
        <v>3817</v>
      </c>
      <c r="G456" s="562">
        <v>1392.25</v>
      </c>
      <c r="K456" s="562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2">
        <v>0</v>
      </c>
      <c r="E457" t="s">
        <v>3819</v>
      </c>
      <c r="F457" t="s">
        <v>3820</v>
      </c>
      <c r="G457" s="562">
        <v>0</v>
      </c>
      <c r="K457" s="562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2">
        <v>0</v>
      </c>
      <c r="E458" t="s">
        <v>3822</v>
      </c>
      <c r="F458" t="s">
        <v>3823</v>
      </c>
      <c r="G458" s="562">
        <v>0</v>
      </c>
      <c r="K458" s="562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2">
        <v>800</v>
      </c>
      <c r="E459" t="s">
        <v>2720</v>
      </c>
      <c r="F459" t="s">
        <v>3826</v>
      </c>
      <c r="G459" s="562">
        <v>750</v>
      </c>
      <c r="K459" s="562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2">
        <v>0</v>
      </c>
      <c r="E460" t="s">
        <v>3814</v>
      </c>
      <c r="F460" t="s">
        <v>3828</v>
      </c>
      <c r="G460" s="562">
        <v>0</v>
      </c>
      <c r="K460" s="562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2">
        <v>0</v>
      </c>
      <c r="E461" t="s">
        <v>3830</v>
      </c>
      <c r="F461" t="s">
        <v>3831</v>
      </c>
      <c r="G461" s="562">
        <v>40694.54</v>
      </c>
      <c r="K461" s="562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2">
        <v>0</v>
      </c>
      <c r="E462" t="s">
        <v>3833</v>
      </c>
      <c r="F462" t="s">
        <v>3834</v>
      </c>
      <c r="G462" s="562">
        <v>0</v>
      </c>
      <c r="K462" s="562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2">
        <v>0</v>
      </c>
      <c r="E463" t="s">
        <v>2864</v>
      </c>
      <c r="F463" t="s">
        <v>2865</v>
      </c>
      <c r="G463" s="562">
        <v>9500</v>
      </c>
      <c r="K463" s="562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2">
        <v>3760</v>
      </c>
      <c r="E464" t="s">
        <v>2739</v>
      </c>
      <c r="F464" t="s">
        <v>3838</v>
      </c>
      <c r="G464" s="562">
        <v>3558.57</v>
      </c>
      <c r="K464" s="562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2">
        <v>30000</v>
      </c>
      <c r="E465" t="s">
        <v>3841</v>
      </c>
      <c r="F465" t="s">
        <v>3842</v>
      </c>
      <c r="G465" s="562">
        <v>28125</v>
      </c>
      <c r="K465" s="562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2">
        <v>0</v>
      </c>
      <c r="E466" t="s">
        <v>3844</v>
      </c>
      <c r="F466" t="s">
        <v>3845</v>
      </c>
      <c r="G466" s="562">
        <v>4495.3100000000004</v>
      </c>
      <c r="K466" s="562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2">
        <v>2800</v>
      </c>
      <c r="E467" t="s">
        <v>3848</v>
      </c>
      <c r="F467" t="s">
        <v>3849</v>
      </c>
      <c r="G467" s="562">
        <v>2800</v>
      </c>
      <c r="K467" s="562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2">
        <v>2000</v>
      </c>
      <c r="E468" t="s">
        <v>2899</v>
      </c>
      <c r="F468" t="s">
        <v>3852</v>
      </c>
      <c r="G468" s="562">
        <v>2000</v>
      </c>
      <c r="K468" s="562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2">
        <v>9600</v>
      </c>
      <c r="E469" t="s">
        <v>1344</v>
      </c>
      <c r="F469" t="s">
        <v>3855</v>
      </c>
      <c r="G469" s="562">
        <v>9600</v>
      </c>
      <c r="K469" s="562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2">
        <v>3500</v>
      </c>
      <c r="E470" t="s">
        <v>3858</v>
      </c>
      <c r="F470" t="s">
        <v>3859</v>
      </c>
      <c r="G470" s="562">
        <v>3281.25</v>
      </c>
      <c r="K470" s="562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2">
        <v>0</v>
      </c>
      <c r="E471" t="s">
        <v>822</v>
      </c>
      <c r="F471" t="s">
        <v>3862</v>
      </c>
      <c r="G471" s="562">
        <v>0</v>
      </c>
      <c r="K471" s="562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2">
        <v>7873</v>
      </c>
      <c r="E472" t="s">
        <v>3609</v>
      </c>
      <c r="F472" t="s">
        <v>3865</v>
      </c>
      <c r="G472" s="562">
        <v>7380.94</v>
      </c>
      <c r="K472" s="562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2">
        <v>11000</v>
      </c>
      <c r="E473" t="s">
        <v>3269</v>
      </c>
      <c r="F473" t="s">
        <v>3868</v>
      </c>
      <c r="G473" s="562">
        <v>10312.5</v>
      </c>
      <c r="K473" s="562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2">
        <v>0</v>
      </c>
      <c r="E474" t="s">
        <v>2775</v>
      </c>
      <c r="F474" t="s">
        <v>3870</v>
      </c>
      <c r="G474" s="562">
        <v>480.78</v>
      </c>
      <c r="K474" s="562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2">
        <v>0</v>
      </c>
      <c r="E475" t="s">
        <v>3844</v>
      </c>
      <c r="F475" t="s">
        <v>3872</v>
      </c>
      <c r="G475" s="562">
        <v>4495.3100000000004</v>
      </c>
      <c r="K475" s="562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2">
        <v>0</v>
      </c>
      <c r="E476" t="s">
        <v>2782</v>
      </c>
      <c r="F476" t="s">
        <v>3874</v>
      </c>
      <c r="G476" s="562">
        <v>25781.25</v>
      </c>
      <c r="K476" s="562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2">
        <v>976560</v>
      </c>
      <c r="E477" t="s">
        <v>3877</v>
      </c>
      <c r="F477" t="s">
        <v>3878</v>
      </c>
      <c r="G477" s="562">
        <v>924244.28</v>
      </c>
      <c r="K477" s="562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2">
        <v>0</v>
      </c>
      <c r="E478" t="s">
        <v>3880</v>
      </c>
      <c r="F478" t="s">
        <v>3881</v>
      </c>
      <c r="G478" s="562">
        <v>8755.2000000000007</v>
      </c>
      <c r="K478" s="562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2">
        <v>0</v>
      </c>
      <c r="E479" t="s">
        <v>3883</v>
      </c>
      <c r="F479" t="s">
        <v>3884</v>
      </c>
      <c r="G479" s="562">
        <v>1138282.71</v>
      </c>
      <c r="K479" s="562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2">
        <v>6320</v>
      </c>
      <c r="E480" t="s">
        <v>2775</v>
      </c>
      <c r="F480" t="s">
        <v>3887</v>
      </c>
      <c r="G480" s="562">
        <v>5981.43</v>
      </c>
      <c r="K480" s="562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2">
        <v>2800</v>
      </c>
      <c r="E481" t="s">
        <v>3890</v>
      </c>
      <c r="F481" t="s">
        <v>3891</v>
      </c>
      <c r="G481" s="562">
        <v>2688</v>
      </c>
      <c r="K481" s="562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2">
        <v>2486</v>
      </c>
      <c r="E482" t="s">
        <v>2882</v>
      </c>
      <c r="F482" t="s">
        <v>3894</v>
      </c>
      <c r="G482" s="562">
        <v>2386.56</v>
      </c>
      <c r="K482" s="562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2">
        <v>1200</v>
      </c>
      <c r="E483" t="s">
        <v>2731</v>
      </c>
      <c r="F483" t="s">
        <v>3897</v>
      </c>
      <c r="G483" s="562">
        <v>1125</v>
      </c>
      <c r="K483" s="562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2">
        <v>13034</v>
      </c>
      <c r="E484" t="s">
        <v>1075</v>
      </c>
      <c r="F484" t="s">
        <v>3900</v>
      </c>
      <c r="G484" s="562">
        <v>12534</v>
      </c>
      <c r="K484" s="562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2">
        <v>21301.64</v>
      </c>
      <c r="E485" t="s">
        <v>1075</v>
      </c>
      <c r="F485" t="s">
        <v>3900</v>
      </c>
      <c r="G485" s="562">
        <v>21301.64</v>
      </c>
      <c r="K485" s="562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2">
        <v>1200</v>
      </c>
      <c r="E486" t="s">
        <v>2731</v>
      </c>
      <c r="F486" t="s">
        <v>3905</v>
      </c>
      <c r="G486" s="562">
        <v>1125</v>
      </c>
      <c r="K486" s="562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2">
        <v>18421.13</v>
      </c>
      <c r="E487" t="s">
        <v>2811</v>
      </c>
      <c r="F487" t="s">
        <v>3908</v>
      </c>
      <c r="G487" s="562">
        <v>17638.59</v>
      </c>
      <c r="K487" s="562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2">
        <v>12300</v>
      </c>
      <c r="E488" t="s">
        <v>1075</v>
      </c>
      <c r="F488" t="s">
        <v>3900</v>
      </c>
      <c r="G488" s="562">
        <v>12300</v>
      </c>
      <c r="K488" s="562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2">
        <v>40369.5</v>
      </c>
      <c r="E489" t="s">
        <v>1075</v>
      </c>
      <c r="F489" t="s">
        <v>3913</v>
      </c>
      <c r="G489" s="562">
        <v>35286.17</v>
      </c>
      <c r="K489" s="562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2">
        <v>5390.81</v>
      </c>
      <c r="E490" t="s">
        <v>2731</v>
      </c>
      <c r="F490" t="s">
        <v>3916</v>
      </c>
      <c r="G490" s="562">
        <v>5053.8900000000003</v>
      </c>
      <c r="K490" s="562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2">
        <v>920</v>
      </c>
      <c r="E491" t="s">
        <v>2720</v>
      </c>
      <c r="F491" t="s">
        <v>3919</v>
      </c>
      <c r="G491" s="562">
        <v>862.5</v>
      </c>
      <c r="K491" s="562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2">
        <v>0</v>
      </c>
      <c r="E492" t="s">
        <v>3921</v>
      </c>
      <c r="F492" t="s">
        <v>3922</v>
      </c>
      <c r="G492" s="562">
        <v>950</v>
      </c>
      <c r="K492" s="562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2">
        <v>0</v>
      </c>
      <c r="E493" t="s">
        <v>3924</v>
      </c>
      <c r="F493" t="s">
        <v>3922</v>
      </c>
      <c r="G493" s="562">
        <v>950</v>
      </c>
      <c r="K493" s="562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2">
        <v>0</v>
      </c>
      <c r="E494" t="s">
        <v>2807</v>
      </c>
      <c r="F494" t="s">
        <v>3922</v>
      </c>
      <c r="G494" s="562">
        <v>9500</v>
      </c>
      <c r="K494" s="562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2">
        <v>0</v>
      </c>
      <c r="E495" t="s">
        <v>3927</v>
      </c>
      <c r="F495" t="s">
        <v>3922</v>
      </c>
      <c r="G495" s="562">
        <v>950</v>
      </c>
      <c r="K495" s="562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2">
        <v>13600</v>
      </c>
      <c r="E496" t="s">
        <v>2739</v>
      </c>
      <c r="F496" t="s">
        <v>3930</v>
      </c>
      <c r="G496" s="562">
        <v>12871.43</v>
      </c>
      <c r="K496" s="562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2">
        <v>1500</v>
      </c>
      <c r="E497" t="s">
        <v>3933</v>
      </c>
      <c r="F497" t="s">
        <v>3934</v>
      </c>
      <c r="G497" s="562">
        <v>1500</v>
      </c>
      <c r="K497" s="562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2">
        <v>350</v>
      </c>
      <c r="E498" t="s">
        <v>3143</v>
      </c>
      <c r="F498" t="s">
        <v>3937</v>
      </c>
      <c r="G498" s="562">
        <v>350</v>
      </c>
      <c r="K498" s="562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2">
        <v>31800</v>
      </c>
      <c r="E499" t="s">
        <v>2746</v>
      </c>
      <c r="F499" t="s">
        <v>3940</v>
      </c>
      <c r="G499" s="562">
        <v>29812.5</v>
      </c>
      <c r="K499" s="562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2">
        <v>480</v>
      </c>
      <c r="E500" t="s">
        <v>2720</v>
      </c>
      <c r="F500" t="s">
        <v>3943</v>
      </c>
      <c r="G500" s="562">
        <v>450</v>
      </c>
      <c r="K500" s="562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2">
        <v>48000</v>
      </c>
      <c r="E501" t="s">
        <v>3946</v>
      </c>
      <c r="F501" t="s">
        <v>3947</v>
      </c>
      <c r="G501" s="562">
        <v>48000</v>
      </c>
      <c r="K501" s="562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2">
        <v>0</v>
      </c>
      <c r="E502" t="s">
        <v>10</v>
      </c>
      <c r="F502" t="s">
        <v>3949</v>
      </c>
      <c r="G502" s="562">
        <v>351153.32</v>
      </c>
      <c r="K502" s="562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2">
        <v>0</v>
      </c>
      <c r="E503" t="s">
        <v>3951</v>
      </c>
      <c r="F503" t="s">
        <v>3949</v>
      </c>
      <c r="G503" s="562">
        <v>102762.55</v>
      </c>
      <c r="K503" s="562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2">
        <v>0</v>
      </c>
      <c r="E504" t="s">
        <v>764</v>
      </c>
      <c r="F504" t="s">
        <v>3949</v>
      </c>
      <c r="G504" s="562">
        <v>82889.570000000007</v>
      </c>
      <c r="K504" s="562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2">
        <v>0</v>
      </c>
      <c r="E505" t="s">
        <v>768</v>
      </c>
      <c r="F505" t="s">
        <v>3949</v>
      </c>
      <c r="G505" s="562">
        <v>146482.78</v>
      </c>
      <c r="K505" s="562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2">
        <v>0</v>
      </c>
      <c r="E506" t="s">
        <v>765</v>
      </c>
      <c r="F506" t="s">
        <v>3949</v>
      </c>
      <c r="G506" s="562">
        <v>93042.85</v>
      </c>
      <c r="K506" s="562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2">
        <v>0</v>
      </c>
      <c r="E507" t="s">
        <v>789</v>
      </c>
      <c r="F507" t="s">
        <v>3949</v>
      </c>
      <c r="G507" s="562">
        <v>100622.32</v>
      </c>
      <c r="K507" s="562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2">
        <v>0</v>
      </c>
      <c r="E508" t="s">
        <v>768</v>
      </c>
      <c r="F508" t="s">
        <v>3957</v>
      </c>
      <c r="G508" s="562">
        <v>29322.87</v>
      </c>
      <c r="K508" s="562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2">
        <v>41497.269999999997</v>
      </c>
      <c r="E509" t="s">
        <v>3001</v>
      </c>
      <c r="F509" t="s">
        <v>3960</v>
      </c>
      <c r="G509" s="562">
        <v>41497.269999999997</v>
      </c>
      <c r="K509" s="562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2">
        <v>45808.9</v>
      </c>
      <c r="E510" t="s">
        <v>3001</v>
      </c>
      <c r="F510" t="s">
        <v>3963</v>
      </c>
      <c r="G510" s="562">
        <v>45808.9</v>
      </c>
      <c r="K510" s="562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2">
        <v>0</v>
      </c>
      <c r="E511" t="s">
        <v>3195</v>
      </c>
      <c r="F511" t="s">
        <v>3957</v>
      </c>
      <c r="G511" s="562">
        <v>14057</v>
      </c>
      <c r="K511" s="562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2">
        <v>0</v>
      </c>
      <c r="E512" t="s">
        <v>789</v>
      </c>
      <c r="F512" t="s">
        <v>3957</v>
      </c>
      <c r="G512" s="562">
        <v>26940.43</v>
      </c>
      <c r="K512" s="562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2">
        <v>0</v>
      </c>
      <c r="E513" t="s">
        <v>2962</v>
      </c>
      <c r="F513" t="s">
        <v>3957</v>
      </c>
      <c r="G513" s="562">
        <v>14929.18</v>
      </c>
      <c r="K513" s="562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2">
        <v>0</v>
      </c>
      <c r="E514" t="s">
        <v>1756</v>
      </c>
      <c r="F514" t="s">
        <v>3957</v>
      </c>
      <c r="G514" s="562">
        <v>8884.19</v>
      </c>
      <c r="K514" s="562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2">
        <v>0</v>
      </c>
      <c r="E515" t="s">
        <v>1757</v>
      </c>
      <c r="F515" t="s">
        <v>3957</v>
      </c>
      <c r="G515" s="562">
        <v>14239.19</v>
      </c>
      <c r="K515" s="562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2">
        <v>0</v>
      </c>
      <c r="E516" t="s">
        <v>3223</v>
      </c>
      <c r="F516" t="s">
        <v>3970</v>
      </c>
      <c r="G516" s="562">
        <v>11559.96</v>
      </c>
      <c r="K516" s="562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2">
        <v>0</v>
      </c>
      <c r="E517" t="s">
        <v>3646</v>
      </c>
      <c r="F517" t="s">
        <v>3970</v>
      </c>
      <c r="G517" s="562">
        <v>11559.96</v>
      </c>
      <c r="K517" s="562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2">
        <v>0</v>
      </c>
      <c r="E518" t="s">
        <v>3226</v>
      </c>
      <c r="F518" t="s">
        <v>3970</v>
      </c>
      <c r="G518" s="562">
        <v>11559.96</v>
      </c>
      <c r="K518" s="562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2">
        <v>0</v>
      </c>
      <c r="E519" t="s">
        <v>3217</v>
      </c>
      <c r="F519" t="s">
        <v>3970</v>
      </c>
      <c r="G519" s="562">
        <v>11559.96</v>
      </c>
      <c r="K519" s="562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2">
        <v>0</v>
      </c>
      <c r="E520" t="s">
        <v>3220</v>
      </c>
      <c r="F520" t="s">
        <v>3970</v>
      </c>
      <c r="G520" s="562">
        <v>11559.96</v>
      </c>
      <c r="K520" s="562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2">
        <v>0</v>
      </c>
      <c r="E521" t="s">
        <v>3213</v>
      </c>
      <c r="F521" t="s">
        <v>3970</v>
      </c>
      <c r="G521" s="562">
        <v>9059.9599999999991</v>
      </c>
      <c r="K521" s="562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2">
        <v>792144.86</v>
      </c>
      <c r="E522" t="s">
        <v>1682</v>
      </c>
      <c r="F522" t="s">
        <v>3978</v>
      </c>
      <c r="G522" s="562">
        <v>792144.86</v>
      </c>
      <c r="K522" s="562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2">
        <v>361782.69999999995</v>
      </c>
      <c r="E523" t="s">
        <v>820</v>
      </c>
      <c r="F523" t="s">
        <v>3978</v>
      </c>
      <c r="G523" s="562">
        <v>361782.7</v>
      </c>
      <c r="K523" s="562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2">
        <v>505666.32</v>
      </c>
      <c r="E524" t="s">
        <v>1539</v>
      </c>
      <c r="F524" t="s">
        <v>3978</v>
      </c>
      <c r="G524" s="562">
        <v>505666.32</v>
      </c>
      <c r="K524" s="562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2">
        <v>532388.56000000006</v>
      </c>
      <c r="E525" t="s">
        <v>822</v>
      </c>
      <c r="F525" t="s">
        <v>3978</v>
      </c>
      <c r="G525" s="562">
        <v>532388.56000000006</v>
      </c>
      <c r="K525" s="562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2">
        <v>345963.3</v>
      </c>
      <c r="E526" t="s">
        <v>1540</v>
      </c>
      <c r="F526" t="s">
        <v>3978</v>
      </c>
      <c r="G526" s="562">
        <v>345963.3</v>
      </c>
      <c r="K526" s="562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2">
        <v>900000</v>
      </c>
      <c r="E527" t="s">
        <v>3989</v>
      </c>
      <c r="F527" t="s">
        <v>3990</v>
      </c>
      <c r="G527" s="562">
        <v>900000</v>
      </c>
      <c r="K527" s="562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2">
        <v>0</v>
      </c>
      <c r="E528" t="s">
        <v>2731</v>
      </c>
      <c r="F528" t="s">
        <v>3992</v>
      </c>
      <c r="G528" s="562">
        <v>1598.88</v>
      </c>
      <c r="K528" s="562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2">
        <v>0</v>
      </c>
      <c r="E529" t="s">
        <v>2731</v>
      </c>
      <c r="F529" t="s">
        <v>3994</v>
      </c>
      <c r="G529" s="562">
        <v>1802.6499999999999</v>
      </c>
      <c r="K529" s="562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2">
        <v>4355.8500000000004</v>
      </c>
      <c r="E530" t="s">
        <v>2709</v>
      </c>
      <c r="F530" t="s">
        <v>3997</v>
      </c>
      <c r="G530" s="562">
        <v>4355.8500000000004</v>
      </c>
      <c r="K530" s="562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2">
        <v>0</v>
      </c>
      <c r="E531" t="s">
        <v>3999</v>
      </c>
      <c r="F531" t="s">
        <v>4000</v>
      </c>
      <c r="G531" s="562">
        <v>1962</v>
      </c>
      <c r="K531" s="562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2">
        <v>0</v>
      </c>
      <c r="E532" t="s">
        <v>4002</v>
      </c>
      <c r="F532" t="s">
        <v>4003</v>
      </c>
      <c r="G532" s="562">
        <v>804437.39</v>
      </c>
      <c r="K532" s="562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2">
        <v>0</v>
      </c>
      <c r="E533" t="s">
        <v>2775</v>
      </c>
      <c r="F533" t="s">
        <v>4005</v>
      </c>
      <c r="G533" s="562">
        <v>1081.76</v>
      </c>
      <c r="K533" s="562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2">
        <v>0</v>
      </c>
      <c r="E534" t="s">
        <v>3586</v>
      </c>
      <c r="F534" t="s">
        <v>4007</v>
      </c>
      <c r="G534" s="562">
        <v>16562.5</v>
      </c>
      <c r="K534" s="562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2">
        <v>345500</v>
      </c>
      <c r="E535" t="s">
        <v>818</v>
      </c>
      <c r="F535" t="s">
        <v>4010</v>
      </c>
      <c r="G535" s="562">
        <v>345500</v>
      </c>
      <c r="K535" s="562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2">
        <v>466200</v>
      </c>
      <c r="E536" t="s">
        <v>1539</v>
      </c>
      <c r="F536" t="s">
        <v>4010</v>
      </c>
      <c r="G536" s="562">
        <v>466200</v>
      </c>
      <c r="K536" s="562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2">
        <v>205000</v>
      </c>
      <c r="E537" t="s">
        <v>1540</v>
      </c>
      <c r="F537" t="s">
        <v>4010</v>
      </c>
      <c r="G537" s="562">
        <v>205000</v>
      </c>
      <c r="K537" s="562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2">
        <v>455476.19</v>
      </c>
      <c r="E538" t="s">
        <v>1682</v>
      </c>
      <c r="F538" t="s">
        <v>4017</v>
      </c>
      <c r="G538" s="562">
        <v>455476.19</v>
      </c>
      <c r="K538" s="562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2">
        <v>284121.43</v>
      </c>
      <c r="E539" t="s">
        <v>820</v>
      </c>
      <c r="F539" t="s">
        <v>4020</v>
      </c>
      <c r="G539" s="562">
        <v>284121.43</v>
      </c>
      <c r="K539" s="562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2">
        <v>241007.14</v>
      </c>
      <c r="E540" t="s">
        <v>1539</v>
      </c>
      <c r="F540" t="s">
        <v>4020</v>
      </c>
      <c r="G540" s="562">
        <v>241007.14</v>
      </c>
      <c r="K540" s="562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2">
        <v>321342.84999999998</v>
      </c>
      <c r="E541" t="s">
        <v>4025</v>
      </c>
      <c r="F541" t="s">
        <v>4020</v>
      </c>
      <c r="G541" s="562">
        <v>321342.84999999998</v>
      </c>
      <c r="K541" s="562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2">
        <v>1200</v>
      </c>
      <c r="E542" t="s">
        <v>2731</v>
      </c>
      <c r="F542" t="s">
        <v>4028</v>
      </c>
      <c r="G542" s="562">
        <v>1125</v>
      </c>
      <c r="K542" s="562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2">
        <v>20000</v>
      </c>
      <c r="E543" t="s">
        <v>4031</v>
      </c>
      <c r="F543" t="s">
        <v>4032</v>
      </c>
      <c r="G543" s="562">
        <v>18750</v>
      </c>
      <c r="K543" s="562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2">
        <v>76000</v>
      </c>
      <c r="E544" t="s">
        <v>4035</v>
      </c>
      <c r="F544" t="s">
        <v>4036</v>
      </c>
      <c r="G544" s="562">
        <v>71928.570000000007</v>
      </c>
      <c r="K544" s="562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2">
        <v>2130</v>
      </c>
      <c r="E545" t="s">
        <v>2899</v>
      </c>
      <c r="F545" t="s">
        <v>4039</v>
      </c>
      <c r="G545" s="562">
        <v>2130</v>
      </c>
      <c r="K545" s="562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2">
        <v>5175</v>
      </c>
      <c r="E546" t="s">
        <v>1669</v>
      </c>
      <c r="F546" t="s">
        <v>4042</v>
      </c>
      <c r="G546" s="562">
        <v>5175</v>
      </c>
      <c r="K546" s="562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2">
        <v>4200</v>
      </c>
      <c r="E547" t="s">
        <v>4045</v>
      </c>
      <c r="F547" t="s">
        <v>4046</v>
      </c>
      <c r="G547" s="562">
        <v>4200</v>
      </c>
      <c r="K547" s="562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2">
        <v>2688</v>
      </c>
      <c r="E548" t="s">
        <v>2775</v>
      </c>
      <c r="F548" t="s">
        <v>4049</v>
      </c>
      <c r="G548" s="562">
        <v>2544</v>
      </c>
      <c r="K548" s="562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2">
        <v>2500</v>
      </c>
      <c r="E549" t="s">
        <v>3598</v>
      </c>
      <c r="F549" t="s">
        <v>4052</v>
      </c>
      <c r="G549" s="562">
        <v>2366.0700000000002</v>
      </c>
      <c r="K549" s="562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2">
        <v>640</v>
      </c>
      <c r="E550" t="s">
        <v>2720</v>
      </c>
      <c r="F550" t="s">
        <v>4055</v>
      </c>
      <c r="G550" s="562">
        <v>600.14</v>
      </c>
      <c r="K550" s="562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2">
        <v>33180</v>
      </c>
      <c r="E551" t="s">
        <v>4058</v>
      </c>
      <c r="F551" t="s">
        <v>4059</v>
      </c>
      <c r="G551" s="562">
        <v>31521</v>
      </c>
      <c r="K551" s="562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2">
        <v>0</v>
      </c>
      <c r="E552" t="s">
        <v>2751</v>
      </c>
      <c r="F552" t="s">
        <v>4061</v>
      </c>
      <c r="G552" s="562">
        <v>16742.400000000001</v>
      </c>
      <c r="K552" s="562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2">
        <v>550000</v>
      </c>
      <c r="E553" t="s">
        <v>1682</v>
      </c>
      <c r="F553" t="s">
        <v>4064</v>
      </c>
      <c r="G553" s="562">
        <v>550000</v>
      </c>
      <c r="K553" s="562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2">
        <v>550000</v>
      </c>
      <c r="E554" t="s">
        <v>820</v>
      </c>
      <c r="F554" t="s">
        <v>4064</v>
      </c>
      <c r="G554" s="562">
        <v>550000</v>
      </c>
      <c r="K554" s="562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2">
        <v>600000</v>
      </c>
      <c r="E555" t="s">
        <v>1539</v>
      </c>
      <c r="F555" t="s">
        <v>4064</v>
      </c>
      <c r="G555" s="562">
        <v>600000</v>
      </c>
      <c r="K555" s="562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2">
        <v>550000</v>
      </c>
      <c r="E556" t="s">
        <v>822</v>
      </c>
      <c r="F556" t="s">
        <v>4064</v>
      </c>
      <c r="G556" s="562">
        <v>550000</v>
      </c>
      <c r="K556" s="562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2">
        <v>550000</v>
      </c>
      <c r="E557" t="s">
        <v>1540</v>
      </c>
      <c r="F557" t="s">
        <v>4064</v>
      </c>
      <c r="G557" s="562">
        <v>550000</v>
      </c>
      <c r="K557" s="562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2">
        <v>0</v>
      </c>
      <c r="E558" t="s">
        <v>4074</v>
      </c>
      <c r="F558" t="s">
        <v>4075</v>
      </c>
      <c r="G558" s="562">
        <v>150000</v>
      </c>
      <c r="K558" s="562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2">
        <v>0</v>
      </c>
      <c r="E559" t="s">
        <v>822</v>
      </c>
      <c r="F559" t="s">
        <v>4075</v>
      </c>
      <c r="G559" s="562">
        <v>426841.76</v>
      </c>
      <c r="K559" s="562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2">
        <v>0</v>
      </c>
      <c r="E560" t="s">
        <v>823</v>
      </c>
      <c r="F560" t="s">
        <v>4075</v>
      </c>
      <c r="G560" s="562">
        <v>186833.71</v>
      </c>
      <c r="K560" s="562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2">
        <v>0</v>
      </c>
      <c r="E561" t="s">
        <v>4079</v>
      </c>
      <c r="F561" t="s">
        <v>4080</v>
      </c>
      <c r="G561" s="562">
        <v>24442.61</v>
      </c>
      <c r="K561" s="562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2">
        <v>51050</v>
      </c>
      <c r="E562" t="s">
        <v>818</v>
      </c>
      <c r="F562" t="s">
        <v>4083</v>
      </c>
      <c r="G562" s="562">
        <v>51050</v>
      </c>
      <c r="K562" s="562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2">
        <v>100000</v>
      </c>
      <c r="E563" t="s">
        <v>820</v>
      </c>
      <c r="F563" t="s">
        <v>4083</v>
      </c>
      <c r="G563" s="562">
        <v>100000</v>
      </c>
      <c r="K563" s="562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2">
        <v>99030</v>
      </c>
      <c r="E564" t="s">
        <v>1539</v>
      </c>
      <c r="F564" t="s">
        <v>4083</v>
      </c>
      <c r="G564" s="562">
        <v>99030</v>
      </c>
      <c r="K564" s="562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2">
        <v>10250</v>
      </c>
      <c r="E565" t="s">
        <v>1540</v>
      </c>
      <c r="F565" t="s">
        <v>4083</v>
      </c>
      <c r="G565" s="562">
        <v>10250</v>
      </c>
      <c r="K565" s="562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2">
        <v>13034</v>
      </c>
      <c r="E566" t="s">
        <v>1075</v>
      </c>
      <c r="F566" t="s">
        <v>4092</v>
      </c>
      <c r="G566" s="562">
        <v>12034</v>
      </c>
      <c r="K566" s="562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2">
        <v>6850</v>
      </c>
      <c r="E567" t="s">
        <v>4095</v>
      </c>
      <c r="F567" t="s">
        <v>4096</v>
      </c>
      <c r="G567" s="562">
        <v>6483.04</v>
      </c>
      <c r="K567" s="562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2">
        <v>101505.45</v>
      </c>
      <c r="E568" t="s">
        <v>4099</v>
      </c>
      <c r="F568" t="s">
        <v>4100</v>
      </c>
      <c r="G568" s="562">
        <v>101505.45</v>
      </c>
      <c r="K568" s="562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2">
        <v>0</v>
      </c>
      <c r="E569" t="s">
        <v>4099</v>
      </c>
      <c r="F569" t="s">
        <v>4102</v>
      </c>
      <c r="G569" s="562">
        <v>86607.18</v>
      </c>
      <c r="K569" s="562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2">
        <v>11455.25</v>
      </c>
      <c r="E570" t="s">
        <v>3001</v>
      </c>
      <c r="F570" t="s">
        <v>4105</v>
      </c>
      <c r="G570" s="562">
        <v>11455.25</v>
      </c>
      <c r="K570" s="562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2">
        <v>8164.75</v>
      </c>
      <c r="E571" t="s">
        <v>4108</v>
      </c>
      <c r="F571" t="s">
        <v>4109</v>
      </c>
      <c r="G571" s="562">
        <v>8164.75</v>
      </c>
      <c r="K571" s="562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2">
        <v>2500</v>
      </c>
      <c r="E572" t="s">
        <v>2731</v>
      </c>
      <c r="F572" t="s">
        <v>4112</v>
      </c>
      <c r="G572" s="562">
        <v>2343.75</v>
      </c>
      <c r="K572" s="562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2">
        <v>2511.36</v>
      </c>
      <c r="E573" t="s">
        <v>3112</v>
      </c>
      <c r="F573" t="s">
        <v>4115</v>
      </c>
      <c r="G573" s="562">
        <v>2511.36</v>
      </c>
      <c r="K573" s="562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2">
        <v>10000</v>
      </c>
      <c r="E574" t="s">
        <v>3363</v>
      </c>
      <c r="F574" t="s">
        <v>4092</v>
      </c>
      <c r="G574" s="562">
        <v>0</v>
      </c>
      <c r="K574" s="562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2">
        <v>170501.47</v>
      </c>
      <c r="E575" t="s">
        <v>2844</v>
      </c>
      <c r="F575" t="s">
        <v>4120</v>
      </c>
      <c r="G575" s="562">
        <v>155278.13</v>
      </c>
      <c r="K575" s="562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2">
        <v>7712.46</v>
      </c>
      <c r="E576" t="s">
        <v>2916</v>
      </c>
      <c r="F576" t="s">
        <v>4123</v>
      </c>
      <c r="G576" s="562">
        <v>7712.46</v>
      </c>
      <c r="K576" s="562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2">
        <v>9559.2900000000009</v>
      </c>
      <c r="E577" t="s">
        <v>4099</v>
      </c>
      <c r="F577" t="s">
        <v>4126</v>
      </c>
      <c r="G577" s="562">
        <v>9559.2900000000009</v>
      </c>
      <c r="K577" s="562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2">
        <v>0</v>
      </c>
      <c r="E578" t="s">
        <v>4099</v>
      </c>
      <c r="F578" t="s">
        <v>4128</v>
      </c>
      <c r="G578" s="562">
        <v>73582.86</v>
      </c>
      <c r="K578" s="562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2">
        <v>0</v>
      </c>
      <c r="E579" t="s">
        <v>3001</v>
      </c>
      <c r="F579" t="s">
        <v>3338</v>
      </c>
      <c r="G579" s="562">
        <v>118.93</v>
      </c>
      <c r="K579" s="562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2">
        <v>3800</v>
      </c>
      <c r="E580" t="s">
        <v>2720</v>
      </c>
      <c r="F580" t="s">
        <v>4132</v>
      </c>
      <c r="G580" s="562">
        <v>3562.5</v>
      </c>
      <c r="K580" s="562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2">
        <v>0</v>
      </c>
      <c r="E581" t="s">
        <v>4134</v>
      </c>
      <c r="F581" t="s">
        <v>4135</v>
      </c>
      <c r="G581" s="562">
        <v>838388.86</v>
      </c>
      <c r="K581" s="562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2">
        <v>0</v>
      </c>
      <c r="E582" t="s">
        <v>4137</v>
      </c>
      <c r="F582" t="s">
        <v>4138</v>
      </c>
      <c r="G582" s="562">
        <v>399360</v>
      </c>
      <c r="K582" s="562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2">
        <v>0</v>
      </c>
      <c r="E583" t="s">
        <v>4140</v>
      </c>
      <c r="F583" t="s">
        <v>4141</v>
      </c>
      <c r="G583" s="562">
        <v>530000</v>
      </c>
      <c r="K583" s="562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2">
        <v>256101</v>
      </c>
      <c r="E584" t="s">
        <v>1540</v>
      </c>
      <c r="F584" t="s">
        <v>4144</v>
      </c>
      <c r="G584" s="562">
        <v>256101</v>
      </c>
      <c r="K584" s="562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2">
        <v>184464</v>
      </c>
      <c r="E585" t="s">
        <v>1539</v>
      </c>
      <c r="F585" t="s">
        <v>4144</v>
      </c>
      <c r="G585" s="562">
        <v>184464</v>
      </c>
      <c r="K585" s="562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2">
        <v>22316</v>
      </c>
      <c r="E586" t="s">
        <v>843</v>
      </c>
      <c r="F586" t="s">
        <v>4149</v>
      </c>
      <c r="G586" s="562">
        <v>22316</v>
      </c>
      <c r="K586" s="562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2">
        <v>14120</v>
      </c>
      <c r="E587" t="s">
        <v>843</v>
      </c>
      <c r="F587" t="s">
        <v>4149</v>
      </c>
      <c r="G587" s="562">
        <v>14120</v>
      </c>
      <c r="K587" s="562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2">
        <v>43786.5</v>
      </c>
      <c r="E588" t="s">
        <v>843</v>
      </c>
      <c r="F588" t="s">
        <v>4149</v>
      </c>
      <c r="G588" s="562">
        <v>38703.17</v>
      </c>
      <c r="K588" s="562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2">
        <v>0</v>
      </c>
      <c r="E589" t="s">
        <v>3363</v>
      </c>
      <c r="F589" t="s">
        <v>4149</v>
      </c>
      <c r="G589" s="562">
        <v>9000</v>
      </c>
      <c r="K589" s="562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2">
        <v>1464950</v>
      </c>
      <c r="E590" t="s">
        <v>820</v>
      </c>
      <c r="F590" t="s">
        <v>4157</v>
      </c>
      <c r="G590" s="562">
        <v>1464950</v>
      </c>
      <c r="K590" s="562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2">
        <v>1266031.21</v>
      </c>
      <c r="E591" t="s">
        <v>4160</v>
      </c>
      <c r="F591" t="s">
        <v>4157</v>
      </c>
      <c r="G591" s="562">
        <v>1266031.2099999667</v>
      </c>
      <c r="K591" s="562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2">
        <v>348243.76</v>
      </c>
      <c r="E592" t="s">
        <v>4163</v>
      </c>
      <c r="F592" t="s">
        <v>4164</v>
      </c>
      <c r="G592" s="562">
        <v>348243.76</v>
      </c>
      <c r="K592" s="562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2">
        <v>333817.76</v>
      </c>
      <c r="E593" t="s">
        <v>4160</v>
      </c>
      <c r="F593" t="s">
        <v>4164</v>
      </c>
      <c r="G593" s="562">
        <v>333817.76</v>
      </c>
      <c r="K593" s="562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2">
        <v>348243.76</v>
      </c>
      <c r="E594" t="s">
        <v>4169</v>
      </c>
      <c r="F594" t="s">
        <v>4164</v>
      </c>
      <c r="G594" s="562">
        <v>348243.76</v>
      </c>
      <c r="K594" s="562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2">
        <v>0</v>
      </c>
      <c r="E595" t="s">
        <v>1105</v>
      </c>
      <c r="F595" t="s">
        <v>4171</v>
      </c>
      <c r="G595" s="562">
        <v>500</v>
      </c>
      <c r="K595" s="562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2">
        <v>760350</v>
      </c>
      <c r="E596" t="s">
        <v>822</v>
      </c>
      <c r="F596" t="s">
        <v>4174</v>
      </c>
      <c r="G596" s="562">
        <v>760350</v>
      </c>
      <c r="K596" s="562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2">
        <v>194400</v>
      </c>
      <c r="E597" t="s">
        <v>1682</v>
      </c>
      <c r="F597" t="s">
        <v>4177</v>
      </c>
      <c r="G597" s="562">
        <v>194400</v>
      </c>
      <c r="K597" s="562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2">
        <v>194400</v>
      </c>
      <c r="E598" t="s">
        <v>1539</v>
      </c>
      <c r="F598" t="s">
        <v>4177</v>
      </c>
      <c r="G598" s="562">
        <v>194400</v>
      </c>
      <c r="K598" s="562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2">
        <v>194400</v>
      </c>
      <c r="E599" t="s">
        <v>1540</v>
      </c>
      <c r="F599" t="s">
        <v>4177</v>
      </c>
      <c r="G599" s="562">
        <v>194400</v>
      </c>
      <c r="K599" s="562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2">
        <v>640000</v>
      </c>
      <c r="E600" t="s">
        <v>822</v>
      </c>
      <c r="F600" t="s">
        <v>4184</v>
      </c>
      <c r="G600" s="562">
        <v>640000</v>
      </c>
      <c r="K600" s="562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2">
        <v>287809.53000000003</v>
      </c>
      <c r="E601" t="s">
        <v>822</v>
      </c>
      <c r="F601" t="s">
        <v>4187</v>
      </c>
      <c r="G601" s="562">
        <v>287809.53000000003</v>
      </c>
      <c r="K601" s="562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2">
        <v>0</v>
      </c>
      <c r="E602" t="s">
        <v>4189</v>
      </c>
      <c r="F602" t="s">
        <v>4190</v>
      </c>
      <c r="G602" s="562">
        <v>253642.85</v>
      </c>
      <c r="K602" s="562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2">
        <v>0</v>
      </c>
      <c r="E603" t="s">
        <v>4192</v>
      </c>
      <c r="F603" t="s">
        <v>4193</v>
      </c>
      <c r="G603" s="562">
        <v>100</v>
      </c>
      <c r="K603" s="562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2">
        <v>3500</v>
      </c>
      <c r="E604" t="s">
        <v>2731</v>
      </c>
      <c r="F604" t="s">
        <v>4196</v>
      </c>
      <c r="G604" s="562">
        <v>3281.25</v>
      </c>
      <c r="K604" s="562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2">
        <v>12000</v>
      </c>
      <c r="E605" t="s">
        <v>2693</v>
      </c>
      <c r="F605" t="s">
        <v>4199</v>
      </c>
      <c r="G605" s="562">
        <v>12000</v>
      </c>
      <c r="K605" s="562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2">
        <v>4800</v>
      </c>
      <c r="E606" t="s">
        <v>4079</v>
      </c>
      <c r="F606" t="s">
        <v>4202</v>
      </c>
      <c r="G606" s="562">
        <v>4800</v>
      </c>
      <c r="K606" s="562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0" t="s">
        <v>4212</v>
      </c>
      <c r="B1" s="10"/>
      <c r="C1" s="10"/>
      <c r="D1" s="10"/>
      <c r="E1" s="10"/>
      <c r="F1" s="10"/>
      <c r="G1" s="9" t="s">
        <v>4213</v>
      </c>
      <c r="H1" s="9"/>
    </row>
    <row r="2" spans="1:8" ht="28.8">
      <c r="A2" s="568" t="s">
        <v>2052</v>
      </c>
      <c r="B2" s="569" t="s">
        <v>2665</v>
      </c>
      <c r="C2" s="569"/>
      <c r="D2" s="568" t="s">
        <v>155</v>
      </c>
      <c r="E2" s="568" t="s">
        <v>4208</v>
      </c>
      <c r="F2" s="568" t="s">
        <v>4210</v>
      </c>
      <c r="G2" s="568" t="s">
        <v>4211</v>
      </c>
      <c r="H2" s="568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2" customWidth="1"/>
    <col min="4" max="4" width="15.33203125" style="562" customWidth="1"/>
    <col min="5" max="5" width="20.33203125" customWidth="1"/>
    <col min="6" max="6" width="27" bestFit="1" customWidth="1"/>
    <col min="7" max="7" width="90.33203125" customWidth="1"/>
    <col min="8" max="8" width="14.33203125" style="562" bestFit="1" customWidth="1"/>
    <col min="9" max="9" width="24.109375" style="562" bestFit="1" customWidth="1"/>
    <col min="10" max="10" width="28" customWidth="1"/>
    <col min="11" max="11" width="20.33203125" customWidth="1"/>
    <col min="12" max="12" width="14.33203125" style="562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2" t="e">
        <f>SUM(H4:H607)</f>
        <v>#VALUE!</v>
      </c>
      <c r="M2" s="562" t="e">
        <f>SUM(M4:M607)</f>
        <v>#VALUE!</v>
      </c>
      <c r="N2" s="276"/>
    </row>
    <row r="3" spans="1:17" ht="21.75" customHeight="1">
      <c r="A3" s="565" t="s">
        <v>2673</v>
      </c>
      <c r="B3" s="565" t="s">
        <v>2052</v>
      </c>
      <c r="C3" s="566" t="s">
        <v>2665</v>
      </c>
      <c r="D3" s="566" t="s">
        <v>2376</v>
      </c>
      <c r="E3" s="565" t="s">
        <v>940</v>
      </c>
      <c r="F3" s="565" t="s">
        <v>155</v>
      </c>
      <c r="G3" s="565" t="s">
        <v>156</v>
      </c>
      <c r="H3" s="566" t="s">
        <v>2377</v>
      </c>
      <c r="I3" s="566" t="s">
        <v>2684</v>
      </c>
      <c r="J3" s="565" t="s">
        <v>2682</v>
      </c>
      <c r="K3" s="565" t="s">
        <v>2677</v>
      </c>
      <c r="L3" s="566" t="s">
        <v>2665</v>
      </c>
      <c r="M3" s="562"/>
      <c r="N3" s="276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2" t="e">
        <f>VLOOKUP(L4,'Import Process ORS'!$D$4:$E$1557,2,FALSE)</f>
        <v>#N/A</v>
      </c>
      <c r="D4" s="562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2" t="e">
        <f>SUMIFS('[1]MAIN-101'!$Z$1:$Z$3000,'[1]MAIN-101'!$X$1:$X$3000,A4)</f>
        <v>#VALUE!</v>
      </c>
      <c r="I4" s="562" t="s">
        <v>2687</v>
      </c>
      <c r="J4" t="s">
        <v>2683</v>
      </c>
      <c r="K4" t="s">
        <v>2678</v>
      </c>
      <c r="L4" s="562" t="str">
        <f>VLOOKUP(A4,'Format for Import of DV'!$A$3:$S$1556,3,FALSE)</f>
        <v>001</v>
      </c>
      <c r="M4" s="562" t="e">
        <f>SUMIFS('Recon of ORS and DV'!D:D,'Recon of ORS and DV'!B:B,'DV List for import'!A4)</f>
        <v>#VALUE!</v>
      </c>
      <c r="N4" s="276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2" t="e">
        <f>VLOOKUP(L5,'Import Process ORS'!$D$4:$E$1557,2,FALSE)</f>
        <v>#N/A</v>
      </c>
      <c r="D5" s="562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2" t="e">
        <f>SUMIFS('[1]MAIN-101'!$Z$1:$Z$3000,'[1]MAIN-101'!$X$1:$X$3000,A5)</f>
        <v>#VALUE!</v>
      </c>
      <c r="I5" s="562" t="s">
        <v>2687</v>
      </c>
      <c r="J5" t="s">
        <v>2683</v>
      </c>
      <c r="K5" t="s">
        <v>2678</v>
      </c>
      <c r="L5" s="562" t="str">
        <f>VLOOKUP(A5,'Format for Import of DV'!$A$3:$S$1556,3,FALSE)</f>
        <v>002</v>
      </c>
      <c r="M5" s="562" t="e">
        <f>SUMIFS('Recon of ORS and DV'!D:D,'Recon of ORS and DV'!B:B,'DV List for import'!A5)</f>
        <v>#VALUE!</v>
      </c>
      <c r="N5" s="276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4" t="str">
        <f>L6</f>
        <v>0000-00-0000</v>
      </c>
      <c r="D6" s="562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2" t="e">
        <f>SUMIFS('[1]MAIN-101'!$Z$1:$Z$3000,'[1]MAIN-101'!$X$1:$X$3000,A6)</f>
        <v>#VALUE!</v>
      </c>
      <c r="I6" s="562" t="s">
        <v>2662</v>
      </c>
      <c r="J6" t="s">
        <v>2053</v>
      </c>
      <c r="K6" t="s">
        <v>2680</v>
      </c>
      <c r="L6" s="564" t="s">
        <v>2666</v>
      </c>
      <c r="M6" s="562">
        <f>SUMIFS('Recon of ORS and DV'!D:D,'Recon of ORS and DV'!B:B,'DV List for import'!A6)</f>
        <v>0</v>
      </c>
      <c r="N6" s="276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4" t="str">
        <f>L7</f>
        <v>0000-00-0000</v>
      </c>
      <c r="D7" s="562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2" t="e">
        <f>SUMIFS('[1]MAIN-101'!$Z$1:$Z$3000,'[1]MAIN-101'!$X$1:$X$3000,A7)</f>
        <v>#VALUE!</v>
      </c>
      <c r="I7" s="562" t="s">
        <v>2662</v>
      </c>
      <c r="J7" t="s">
        <v>2053</v>
      </c>
      <c r="K7" t="s">
        <v>2680</v>
      </c>
      <c r="L7" s="564" t="s">
        <v>2666</v>
      </c>
      <c r="M7" s="562">
        <f>SUMIFS('Recon of ORS and DV'!D:D,'Recon of ORS and DV'!B:B,'DV List for import'!A7)</f>
        <v>0</v>
      </c>
      <c r="N7" s="276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2" t="e">
        <f>VLOOKUP(L8,'Import Process ORS'!$D$4:$E$1557,2,FALSE)</f>
        <v>#N/A</v>
      </c>
      <c r="D8" s="562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2" t="e">
        <f>SUMIFS('[1]MAIN-101'!$Z$1:$Z$3000,'[1]MAIN-101'!$X$1:$X$3000,A8)</f>
        <v>#VALUE!</v>
      </c>
      <c r="I8" s="562" t="s">
        <v>2687</v>
      </c>
      <c r="J8" t="s">
        <v>2683</v>
      </c>
      <c r="K8" t="s">
        <v>2678</v>
      </c>
      <c r="L8" s="562" t="str">
        <f>VLOOKUP(A8,'Format for Import of DV'!$A$3:$S$1556,3,FALSE)</f>
        <v>003</v>
      </c>
      <c r="M8" s="562" t="e">
        <f>SUMIFS('Recon of ORS and DV'!D:D,'Recon of ORS and DV'!B:B,'DV List for import'!A8)</f>
        <v>#VALUE!</v>
      </c>
      <c r="N8" s="276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4" t="str">
        <f>L9</f>
        <v>0000-00-0000</v>
      </c>
      <c r="D9" s="562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2" t="e">
        <f>SUMIFS('[1]MAIN-101'!$Z$1:$Z$3000,'[1]MAIN-101'!$X$1:$X$3000,A9)</f>
        <v>#VALUE!</v>
      </c>
      <c r="I9" s="562" t="s">
        <v>2662</v>
      </c>
      <c r="J9" t="s">
        <v>2053</v>
      </c>
      <c r="K9" t="s">
        <v>2680</v>
      </c>
      <c r="L9" s="564" t="s">
        <v>2666</v>
      </c>
      <c r="M9" s="562">
        <f>SUMIFS('Recon of ORS and DV'!D:D,'Recon of ORS and DV'!B:B,'DV List for import'!A9)</f>
        <v>0</v>
      </c>
      <c r="N9" s="276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2" t="e">
        <f>VLOOKUP(L10,'Import Process ORS'!$D$4:$E$1557,2,FALSE)</f>
        <v>#N/A</v>
      </c>
      <c r="D10" s="562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2" t="e">
        <f>SUMIFS('[1]MAIN-101'!$Z$1:$Z$3000,'[1]MAIN-101'!$X$1:$X$3000,A10)</f>
        <v>#VALUE!</v>
      </c>
      <c r="I10" s="562" t="s">
        <v>2687</v>
      </c>
      <c r="J10" t="s">
        <v>2683</v>
      </c>
      <c r="K10" t="s">
        <v>2678</v>
      </c>
      <c r="L10" s="562" t="str">
        <f>VLOOKUP(A10,'Format for Import of DV'!$A$3:$S$1556,3,FALSE)</f>
        <v>004</v>
      </c>
      <c r="M10" s="562" t="e">
        <f>SUMIFS('Recon of ORS and DV'!D:D,'Recon of ORS and DV'!B:B,'DV List for import'!A10)</f>
        <v>#VALUE!</v>
      </c>
      <c r="N10" s="276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2" t="e">
        <f>VLOOKUP(L11,'Import Process ORS'!$D$4:$E$1557,2,FALSE)</f>
        <v>#N/A</v>
      </c>
      <c r="D11" s="562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2" t="e">
        <f>SUMIFS('[1]MAIN-101'!$Z$1:$Z$3000,'[1]MAIN-101'!$X$1:$X$3000,A11)</f>
        <v>#VALUE!</v>
      </c>
      <c r="I11" s="562" t="s">
        <v>2687</v>
      </c>
      <c r="J11" t="s">
        <v>2683</v>
      </c>
      <c r="K11" t="s">
        <v>2678</v>
      </c>
      <c r="L11" s="562" t="str">
        <f>VLOOKUP(A11,'Format for Import of DV'!$A$3:$S$1556,3,FALSE)</f>
        <v>007</v>
      </c>
      <c r="M11" s="562" t="e">
        <f>SUMIFS('Recon of ORS and DV'!D:D,'Recon of ORS and DV'!B:B,'DV List for import'!A11)</f>
        <v>#VALUE!</v>
      </c>
      <c r="N11" s="276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2" t="e">
        <f>VLOOKUP(L12,'Import Process ORS'!$D$4:$E$1557,2,FALSE)</f>
        <v>#N/A</v>
      </c>
      <c r="D12" s="562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2" t="e">
        <f>SUMIFS('[1]MAIN-101'!$Z$1:$Z$3000,'[1]MAIN-101'!$X$1:$X$3000,A12)</f>
        <v>#VALUE!</v>
      </c>
      <c r="I12" s="562" t="s">
        <v>2687</v>
      </c>
      <c r="J12" t="s">
        <v>2683</v>
      </c>
      <c r="K12" t="s">
        <v>2678</v>
      </c>
      <c r="L12" s="562" t="str">
        <f>VLOOKUP(A12,'Format for Import of DV'!$A$3:$S$1556,3,FALSE)</f>
        <v>006</v>
      </c>
      <c r="M12" s="562" t="e">
        <f>SUMIFS('Recon of ORS and DV'!D:D,'Recon of ORS and DV'!B:B,'DV List for import'!A12)</f>
        <v>#VALUE!</v>
      </c>
      <c r="N12" s="276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2" t="e">
        <f>VLOOKUP(L13,'Import Process ORS'!$D$4:$E$1557,2,FALSE)</f>
        <v>#N/A</v>
      </c>
      <c r="D13" s="562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2" t="e">
        <f>SUMIFS('[1]MAIN-101'!$Z$1:$Z$3000,'[1]MAIN-101'!$X$1:$X$3000,A13)</f>
        <v>#VALUE!</v>
      </c>
      <c r="I13" s="562" t="s">
        <v>2687</v>
      </c>
      <c r="J13" t="s">
        <v>2683</v>
      </c>
      <c r="K13" t="s">
        <v>2678</v>
      </c>
      <c r="L13" s="562" t="str">
        <f>VLOOKUP(A13,'Format for Import of DV'!$A$3:$S$1556,3,FALSE)</f>
        <v>005</v>
      </c>
      <c r="M13" s="562" t="e">
        <f>SUMIFS('Recon of ORS and DV'!D:D,'Recon of ORS and DV'!B:B,'DV List for import'!A13)</f>
        <v>#VALUE!</v>
      </c>
      <c r="N13" s="276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4" t="str">
        <f>L14</f>
        <v>0000-00-0000</v>
      </c>
      <c r="D14" s="562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2" t="e">
        <f>SUMIFS('[1]MAIN-101'!$Z$1:$Z$3000,'[1]MAIN-101'!$X$1:$X$3000,A14)</f>
        <v>#VALUE!</v>
      </c>
      <c r="I14" s="562" t="s">
        <v>2662</v>
      </c>
      <c r="J14" t="s">
        <v>2053</v>
      </c>
      <c r="K14" t="s">
        <v>2680</v>
      </c>
      <c r="L14" s="564" t="s">
        <v>2666</v>
      </c>
      <c r="M14" s="562">
        <f>SUMIFS('Recon of ORS and DV'!D:D,'Recon of ORS and DV'!B:B,'DV List for import'!A14)</f>
        <v>0</v>
      </c>
      <c r="N14" s="276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2" t="e">
        <f>VLOOKUP(L15,'Import Process ORS'!$D$4:$E$1557,2,FALSE)</f>
        <v>#N/A</v>
      </c>
      <c r="D15" s="562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2" t="e">
        <f>SUMIFS('[1]MAIN-101'!$Z$1:$Z$3000,'[1]MAIN-101'!$X$1:$X$3000,A15)</f>
        <v>#VALUE!</v>
      </c>
      <c r="I15" s="562" t="s">
        <v>2687</v>
      </c>
      <c r="J15" t="s">
        <v>2683</v>
      </c>
      <c r="K15" t="s">
        <v>2678</v>
      </c>
      <c r="L15" s="562" t="str">
        <f>VLOOKUP(A15,'Format for Import of DV'!$A$3:$S$1556,3,FALSE)</f>
        <v>008</v>
      </c>
      <c r="M15" s="562" t="e">
        <f>SUMIFS('Recon of ORS and DV'!D:D,'Recon of ORS and DV'!B:B,'DV List for import'!A15)</f>
        <v>#VALUE!</v>
      </c>
      <c r="N15" s="276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4" t="str">
        <f t="shared" ref="C16:C28" si="2">L16</f>
        <v>0000-00-0000</v>
      </c>
      <c r="D16" s="562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2" t="e">
        <f>SUMIFS('[1]MAIN-101'!$Z$1:$Z$3000,'[1]MAIN-101'!$X$1:$X$3000,A16)</f>
        <v>#VALUE!</v>
      </c>
      <c r="I16" s="562" t="s">
        <v>392</v>
      </c>
      <c r="J16" t="s">
        <v>2681</v>
      </c>
      <c r="K16" t="s">
        <v>2679</v>
      </c>
      <c r="L16" s="564" t="s">
        <v>2666</v>
      </c>
      <c r="M16" s="562">
        <f>SUMIFS('Recon of ORS and DV'!D:D,'Recon of ORS and DV'!B:B,'DV List for import'!A16)</f>
        <v>0</v>
      </c>
      <c r="N16" s="276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4" t="str">
        <f t="shared" si="2"/>
        <v>0000-00-0000</v>
      </c>
      <c r="D17" s="562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2" t="e">
        <f>SUMIFS('[1]MAIN-101'!$Z$1:$Z$3000,'[1]MAIN-101'!$X$1:$X$3000,A17)</f>
        <v>#VALUE!</v>
      </c>
      <c r="I17" s="562" t="s">
        <v>392</v>
      </c>
      <c r="J17" t="s">
        <v>2681</v>
      </c>
      <c r="K17" t="s">
        <v>2679</v>
      </c>
      <c r="L17" s="564" t="s">
        <v>2666</v>
      </c>
      <c r="M17" s="562">
        <f>SUMIFS('Recon of ORS and DV'!D:D,'Recon of ORS and DV'!B:B,'DV List for import'!A17)</f>
        <v>0</v>
      </c>
      <c r="N17" s="276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4" t="str">
        <f t="shared" si="2"/>
        <v>0000-00-0000</v>
      </c>
      <c r="D18" s="562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2" t="e">
        <f>SUMIFS('[1]MAIN-101'!$Z$1:$Z$3000,'[1]MAIN-101'!$X$1:$X$3000,A18)</f>
        <v>#VALUE!</v>
      </c>
      <c r="I18" s="562" t="s">
        <v>392</v>
      </c>
      <c r="J18" t="s">
        <v>2681</v>
      </c>
      <c r="K18" t="s">
        <v>2679</v>
      </c>
      <c r="L18" s="564" t="s">
        <v>2666</v>
      </c>
      <c r="M18" s="562">
        <f>SUMIFS('Recon of ORS and DV'!D:D,'Recon of ORS and DV'!B:B,'DV List for import'!A18)</f>
        <v>0</v>
      </c>
      <c r="N18" s="276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4" t="str">
        <f t="shared" si="2"/>
        <v>0000-00-0000</v>
      </c>
      <c r="D19" s="562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2" t="e">
        <f>SUMIFS('[1]MAIN-101'!$Z$1:$Z$3000,'[1]MAIN-101'!$X$1:$X$3000,A19)</f>
        <v>#VALUE!</v>
      </c>
      <c r="I19" s="562" t="s">
        <v>392</v>
      </c>
      <c r="J19" t="s">
        <v>2681</v>
      </c>
      <c r="K19" t="s">
        <v>2679</v>
      </c>
      <c r="L19" s="564" t="s">
        <v>2666</v>
      </c>
      <c r="M19" s="562">
        <f>SUMIFS('Recon of ORS and DV'!D:D,'Recon of ORS and DV'!B:B,'DV List for import'!A19)</f>
        <v>0</v>
      </c>
      <c r="N19" s="276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4" t="str">
        <f t="shared" si="2"/>
        <v>0000-00-0000</v>
      </c>
      <c r="D20" s="562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2" t="e">
        <f>SUMIFS('[1]MAIN-101'!$Z$1:$Z$3000,'[1]MAIN-101'!$X$1:$X$3000,A20)</f>
        <v>#VALUE!</v>
      </c>
      <c r="I20" s="562" t="s">
        <v>392</v>
      </c>
      <c r="J20" t="s">
        <v>2681</v>
      </c>
      <c r="K20" t="s">
        <v>2679</v>
      </c>
      <c r="L20" s="564" t="s">
        <v>2666</v>
      </c>
      <c r="M20" s="562">
        <f>SUMIFS('Recon of ORS and DV'!D:D,'Recon of ORS and DV'!B:B,'DV List for import'!A20)</f>
        <v>0</v>
      </c>
      <c r="N20" s="276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4" t="str">
        <f t="shared" si="2"/>
        <v>0000-00-0000</v>
      </c>
      <c r="D21" s="562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2" t="e">
        <f>SUMIFS('[1]MAIN-101'!$Z$1:$Z$3000,'[1]MAIN-101'!$X$1:$X$3000,A21)</f>
        <v>#VALUE!</v>
      </c>
      <c r="I21" s="562" t="s">
        <v>392</v>
      </c>
      <c r="J21" t="s">
        <v>2681</v>
      </c>
      <c r="K21" t="s">
        <v>2679</v>
      </c>
      <c r="L21" s="564" t="s">
        <v>2666</v>
      </c>
      <c r="M21" s="562">
        <f>SUMIFS('Recon of ORS and DV'!D:D,'Recon of ORS and DV'!B:B,'DV List for import'!A21)</f>
        <v>0</v>
      </c>
      <c r="N21" s="276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4" t="str">
        <f t="shared" si="2"/>
        <v>0000-00-0000</v>
      </c>
      <c r="D22" s="562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2" t="e">
        <f>SUMIFS('[1]MAIN-101'!$Z$1:$Z$3000,'[1]MAIN-101'!$X$1:$X$3000,A22)</f>
        <v>#VALUE!</v>
      </c>
      <c r="I22" s="562" t="s">
        <v>392</v>
      </c>
      <c r="J22" t="s">
        <v>2681</v>
      </c>
      <c r="K22" t="s">
        <v>2679</v>
      </c>
      <c r="L22" s="564" t="s">
        <v>2666</v>
      </c>
      <c r="M22" s="562">
        <f>SUMIFS('Recon of ORS and DV'!D:D,'Recon of ORS and DV'!B:B,'DV List for import'!A22)</f>
        <v>0</v>
      </c>
      <c r="N22" s="276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4" t="str">
        <f t="shared" si="2"/>
        <v>0000-00-0000</v>
      </c>
      <c r="D23" s="562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2" t="e">
        <f>SUMIFS('[1]MAIN-101'!$Z$1:$Z$3000,'[1]MAIN-101'!$X$1:$X$3000,A23)</f>
        <v>#VALUE!</v>
      </c>
      <c r="I23" s="562" t="s">
        <v>392</v>
      </c>
      <c r="J23" t="s">
        <v>2681</v>
      </c>
      <c r="K23" t="s">
        <v>2679</v>
      </c>
      <c r="L23" s="564" t="s">
        <v>2666</v>
      </c>
      <c r="M23" s="562">
        <f>SUMIFS('Recon of ORS and DV'!D:D,'Recon of ORS and DV'!B:B,'DV List for import'!A23)</f>
        <v>0</v>
      </c>
      <c r="N23" s="276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4" t="str">
        <f t="shared" si="2"/>
        <v>0000-00-0000</v>
      </c>
      <c r="D24" s="562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2" t="e">
        <f>SUMIFS('[1]MAIN-101'!$Z$1:$Z$3000,'[1]MAIN-101'!$X$1:$X$3000,A24)</f>
        <v>#VALUE!</v>
      </c>
      <c r="I24" s="562" t="s">
        <v>392</v>
      </c>
      <c r="J24" t="s">
        <v>2681</v>
      </c>
      <c r="K24" t="s">
        <v>2679</v>
      </c>
      <c r="L24" s="564" t="s">
        <v>2666</v>
      </c>
      <c r="M24" s="562">
        <f>SUMIFS('Recon of ORS and DV'!D:D,'Recon of ORS and DV'!B:B,'DV List for import'!A24)</f>
        <v>0</v>
      </c>
      <c r="N24" s="276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4" t="str">
        <f t="shared" si="2"/>
        <v>0000-00-0000</v>
      </c>
      <c r="D25" s="562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2" t="e">
        <f>SUMIFS('[1]MAIN-101'!$Z$1:$Z$3000,'[1]MAIN-101'!$X$1:$X$3000,A25)</f>
        <v>#VALUE!</v>
      </c>
      <c r="I25" s="562" t="s">
        <v>392</v>
      </c>
      <c r="J25" t="s">
        <v>2681</v>
      </c>
      <c r="K25" t="s">
        <v>2679</v>
      </c>
      <c r="L25" s="564" t="s">
        <v>2666</v>
      </c>
      <c r="M25" s="562">
        <f>SUMIFS('Recon of ORS and DV'!D:D,'Recon of ORS and DV'!B:B,'DV List for import'!A25)</f>
        <v>0</v>
      </c>
      <c r="N25" s="276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4" t="str">
        <f t="shared" si="2"/>
        <v>0000-00-0000</v>
      </c>
      <c r="D26" s="562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2" t="e">
        <f>SUMIFS('[1]MAIN-101'!$Z$1:$Z$3000,'[1]MAIN-101'!$X$1:$X$3000,A26)</f>
        <v>#VALUE!</v>
      </c>
      <c r="I26" s="562" t="s">
        <v>2687</v>
      </c>
      <c r="J26" t="s">
        <v>2683</v>
      </c>
      <c r="K26" t="s">
        <v>2678</v>
      </c>
      <c r="L26" s="564" t="s">
        <v>2666</v>
      </c>
      <c r="M26" s="562">
        <f>SUMIFS('Recon of ORS and DV'!D:D,'Recon of ORS and DV'!B:B,'DV List for import'!A26)</f>
        <v>0</v>
      </c>
      <c r="N26" s="276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4" t="str">
        <f t="shared" si="2"/>
        <v>0000-00-0000</v>
      </c>
      <c r="D27" s="562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2" t="e">
        <f>SUMIFS('[1]MAIN-101'!$Z$1:$Z$3000,'[1]MAIN-101'!$X$1:$X$3000,A27)</f>
        <v>#VALUE!</v>
      </c>
      <c r="I27" s="562" t="s">
        <v>392</v>
      </c>
      <c r="J27" t="s">
        <v>2681</v>
      </c>
      <c r="K27" t="s">
        <v>2679</v>
      </c>
      <c r="L27" s="564" t="s">
        <v>2666</v>
      </c>
      <c r="M27" s="562">
        <f>SUMIFS('Recon of ORS and DV'!D:D,'Recon of ORS and DV'!B:B,'DV List for import'!A27)</f>
        <v>0</v>
      </c>
      <c r="N27" s="276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4" t="str">
        <f t="shared" si="2"/>
        <v>0000-00-0000</v>
      </c>
      <c r="D28" s="562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2" t="e">
        <f>SUMIFS('[1]MAIN-101'!$Z$1:$Z$3000,'[1]MAIN-101'!$X$1:$X$3000,A28)</f>
        <v>#VALUE!</v>
      </c>
      <c r="I28" s="562" t="s">
        <v>392</v>
      </c>
      <c r="J28" t="s">
        <v>2681</v>
      </c>
      <c r="K28" t="s">
        <v>2679</v>
      </c>
      <c r="L28" s="564" t="s">
        <v>2666</v>
      </c>
      <c r="M28" s="562">
        <f>SUMIFS('Recon of ORS and DV'!D:D,'Recon of ORS and DV'!B:B,'DV List for import'!A28)</f>
        <v>0</v>
      </c>
      <c r="N28" s="276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2" t="e">
        <f>VLOOKUP(L29,'Import Process ORS'!$D$4:$E$1557,2,FALSE)</f>
        <v>#N/A</v>
      </c>
      <c r="D29" s="562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2" t="e">
        <f>SUMIFS('[1]MAIN-101'!$Z$1:$Z$3000,'[1]MAIN-101'!$X$1:$X$3000,A29)</f>
        <v>#VALUE!</v>
      </c>
      <c r="I29" s="562" t="s">
        <v>2687</v>
      </c>
      <c r="J29" t="s">
        <v>2683</v>
      </c>
      <c r="K29" t="s">
        <v>2678</v>
      </c>
      <c r="L29" s="562" t="str">
        <f>VLOOKUP(A29,'Format for Import of DV'!$A$3:$S$1556,3,FALSE)</f>
        <v>010</v>
      </c>
      <c r="M29" s="562" t="e">
        <f>SUMIFS('Recon of ORS and DV'!D:D,'Recon of ORS and DV'!B:B,'DV List for import'!A29)</f>
        <v>#VALUE!</v>
      </c>
      <c r="N29" s="276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2" t="e">
        <f>VLOOKUP(L30,'Import Process ORS'!$D$4:$E$1557,2,FALSE)</f>
        <v>#N/A</v>
      </c>
      <c r="D30" s="562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2" t="e">
        <f>SUMIFS('[1]MAIN-101'!$Z$1:$Z$3000,'[1]MAIN-101'!$X$1:$X$3000,A30)</f>
        <v>#VALUE!</v>
      </c>
      <c r="I30" s="562" t="s">
        <v>2687</v>
      </c>
      <c r="J30" t="s">
        <v>2683</v>
      </c>
      <c r="K30" t="s">
        <v>2678</v>
      </c>
      <c r="L30" s="562" t="str">
        <f>VLOOKUP(A30,'Format for Import of DV'!$A$3:$S$1556,3,FALSE)</f>
        <v>011</v>
      </c>
      <c r="M30" s="562" t="e">
        <f>SUMIFS('Recon of ORS and DV'!D:D,'Recon of ORS and DV'!B:B,'DV List for import'!A30)</f>
        <v>#VALUE!</v>
      </c>
      <c r="N30" s="276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2" t="e">
        <f>VLOOKUP(L31,'Import Process ORS'!$D$4:$E$1557,2,FALSE)</f>
        <v>#N/A</v>
      </c>
      <c r="D31" s="562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2" t="e">
        <f>SUMIFS('[1]MAIN-101'!$Z$1:$Z$3000,'[1]MAIN-101'!$X$1:$X$3000,A31)</f>
        <v>#VALUE!</v>
      </c>
      <c r="I31" s="562" t="s">
        <v>2687</v>
      </c>
      <c r="J31" t="s">
        <v>2683</v>
      </c>
      <c r="K31" t="s">
        <v>2678</v>
      </c>
      <c r="L31" s="562" t="str">
        <f>VLOOKUP(A31,'Format for Import of DV'!$A$3:$S$1556,3,FALSE)</f>
        <v>012</v>
      </c>
      <c r="M31" s="562" t="e">
        <f>SUMIFS('Recon of ORS and DV'!D:D,'Recon of ORS and DV'!B:B,'DV List for import'!A31)</f>
        <v>#VALUE!</v>
      </c>
      <c r="N31" s="276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2" t="e">
        <f>VLOOKUP(L32,'Import Process ORS'!$D$4:$E$1557,2,FALSE)</f>
        <v>#N/A</v>
      </c>
      <c r="D32" s="562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2" t="e">
        <f>SUMIFS('[1]MAIN-101'!$Z$1:$Z$3000,'[1]MAIN-101'!$X$1:$X$3000,A32)</f>
        <v>#VALUE!</v>
      </c>
      <c r="I32" s="562" t="s">
        <v>2687</v>
      </c>
      <c r="J32" t="s">
        <v>2683</v>
      </c>
      <c r="K32" t="s">
        <v>2678</v>
      </c>
      <c r="L32" s="562" t="str">
        <f>VLOOKUP(A32,'Format for Import of DV'!$A$3:$S$1556,3,FALSE)</f>
        <v>013</v>
      </c>
      <c r="M32" s="562" t="e">
        <f>SUMIFS('Recon of ORS and DV'!D:D,'Recon of ORS and DV'!B:B,'DV List for import'!A32)</f>
        <v>#VALUE!</v>
      </c>
      <c r="N32" s="276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4" t="str">
        <f t="shared" ref="C33:C50" si="3">L33</f>
        <v>0000-00-0000</v>
      </c>
      <c r="D33" s="562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2" t="e">
        <f>SUMIFS('[1]MAIN-101'!$Z$1:$Z$3000,'[1]MAIN-101'!$X$1:$X$3000,A33)</f>
        <v>#VALUE!</v>
      </c>
      <c r="I33" s="562" t="s">
        <v>392</v>
      </c>
      <c r="J33" t="s">
        <v>2681</v>
      </c>
      <c r="K33" t="s">
        <v>2679</v>
      </c>
      <c r="L33" s="564" t="s">
        <v>2666</v>
      </c>
      <c r="M33" s="562">
        <f>SUMIFS('Recon of ORS and DV'!D:D,'Recon of ORS and DV'!B:B,'DV List for import'!A33)</f>
        <v>0</v>
      </c>
      <c r="N33" s="276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4" t="str">
        <f t="shared" si="3"/>
        <v>0000-00-0000</v>
      </c>
      <c r="D34" s="562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2" t="e">
        <f>SUMIFS('[1]MAIN-101'!$Z$1:$Z$3000,'[1]MAIN-101'!$X$1:$X$3000,A34)</f>
        <v>#VALUE!</v>
      </c>
      <c r="I34" s="562" t="s">
        <v>392</v>
      </c>
      <c r="J34" t="s">
        <v>2681</v>
      </c>
      <c r="K34" t="s">
        <v>2679</v>
      </c>
      <c r="L34" s="564" t="s">
        <v>2666</v>
      </c>
      <c r="M34" s="562">
        <f>SUMIFS('Recon of ORS and DV'!D:D,'Recon of ORS and DV'!B:B,'DV List for import'!A34)</f>
        <v>0</v>
      </c>
      <c r="N34" s="276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4" t="str">
        <f t="shared" si="3"/>
        <v>0000-00-0000</v>
      </c>
      <c r="D35" s="562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2" t="e">
        <f>SUMIFS('[1]MAIN-101'!$Z$1:$Z$3000,'[1]MAIN-101'!$X$1:$X$3000,A35)</f>
        <v>#VALUE!</v>
      </c>
      <c r="I35" s="562" t="s">
        <v>392</v>
      </c>
      <c r="J35" t="s">
        <v>2681</v>
      </c>
      <c r="K35" t="s">
        <v>2679</v>
      </c>
      <c r="L35" s="564" t="s">
        <v>2666</v>
      </c>
      <c r="M35" s="562">
        <f>SUMIFS('Recon of ORS and DV'!D:D,'Recon of ORS and DV'!B:B,'DV List for import'!A35)</f>
        <v>0</v>
      </c>
      <c r="N35" s="276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4" t="str">
        <f t="shared" si="3"/>
        <v>0000-00-0000</v>
      </c>
      <c r="D36" s="562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2" t="e">
        <f>SUMIFS('[1]MAIN-101'!$Z$1:$Z$3000,'[1]MAIN-101'!$X$1:$X$3000,A36)</f>
        <v>#VALUE!</v>
      </c>
      <c r="I36" s="562" t="s">
        <v>392</v>
      </c>
      <c r="J36" t="s">
        <v>2681</v>
      </c>
      <c r="K36" t="s">
        <v>2679</v>
      </c>
      <c r="L36" s="564" t="s">
        <v>2666</v>
      </c>
      <c r="M36" s="562">
        <f>SUMIFS('Recon of ORS and DV'!D:D,'Recon of ORS and DV'!B:B,'DV List for import'!A36)</f>
        <v>0</v>
      </c>
      <c r="N36" s="276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4" t="str">
        <f t="shared" si="3"/>
        <v>0000-00-0000</v>
      </c>
      <c r="D37" s="562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2" t="e">
        <f>SUMIFS('[1]MAIN-101'!$Z$1:$Z$3000,'[1]MAIN-101'!$X$1:$X$3000,A37)</f>
        <v>#VALUE!</v>
      </c>
      <c r="I37" s="562" t="s">
        <v>392</v>
      </c>
      <c r="J37" t="s">
        <v>2681</v>
      </c>
      <c r="K37" t="s">
        <v>2679</v>
      </c>
      <c r="L37" s="564" t="s">
        <v>2666</v>
      </c>
      <c r="M37" s="562">
        <f>SUMIFS('Recon of ORS and DV'!D:D,'Recon of ORS and DV'!B:B,'DV List for import'!A37)</f>
        <v>0</v>
      </c>
      <c r="N37" s="276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4" t="str">
        <f t="shared" si="3"/>
        <v>0000-00-0000</v>
      </c>
      <c r="D38" s="562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2" t="e">
        <f>SUMIFS('[1]MAIN-101'!$Z$1:$Z$3000,'[1]MAIN-101'!$X$1:$X$3000,A38)</f>
        <v>#VALUE!</v>
      </c>
      <c r="I38" s="562" t="s">
        <v>392</v>
      </c>
      <c r="J38" t="s">
        <v>2681</v>
      </c>
      <c r="K38" t="s">
        <v>2679</v>
      </c>
      <c r="L38" s="564" t="s">
        <v>2666</v>
      </c>
      <c r="M38" s="562">
        <f>SUMIFS('Recon of ORS and DV'!D:D,'Recon of ORS and DV'!B:B,'DV List for import'!A38)</f>
        <v>0</v>
      </c>
      <c r="N38" s="276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4" t="str">
        <f t="shared" si="3"/>
        <v>0000-00-0000</v>
      </c>
      <c r="D39" s="562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2" t="e">
        <f>SUMIFS('[1]MAIN-101'!$Z$1:$Z$3000,'[1]MAIN-101'!$X$1:$X$3000,A39)</f>
        <v>#VALUE!</v>
      </c>
      <c r="I39" s="562" t="s">
        <v>392</v>
      </c>
      <c r="J39" t="s">
        <v>2681</v>
      </c>
      <c r="K39" t="s">
        <v>2679</v>
      </c>
      <c r="L39" s="564" t="s">
        <v>2666</v>
      </c>
      <c r="M39" s="562">
        <f>SUMIFS('Recon of ORS and DV'!D:D,'Recon of ORS and DV'!B:B,'DV List for import'!A39)</f>
        <v>0</v>
      </c>
      <c r="N39" s="276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4" t="str">
        <f t="shared" si="3"/>
        <v>0000-00-0000</v>
      </c>
      <c r="D40" s="562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2" t="e">
        <f>SUMIFS('[1]MAIN-101'!$Z$1:$Z$3000,'[1]MAIN-101'!$X$1:$X$3000,A40)</f>
        <v>#VALUE!</v>
      </c>
      <c r="I40" s="562" t="s">
        <v>392</v>
      </c>
      <c r="J40" t="s">
        <v>2681</v>
      </c>
      <c r="K40" t="s">
        <v>2679</v>
      </c>
      <c r="L40" s="564" t="s">
        <v>2666</v>
      </c>
      <c r="M40" s="562">
        <f>SUMIFS('Recon of ORS and DV'!D:D,'Recon of ORS and DV'!B:B,'DV List for import'!A40)</f>
        <v>0</v>
      </c>
      <c r="N40" s="276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4" t="str">
        <f t="shared" si="3"/>
        <v>0000-00-0000</v>
      </c>
      <c r="D41" s="562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2" t="e">
        <f>SUMIFS('[1]MAIN-101'!$Z$1:$Z$3000,'[1]MAIN-101'!$X$1:$X$3000,A41)</f>
        <v>#VALUE!</v>
      </c>
      <c r="I41" s="562" t="s">
        <v>392</v>
      </c>
      <c r="J41" t="s">
        <v>2681</v>
      </c>
      <c r="K41" t="s">
        <v>2679</v>
      </c>
      <c r="L41" s="564" t="s">
        <v>2666</v>
      </c>
      <c r="M41" s="562">
        <f>SUMIFS('Recon of ORS and DV'!D:D,'Recon of ORS and DV'!B:B,'DV List for import'!A41)</f>
        <v>0</v>
      </c>
      <c r="N41" s="276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4" t="str">
        <f t="shared" si="3"/>
        <v>0000-00-0000</v>
      </c>
      <c r="D42" s="562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2" t="e">
        <f>SUMIFS('[1]MAIN-101'!$Z$1:$Z$3000,'[1]MAIN-101'!$X$1:$X$3000,A42)</f>
        <v>#VALUE!</v>
      </c>
      <c r="I42" s="562" t="s">
        <v>2687</v>
      </c>
      <c r="J42" t="s">
        <v>2683</v>
      </c>
      <c r="K42" t="s">
        <v>2678</v>
      </c>
      <c r="L42" s="564" t="s">
        <v>2666</v>
      </c>
      <c r="M42" s="562">
        <f>SUMIFS('Recon of ORS and DV'!D:D,'Recon of ORS and DV'!B:B,'DV List for import'!A42)</f>
        <v>0</v>
      </c>
      <c r="N42" s="276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4" t="str">
        <f t="shared" si="3"/>
        <v>0000-00-0000</v>
      </c>
      <c r="D43" s="562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2" t="e">
        <f>SUMIFS('[1]MAIN-101'!$Z$1:$Z$3000,'[1]MAIN-101'!$X$1:$X$3000,A43)</f>
        <v>#VALUE!</v>
      </c>
      <c r="I43" s="562" t="s">
        <v>2687</v>
      </c>
      <c r="J43" t="s">
        <v>2683</v>
      </c>
      <c r="K43" t="s">
        <v>2678</v>
      </c>
      <c r="L43" s="564" t="s">
        <v>2666</v>
      </c>
      <c r="M43" s="562">
        <f>SUMIFS('Recon of ORS and DV'!D:D,'Recon of ORS and DV'!B:B,'DV List for import'!A43)</f>
        <v>0</v>
      </c>
      <c r="N43" s="276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4" t="str">
        <f t="shared" si="3"/>
        <v>0000-00-0000</v>
      </c>
      <c r="D44" s="562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2" t="e">
        <f>SUMIFS('[1]MAIN-101'!$Z$1:$Z$3000,'[1]MAIN-101'!$X$1:$X$3000,A44)</f>
        <v>#VALUE!</v>
      </c>
      <c r="I44" s="562" t="s">
        <v>2687</v>
      </c>
      <c r="J44" t="s">
        <v>2683</v>
      </c>
      <c r="K44" t="s">
        <v>2678</v>
      </c>
      <c r="L44" s="564" t="s">
        <v>2666</v>
      </c>
      <c r="M44" s="562">
        <f>SUMIFS('Recon of ORS and DV'!D:D,'Recon of ORS and DV'!B:B,'DV List for import'!A44)</f>
        <v>0</v>
      </c>
      <c r="N44" s="276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4" t="str">
        <f t="shared" si="3"/>
        <v>0000-00-0000</v>
      </c>
      <c r="D45" s="562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2" t="e">
        <f>SUMIFS('[1]MAIN-101'!$Z$1:$Z$3000,'[1]MAIN-101'!$X$1:$X$3000,A45)</f>
        <v>#VALUE!</v>
      </c>
      <c r="I45" s="562" t="s">
        <v>2687</v>
      </c>
      <c r="J45" t="s">
        <v>2683</v>
      </c>
      <c r="K45" t="s">
        <v>2678</v>
      </c>
      <c r="L45" s="564" t="s">
        <v>2666</v>
      </c>
      <c r="M45" s="562">
        <f>SUMIFS('Recon of ORS and DV'!D:D,'Recon of ORS and DV'!B:B,'DV List for import'!A45)</f>
        <v>0</v>
      </c>
      <c r="N45" s="276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4" t="str">
        <f t="shared" si="3"/>
        <v>0000-00-0000</v>
      </c>
      <c r="D46" s="562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2" t="e">
        <f>SUMIFS('[1]MAIN-101'!$Z$1:$Z$3000,'[1]MAIN-101'!$X$1:$X$3000,A46)</f>
        <v>#VALUE!</v>
      </c>
      <c r="I46" s="562" t="s">
        <v>2687</v>
      </c>
      <c r="J46" t="s">
        <v>2683</v>
      </c>
      <c r="K46" t="s">
        <v>2678</v>
      </c>
      <c r="L46" s="564" t="s">
        <v>2666</v>
      </c>
      <c r="M46" s="562">
        <f>SUMIFS('Recon of ORS and DV'!D:D,'Recon of ORS and DV'!B:B,'DV List for import'!A46)</f>
        <v>0</v>
      </c>
      <c r="N46" s="276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4" t="str">
        <f t="shared" si="3"/>
        <v>0000-00-0000</v>
      </c>
      <c r="D47" s="562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2" t="e">
        <f>SUMIFS('[1]MAIN-101'!$Z$1:$Z$3000,'[1]MAIN-101'!$X$1:$X$3000,A47)</f>
        <v>#VALUE!</v>
      </c>
      <c r="I47" s="562" t="s">
        <v>392</v>
      </c>
      <c r="J47" t="s">
        <v>2681</v>
      </c>
      <c r="K47" t="s">
        <v>2679</v>
      </c>
      <c r="L47" s="564" t="s">
        <v>2666</v>
      </c>
      <c r="M47" s="562">
        <f>SUMIFS('Recon of ORS and DV'!D:D,'Recon of ORS and DV'!B:B,'DV List for import'!A47)</f>
        <v>0</v>
      </c>
      <c r="N47" s="276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4" t="str">
        <f t="shared" si="3"/>
        <v>0000-00-0000</v>
      </c>
      <c r="D48" s="562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2" t="e">
        <f>SUMIFS('[1]MAIN-101'!$Z$1:$Z$3000,'[1]MAIN-101'!$X$1:$X$3000,A48)</f>
        <v>#VALUE!</v>
      </c>
      <c r="I48" s="562" t="s">
        <v>2687</v>
      </c>
      <c r="J48" t="s">
        <v>2683</v>
      </c>
      <c r="K48" t="s">
        <v>2678</v>
      </c>
      <c r="L48" s="564" t="s">
        <v>2666</v>
      </c>
      <c r="M48" s="562">
        <f>SUMIFS('Recon of ORS and DV'!D:D,'Recon of ORS and DV'!B:B,'DV List for import'!A48)</f>
        <v>0</v>
      </c>
      <c r="N48" s="276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4" t="str">
        <f t="shared" si="3"/>
        <v>0000-00-0000</v>
      </c>
      <c r="D49" s="562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2" t="e">
        <f>SUMIFS('[1]MAIN-101'!$Z$1:$Z$3000,'[1]MAIN-101'!$X$1:$X$3000,A49)</f>
        <v>#VALUE!</v>
      </c>
      <c r="I49" s="562" t="s">
        <v>2687</v>
      </c>
      <c r="J49" t="s">
        <v>2683</v>
      </c>
      <c r="K49" t="s">
        <v>2678</v>
      </c>
      <c r="L49" s="564" t="s">
        <v>2666</v>
      </c>
      <c r="M49" s="562">
        <f>SUMIFS('Recon of ORS and DV'!D:D,'Recon of ORS and DV'!B:B,'DV List for import'!A49)</f>
        <v>0</v>
      </c>
      <c r="N49" s="276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4" t="str">
        <f t="shared" si="3"/>
        <v>0000-00-0000</v>
      </c>
      <c r="D50" s="562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2" t="e">
        <f>SUMIFS('[1]MAIN-101'!$Z$1:$Z$3000,'[1]MAIN-101'!$X$1:$X$3000,A50)</f>
        <v>#VALUE!</v>
      </c>
      <c r="I50" s="562" t="s">
        <v>2687</v>
      </c>
      <c r="J50" t="s">
        <v>2683</v>
      </c>
      <c r="K50" t="s">
        <v>2678</v>
      </c>
      <c r="L50" s="564" t="s">
        <v>2666</v>
      </c>
      <c r="M50" s="562">
        <f>SUMIFS('Recon of ORS and DV'!D:D,'Recon of ORS and DV'!B:B,'DV List for import'!A50)</f>
        <v>0</v>
      </c>
      <c r="N50" s="276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2" t="e">
        <f>VLOOKUP(L51,'Import Process ORS'!$D$4:$E$1557,2,FALSE)</f>
        <v>#N/A</v>
      </c>
      <c r="D51" s="562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2" t="e">
        <f>SUMIFS('[1]MAIN-101'!$Z$1:$Z$3000,'[1]MAIN-101'!$X$1:$X$3000,A51)</f>
        <v>#VALUE!</v>
      </c>
      <c r="I51" s="562" t="s">
        <v>2687</v>
      </c>
      <c r="J51" t="s">
        <v>2683</v>
      </c>
      <c r="K51" t="s">
        <v>2678</v>
      </c>
      <c r="L51" s="562" t="str">
        <f>VLOOKUP(A51,'Format for Import of DV'!$A$3:$S$1556,3,FALSE)</f>
        <v>015</v>
      </c>
      <c r="M51" s="562" t="e">
        <f>SUMIFS('Recon of ORS and DV'!D:D,'Recon of ORS and DV'!B:B,'DV List for import'!A51)</f>
        <v>#VALUE!</v>
      </c>
      <c r="N51" s="276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2" t="e">
        <f>VLOOKUP(L52,'Import Process ORS'!$D$4:$E$1557,2,FALSE)</f>
        <v>#N/A</v>
      </c>
      <c r="D52" s="562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2" t="e">
        <f>SUMIFS('[1]MAIN-101'!$Z$1:$Z$3000,'[1]MAIN-101'!$X$1:$X$3000,A52)</f>
        <v>#VALUE!</v>
      </c>
      <c r="I52" s="562" t="s">
        <v>2685</v>
      </c>
      <c r="J52" t="s">
        <v>2683</v>
      </c>
      <c r="K52" t="s">
        <v>2678</v>
      </c>
      <c r="L52" s="562" t="str">
        <f>VLOOKUP(A52,'Format for Import of DV'!$A$3:$S$1556,3,FALSE)</f>
        <v>017</v>
      </c>
      <c r="M52" s="562" t="e">
        <f>SUMIFS('Recon of ORS and DV'!D:D,'Recon of ORS and DV'!B:B,'DV List for import'!A52)</f>
        <v>#VALUE!</v>
      </c>
      <c r="N52" s="276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2" t="e">
        <f>VLOOKUP(L53,'Import Process ORS'!$D$4:$E$1557,2,FALSE)</f>
        <v>#N/A</v>
      </c>
      <c r="D53" s="562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2" t="e">
        <f>SUMIFS('[1]MAIN-101'!$Z$1:$Z$3000,'[1]MAIN-101'!$X$1:$X$3000,A53)</f>
        <v>#VALUE!</v>
      </c>
      <c r="I53" s="562" t="s">
        <v>2685</v>
      </c>
      <c r="J53" t="s">
        <v>2683</v>
      </c>
      <c r="K53" t="s">
        <v>2678</v>
      </c>
      <c r="L53" s="562" t="str">
        <f>VLOOKUP(A53,'Format for Import of DV'!$A$3:$S$1556,3,FALSE)</f>
        <v>018</v>
      </c>
      <c r="M53" s="562" t="e">
        <f>SUMIFS('Recon of ORS and DV'!D:D,'Recon of ORS and DV'!B:B,'DV List for import'!A53)</f>
        <v>#VALUE!</v>
      </c>
      <c r="N53" s="276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2" t="e">
        <f>VLOOKUP(L54,'Import Process ORS'!$D$4:$E$1557,2,FALSE)</f>
        <v>#N/A</v>
      </c>
      <c r="D54" s="562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2" t="e">
        <f>SUMIFS('[1]MAIN-101'!$Z$1:$Z$3000,'[1]MAIN-101'!$X$1:$X$3000,A54)</f>
        <v>#VALUE!</v>
      </c>
      <c r="I54" s="562" t="s">
        <v>2685</v>
      </c>
      <c r="J54" t="s">
        <v>2683</v>
      </c>
      <c r="K54" t="s">
        <v>2678</v>
      </c>
      <c r="L54" s="562" t="str">
        <f>VLOOKUP(A54,'Format for Import of DV'!$A$3:$S$1556,3,FALSE)</f>
        <v>019</v>
      </c>
      <c r="M54" s="562" t="e">
        <f>SUMIFS('Recon of ORS and DV'!D:D,'Recon of ORS and DV'!B:B,'DV List for import'!A54)</f>
        <v>#VALUE!</v>
      </c>
      <c r="N54" s="276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2" t="e">
        <f>VLOOKUP(L55,'Import Process ORS'!$D$4:$E$1557,2,FALSE)</f>
        <v>#N/A</v>
      </c>
      <c r="D55" s="562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2" t="e">
        <f>SUMIFS('[1]MAIN-101'!$Z$1:$Z$3000,'[1]MAIN-101'!$X$1:$X$3000,A55)</f>
        <v>#VALUE!</v>
      </c>
      <c r="I55" s="562" t="s">
        <v>2685</v>
      </c>
      <c r="J55" t="s">
        <v>2683</v>
      </c>
      <c r="K55" t="s">
        <v>2678</v>
      </c>
      <c r="L55" s="562" t="str">
        <f>VLOOKUP(A55,'Format for Import of DV'!$A$3:$S$1556,3,FALSE)</f>
        <v>020</v>
      </c>
      <c r="M55" s="562" t="e">
        <f>SUMIFS('Recon of ORS and DV'!D:D,'Recon of ORS and DV'!B:B,'DV List for import'!A55)</f>
        <v>#VALUE!</v>
      </c>
      <c r="N55" s="276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2" t="e">
        <f>VLOOKUP(L56,'Import Process ORS'!$D$4:$E$1557,2,FALSE)</f>
        <v>#N/A</v>
      </c>
      <c r="D56" s="562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2" t="e">
        <f>SUMIFS('[1]MAIN-101'!$Z$1:$Z$3000,'[1]MAIN-101'!$X$1:$X$3000,A56)</f>
        <v>#VALUE!</v>
      </c>
      <c r="I56" s="562" t="s">
        <v>2685</v>
      </c>
      <c r="J56" t="s">
        <v>2683</v>
      </c>
      <c r="K56" t="s">
        <v>2678</v>
      </c>
      <c r="L56" s="562" t="str">
        <f>VLOOKUP(A56,'Format for Import of DV'!$A$3:$S$1556,3,FALSE)</f>
        <v>016</v>
      </c>
      <c r="M56" s="562" t="e">
        <f>SUMIFS('Recon of ORS and DV'!D:D,'Recon of ORS and DV'!B:B,'DV List for import'!A56)</f>
        <v>#VALUE!</v>
      </c>
      <c r="N56" s="276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4" t="str">
        <f t="shared" ref="C57:C62" si="4">L57</f>
        <v>0000-00-0000</v>
      </c>
      <c r="D57" s="562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2" t="e">
        <f>SUMIFS('[1]MAIN-101'!$Z$1:$Z$3000,'[1]MAIN-101'!$X$1:$X$3000,A57)</f>
        <v>#VALUE!</v>
      </c>
      <c r="I57" s="562" t="s">
        <v>2662</v>
      </c>
      <c r="J57" t="s">
        <v>2053</v>
      </c>
      <c r="K57" t="s">
        <v>2680</v>
      </c>
      <c r="L57" s="564" t="s">
        <v>2666</v>
      </c>
      <c r="M57" s="562">
        <f>SUMIFS('Recon of ORS and DV'!D:D,'Recon of ORS and DV'!B:B,'DV List for import'!A57)</f>
        <v>0</v>
      </c>
      <c r="N57" s="276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4" t="str">
        <f t="shared" si="4"/>
        <v>0000-00-0000</v>
      </c>
      <c r="D58" s="562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2" t="e">
        <f>SUMIFS('[1]MAIN-101'!$Z$1:$Z$3000,'[1]MAIN-101'!$X$1:$X$3000,A58)</f>
        <v>#VALUE!</v>
      </c>
      <c r="I58" s="562" t="s">
        <v>2662</v>
      </c>
      <c r="J58" t="s">
        <v>2053</v>
      </c>
      <c r="K58" t="s">
        <v>2680</v>
      </c>
      <c r="L58" s="564" t="s">
        <v>2666</v>
      </c>
      <c r="M58" s="562">
        <f>SUMIFS('Recon of ORS and DV'!D:D,'Recon of ORS and DV'!B:B,'DV List for import'!A58)</f>
        <v>0</v>
      </c>
      <c r="N58" s="276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4" t="str">
        <f t="shared" si="4"/>
        <v>0000-00-0000</v>
      </c>
      <c r="D59" s="562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2" t="e">
        <f>SUMIFS('[1]MAIN-101'!$Z$1:$Z$3000,'[1]MAIN-101'!$X$1:$X$3000,A59)</f>
        <v>#VALUE!</v>
      </c>
      <c r="I59" s="562" t="s">
        <v>2662</v>
      </c>
      <c r="J59" t="s">
        <v>2053</v>
      </c>
      <c r="K59" t="s">
        <v>2680</v>
      </c>
      <c r="L59" s="564" t="s">
        <v>2666</v>
      </c>
      <c r="M59" s="562">
        <f>SUMIFS('Recon of ORS and DV'!D:D,'Recon of ORS and DV'!B:B,'DV List for import'!A59)</f>
        <v>0</v>
      </c>
      <c r="N59" s="276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4" t="str">
        <f t="shared" si="4"/>
        <v>0000-00-0000</v>
      </c>
      <c r="D60" s="562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2" t="e">
        <f>SUMIFS('[1]MAIN-101'!$Z$1:$Z$3000,'[1]MAIN-101'!$X$1:$X$3000,A60)</f>
        <v>#VALUE!</v>
      </c>
      <c r="I60" s="562" t="s">
        <v>2662</v>
      </c>
      <c r="J60" t="s">
        <v>2053</v>
      </c>
      <c r="K60" t="s">
        <v>2680</v>
      </c>
      <c r="L60" s="564" t="s">
        <v>2666</v>
      </c>
      <c r="M60" s="562">
        <f>SUMIFS('Recon of ORS and DV'!D:D,'Recon of ORS and DV'!B:B,'DV List for import'!A60)</f>
        <v>0</v>
      </c>
      <c r="N60" s="276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4" t="str">
        <f t="shared" si="4"/>
        <v>0000-00-0000</v>
      </c>
      <c r="D61" s="562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2" t="e">
        <f>SUMIFS('[1]MAIN-101'!$Z$1:$Z$3000,'[1]MAIN-101'!$X$1:$X$3000,A61)</f>
        <v>#VALUE!</v>
      </c>
      <c r="I61" s="562" t="s">
        <v>2662</v>
      </c>
      <c r="J61" t="s">
        <v>2053</v>
      </c>
      <c r="K61" t="s">
        <v>2680</v>
      </c>
      <c r="L61" s="564" t="s">
        <v>2666</v>
      </c>
      <c r="M61" s="562">
        <f>SUMIFS('Recon of ORS and DV'!D:D,'Recon of ORS and DV'!B:B,'DV List for import'!A61)</f>
        <v>0</v>
      </c>
      <c r="N61" s="276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4" t="str">
        <f t="shared" si="4"/>
        <v>0000-00-0000</v>
      </c>
      <c r="D62" s="562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2" t="e">
        <f>SUMIFS('[1]MAIN-101'!$Z$1:$Z$3000,'[1]MAIN-101'!$X$1:$X$3000,A62)</f>
        <v>#VALUE!</v>
      </c>
      <c r="I62" s="562" t="s">
        <v>2662</v>
      </c>
      <c r="J62" t="s">
        <v>2053</v>
      </c>
      <c r="K62" t="s">
        <v>2680</v>
      </c>
      <c r="L62" s="564" t="s">
        <v>2666</v>
      </c>
      <c r="M62" s="562">
        <f>SUMIFS('Recon of ORS and DV'!D:D,'Recon of ORS and DV'!B:B,'DV List for import'!A62)</f>
        <v>0</v>
      </c>
      <c r="N62" s="276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2" t="e">
        <f>VLOOKUP(L63,'Import Process ORS'!$D$4:$E$1557,2,FALSE)</f>
        <v>#N/A</v>
      </c>
      <c r="D63" s="562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2" t="e">
        <f>SUMIFS('[1]MAIN-101'!$Z$1:$Z$3000,'[1]MAIN-101'!$X$1:$X$3000,A63)</f>
        <v>#VALUE!</v>
      </c>
      <c r="I63" s="562" t="s">
        <v>2687</v>
      </c>
      <c r="J63" t="s">
        <v>2683</v>
      </c>
      <c r="K63" t="s">
        <v>2678</v>
      </c>
      <c r="L63" s="562" t="str">
        <f>VLOOKUP(A63,'Format for Import of DV'!$A$3:$S$1556,3,FALSE)</f>
        <v>014</v>
      </c>
      <c r="M63" s="562" t="e">
        <f>SUMIFS('Recon of ORS and DV'!D:D,'Recon of ORS and DV'!B:B,'DV List for import'!A63)</f>
        <v>#VALUE!</v>
      </c>
      <c r="N63" s="276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4" t="str">
        <f>L64</f>
        <v>0000-00-0000</v>
      </c>
      <c r="D64" s="562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2" t="e">
        <f>SUMIFS('[1]MAIN-101'!$Z$1:$Z$3000,'[1]MAIN-101'!$X$1:$X$3000,A64)</f>
        <v>#VALUE!</v>
      </c>
      <c r="I64" s="562" t="s">
        <v>392</v>
      </c>
      <c r="J64" t="s">
        <v>2681</v>
      </c>
      <c r="K64" t="s">
        <v>2679</v>
      </c>
      <c r="L64" s="564" t="s">
        <v>2666</v>
      </c>
      <c r="M64" s="562">
        <f>SUMIFS('Recon of ORS and DV'!D:D,'Recon of ORS and DV'!B:B,'DV List for import'!A64)</f>
        <v>0</v>
      </c>
      <c r="N64" s="276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4" t="str">
        <f>L65</f>
        <v>0000-00-0000</v>
      </c>
      <c r="D65" s="562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2" t="e">
        <f>SUMIFS('[1]MAIN-101'!$Z$1:$Z$3000,'[1]MAIN-101'!$X$1:$X$3000,A65)</f>
        <v>#VALUE!</v>
      </c>
      <c r="I65" s="562" t="s">
        <v>392</v>
      </c>
      <c r="J65" t="s">
        <v>2681</v>
      </c>
      <c r="K65" t="s">
        <v>2679</v>
      </c>
      <c r="L65" s="564" t="s">
        <v>2666</v>
      </c>
      <c r="M65" s="562">
        <f>SUMIFS('Recon of ORS and DV'!D:D,'Recon of ORS and DV'!B:B,'DV List for import'!A65)</f>
        <v>0</v>
      </c>
      <c r="N65" s="276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2" t="e">
        <f>VLOOKUP(L66,'Import Process ORS'!$D$4:$E$1557,2,FALSE)</f>
        <v>#N/A</v>
      </c>
      <c r="D66" s="562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2" t="e">
        <f>SUMIFS('[1]MAIN-101'!$Z$1:$Z$3000,'[1]MAIN-101'!$X$1:$X$3000,A66)</f>
        <v>#VALUE!</v>
      </c>
      <c r="I66" s="562" t="s">
        <v>2687</v>
      </c>
      <c r="J66" t="s">
        <v>2683</v>
      </c>
      <c r="K66" t="s">
        <v>2678</v>
      </c>
      <c r="L66" s="562" t="str">
        <f>VLOOKUP(A66,'Format for Import of DV'!$A$3:$S$1556,3,FALSE)</f>
        <v>009</v>
      </c>
      <c r="M66" s="562" t="e">
        <f>SUMIFS('Recon of ORS and DV'!D:D,'Recon of ORS and DV'!B:B,'DV List for import'!A66)</f>
        <v>#VALUE!</v>
      </c>
      <c r="N66" s="276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2" t="e">
        <f>VLOOKUP(L67,'Import Process ORS'!$D$4:$E$1557,2,FALSE)</f>
        <v>#N/A</v>
      </c>
      <c r="D67" s="562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2" t="e">
        <f>SUMIFS('[1]MAIN-101'!$Z$1:$Z$3000,'[1]MAIN-101'!$X$1:$X$3000,A67)</f>
        <v>#VALUE!</v>
      </c>
      <c r="I67" s="562" t="s">
        <v>2687</v>
      </c>
      <c r="J67" t="s">
        <v>2683</v>
      </c>
      <c r="K67" t="s">
        <v>2678</v>
      </c>
      <c r="L67" s="562" t="str">
        <f>VLOOKUP(A67,'Format for Import of DV'!$A$3:$S$1556,3,FALSE)</f>
        <v>009A</v>
      </c>
      <c r="M67" s="562" t="e">
        <f>SUMIFS('Recon of ORS and DV'!D:D,'Recon of ORS and DV'!B:B,'DV List for import'!A67)</f>
        <v>#VALUE!</v>
      </c>
      <c r="N67" s="276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4" t="str">
        <f>L68</f>
        <v>0000-00-0000</v>
      </c>
      <c r="D68" s="562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2" t="e">
        <f>SUMIFS('[1]MAIN-101'!$Z$1:$Z$3000,'[1]MAIN-101'!$X$1:$X$3000,A68)</f>
        <v>#VALUE!</v>
      </c>
      <c r="I68" s="562" t="s">
        <v>392</v>
      </c>
      <c r="J68" t="s">
        <v>2681</v>
      </c>
      <c r="K68" t="s">
        <v>2679</v>
      </c>
      <c r="L68" s="564" t="s">
        <v>2666</v>
      </c>
      <c r="M68" s="562">
        <f>SUMIFS('Recon of ORS and DV'!D:D,'Recon of ORS and DV'!B:B,'DV List for import'!A68)</f>
        <v>0</v>
      </c>
      <c r="N68" s="276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4" t="str">
        <f>L69</f>
        <v>0000-00-0000</v>
      </c>
      <c r="D69" s="562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2" t="e">
        <f>SUMIFS('[1]MAIN-101'!$Z$1:$Z$3000,'[1]MAIN-101'!$X$1:$X$3000,A69)</f>
        <v>#VALUE!</v>
      </c>
      <c r="I69" s="562" t="s">
        <v>2687</v>
      </c>
      <c r="J69" t="s">
        <v>2683</v>
      </c>
      <c r="K69" t="s">
        <v>2678</v>
      </c>
      <c r="L69" s="564" t="s">
        <v>2666</v>
      </c>
      <c r="M69" s="562">
        <f>SUMIFS('Recon of ORS and DV'!D:D,'Recon of ORS and DV'!B:B,'DV List for import'!A69)</f>
        <v>0</v>
      </c>
      <c r="N69" s="276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4" t="str">
        <f>L70</f>
        <v>0000-00-0000</v>
      </c>
      <c r="D70" s="562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2" t="e">
        <f>SUMIFS('[1]MAIN-101'!$Z$1:$Z$3000,'[1]MAIN-101'!$X$1:$X$3000,A70)</f>
        <v>#VALUE!</v>
      </c>
      <c r="I70" s="562" t="s">
        <v>392</v>
      </c>
      <c r="J70" t="s">
        <v>2681</v>
      </c>
      <c r="K70" t="s">
        <v>2679</v>
      </c>
      <c r="L70" s="564" t="s">
        <v>2666</v>
      </c>
      <c r="M70" s="562">
        <f>SUMIFS('Recon of ORS and DV'!D:D,'Recon of ORS and DV'!B:B,'DV List for import'!A70)</f>
        <v>0</v>
      </c>
      <c r="N70" s="276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2" t="e">
        <f>VLOOKUP(L71,'Import Process ORS'!$D$4:$E$1557,2,FALSE)</f>
        <v>#N/A</v>
      </c>
      <c r="D71" s="562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2" t="e">
        <f>SUMIFS('[1]MAIN-101'!$Z$1:$Z$3000,'[1]MAIN-101'!$X$1:$X$3000,A71)</f>
        <v>#VALUE!</v>
      </c>
      <c r="I71" s="562" t="s">
        <v>2687</v>
      </c>
      <c r="J71" t="s">
        <v>2683</v>
      </c>
      <c r="K71" t="s">
        <v>2678</v>
      </c>
      <c r="L71" s="562" t="str">
        <f>VLOOKUP(A71,'Format for Import of DV'!$A$3:$S$1556,3,FALSE)</f>
        <v>021</v>
      </c>
      <c r="M71" s="562" t="e">
        <f>SUMIFS('Recon of ORS and DV'!D:D,'Recon of ORS and DV'!B:B,'DV List for import'!A71)</f>
        <v>#VALUE!</v>
      </c>
      <c r="N71" s="276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2" t="e">
        <f>VLOOKUP(L72,'Import Process ORS'!$D$4:$E$1557,2,FALSE)</f>
        <v>#N/A</v>
      </c>
      <c r="D72" s="562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2" t="e">
        <f>SUMIFS('[1]MAIN-101'!$Z$1:$Z$3000,'[1]MAIN-101'!$X$1:$X$3000,A72)</f>
        <v>#VALUE!</v>
      </c>
      <c r="I72" s="562" t="s">
        <v>2687</v>
      </c>
      <c r="J72" t="s">
        <v>2683</v>
      </c>
      <c r="K72" t="s">
        <v>2678</v>
      </c>
      <c r="L72" s="562" t="str">
        <f>VLOOKUP(A72,'Format for Import of DV'!$A$3:$S$1556,3,FALSE)</f>
        <v>022</v>
      </c>
      <c r="M72" s="562" t="e">
        <f>SUMIFS('Recon of ORS and DV'!D:D,'Recon of ORS and DV'!B:B,'DV List for import'!A72)</f>
        <v>#VALUE!</v>
      </c>
      <c r="N72" s="276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4" t="str">
        <f t="shared" ref="C73:C87" si="7">L73</f>
        <v>0000-00-0000</v>
      </c>
      <c r="D73" s="562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2" t="e">
        <f>SUMIFS('[1]MAIN-101'!$Z$1:$Z$3000,'[1]MAIN-101'!$X$1:$X$3000,A73)</f>
        <v>#VALUE!</v>
      </c>
      <c r="I73" s="562" t="s">
        <v>2687</v>
      </c>
      <c r="J73" t="s">
        <v>2683</v>
      </c>
      <c r="K73" t="s">
        <v>2678</v>
      </c>
      <c r="L73" s="564" t="s">
        <v>2666</v>
      </c>
      <c r="M73" s="562">
        <f>SUMIFS('Recon of ORS and DV'!D:D,'Recon of ORS and DV'!B:B,'DV List for import'!A73)</f>
        <v>0</v>
      </c>
      <c r="N73" s="276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4" t="str">
        <f t="shared" si="7"/>
        <v>0000-00-0000</v>
      </c>
      <c r="D74" s="562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2" t="e">
        <f>SUMIFS('[1]MAIN-101'!$Z$1:$Z$3000,'[1]MAIN-101'!$X$1:$X$3000,A74)</f>
        <v>#VALUE!</v>
      </c>
      <c r="I74" s="562" t="s">
        <v>2687</v>
      </c>
      <c r="J74" t="s">
        <v>2683</v>
      </c>
      <c r="K74" t="s">
        <v>2678</v>
      </c>
      <c r="L74" s="564" t="s">
        <v>2666</v>
      </c>
      <c r="M74" s="562">
        <f>SUMIFS('Recon of ORS and DV'!D:D,'Recon of ORS and DV'!B:B,'DV List for import'!A74)</f>
        <v>0</v>
      </c>
      <c r="N74" s="276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4" t="str">
        <f t="shared" si="7"/>
        <v>0000-00-0000</v>
      </c>
      <c r="D75" s="562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2" t="e">
        <f>SUMIFS('[1]MAIN-101'!$Z$1:$Z$3000,'[1]MAIN-101'!$X$1:$X$3000,A75)</f>
        <v>#VALUE!</v>
      </c>
      <c r="I75" s="562" t="s">
        <v>392</v>
      </c>
      <c r="J75" t="s">
        <v>2681</v>
      </c>
      <c r="K75" t="s">
        <v>2679</v>
      </c>
      <c r="L75" s="564" t="s">
        <v>2666</v>
      </c>
      <c r="M75" s="562">
        <f>SUMIFS('Recon of ORS and DV'!D:D,'Recon of ORS and DV'!B:B,'DV List for import'!A75)</f>
        <v>0</v>
      </c>
      <c r="N75" s="276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4" t="str">
        <f t="shared" si="7"/>
        <v>0000-00-0000</v>
      </c>
      <c r="D76" s="562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2" t="e">
        <f>SUMIFS('[1]MAIN-101'!$Z$1:$Z$3000,'[1]MAIN-101'!$X$1:$X$3000,A76)</f>
        <v>#VALUE!</v>
      </c>
      <c r="I76" s="562" t="s">
        <v>392</v>
      </c>
      <c r="J76" t="s">
        <v>2681</v>
      </c>
      <c r="K76" t="s">
        <v>2679</v>
      </c>
      <c r="L76" s="564" t="s">
        <v>2666</v>
      </c>
      <c r="M76" s="562">
        <f>SUMIFS('Recon of ORS and DV'!D:D,'Recon of ORS and DV'!B:B,'DV List for import'!A76)</f>
        <v>0</v>
      </c>
      <c r="N76" s="276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4" t="str">
        <f t="shared" si="7"/>
        <v>0000-00-0000</v>
      </c>
      <c r="D77" s="562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2" t="e">
        <f>SUMIFS('[1]MAIN-101'!$Z$1:$Z$3000,'[1]MAIN-101'!$X$1:$X$3000,A77)</f>
        <v>#VALUE!</v>
      </c>
      <c r="I77" s="562" t="s">
        <v>392</v>
      </c>
      <c r="J77" t="s">
        <v>2681</v>
      </c>
      <c r="K77" t="s">
        <v>2679</v>
      </c>
      <c r="L77" s="564" t="s">
        <v>2666</v>
      </c>
      <c r="M77" s="562">
        <f>SUMIFS('Recon of ORS and DV'!D:D,'Recon of ORS and DV'!B:B,'DV List for import'!A77)</f>
        <v>0</v>
      </c>
      <c r="N77" s="276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4" t="str">
        <f t="shared" si="7"/>
        <v>0000-00-0000</v>
      </c>
      <c r="D78" s="562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2" t="e">
        <f>SUMIFS('[1]MAIN-101'!$Z$1:$Z$3000,'[1]MAIN-101'!$X$1:$X$3000,A78)</f>
        <v>#VALUE!</v>
      </c>
      <c r="I78" s="562" t="s">
        <v>392</v>
      </c>
      <c r="J78" t="s">
        <v>2681</v>
      </c>
      <c r="K78" t="s">
        <v>2679</v>
      </c>
      <c r="L78" s="564" t="s">
        <v>2666</v>
      </c>
      <c r="M78" s="562">
        <f>SUMIFS('Recon of ORS and DV'!D:D,'Recon of ORS and DV'!B:B,'DV List for import'!A78)</f>
        <v>0</v>
      </c>
      <c r="N78" s="276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4" t="str">
        <f t="shared" si="7"/>
        <v>0000-00-0000</v>
      </c>
      <c r="D79" s="562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2" t="e">
        <f>SUMIFS('[1]MAIN-101'!$Z$1:$Z$3000,'[1]MAIN-101'!$X$1:$X$3000,A79)</f>
        <v>#VALUE!</v>
      </c>
      <c r="I79" s="562" t="s">
        <v>2687</v>
      </c>
      <c r="J79" t="s">
        <v>2683</v>
      </c>
      <c r="K79" t="s">
        <v>2678</v>
      </c>
      <c r="L79" s="564" t="s">
        <v>2666</v>
      </c>
      <c r="M79" s="562">
        <f>SUMIFS('Recon of ORS and DV'!D:D,'Recon of ORS and DV'!B:B,'DV List for import'!A79)</f>
        <v>0</v>
      </c>
      <c r="N79" s="276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4" t="str">
        <f t="shared" si="7"/>
        <v>0000-00-0000</v>
      </c>
      <c r="D80" s="562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2" t="e">
        <f>SUMIFS('[1]MAIN-101'!$Z$1:$Z$3000,'[1]MAIN-101'!$X$1:$X$3000,A80)</f>
        <v>#VALUE!</v>
      </c>
      <c r="I80" s="562" t="s">
        <v>2687</v>
      </c>
      <c r="J80" t="s">
        <v>2683</v>
      </c>
      <c r="K80" t="s">
        <v>2678</v>
      </c>
      <c r="L80" s="564" t="s">
        <v>2666</v>
      </c>
      <c r="M80" s="562">
        <f>SUMIFS('Recon of ORS and DV'!D:D,'Recon of ORS and DV'!B:B,'DV List for import'!A80)</f>
        <v>0</v>
      </c>
      <c r="N80" s="276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4" t="str">
        <f t="shared" si="7"/>
        <v>0000-00-0000</v>
      </c>
      <c r="D81" s="562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2" t="e">
        <f>SUMIFS('[1]MAIN-101'!$Z$1:$Z$3000,'[1]MAIN-101'!$X$1:$X$3000,A81)</f>
        <v>#VALUE!</v>
      </c>
      <c r="I81" s="562" t="s">
        <v>2687</v>
      </c>
      <c r="J81" t="s">
        <v>2683</v>
      </c>
      <c r="K81" t="s">
        <v>2678</v>
      </c>
      <c r="L81" s="564" t="s">
        <v>2666</v>
      </c>
      <c r="M81" s="562">
        <f>SUMIFS('Recon of ORS and DV'!D:D,'Recon of ORS and DV'!B:B,'DV List for import'!A81)</f>
        <v>0</v>
      </c>
      <c r="N81" s="276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4" t="str">
        <f t="shared" si="7"/>
        <v>0000-00-0000</v>
      </c>
      <c r="D82" s="562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2" t="e">
        <f>SUMIFS('[1]MAIN-101'!$Z$1:$Z$3000,'[1]MAIN-101'!$X$1:$X$3000,A82)</f>
        <v>#VALUE!</v>
      </c>
      <c r="I82" s="562" t="s">
        <v>2687</v>
      </c>
      <c r="J82" t="s">
        <v>2683</v>
      </c>
      <c r="K82" t="s">
        <v>2678</v>
      </c>
      <c r="L82" s="564" t="s">
        <v>2666</v>
      </c>
      <c r="M82" s="562">
        <f>SUMIFS('Recon of ORS and DV'!D:D,'Recon of ORS and DV'!B:B,'DV List for import'!A82)</f>
        <v>0</v>
      </c>
      <c r="N82" s="276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4" t="str">
        <f t="shared" si="7"/>
        <v>0000-00-0000</v>
      </c>
      <c r="D83" s="562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2" t="e">
        <f>SUMIFS('[1]MAIN-101'!$Z$1:$Z$3000,'[1]MAIN-101'!$X$1:$X$3000,A83)</f>
        <v>#VALUE!</v>
      </c>
      <c r="I83" s="562" t="s">
        <v>2687</v>
      </c>
      <c r="J83" t="s">
        <v>2683</v>
      </c>
      <c r="K83" t="s">
        <v>2678</v>
      </c>
      <c r="L83" s="564" t="s">
        <v>2666</v>
      </c>
      <c r="M83" s="562">
        <f>SUMIFS('Recon of ORS and DV'!D:D,'Recon of ORS and DV'!B:B,'DV List for import'!A83)</f>
        <v>0</v>
      </c>
      <c r="N83" s="276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4" t="str">
        <f t="shared" si="7"/>
        <v>0000-00-0000</v>
      </c>
      <c r="D84" s="562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2" t="e">
        <f>SUMIFS('[1]MAIN-101'!$Z$1:$Z$3000,'[1]MAIN-101'!$X$1:$X$3000,A84)</f>
        <v>#VALUE!</v>
      </c>
      <c r="I84" s="562" t="s">
        <v>2687</v>
      </c>
      <c r="J84" t="s">
        <v>2683</v>
      </c>
      <c r="K84" t="s">
        <v>2678</v>
      </c>
      <c r="L84" s="564" t="s">
        <v>2666</v>
      </c>
      <c r="M84" s="562">
        <f>SUMIFS('Recon of ORS and DV'!D:D,'Recon of ORS and DV'!B:B,'DV List for import'!A84)</f>
        <v>0</v>
      </c>
      <c r="N84" s="276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4" t="str">
        <f t="shared" si="7"/>
        <v>0000-00-0000</v>
      </c>
      <c r="D85" s="562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2" t="e">
        <f>SUMIFS('[1]MAIN-101'!$Z$1:$Z$3000,'[1]MAIN-101'!$X$1:$X$3000,A85)</f>
        <v>#VALUE!</v>
      </c>
      <c r="I85" s="562" t="s">
        <v>2687</v>
      </c>
      <c r="J85" t="s">
        <v>2683</v>
      </c>
      <c r="K85" t="s">
        <v>2678</v>
      </c>
      <c r="L85" s="564" t="s">
        <v>2666</v>
      </c>
      <c r="M85" s="562">
        <f>SUMIFS('Recon of ORS and DV'!D:D,'Recon of ORS and DV'!B:B,'DV List for import'!A85)</f>
        <v>0</v>
      </c>
      <c r="N85" s="276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4" t="str">
        <f t="shared" si="7"/>
        <v>0000-00-0000</v>
      </c>
      <c r="D86" s="562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2" t="e">
        <f>SUMIFS('[1]MAIN-101'!$Z$1:$Z$3000,'[1]MAIN-101'!$X$1:$X$3000,A86)</f>
        <v>#VALUE!</v>
      </c>
      <c r="I86" s="562" t="s">
        <v>2687</v>
      </c>
      <c r="J86" t="s">
        <v>2683</v>
      </c>
      <c r="K86" t="s">
        <v>2678</v>
      </c>
      <c r="L86" s="564" t="s">
        <v>2666</v>
      </c>
      <c r="M86" s="562">
        <f>SUMIFS('Recon of ORS and DV'!D:D,'Recon of ORS and DV'!B:B,'DV List for import'!A86)</f>
        <v>0</v>
      </c>
      <c r="N86" s="276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4" t="str">
        <f t="shared" si="7"/>
        <v>0000-00-0000</v>
      </c>
      <c r="D87" s="562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2" t="e">
        <f>SUMIFS('[1]MAIN-101'!$Z$1:$Z$3000,'[1]MAIN-101'!$X$1:$X$3000,A87)</f>
        <v>#VALUE!</v>
      </c>
      <c r="I87" s="562" t="s">
        <v>2687</v>
      </c>
      <c r="J87" t="s">
        <v>2683</v>
      </c>
      <c r="K87" t="s">
        <v>2678</v>
      </c>
      <c r="L87" s="564" t="s">
        <v>2666</v>
      </c>
      <c r="M87" s="562">
        <f>SUMIFS('Recon of ORS and DV'!D:D,'Recon of ORS and DV'!B:B,'DV List for import'!A87)</f>
        <v>0</v>
      </c>
      <c r="N87" s="276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2" t="e">
        <f>VLOOKUP(L88,'Import Process ORS'!$D$4:$E$1557,2,FALSE)</f>
        <v>#N/A</v>
      </c>
      <c r="D88" s="562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2" t="e">
        <f>SUMIFS('[1]MAIN-101'!$Z$1:$Z$3000,'[1]MAIN-101'!$X$1:$X$3000,A88)</f>
        <v>#VALUE!</v>
      </c>
      <c r="I88" s="562" t="s">
        <v>2687</v>
      </c>
      <c r="J88" t="s">
        <v>2683</v>
      </c>
      <c r="K88" t="s">
        <v>2678</v>
      </c>
      <c r="L88" s="562" t="str">
        <f>VLOOKUP(A88,'Format for Import of DV'!$A$3:$S$1556,3,FALSE)</f>
        <v>028</v>
      </c>
      <c r="M88" s="562" t="e">
        <f>SUMIFS('Recon of ORS and DV'!D:D,'Recon of ORS and DV'!B:B,'DV List for import'!A88)</f>
        <v>#VALUE!</v>
      </c>
      <c r="N88" s="276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2" t="e">
        <f>VLOOKUP(L89,'Import Process ORS'!$D$4:$E$1557,2,FALSE)</f>
        <v>#N/A</v>
      </c>
      <c r="D89" s="562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2" t="e">
        <f>SUMIFS('[1]MAIN-101'!$Z$1:$Z$3000,'[1]MAIN-101'!$X$1:$X$3000,A89)</f>
        <v>#VALUE!</v>
      </c>
      <c r="I89" s="562" t="s">
        <v>2687</v>
      </c>
      <c r="J89" t="s">
        <v>2683</v>
      </c>
      <c r="K89" t="s">
        <v>2678</v>
      </c>
      <c r="L89" s="562" t="str">
        <f>VLOOKUP(A89,'Format for Import of DV'!$A$3:$S$1556,3,FALSE)</f>
        <v>029</v>
      </c>
      <c r="M89" s="562" t="e">
        <f>SUMIFS('Recon of ORS and DV'!D:D,'Recon of ORS and DV'!B:B,'DV List for import'!A89)</f>
        <v>#VALUE!</v>
      </c>
      <c r="N89" s="276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2" t="e">
        <f>VLOOKUP(L90,'Import Process ORS'!$D$4:$E$1557,2,FALSE)</f>
        <v>#N/A</v>
      </c>
      <c r="D90" s="562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2" t="e">
        <f>SUMIFS('[1]MAIN-101'!$Z$1:$Z$3000,'[1]MAIN-101'!$X$1:$X$3000,A90)</f>
        <v>#VALUE!</v>
      </c>
      <c r="I90" s="562" t="s">
        <v>2687</v>
      </c>
      <c r="J90" t="s">
        <v>2683</v>
      </c>
      <c r="K90" t="s">
        <v>2678</v>
      </c>
      <c r="L90" s="562" t="str">
        <f>VLOOKUP(A90,'Format for Import of DV'!$A$3:$S$1556,3,FALSE)</f>
        <v>025</v>
      </c>
      <c r="M90" s="562" t="e">
        <f>SUMIFS('Recon of ORS and DV'!D:D,'Recon of ORS and DV'!B:B,'DV List for import'!A90)</f>
        <v>#VALUE!</v>
      </c>
      <c r="N90" s="276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4" t="str">
        <f>L91</f>
        <v>0000-00-0000</v>
      </c>
      <c r="D91" s="562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2" t="e">
        <f>SUMIFS('[1]MAIN-101'!$Z$1:$Z$3000,'[1]MAIN-101'!$X$1:$X$3000,A91)</f>
        <v>#VALUE!</v>
      </c>
      <c r="I91" s="562" t="s">
        <v>2662</v>
      </c>
      <c r="J91" t="s">
        <v>2053</v>
      </c>
      <c r="K91" t="s">
        <v>2680</v>
      </c>
      <c r="L91" s="564" t="s">
        <v>2666</v>
      </c>
      <c r="M91" s="562">
        <f>SUMIFS('Recon of ORS and DV'!D:D,'Recon of ORS and DV'!B:B,'DV List for import'!A91)</f>
        <v>0</v>
      </c>
      <c r="N91" s="276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2" t="e">
        <f>VLOOKUP(L92,'Import Process ORS'!$D$4:$E$1557,2,FALSE)</f>
        <v>#N/A</v>
      </c>
      <c r="D92" s="562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2" t="e">
        <f>SUMIFS('[1]MAIN-101'!$Z$1:$Z$3000,'[1]MAIN-101'!$X$1:$X$3000,A92)</f>
        <v>#VALUE!</v>
      </c>
      <c r="I92" s="562" t="s">
        <v>2687</v>
      </c>
      <c r="J92" t="s">
        <v>2683</v>
      </c>
      <c r="K92" t="s">
        <v>2678</v>
      </c>
      <c r="L92" s="562" t="str">
        <f>VLOOKUP(A92,'Format for Import of DV'!$A$3:$S$1556,3,FALSE)</f>
        <v>027</v>
      </c>
      <c r="M92" s="562" t="e">
        <f>SUMIFS('Recon of ORS and DV'!D:D,'Recon of ORS and DV'!B:B,'DV List for import'!A92)</f>
        <v>#VALUE!</v>
      </c>
      <c r="N92" s="276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2" t="e">
        <f>VLOOKUP(L93,'Import Process ORS'!$D$4:$E$1557,2,FALSE)</f>
        <v>#N/A</v>
      </c>
      <c r="D93" s="562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2" t="e">
        <f>SUMIFS('[1]MAIN-101'!$Z$1:$Z$3000,'[1]MAIN-101'!$X$1:$X$3000,A93)</f>
        <v>#VALUE!</v>
      </c>
      <c r="I93" s="562" t="s">
        <v>2687</v>
      </c>
      <c r="J93" t="s">
        <v>2683</v>
      </c>
      <c r="K93" t="s">
        <v>2678</v>
      </c>
      <c r="L93" s="562" t="str">
        <f>VLOOKUP(A93,'Format for Import of DV'!$A$3:$S$1556,3,FALSE)</f>
        <v>024</v>
      </c>
      <c r="M93" s="562" t="e">
        <f>SUMIFS('Recon of ORS and DV'!D:D,'Recon of ORS and DV'!B:B,'DV List for import'!A93)</f>
        <v>#VALUE!</v>
      </c>
      <c r="N93" s="276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2" t="e">
        <f>VLOOKUP(L94,'Import Process ORS'!$D$4:$E$1557,2,FALSE)</f>
        <v>#N/A</v>
      </c>
      <c r="D94" s="562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2" t="e">
        <f>SUMIFS('[1]MAIN-101'!$Z$1:$Z$3000,'[1]MAIN-101'!$X$1:$X$3000,A94)</f>
        <v>#VALUE!</v>
      </c>
      <c r="I94" s="562" t="s">
        <v>2687</v>
      </c>
      <c r="J94" t="s">
        <v>2683</v>
      </c>
      <c r="K94" t="s">
        <v>2678</v>
      </c>
      <c r="L94" s="562" t="str">
        <f>VLOOKUP(A94,'Format for Import of DV'!$A$3:$S$1556,3,FALSE)</f>
        <v>023</v>
      </c>
      <c r="M94" s="562" t="e">
        <f>SUMIFS('Recon of ORS and DV'!D:D,'Recon of ORS and DV'!B:B,'DV List for import'!A94)</f>
        <v>#VALUE!</v>
      </c>
      <c r="N94" s="276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2" t="e">
        <f>VLOOKUP(L95,'Import Process ORS'!$D$4:$E$1557,2,FALSE)</f>
        <v>#N/A</v>
      </c>
      <c r="D95" s="562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2" t="e">
        <f>SUMIFS('[1]MAIN-101'!$Z$1:$Z$3000,'[1]MAIN-101'!$X$1:$X$3000,A95)</f>
        <v>#VALUE!</v>
      </c>
      <c r="I95" s="562" t="s">
        <v>2687</v>
      </c>
      <c r="J95" t="s">
        <v>2683</v>
      </c>
      <c r="K95" t="s">
        <v>2678</v>
      </c>
      <c r="L95" s="562" t="str">
        <f>VLOOKUP(A95,'Format for Import of DV'!$A$3:$S$1556,3,FALSE)</f>
        <v>026</v>
      </c>
      <c r="M95" s="562" t="e">
        <f>SUMIFS('Recon of ORS and DV'!D:D,'Recon of ORS and DV'!B:B,'DV List for import'!A95)</f>
        <v>#VALUE!</v>
      </c>
      <c r="N95" s="276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4" t="str">
        <f t="shared" ref="C96:C106" si="8">L96</f>
        <v>0000-00-0000</v>
      </c>
      <c r="D96" s="562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2" t="e">
        <f>SUMIFS('[1]MAIN-101'!$Z$1:$Z$3000,'[1]MAIN-101'!$X$1:$X$3000,A96)</f>
        <v>#VALUE!</v>
      </c>
      <c r="I96" s="562" t="s">
        <v>2662</v>
      </c>
      <c r="J96" t="s">
        <v>2053</v>
      </c>
      <c r="K96" t="s">
        <v>2680</v>
      </c>
      <c r="L96" s="564" t="s">
        <v>2666</v>
      </c>
      <c r="M96" s="562">
        <f>SUMIFS('Recon of ORS and DV'!D:D,'Recon of ORS and DV'!B:B,'DV List for import'!A96)</f>
        <v>0</v>
      </c>
      <c r="N96" s="276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4" t="str">
        <f t="shared" si="8"/>
        <v>0000-00-0000</v>
      </c>
      <c r="D97" s="562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2" t="e">
        <f>SUMIFS('[1]MAIN-101'!$Z$1:$Z$3000,'[1]MAIN-101'!$X$1:$X$3000,A97)</f>
        <v>#VALUE!</v>
      </c>
      <c r="I97" s="562" t="s">
        <v>2662</v>
      </c>
      <c r="J97" t="s">
        <v>2053</v>
      </c>
      <c r="K97" t="s">
        <v>2680</v>
      </c>
      <c r="L97" s="564" t="s">
        <v>2666</v>
      </c>
      <c r="M97" s="562">
        <f>SUMIFS('Recon of ORS and DV'!D:D,'Recon of ORS and DV'!B:B,'DV List for import'!A97)</f>
        <v>0</v>
      </c>
      <c r="N97" s="276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4" t="str">
        <f t="shared" si="8"/>
        <v>0000-00-0000</v>
      </c>
      <c r="D98" s="562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2" t="e">
        <f>SUMIFS('[1]MAIN-101'!$Z$1:$Z$3000,'[1]MAIN-101'!$X$1:$X$3000,A98)</f>
        <v>#VALUE!</v>
      </c>
      <c r="I98" s="562" t="s">
        <v>2662</v>
      </c>
      <c r="J98" t="s">
        <v>2053</v>
      </c>
      <c r="K98" t="s">
        <v>2680</v>
      </c>
      <c r="L98" s="564" t="s">
        <v>2666</v>
      </c>
      <c r="M98" s="562">
        <f>SUMIFS('Recon of ORS and DV'!D:D,'Recon of ORS and DV'!B:B,'DV List for import'!A98)</f>
        <v>0</v>
      </c>
      <c r="N98" s="276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4" t="str">
        <f t="shared" si="8"/>
        <v>0000-00-0000</v>
      </c>
      <c r="D99" s="562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2" t="e">
        <f>SUMIFS('[1]MAIN-101'!$Z$1:$Z$3000,'[1]MAIN-101'!$X$1:$X$3000,A99)</f>
        <v>#VALUE!</v>
      </c>
      <c r="I99" s="562" t="s">
        <v>2662</v>
      </c>
      <c r="J99" t="s">
        <v>2053</v>
      </c>
      <c r="K99" t="s">
        <v>2680</v>
      </c>
      <c r="L99" s="564" t="s">
        <v>2666</v>
      </c>
      <c r="M99" s="562">
        <f>SUMIFS('Recon of ORS and DV'!D:D,'Recon of ORS and DV'!B:B,'DV List for import'!A99)</f>
        <v>0</v>
      </c>
      <c r="N99" s="276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4" t="str">
        <f t="shared" si="8"/>
        <v>0000-00-0000</v>
      </c>
      <c r="D100" s="562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2" t="e">
        <f>SUMIFS('[1]MAIN-101'!$Z$1:$Z$3000,'[1]MAIN-101'!$X$1:$X$3000,A100)</f>
        <v>#VALUE!</v>
      </c>
      <c r="I100" s="562" t="s">
        <v>2662</v>
      </c>
      <c r="J100" t="s">
        <v>2053</v>
      </c>
      <c r="K100" t="s">
        <v>2680</v>
      </c>
      <c r="L100" s="564" t="s">
        <v>2666</v>
      </c>
      <c r="M100" s="562">
        <f>SUMIFS('Recon of ORS and DV'!D:D,'Recon of ORS and DV'!B:B,'DV List for import'!A100)</f>
        <v>0</v>
      </c>
      <c r="N100" s="276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4" t="str">
        <f t="shared" si="8"/>
        <v>0000-00-0000</v>
      </c>
      <c r="D101" s="562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2" t="e">
        <f>SUMIFS('[1]MAIN-101'!$Z$1:$Z$3000,'[1]MAIN-101'!$X$1:$X$3000,A101)</f>
        <v>#VALUE!</v>
      </c>
      <c r="I101" s="562" t="s">
        <v>2662</v>
      </c>
      <c r="J101" t="s">
        <v>2053</v>
      </c>
      <c r="K101" t="s">
        <v>2680</v>
      </c>
      <c r="L101" s="564" t="s">
        <v>2666</v>
      </c>
      <c r="M101" s="562">
        <f>SUMIFS('Recon of ORS and DV'!D:D,'Recon of ORS and DV'!B:B,'DV List for import'!A101)</f>
        <v>0</v>
      </c>
      <c r="N101" s="276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4" t="str">
        <f t="shared" si="8"/>
        <v>0000-00-0000</v>
      </c>
      <c r="D102" s="562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2" t="e">
        <f>SUMIFS('[1]MAIN-101'!$Z$1:$Z$3000,'[1]MAIN-101'!$X$1:$X$3000,A102)</f>
        <v>#VALUE!</v>
      </c>
      <c r="I102" s="562" t="s">
        <v>2662</v>
      </c>
      <c r="J102" t="s">
        <v>2053</v>
      </c>
      <c r="K102" t="s">
        <v>2680</v>
      </c>
      <c r="L102" s="564" t="s">
        <v>2666</v>
      </c>
      <c r="M102" s="562">
        <f>SUMIFS('Recon of ORS and DV'!D:D,'Recon of ORS and DV'!B:B,'DV List for import'!A102)</f>
        <v>0</v>
      </c>
      <c r="N102" s="276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4" t="str">
        <f t="shared" si="8"/>
        <v>0000-00-0000</v>
      </c>
      <c r="D103" s="562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2" t="e">
        <f>SUMIFS('[1]MAIN-101'!$Z$1:$Z$3000,'[1]MAIN-101'!$X$1:$X$3000,A103)</f>
        <v>#VALUE!</v>
      </c>
      <c r="I103" s="562" t="s">
        <v>2662</v>
      </c>
      <c r="J103" t="s">
        <v>2053</v>
      </c>
      <c r="K103" t="s">
        <v>2680</v>
      </c>
      <c r="L103" s="564" t="s">
        <v>2666</v>
      </c>
      <c r="M103" s="562">
        <f>SUMIFS('Recon of ORS and DV'!D:D,'Recon of ORS and DV'!B:B,'DV List for import'!A103)</f>
        <v>0</v>
      </c>
      <c r="N103" s="276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4" t="str">
        <f t="shared" si="8"/>
        <v>0000-00-0000</v>
      </c>
      <c r="D104" s="562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2" t="e">
        <f>SUMIFS('[1]MAIN-101'!$Z$1:$Z$3000,'[1]MAIN-101'!$X$1:$X$3000,A104)</f>
        <v>#VALUE!</v>
      </c>
      <c r="I104" s="562" t="s">
        <v>2662</v>
      </c>
      <c r="J104" t="s">
        <v>2053</v>
      </c>
      <c r="K104" t="s">
        <v>2680</v>
      </c>
      <c r="L104" s="564" t="s">
        <v>2666</v>
      </c>
      <c r="M104" s="562">
        <f>SUMIFS('Recon of ORS and DV'!D:D,'Recon of ORS and DV'!B:B,'DV List for import'!A104)</f>
        <v>0</v>
      </c>
      <c r="N104" s="276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4" t="str">
        <f t="shared" si="8"/>
        <v>0000-00-0000</v>
      </c>
      <c r="D105" s="562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2" t="e">
        <f>SUMIFS('[1]MAIN-101'!$Z$1:$Z$3000,'[1]MAIN-101'!$X$1:$X$3000,A105)</f>
        <v>#VALUE!</v>
      </c>
      <c r="I105" s="562" t="s">
        <v>2662</v>
      </c>
      <c r="J105" t="s">
        <v>2053</v>
      </c>
      <c r="K105" t="s">
        <v>2680</v>
      </c>
      <c r="L105" s="564" t="s">
        <v>2666</v>
      </c>
      <c r="M105" s="562">
        <f>SUMIFS('Recon of ORS and DV'!D:D,'Recon of ORS and DV'!B:B,'DV List for import'!A105)</f>
        <v>0</v>
      </c>
      <c r="N105" s="276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4" t="str">
        <f t="shared" si="8"/>
        <v>0000-00-0000</v>
      </c>
      <c r="D106" s="562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2" t="e">
        <f>SUMIFS('[1]MAIN-101'!$Z$1:$Z$3000,'[1]MAIN-101'!$X$1:$X$3000,A106)</f>
        <v>#VALUE!</v>
      </c>
      <c r="I106" s="562" t="s">
        <v>2662</v>
      </c>
      <c r="J106" t="s">
        <v>2053</v>
      </c>
      <c r="K106" t="s">
        <v>2680</v>
      </c>
      <c r="L106" s="564" t="s">
        <v>2666</v>
      </c>
      <c r="M106" s="562">
        <f>SUMIFS('Recon of ORS and DV'!D:D,'Recon of ORS and DV'!B:B,'DV List for import'!A106)</f>
        <v>0</v>
      </c>
      <c r="N106" s="276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2" t="e">
        <f>VLOOKUP(L107,'Import Process ORS'!$D$4:$E$1557,2,FALSE)</f>
        <v>#N/A</v>
      </c>
      <c r="D107" s="562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2" t="e">
        <f>SUMIFS('[1]MAIN-101'!$Z$1:$Z$3000,'[1]MAIN-101'!$X$1:$X$3000,A107)</f>
        <v>#VALUE!</v>
      </c>
      <c r="I107" s="562" t="s">
        <v>2687</v>
      </c>
      <c r="J107" t="s">
        <v>2683</v>
      </c>
      <c r="K107" t="s">
        <v>2678</v>
      </c>
      <c r="L107" s="562" t="str">
        <f>VLOOKUP(A107,'Format for Import of DV'!$A$3:$S$1556,3,FALSE)</f>
        <v>031</v>
      </c>
      <c r="M107" s="562" t="e">
        <f>SUMIFS('Recon of ORS and DV'!D:D,'Recon of ORS and DV'!B:B,'DV List for import'!A107)</f>
        <v>#VALUE!</v>
      </c>
      <c r="N107" s="276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2" t="e">
        <f>VLOOKUP(L108,'Import Process ORS'!$D$4:$E$1557,2,FALSE)</f>
        <v>#N/A</v>
      </c>
      <c r="D108" s="562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2" t="e">
        <f>SUMIFS('[1]MAIN-101'!$Z$1:$Z$3000,'[1]MAIN-101'!$X$1:$X$3000,A108)</f>
        <v>#VALUE!</v>
      </c>
      <c r="I108" s="562" t="s">
        <v>2687</v>
      </c>
      <c r="J108" t="s">
        <v>2683</v>
      </c>
      <c r="K108" t="s">
        <v>2678</v>
      </c>
      <c r="L108" s="562" t="str">
        <f>VLOOKUP(A108,'Format for Import of DV'!$A$3:$S$1556,3,FALSE)</f>
        <v>032</v>
      </c>
      <c r="M108" s="562" t="e">
        <f>SUMIFS('Recon of ORS and DV'!D:D,'Recon of ORS and DV'!B:B,'DV List for import'!A108)</f>
        <v>#VALUE!</v>
      </c>
      <c r="N108" s="276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2" t="e">
        <f>VLOOKUP(L109,'Import Process ORS'!$D$4:$E$1557,2,FALSE)</f>
        <v>#N/A</v>
      </c>
      <c r="D109" s="562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2" t="e">
        <f>SUMIFS('[1]MAIN-101'!$Z$1:$Z$3000,'[1]MAIN-101'!$X$1:$X$3000,A109)</f>
        <v>#VALUE!</v>
      </c>
      <c r="I109" s="562" t="s">
        <v>2687</v>
      </c>
      <c r="J109" t="s">
        <v>2683</v>
      </c>
      <c r="K109" t="s">
        <v>2678</v>
      </c>
      <c r="L109" s="562" t="str">
        <f>VLOOKUP(A109,'Format for Import of DV'!$A$3:$S$1556,3,FALSE)</f>
        <v>033</v>
      </c>
      <c r="M109" s="562" t="e">
        <f>SUMIFS('Recon of ORS and DV'!D:D,'Recon of ORS and DV'!B:B,'DV List for import'!A109)</f>
        <v>#VALUE!</v>
      </c>
      <c r="N109" s="276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2" t="e">
        <f>VLOOKUP(L110,'Import Process ORS'!$D$4:$E$1557,2,FALSE)</f>
        <v>#N/A</v>
      </c>
      <c r="D110" s="562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2" t="e">
        <f>SUMIFS('[1]MAIN-101'!$Z$1:$Z$3000,'[1]MAIN-101'!$X$1:$X$3000,A110)</f>
        <v>#VALUE!</v>
      </c>
      <c r="I110" s="562" t="s">
        <v>2687</v>
      </c>
      <c r="J110" t="s">
        <v>2683</v>
      </c>
      <c r="K110" t="s">
        <v>2678</v>
      </c>
      <c r="L110" s="562" t="str">
        <f>VLOOKUP(A110,'Format for Import of DV'!$A$3:$S$1556,3,FALSE)</f>
        <v>034</v>
      </c>
      <c r="M110" s="562" t="e">
        <f>SUMIFS('Recon of ORS and DV'!D:D,'Recon of ORS and DV'!B:B,'DV List for import'!A110)</f>
        <v>#VALUE!</v>
      </c>
      <c r="N110" s="276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2" t="e">
        <f>VLOOKUP(L111,'Import Process ORS'!$D$4:$E$1557,2,FALSE)</f>
        <v>#N/A</v>
      </c>
      <c r="D111" s="562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2" t="e">
        <f>SUMIFS('[1]MAIN-101'!$Z$1:$Z$3000,'[1]MAIN-101'!$X$1:$X$3000,A111)</f>
        <v>#VALUE!</v>
      </c>
      <c r="I111" s="562" t="s">
        <v>2687</v>
      </c>
      <c r="J111" t="s">
        <v>2683</v>
      </c>
      <c r="K111" t="s">
        <v>2678</v>
      </c>
      <c r="L111" s="562" t="str">
        <f>VLOOKUP(A111,'Format for Import of DV'!$A$3:$S$1556,3,FALSE)</f>
        <v>035</v>
      </c>
      <c r="M111" s="562" t="e">
        <f>SUMIFS('Recon of ORS and DV'!D:D,'Recon of ORS and DV'!B:B,'DV List for import'!A111)</f>
        <v>#VALUE!</v>
      </c>
      <c r="N111" s="276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2" t="e">
        <f>VLOOKUP(L112,'Import Process ORS'!$D$4:$E$1557,2,FALSE)</f>
        <v>#N/A</v>
      </c>
      <c r="D112" s="562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2" t="e">
        <f>SUMIFS('[1]MAIN-101'!$Z$1:$Z$3000,'[1]MAIN-101'!$X$1:$X$3000,A112)</f>
        <v>#VALUE!</v>
      </c>
      <c r="I112" s="562" t="s">
        <v>2687</v>
      </c>
      <c r="J112" t="s">
        <v>2683</v>
      </c>
      <c r="K112" t="s">
        <v>2678</v>
      </c>
      <c r="L112" s="562" t="str">
        <f>VLOOKUP(A112,'Format for Import of DV'!$A$3:$S$1556,3,FALSE)</f>
        <v>036</v>
      </c>
      <c r="M112" s="562" t="e">
        <f>SUMIFS('Recon of ORS and DV'!D:D,'Recon of ORS and DV'!B:B,'DV List for import'!A112)</f>
        <v>#VALUE!</v>
      </c>
      <c r="N112" s="276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4" t="str">
        <f>L113</f>
        <v>0000-00-0000</v>
      </c>
      <c r="D113" s="562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2" t="e">
        <f>SUMIFS('[1]MAIN-101'!$Z$1:$Z$3000,'[1]MAIN-101'!$X$1:$X$3000,A113)</f>
        <v>#VALUE!</v>
      </c>
      <c r="I113" s="562" t="s">
        <v>2687</v>
      </c>
      <c r="J113" t="s">
        <v>2683</v>
      </c>
      <c r="K113" t="s">
        <v>2678</v>
      </c>
      <c r="L113" s="564" t="s">
        <v>2666</v>
      </c>
      <c r="M113" s="562">
        <f>SUMIFS('Recon of ORS and DV'!D:D,'Recon of ORS and DV'!B:B,'DV List for import'!A113)</f>
        <v>0</v>
      </c>
      <c r="N113" s="276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4" t="str">
        <f>L114</f>
        <v>0000-00-0000</v>
      </c>
      <c r="D114" s="562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2" t="e">
        <f>SUMIFS('[1]MAIN-101'!$Z$1:$Z$3000,'[1]MAIN-101'!$X$1:$X$3000,A114)</f>
        <v>#VALUE!</v>
      </c>
      <c r="I114" s="562" t="s">
        <v>2687</v>
      </c>
      <c r="J114" t="s">
        <v>2683</v>
      </c>
      <c r="K114" t="s">
        <v>2678</v>
      </c>
      <c r="L114" s="564" t="s">
        <v>2666</v>
      </c>
      <c r="M114" s="562">
        <f>SUMIFS('Recon of ORS and DV'!D:D,'Recon of ORS and DV'!B:B,'DV List for import'!A114)</f>
        <v>0</v>
      </c>
      <c r="N114" s="276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4" t="str">
        <f>L115</f>
        <v>0000-00-0000</v>
      </c>
      <c r="D115" s="562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2" t="e">
        <f>SUMIFS('[1]MAIN-101'!$Z$1:$Z$3000,'[1]MAIN-101'!$X$1:$X$3000,A115)</f>
        <v>#VALUE!</v>
      </c>
      <c r="I115" s="562" t="s">
        <v>2662</v>
      </c>
      <c r="J115" t="s">
        <v>2053</v>
      </c>
      <c r="K115" t="s">
        <v>2680</v>
      </c>
      <c r="L115" s="564" t="s">
        <v>2666</v>
      </c>
      <c r="M115" s="562">
        <f>SUMIFS('Recon of ORS and DV'!D:D,'Recon of ORS and DV'!B:B,'DV List for import'!A115)</f>
        <v>0</v>
      </c>
      <c r="N115" s="276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4" t="str">
        <f>L116</f>
        <v>0000-00-0000</v>
      </c>
      <c r="D116" s="562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2" t="e">
        <f>SUMIFS('[1]MAIN-101'!$Z$1:$Z$3000,'[1]MAIN-101'!$X$1:$X$3000,A116)</f>
        <v>#VALUE!</v>
      </c>
      <c r="I116" s="562" t="s">
        <v>392</v>
      </c>
      <c r="J116" t="s">
        <v>2681</v>
      </c>
      <c r="K116" t="s">
        <v>2679</v>
      </c>
      <c r="L116" s="564" t="s">
        <v>2666</v>
      </c>
      <c r="M116" s="562">
        <f>SUMIFS('Recon of ORS and DV'!D:D,'Recon of ORS and DV'!B:B,'DV List for import'!A116)</f>
        <v>0</v>
      </c>
      <c r="N116" s="276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2" t="e">
        <f>VLOOKUP(L117,'Import Process ORS'!$D$4:$E$1557,2,FALSE)</f>
        <v>#N/A</v>
      </c>
      <c r="D117" s="562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2" t="e">
        <f>SUMIFS('[1]MAIN-101'!$Z$1:$Z$3000,'[1]MAIN-101'!$X$1:$X$3000,A117)</f>
        <v>#VALUE!</v>
      </c>
      <c r="I117" s="562" t="s">
        <v>2687</v>
      </c>
      <c r="J117" t="s">
        <v>2683</v>
      </c>
      <c r="K117" t="s">
        <v>2678</v>
      </c>
      <c r="L117" s="562" t="str">
        <f>VLOOKUP(A117,'Format for Import of DV'!$A$3:$S$1556,3,FALSE)</f>
        <v>041A</v>
      </c>
      <c r="M117" s="562" t="e">
        <f>SUMIFS('Recon of ORS and DV'!D:D,'Recon of ORS and DV'!B:B,'DV List for import'!A117)</f>
        <v>#VALUE!</v>
      </c>
      <c r="N117" s="276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4" t="str">
        <f t="shared" ref="C118:C142" si="10">L118</f>
        <v>0000-00-0000</v>
      </c>
      <c r="D118" s="562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2" t="e">
        <f>SUMIFS('[1]MAIN-101'!$Z$1:$Z$3000,'[1]MAIN-101'!$X$1:$X$3000,A118)</f>
        <v>#VALUE!</v>
      </c>
      <c r="I118" s="562" t="s">
        <v>392</v>
      </c>
      <c r="J118" t="s">
        <v>2681</v>
      </c>
      <c r="K118" t="s">
        <v>2679</v>
      </c>
      <c r="L118" s="564" t="s">
        <v>2666</v>
      </c>
      <c r="M118" s="562">
        <f>SUMIFS('Recon of ORS and DV'!D:D,'Recon of ORS and DV'!B:B,'DV List for import'!A118)</f>
        <v>0</v>
      </c>
      <c r="N118" s="276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4" t="str">
        <f t="shared" si="10"/>
        <v>0000-00-0000</v>
      </c>
      <c r="D119" s="562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2" t="e">
        <f>SUMIFS('[1]MAIN-101'!$Z$1:$Z$3000,'[1]MAIN-101'!$X$1:$X$3000,A119)</f>
        <v>#VALUE!</v>
      </c>
      <c r="I119" s="562" t="s">
        <v>392</v>
      </c>
      <c r="J119" t="s">
        <v>2681</v>
      </c>
      <c r="K119" t="s">
        <v>2679</v>
      </c>
      <c r="L119" s="564" t="s">
        <v>2666</v>
      </c>
      <c r="M119" s="562">
        <f>SUMIFS('Recon of ORS and DV'!D:D,'Recon of ORS and DV'!B:B,'DV List for import'!A119)</f>
        <v>0</v>
      </c>
      <c r="N119" s="276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4" t="str">
        <f t="shared" si="10"/>
        <v>0000-00-0000</v>
      </c>
      <c r="D120" s="562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2" t="e">
        <f>SUMIFS('[1]MAIN-101'!$Z$1:$Z$3000,'[1]MAIN-101'!$X$1:$X$3000,A120)</f>
        <v>#VALUE!</v>
      </c>
      <c r="I120" s="562" t="s">
        <v>392</v>
      </c>
      <c r="J120" t="s">
        <v>2681</v>
      </c>
      <c r="K120" t="s">
        <v>2679</v>
      </c>
      <c r="L120" s="564" t="s">
        <v>2666</v>
      </c>
      <c r="M120" s="562">
        <f>SUMIFS('Recon of ORS and DV'!D:D,'Recon of ORS and DV'!B:B,'DV List for import'!A120)</f>
        <v>0</v>
      </c>
      <c r="N120" s="276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4" t="str">
        <f t="shared" si="10"/>
        <v>0000-00-0000</v>
      </c>
      <c r="D121" s="562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2" t="e">
        <f>SUMIFS('[1]MAIN-101'!$Z$1:$Z$3000,'[1]MAIN-101'!$X$1:$X$3000,A121)</f>
        <v>#VALUE!</v>
      </c>
      <c r="I121" s="562" t="s">
        <v>392</v>
      </c>
      <c r="J121" t="s">
        <v>2681</v>
      </c>
      <c r="K121" t="s">
        <v>2679</v>
      </c>
      <c r="L121" s="564" t="s">
        <v>2666</v>
      </c>
      <c r="M121" s="562">
        <f>SUMIFS('Recon of ORS and DV'!D:D,'Recon of ORS and DV'!B:B,'DV List for import'!A121)</f>
        <v>0</v>
      </c>
      <c r="N121" s="276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4" t="str">
        <f t="shared" si="10"/>
        <v>0000-00-0000</v>
      </c>
      <c r="D122" s="562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2" t="e">
        <f>SUMIFS('[1]MAIN-101'!$Z$1:$Z$3000,'[1]MAIN-101'!$X$1:$X$3000,A122)</f>
        <v>#VALUE!</v>
      </c>
      <c r="I122" s="562" t="s">
        <v>392</v>
      </c>
      <c r="J122" t="s">
        <v>2681</v>
      </c>
      <c r="K122" t="s">
        <v>2679</v>
      </c>
      <c r="L122" s="564" t="s">
        <v>2666</v>
      </c>
      <c r="M122" s="562">
        <f>SUMIFS('Recon of ORS and DV'!D:D,'Recon of ORS and DV'!B:B,'DV List for import'!A122)</f>
        <v>0</v>
      </c>
      <c r="N122" s="276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4" t="str">
        <f t="shared" si="10"/>
        <v>0000-00-0000</v>
      </c>
      <c r="D123" s="562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2" t="e">
        <f>SUMIFS('[1]MAIN-101'!$Z$1:$Z$3000,'[1]MAIN-101'!$X$1:$X$3000,A123)</f>
        <v>#VALUE!</v>
      </c>
      <c r="I123" s="562" t="s">
        <v>392</v>
      </c>
      <c r="J123" t="s">
        <v>2681</v>
      </c>
      <c r="K123" t="s">
        <v>2679</v>
      </c>
      <c r="L123" s="564" t="s">
        <v>2666</v>
      </c>
      <c r="M123" s="562">
        <f>SUMIFS('Recon of ORS and DV'!D:D,'Recon of ORS and DV'!B:B,'DV List for import'!A123)</f>
        <v>0</v>
      </c>
      <c r="N123" s="276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4" t="str">
        <f t="shared" si="10"/>
        <v>0000-00-0000</v>
      </c>
      <c r="D124" s="562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2" t="e">
        <f>SUMIFS('[1]MAIN-101'!$Z$1:$Z$3000,'[1]MAIN-101'!$X$1:$X$3000,A124)</f>
        <v>#VALUE!</v>
      </c>
      <c r="I124" s="562" t="s">
        <v>392</v>
      </c>
      <c r="J124" t="s">
        <v>2681</v>
      </c>
      <c r="K124" t="s">
        <v>2679</v>
      </c>
      <c r="L124" s="564" t="s">
        <v>2666</v>
      </c>
      <c r="M124" s="562">
        <f>SUMIFS('Recon of ORS and DV'!D:D,'Recon of ORS and DV'!B:B,'DV List for import'!A124)</f>
        <v>0</v>
      </c>
      <c r="N124" s="276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4" t="str">
        <f t="shared" si="10"/>
        <v>0000-00-0000</v>
      </c>
      <c r="D125" s="562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2" t="e">
        <f>SUMIFS('[1]MAIN-101'!$Z$1:$Z$3000,'[1]MAIN-101'!$X$1:$X$3000,A125)</f>
        <v>#VALUE!</v>
      </c>
      <c r="I125" s="562" t="s">
        <v>392</v>
      </c>
      <c r="J125" t="s">
        <v>2681</v>
      </c>
      <c r="K125" t="s">
        <v>2679</v>
      </c>
      <c r="L125" s="564" t="s">
        <v>2666</v>
      </c>
      <c r="M125" s="562">
        <f>SUMIFS('Recon of ORS and DV'!D:D,'Recon of ORS and DV'!B:B,'DV List for import'!A125)</f>
        <v>0</v>
      </c>
      <c r="N125" s="276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4" t="str">
        <f t="shared" si="10"/>
        <v>0000-00-0000</v>
      </c>
      <c r="D126" s="562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2" t="e">
        <f>SUMIFS('[1]MAIN-101'!$Z$1:$Z$3000,'[1]MAIN-101'!$X$1:$X$3000,A126)</f>
        <v>#VALUE!</v>
      </c>
      <c r="I126" s="562" t="s">
        <v>392</v>
      </c>
      <c r="J126" t="s">
        <v>2681</v>
      </c>
      <c r="K126" t="s">
        <v>2679</v>
      </c>
      <c r="L126" s="564" t="s">
        <v>2666</v>
      </c>
      <c r="M126" s="562">
        <f>SUMIFS('Recon of ORS and DV'!D:D,'Recon of ORS and DV'!B:B,'DV List for import'!A126)</f>
        <v>0</v>
      </c>
      <c r="N126" s="276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4" t="str">
        <f t="shared" si="10"/>
        <v>0000-00-0000</v>
      </c>
      <c r="D127" s="562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2" t="e">
        <f>SUMIFS('[1]MAIN-101'!$Z$1:$Z$3000,'[1]MAIN-101'!$X$1:$X$3000,A127)</f>
        <v>#VALUE!</v>
      </c>
      <c r="I127" s="562" t="s">
        <v>392</v>
      </c>
      <c r="J127" t="s">
        <v>2681</v>
      </c>
      <c r="K127" t="s">
        <v>2679</v>
      </c>
      <c r="L127" s="564" t="s">
        <v>2666</v>
      </c>
      <c r="M127" s="562">
        <f>SUMIFS('Recon of ORS and DV'!D:D,'Recon of ORS and DV'!B:B,'DV List for import'!A127)</f>
        <v>0</v>
      </c>
      <c r="N127" s="276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4" t="str">
        <f t="shared" si="10"/>
        <v>0000-00-0000</v>
      </c>
      <c r="D128" s="562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2" t="e">
        <f>SUMIFS('[1]MAIN-101'!$Z$1:$Z$3000,'[1]MAIN-101'!$X$1:$X$3000,A128)</f>
        <v>#VALUE!</v>
      </c>
      <c r="I128" s="562" t="s">
        <v>2662</v>
      </c>
      <c r="J128" t="s">
        <v>2053</v>
      </c>
      <c r="K128" t="s">
        <v>2680</v>
      </c>
      <c r="L128" s="564" t="s">
        <v>2666</v>
      </c>
      <c r="M128" s="562">
        <f>SUMIFS('Recon of ORS and DV'!D:D,'Recon of ORS and DV'!B:B,'DV List for import'!A128)</f>
        <v>0</v>
      </c>
      <c r="N128" s="276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4" t="str">
        <f t="shared" si="10"/>
        <v>0000-00-0000</v>
      </c>
      <c r="D129" s="562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2" t="e">
        <f>SUMIFS('[1]MAIN-101'!$Z$1:$Z$3000,'[1]MAIN-101'!$X$1:$X$3000,A129)</f>
        <v>#VALUE!</v>
      </c>
      <c r="I129" s="562" t="s">
        <v>2662</v>
      </c>
      <c r="J129" t="s">
        <v>2053</v>
      </c>
      <c r="K129" t="s">
        <v>2680</v>
      </c>
      <c r="L129" s="564" t="s">
        <v>2666</v>
      </c>
      <c r="M129" s="562">
        <f>SUMIFS('Recon of ORS and DV'!D:D,'Recon of ORS and DV'!B:B,'DV List for import'!A129)</f>
        <v>0</v>
      </c>
      <c r="N129" s="276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4" t="str">
        <f t="shared" si="10"/>
        <v>0000-00-0000</v>
      </c>
      <c r="D130" s="562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2" t="e">
        <f>SUMIFS('[1]MAIN-101'!$Z$1:$Z$3000,'[1]MAIN-101'!$X$1:$X$3000,A130)</f>
        <v>#VALUE!</v>
      </c>
      <c r="I130" s="562" t="s">
        <v>2662</v>
      </c>
      <c r="J130" t="s">
        <v>2053</v>
      </c>
      <c r="K130" t="s">
        <v>2680</v>
      </c>
      <c r="L130" s="564" t="s">
        <v>2666</v>
      </c>
      <c r="M130" s="562">
        <f>SUMIFS('Recon of ORS and DV'!D:D,'Recon of ORS and DV'!B:B,'DV List for import'!A130)</f>
        <v>0</v>
      </c>
      <c r="N130" s="276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4" t="str">
        <f t="shared" si="10"/>
        <v>0000-00-0000</v>
      </c>
      <c r="D131" s="562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2" t="e">
        <f>SUMIFS('[1]MAIN-101'!$Z$1:$Z$3000,'[1]MAIN-101'!$X$1:$X$3000,A131)</f>
        <v>#VALUE!</v>
      </c>
      <c r="I131" s="562" t="s">
        <v>392</v>
      </c>
      <c r="J131" t="s">
        <v>2681</v>
      </c>
      <c r="K131" t="s">
        <v>2679</v>
      </c>
      <c r="L131" s="564" t="s">
        <v>2666</v>
      </c>
      <c r="M131" s="562">
        <f>SUMIFS('Recon of ORS and DV'!D:D,'Recon of ORS and DV'!B:B,'DV List for import'!A131)</f>
        <v>0</v>
      </c>
      <c r="N131" s="276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4" t="str">
        <f t="shared" si="10"/>
        <v>0000-00-0000</v>
      </c>
      <c r="D132" s="562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2" t="e">
        <f>SUMIFS('[1]MAIN-101'!$Z$1:$Z$3000,'[1]MAIN-101'!$X$1:$X$3000,A132)</f>
        <v>#VALUE!</v>
      </c>
      <c r="I132" s="562" t="s">
        <v>2662</v>
      </c>
      <c r="J132" t="s">
        <v>2053</v>
      </c>
      <c r="K132" t="s">
        <v>2680</v>
      </c>
      <c r="L132" s="564" t="s">
        <v>2666</v>
      </c>
      <c r="M132" s="562">
        <f>SUMIFS('Recon of ORS and DV'!D:D,'Recon of ORS and DV'!B:B,'DV List for import'!A132)</f>
        <v>0</v>
      </c>
      <c r="N132" s="276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4" t="str">
        <f t="shared" si="10"/>
        <v>0000-00-0000</v>
      </c>
      <c r="D133" s="562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2" t="e">
        <f>SUMIFS('[1]MAIN-101'!$Z$1:$Z$3000,'[1]MAIN-101'!$X$1:$X$3000,A133)</f>
        <v>#VALUE!</v>
      </c>
      <c r="I133" s="562" t="s">
        <v>2662</v>
      </c>
      <c r="J133" t="s">
        <v>2053</v>
      </c>
      <c r="K133" t="s">
        <v>2680</v>
      </c>
      <c r="L133" s="564" t="s">
        <v>2666</v>
      </c>
      <c r="M133" s="562">
        <f>SUMIFS('Recon of ORS and DV'!D:D,'Recon of ORS and DV'!B:B,'DV List for import'!A133)</f>
        <v>0</v>
      </c>
      <c r="N133" s="276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4" t="str">
        <f t="shared" si="10"/>
        <v>0000-00-0000</v>
      </c>
      <c r="D134" s="562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2" t="e">
        <f>SUMIFS('[1]MAIN-101'!$Z$1:$Z$3000,'[1]MAIN-101'!$X$1:$X$3000,A134)</f>
        <v>#VALUE!</v>
      </c>
      <c r="I134" s="562" t="s">
        <v>2662</v>
      </c>
      <c r="J134" t="s">
        <v>2053</v>
      </c>
      <c r="K134" t="s">
        <v>2680</v>
      </c>
      <c r="L134" s="564" t="s">
        <v>2666</v>
      </c>
      <c r="M134" s="562">
        <f>SUMIFS('Recon of ORS and DV'!D:D,'Recon of ORS and DV'!B:B,'DV List for import'!A134)</f>
        <v>0</v>
      </c>
      <c r="N134" s="276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4" t="str">
        <f t="shared" si="10"/>
        <v>0000-00-0000</v>
      </c>
      <c r="D135" s="562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2" t="e">
        <f>SUMIFS('[1]MAIN-101'!$Z$1:$Z$3000,'[1]MAIN-101'!$X$1:$X$3000,A135)</f>
        <v>#VALUE!</v>
      </c>
      <c r="I135" s="562" t="s">
        <v>2662</v>
      </c>
      <c r="J135" t="s">
        <v>2053</v>
      </c>
      <c r="K135" t="s">
        <v>2680</v>
      </c>
      <c r="L135" s="564" t="s">
        <v>2666</v>
      </c>
      <c r="M135" s="562">
        <f>SUMIFS('Recon of ORS and DV'!D:D,'Recon of ORS and DV'!B:B,'DV List for import'!A135)</f>
        <v>0</v>
      </c>
      <c r="N135" s="276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4" t="str">
        <f t="shared" si="10"/>
        <v>0000-00-0000</v>
      </c>
      <c r="D136" s="562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2" t="e">
        <f>SUMIFS('[1]MAIN-101'!$Z$1:$Z$3000,'[1]MAIN-101'!$X$1:$X$3000,A136)</f>
        <v>#VALUE!</v>
      </c>
      <c r="I136" s="562" t="s">
        <v>392</v>
      </c>
      <c r="J136" t="s">
        <v>2681</v>
      </c>
      <c r="K136" t="s">
        <v>2679</v>
      </c>
      <c r="L136" s="564" t="s">
        <v>2666</v>
      </c>
      <c r="M136" s="562">
        <f>SUMIFS('Recon of ORS and DV'!D:D,'Recon of ORS and DV'!B:B,'DV List for import'!A136)</f>
        <v>0</v>
      </c>
      <c r="N136" s="276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4" t="str">
        <f t="shared" si="10"/>
        <v>0000-00-0000</v>
      </c>
      <c r="D137" s="562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2" t="e">
        <f>SUMIFS('[1]MAIN-101'!$Z$1:$Z$3000,'[1]MAIN-101'!$X$1:$X$3000,A137)</f>
        <v>#VALUE!</v>
      </c>
      <c r="I137" s="562" t="s">
        <v>2662</v>
      </c>
      <c r="J137" t="s">
        <v>2053</v>
      </c>
      <c r="K137" t="s">
        <v>2680</v>
      </c>
      <c r="L137" s="564" t="s">
        <v>2666</v>
      </c>
      <c r="M137" s="562">
        <f>SUMIFS('Recon of ORS and DV'!D:D,'Recon of ORS and DV'!B:B,'DV List for import'!A137)</f>
        <v>0</v>
      </c>
      <c r="N137" s="276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4" t="str">
        <f t="shared" si="10"/>
        <v>0000-00-0000</v>
      </c>
      <c r="D138" s="562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2" t="e">
        <f>SUMIFS('[1]MAIN-101'!$Z$1:$Z$3000,'[1]MAIN-101'!$X$1:$X$3000,A138)</f>
        <v>#VALUE!</v>
      </c>
      <c r="I138" s="562" t="s">
        <v>2662</v>
      </c>
      <c r="J138" t="s">
        <v>2053</v>
      </c>
      <c r="K138" t="s">
        <v>2680</v>
      </c>
      <c r="L138" s="564" t="s">
        <v>2666</v>
      </c>
      <c r="M138" s="562">
        <f>SUMIFS('Recon of ORS and DV'!D:D,'Recon of ORS and DV'!B:B,'DV List for import'!A138)</f>
        <v>0</v>
      </c>
      <c r="N138" s="276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4" t="str">
        <f t="shared" si="10"/>
        <v>0000-00-0000</v>
      </c>
      <c r="D139" s="562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2" t="e">
        <f>SUMIFS('[1]MAIN-101'!$Z$1:$Z$3000,'[1]MAIN-101'!$X$1:$X$3000,A139)</f>
        <v>#VALUE!</v>
      </c>
      <c r="I139" s="562" t="s">
        <v>2662</v>
      </c>
      <c r="J139" t="s">
        <v>2053</v>
      </c>
      <c r="K139" t="s">
        <v>2680</v>
      </c>
      <c r="L139" s="564" t="s">
        <v>2666</v>
      </c>
      <c r="M139" s="562">
        <f>SUMIFS('Recon of ORS and DV'!D:D,'Recon of ORS and DV'!B:B,'DV List for import'!A139)</f>
        <v>0</v>
      </c>
      <c r="N139" s="276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4" t="str">
        <f t="shared" si="10"/>
        <v>0000-00-0000</v>
      </c>
      <c r="D140" s="562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2" t="e">
        <f>SUMIFS('[1]MAIN-101'!$Z$1:$Z$3000,'[1]MAIN-101'!$X$1:$X$3000,A140)</f>
        <v>#VALUE!</v>
      </c>
      <c r="I140" s="562" t="s">
        <v>2662</v>
      </c>
      <c r="J140" t="s">
        <v>2053</v>
      </c>
      <c r="K140" t="s">
        <v>2680</v>
      </c>
      <c r="L140" s="564" t="s">
        <v>2666</v>
      </c>
      <c r="M140" s="562">
        <f>SUMIFS('Recon of ORS and DV'!D:D,'Recon of ORS and DV'!B:B,'DV List for import'!A140)</f>
        <v>0</v>
      </c>
      <c r="N140" s="276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4" t="str">
        <f t="shared" si="10"/>
        <v>0000-00-0000</v>
      </c>
      <c r="D141" s="562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2" t="e">
        <f>SUMIFS('[1]MAIN-101'!$Z$1:$Z$3000,'[1]MAIN-101'!$X$1:$X$3000,A141)</f>
        <v>#VALUE!</v>
      </c>
      <c r="I141" s="562" t="s">
        <v>2662</v>
      </c>
      <c r="J141" t="s">
        <v>2053</v>
      </c>
      <c r="K141" t="s">
        <v>2680</v>
      </c>
      <c r="L141" s="564" t="s">
        <v>2666</v>
      </c>
      <c r="M141" s="562">
        <f>SUMIFS('Recon of ORS and DV'!D:D,'Recon of ORS and DV'!B:B,'DV List for import'!A141)</f>
        <v>0</v>
      </c>
      <c r="N141" s="276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4" t="str">
        <f t="shared" si="10"/>
        <v>0000-00-0000</v>
      </c>
      <c r="D142" s="562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2" t="e">
        <f>SUMIFS('[1]MAIN-101'!$Z$1:$Z$3000,'[1]MAIN-101'!$X$1:$X$3000,A142)</f>
        <v>#VALUE!</v>
      </c>
      <c r="I142" s="562" t="s">
        <v>2662</v>
      </c>
      <c r="J142" t="s">
        <v>2053</v>
      </c>
      <c r="K142" t="s">
        <v>2680</v>
      </c>
      <c r="L142" s="564" t="s">
        <v>2666</v>
      </c>
      <c r="M142" s="562">
        <f>SUMIFS('Recon of ORS and DV'!D:D,'Recon of ORS and DV'!B:B,'DV List for import'!A142)</f>
        <v>0</v>
      </c>
      <c r="N142" s="276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2" t="e">
        <f>VLOOKUP(L143,'Import Process ORS'!$D$4:$E$1557,2,FALSE)</f>
        <v>#N/A</v>
      </c>
      <c r="D143" s="562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2" t="e">
        <f>SUMIFS('[1]MAIN-101'!$Z$1:$Z$3000,'[1]MAIN-101'!$X$1:$X$3000,A143)</f>
        <v>#VALUE!</v>
      </c>
      <c r="I143" s="562" t="s">
        <v>2687</v>
      </c>
      <c r="J143" t="s">
        <v>2683</v>
      </c>
      <c r="K143" t="s">
        <v>2678</v>
      </c>
      <c r="L143" s="562" t="str">
        <f>VLOOKUP(A143,'Format for Import of DV'!$A$3:$S$1556,3,FALSE)</f>
        <v>037</v>
      </c>
      <c r="M143" s="562" t="e">
        <f>SUMIFS('Recon of ORS and DV'!D:D,'Recon of ORS and DV'!B:B,'DV List for import'!A143)</f>
        <v>#VALUE!</v>
      </c>
      <c r="N143" s="276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4" t="str">
        <f>L144</f>
        <v>0000-00-0000</v>
      </c>
      <c r="D144" s="562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2" t="e">
        <f>SUMIFS('[1]MAIN-101'!$Z$1:$Z$3000,'[1]MAIN-101'!$X$1:$X$3000,A144)</f>
        <v>#VALUE!</v>
      </c>
      <c r="I144" s="562" t="s">
        <v>2662</v>
      </c>
      <c r="J144" t="s">
        <v>2053</v>
      </c>
      <c r="K144" t="s">
        <v>2680</v>
      </c>
      <c r="L144" s="564" t="s">
        <v>2666</v>
      </c>
      <c r="M144" s="562">
        <f>SUMIFS('Recon of ORS and DV'!D:D,'Recon of ORS and DV'!B:B,'DV List for import'!A144)</f>
        <v>0</v>
      </c>
      <c r="N144" s="276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2" t="e">
        <f>VLOOKUP(L145,'Import Process ORS'!$D$4:$E$1557,2,FALSE)</f>
        <v>#N/A</v>
      </c>
      <c r="D145" s="562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2" t="e">
        <f>SUMIFS('[1]MAIN-101'!$Z$1:$Z$3000,'[1]MAIN-101'!$X$1:$X$3000,A145)</f>
        <v>#VALUE!</v>
      </c>
      <c r="I145" s="562" t="s">
        <v>2685</v>
      </c>
      <c r="J145" t="s">
        <v>2683</v>
      </c>
      <c r="K145" t="s">
        <v>2678</v>
      </c>
      <c r="L145" s="562" t="str">
        <f>VLOOKUP(A145,'Format for Import of DV'!$A$3:$S$1556,3,FALSE)</f>
        <v>042</v>
      </c>
      <c r="M145" s="562" t="e">
        <f>SUMIFS('Recon of ORS and DV'!D:D,'Recon of ORS and DV'!B:B,'DV List for import'!A145)</f>
        <v>#VALUE!</v>
      </c>
      <c r="N145" s="276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2" t="e">
        <f>VLOOKUP(L146,'Import Process ORS'!$D$4:$E$1557,2,FALSE)</f>
        <v>#N/A</v>
      </c>
      <c r="D146" s="562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2" t="e">
        <f>SUMIFS('[1]MAIN-101'!$Z$1:$Z$3000,'[1]MAIN-101'!$X$1:$X$3000,A146)</f>
        <v>#VALUE!</v>
      </c>
      <c r="I146" s="562" t="s">
        <v>2685</v>
      </c>
      <c r="J146" t="s">
        <v>2683</v>
      </c>
      <c r="K146" t="s">
        <v>2678</v>
      </c>
      <c r="L146" s="562" t="str">
        <f>VLOOKUP(A146,'Format for Import of DV'!$A$3:$S$1556,3,FALSE)</f>
        <v>046</v>
      </c>
      <c r="M146" s="562" t="e">
        <f>SUMIFS('Recon of ORS and DV'!D:D,'Recon of ORS and DV'!B:B,'DV List for import'!A146)</f>
        <v>#VALUE!</v>
      </c>
      <c r="N146" s="276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2" t="e">
        <f>VLOOKUP(L147,'Import Process ORS'!$D$4:$E$1557,2,FALSE)</f>
        <v>#N/A</v>
      </c>
      <c r="D147" s="562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2" t="e">
        <f>SUMIFS('[1]MAIN-101'!$Z$1:$Z$3000,'[1]MAIN-101'!$X$1:$X$3000,A147)</f>
        <v>#VALUE!</v>
      </c>
      <c r="I147" s="562" t="s">
        <v>2685</v>
      </c>
      <c r="J147" t="s">
        <v>2683</v>
      </c>
      <c r="K147" t="s">
        <v>2678</v>
      </c>
      <c r="L147" s="562" t="str">
        <f>VLOOKUP(A147,'Format for Import of DV'!$A$3:$S$1556,3,FALSE)</f>
        <v>047</v>
      </c>
      <c r="M147" s="562" t="e">
        <f>SUMIFS('Recon of ORS and DV'!D:D,'Recon of ORS and DV'!B:B,'DV List for import'!A147)</f>
        <v>#VALUE!</v>
      </c>
      <c r="N147" s="276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2" t="e">
        <f>VLOOKUP(L148,'Import Process ORS'!$D$4:$E$1557,2,FALSE)</f>
        <v>#N/A</v>
      </c>
      <c r="D148" s="562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2" t="e">
        <f>SUMIFS('[1]MAIN-101'!$Z$1:$Z$3000,'[1]MAIN-101'!$X$1:$X$3000,A148)</f>
        <v>#VALUE!</v>
      </c>
      <c r="I148" s="562" t="s">
        <v>2685</v>
      </c>
      <c r="J148" t="s">
        <v>2683</v>
      </c>
      <c r="K148" t="s">
        <v>2678</v>
      </c>
      <c r="L148" s="562" t="str">
        <f>VLOOKUP(A148,'Format for Import of DV'!$A$3:$S$1556,3,FALSE)</f>
        <v>048</v>
      </c>
      <c r="M148" s="562" t="e">
        <f>SUMIFS('Recon of ORS and DV'!D:D,'Recon of ORS and DV'!B:B,'DV List for import'!A148)</f>
        <v>#VALUE!</v>
      </c>
      <c r="N148" s="276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2" t="e">
        <f>VLOOKUP(L149,'Import Process ORS'!$D$4:$E$1557,2,FALSE)</f>
        <v>#N/A</v>
      </c>
      <c r="D149" s="562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2" t="e">
        <f>SUMIFS('[1]MAIN-101'!$Z$1:$Z$3000,'[1]MAIN-101'!$X$1:$X$3000,A149)</f>
        <v>#VALUE!</v>
      </c>
      <c r="I149" s="562" t="s">
        <v>2685</v>
      </c>
      <c r="J149" t="s">
        <v>2683</v>
      </c>
      <c r="K149" t="s">
        <v>2678</v>
      </c>
      <c r="L149" s="562" t="str">
        <f>VLOOKUP(A149,'Format for Import of DV'!$A$3:$S$1556,3,FALSE)</f>
        <v>049</v>
      </c>
      <c r="M149" s="562" t="e">
        <f>SUMIFS('Recon of ORS and DV'!D:D,'Recon of ORS and DV'!B:B,'DV List for import'!A149)</f>
        <v>#VALUE!</v>
      </c>
      <c r="N149" s="276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2" t="e">
        <f>VLOOKUP(L150,'Import Process ORS'!$D$4:$E$1557,2,FALSE)</f>
        <v>#N/A</v>
      </c>
      <c r="D150" s="562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2" t="e">
        <f>SUMIFS('[1]MAIN-101'!$Z$1:$Z$3000,'[1]MAIN-101'!$X$1:$X$3000,A150)</f>
        <v>#VALUE!</v>
      </c>
      <c r="I150" s="562" t="s">
        <v>2685</v>
      </c>
      <c r="J150" t="s">
        <v>2683</v>
      </c>
      <c r="K150" t="s">
        <v>2678</v>
      </c>
      <c r="L150" s="562" t="str">
        <f>VLOOKUP(A150,'Format for Import of DV'!$A$3:$S$1556,3,FALSE)</f>
        <v>050</v>
      </c>
      <c r="M150" s="562" t="e">
        <f>SUMIFS('Recon of ORS and DV'!D:D,'Recon of ORS and DV'!B:B,'DV List for import'!A150)</f>
        <v>#VALUE!</v>
      </c>
      <c r="N150" s="276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2" t="e">
        <f>VLOOKUP(L151,'Import Process ORS'!$D$4:$E$1557,2,FALSE)</f>
        <v>#N/A</v>
      </c>
      <c r="D151" s="562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2" t="e">
        <f>SUMIFS('[1]MAIN-101'!$Z$1:$Z$3000,'[1]MAIN-101'!$X$1:$X$3000,A151)</f>
        <v>#VALUE!</v>
      </c>
      <c r="I151" s="562" t="s">
        <v>2685</v>
      </c>
      <c r="J151" t="s">
        <v>2683</v>
      </c>
      <c r="K151" t="s">
        <v>2678</v>
      </c>
      <c r="L151" s="562" t="str">
        <f>VLOOKUP(A151,'Format for Import of DV'!$A$3:$S$1556,3,FALSE)</f>
        <v>051</v>
      </c>
      <c r="M151" s="562" t="e">
        <f>SUMIFS('Recon of ORS and DV'!D:D,'Recon of ORS and DV'!B:B,'DV List for import'!A151)</f>
        <v>#VALUE!</v>
      </c>
      <c r="N151" s="276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2" t="e">
        <f>VLOOKUP(L152,'Import Process ORS'!$D$4:$E$1557,2,FALSE)</f>
        <v>#N/A</v>
      </c>
      <c r="D152" s="562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2" t="e">
        <f>SUMIFS('[1]MAIN-101'!$Z$1:$Z$3000,'[1]MAIN-101'!$X$1:$X$3000,A152)</f>
        <v>#VALUE!</v>
      </c>
      <c r="I152" s="562" t="s">
        <v>2685</v>
      </c>
      <c r="J152" t="s">
        <v>2683</v>
      </c>
      <c r="K152" t="s">
        <v>2678</v>
      </c>
      <c r="L152" s="562" t="str">
        <f>VLOOKUP(A152,'Format for Import of DV'!$A$3:$S$1556,3,FALSE)</f>
        <v>052</v>
      </c>
      <c r="M152" s="562" t="e">
        <f>SUMIFS('Recon of ORS and DV'!D:D,'Recon of ORS and DV'!B:B,'DV List for import'!A152)</f>
        <v>#VALUE!</v>
      </c>
      <c r="N152" s="276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2" t="e">
        <f>VLOOKUP(L153,'Import Process ORS'!$D$4:$E$1557,2,FALSE)</f>
        <v>#N/A</v>
      </c>
      <c r="D153" s="562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2" t="e">
        <f>SUMIFS('[1]MAIN-101'!$Z$1:$Z$3000,'[1]MAIN-101'!$X$1:$X$3000,A153)</f>
        <v>#VALUE!</v>
      </c>
      <c r="I153" s="562" t="s">
        <v>2685</v>
      </c>
      <c r="J153" t="s">
        <v>2683</v>
      </c>
      <c r="K153" t="s">
        <v>2678</v>
      </c>
      <c r="L153" s="562" t="str">
        <f>VLOOKUP(A153,'Format for Import of DV'!$A$3:$S$1556,3,FALSE)</f>
        <v>053</v>
      </c>
      <c r="M153" s="562" t="e">
        <f>SUMIFS('Recon of ORS and DV'!D:D,'Recon of ORS and DV'!B:B,'DV List for import'!A153)</f>
        <v>#VALUE!</v>
      </c>
      <c r="N153" s="276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2" t="e">
        <f>VLOOKUP(L154,'Import Process ORS'!$D$4:$E$1557,2,FALSE)</f>
        <v>#N/A</v>
      </c>
      <c r="D154" s="562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2" t="e">
        <f>SUMIFS('[1]MAIN-101'!$Z$1:$Z$3000,'[1]MAIN-101'!$X$1:$X$3000,A154)</f>
        <v>#VALUE!</v>
      </c>
      <c r="I154" s="562" t="s">
        <v>2685</v>
      </c>
      <c r="J154" t="s">
        <v>2683</v>
      </c>
      <c r="K154" t="s">
        <v>2678</v>
      </c>
      <c r="L154" s="562" t="str">
        <f>VLOOKUP(A154,'Format for Import of DV'!$A$3:$S$1556,3,FALSE)</f>
        <v>054</v>
      </c>
      <c r="M154" s="562" t="e">
        <f>SUMIFS('Recon of ORS and DV'!D:D,'Recon of ORS and DV'!B:B,'DV List for import'!A154)</f>
        <v>#VALUE!</v>
      </c>
      <c r="N154" s="276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2" t="e">
        <f>VLOOKUP(L155,'Import Process ORS'!$D$4:$E$1557,2,FALSE)</f>
        <v>#N/A</v>
      </c>
      <c r="D155" s="562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2" t="e">
        <f>SUMIFS('[1]MAIN-101'!$Z$1:$Z$3000,'[1]MAIN-101'!$X$1:$X$3000,A155)</f>
        <v>#VALUE!</v>
      </c>
      <c r="I155" s="562" t="s">
        <v>2685</v>
      </c>
      <c r="J155" t="s">
        <v>2683</v>
      </c>
      <c r="K155" t="s">
        <v>2678</v>
      </c>
      <c r="L155" s="562" t="str">
        <f>VLOOKUP(A155,'Format for Import of DV'!$A$3:$S$1556,3,FALSE)</f>
        <v>055</v>
      </c>
      <c r="M155" s="562" t="e">
        <f>SUMIFS('Recon of ORS and DV'!D:D,'Recon of ORS and DV'!B:B,'DV List for import'!A155)</f>
        <v>#VALUE!</v>
      </c>
      <c r="N155" s="276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2" t="e">
        <f>VLOOKUP(L156,'Import Process ORS'!$D$4:$E$1557,2,FALSE)</f>
        <v>#N/A</v>
      </c>
      <c r="D156" s="562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2" t="e">
        <f>SUMIFS('[1]MAIN-101'!$Z$1:$Z$3000,'[1]MAIN-101'!$X$1:$X$3000,A156)</f>
        <v>#VALUE!</v>
      </c>
      <c r="I156" s="562" t="s">
        <v>2685</v>
      </c>
      <c r="J156" t="s">
        <v>2683</v>
      </c>
      <c r="K156" t="s">
        <v>2678</v>
      </c>
      <c r="L156" s="562" t="str">
        <f>VLOOKUP(A156,'Format for Import of DV'!$A$3:$S$1556,3,FALSE)</f>
        <v>058</v>
      </c>
      <c r="M156" s="562" t="e">
        <f>SUMIFS('Recon of ORS and DV'!D:D,'Recon of ORS and DV'!B:B,'DV List for import'!A156)</f>
        <v>#VALUE!</v>
      </c>
      <c r="N156" s="276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2" t="e">
        <f>VLOOKUP(L157,'Import Process ORS'!$D$4:$E$1557,2,FALSE)</f>
        <v>#N/A</v>
      </c>
      <c r="D157" s="562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2" t="e">
        <f>SUMIFS('[1]MAIN-101'!$Z$1:$Z$3000,'[1]MAIN-101'!$X$1:$X$3000,A157)</f>
        <v>#VALUE!</v>
      </c>
      <c r="I157" s="562" t="s">
        <v>2685</v>
      </c>
      <c r="J157" t="s">
        <v>2683</v>
      </c>
      <c r="K157" t="s">
        <v>2678</v>
      </c>
      <c r="L157" s="562" t="str">
        <f>VLOOKUP(A157,'Format for Import of DV'!$A$3:$S$1556,3,FALSE)</f>
        <v>059</v>
      </c>
      <c r="M157" s="562" t="e">
        <f>SUMIFS('Recon of ORS and DV'!D:D,'Recon of ORS and DV'!B:B,'DV List for import'!A157)</f>
        <v>#VALUE!</v>
      </c>
      <c r="N157" s="276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2" t="e">
        <f>VLOOKUP(L158,'Import Process ORS'!$D$4:$E$1557,2,FALSE)</f>
        <v>#N/A</v>
      </c>
      <c r="D158" s="562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2" t="e">
        <f>SUMIFS('[1]MAIN-101'!$Z$1:$Z$3000,'[1]MAIN-101'!$X$1:$X$3000,A158)</f>
        <v>#VALUE!</v>
      </c>
      <c r="I158" s="562" t="s">
        <v>2685</v>
      </c>
      <c r="J158" t="s">
        <v>2683</v>
      </c>
      <c r="K158" t="s">
        <v>2678</v>
      </c>
      <c r="L158" s="562" t="str">
        <f>VLOOKUP(A158,'Format for Import of DV'!$A$3:$S$1556,3,FALSE)</f>
        <v>060</v>
      </c>
      <c r="M158" s="562" t="e">
        <f>SUMIFS('Recon of ORS and DV'!D:D,'Recon of ORS and DV'!B:B,'DV List for import'!A158)</f>
        <v>#VALUE!</v>
      </c>
      <c r="N158" s="276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2" t="e">
        <f>VLOOKUP(L159,'Import Process ORS'!$D$4:$E$1557,2,FALSE)</f>
        <v>#N/A</v>
      </c>
      <c r="D159" s="562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2" t="e">
        <f>SUMIFS('[1]MAIN-101'!$Z$1:$Z$3000,'[1]MAIN-101'!$X$1:$X$3000,A159)</f>
        <v>#VALUE!</v>
      </c>
      <c r="I159" s="562" t="s">
        <v>2685</v>
      </c>
      <c r="J159" t="s">
        <v>2683</v>
      </c>
      <c r="K159" t="s">
        <v>2678</v>
      </c>
      <c r="L159" s="562" t="str">
        <f>VLOOKUP(A159,'Format for Import of DV'!$A$3:$S$1556,3,FALSE)</f>
        <v>061</v>
      </c>
      <c r="M159" s="562" t="e">
        <f>SUMIFS('Recon of ORS and DV'!D:D,'Recon of ORS and DV'!B:B,'DV List for import'!A159)</f>
        <v>#VALUE!</v>
      </c>
      <c r="N159" s="276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2" t="e">
        <f>VLOOKUP(L160,'Import Process ORS'!$D$4:$E$1557,2,FALSE)</f>
        <v>#N/A</v>
      </c>
      <c r="D160" s="562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2" t="e">
        <f>SUMIFS('[1]MAIN-101'!$Z$1:$Z$3000,'[1]MAIN-101'!$X$1:$X$3000,A160)</f>
        <v>#VALUE!</v>
      </c>
      <c r="I160" s="562" t="s">
        <v>2685</v>
      </c>
      <c r="J160" t="s">
        <v>2683</v>
      </c>
      <c r="K160" t="s">
        <v>2678</v>
      </c>
      <c r="L160" s="562" t="str">
        <f>VLOOKUP(A160,'Format for Import of DV'!$A$3:$S$1556,3,FALSE)</f>
        <v>062</v>
      </c>
      <c r="M160" s="562" t="e">
        <f>SUMIFS('Recon of ORS and DV'!D:D,'Recon of ORS and DV'!B:B,'DV List for import'!A160)</f>
        <v>#VALUE!</v>
      </c>
      <c r="N160" s="276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2" t="e">
        <f>VLOOKUP(L161,'Import Process ORS'!$D$4:$E$1557,2,FALSE)</f>
        <v>#N/A</v>
      </c>
      <c r="D161" s="562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2" t="e">
        <f>SUMIFS('[1]MAIN-101'!$Z$1:$Z$3000,'[1]MAIN-101'!$X$1:$X$3000,A161)</f>
        <v>#VALUE!</v>
      </c>
      <c r="I161" s="562" t="s">
        <v>2687</v>
      </c>
      <c r="J161" t="s">
        <v>2683</v>
      </c>
      <c r="K161" t="s">
        <v>2678</v>
      </c>
      <c r="L161" s="562" t="str">
        <f>VLOOKUP(A161,'Format for Import of DV'!$A$3:$S$1556,3,FALSE)</f>
        <v>063</v>
      </c>
      <c r="M161" s="562" t="e">
        <f>SUMIFS('Recon of ORS and DV'!D:D,'Recon of ORS and DV'!B:B,'DV List for import'!A161)</f>
        <v>#VALUE!</v>
      </c>
      <c r="N161" s="276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2" t="e">
        <f>VLOOKUP(L162,'Import Process ORS'!$D$4:$E$1557,2,FALSE)</f>
        <v>#N/A</v>
      </c>
      <c r="D162" s="562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2" t="e">
        <f>SUMIFS('[1]MAIN-101'!$Z$1:$Z$3000,'[1]MAIN-101'!$X$1:$X$3000,A162)</f>
        <v>#VALUE!</v>
      </c>
      <c r="I162" s="562" t="s">
        <v>2687</v>
      </c>
      <c r="J162" t="s">
        <v>2683</v>
      </c>
      <c r="K162" t="s">
        <v>2678</v>
      </c>
      <c r="L162" s="562" t="str">
        <f>VLOOKUP(A162,'Format for Import of DV'!$A$3:$S$1556,3,FALSE)</f>
        <v>064</v>
      </c>
      <c r="M162" s="562" t="e">
        <f>SUMIFS('Recon of ORS and DV'!D:D,'Recon of ORS and DV'!B:B,'DV List for import'!A162)</f>
        <v>#VALUE!</v>
      </c>
      <c r="N162" s="276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4" t="str">
        <f>L163</f>
        <v>0000-00-0000</v>
      </c>
      <c r="D163" s="562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2" t="e">
        <f>SUMIFS('[1]MAIN-101'!$Z$1:$Z$3000,'[1]MAIN-101'!$X$1:$X$3000,A163)</f>
        <v>#VALUE!</v>
      </c>
      <c r="I163" s="562" t="s">
        <v>392</v>
      </c>
      <c r="J163" t="s">
        <v>2681</v>
      </c>
      <c r="K163" t="s">
        <v>2679</v>
      </c>
      <c r="L163" s="564" t="s">
        <v>2666</v>
      </c>
      <c r="M163" s="562">
        <f>SUMIFS('Recon of ORS and DV'!D:D,'Recon of ORS and DV'!B:B,'DV List for import'!A163)</f>
        <v>0</v>
      </c>
      <c r="N163" s="276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4" t="str">
        <f>L164</f>
        <v>0000-00-0000</v>
      </c>
      <c r="D164" s="562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2" t="e">
        <f>SUMIFS('[1]MAIN-101'!$Z$1:$Z$3000,'[1]MAIN-101'!$X$1:$X$3000,A164)</f>
        <v>#VALUE!</v>
      </c>
      <c r="I164" s="562" t="s">
        <v>392</v>
      </c>
      <c r="J164" t="s">
        <v>2681</v>
      </c>
      <c r="K164" t="s">
        <v>2679</v>
      </c>
      <c r="L164" s="564" t="s">
        <v>2666</v>
      </c>
      <c r="M164" s="562">
        <f>SUMIFS('Recon of ORS and DV'!D:D,'Recon of ORS and DV'!B:B,'DV List for import'!A164)</f>
        <v>0</v>
      </c>
      <c r="N164" s="276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4" t="str">
        <f>L165</f>
        <v>0000-00-0000</v>
      </c>
      <c r="D165" s="562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2" t="e">
        <f>SUMIFS('[1]MAIN-101'!$Z$1:$Z$3000,'[1]MAIN-101'!$X$1:$X$3000,A165)</f>
        <v>#VALUE!</v>
      </c>
      <c r="I165" s="562" t="s">
        <v>392</v>
      </c>
      <c r="J165" t="s">
        <v>2681</v>
      </c>
      <c r="K165" t="s">
        <v>2679</v>
      </c>
      <c r="L165" s="564" t="s">
        <v>2666</v>
      </c>
      <c r="M165" s="562">
        <f>SUMIFS('Recon of ORS and DV'!D:D,'Recon of ORS and DV'!B:B,'DV List for import'!A165)</f>
        <v>0</v>
      </c>
      <c r="N165" s="276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4" t="str">
        <f>L166</f>
        <v>0000-00-0000</v>
      </c>
      <c r="D166" s="562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2" t="e">
        <f>SUMIFS('[1]MAIN-101'!$Z$1:$Z$3000,'[1]MAIN-101'!$X$1:$X$3000,A166)</f>
        <v>#VALUE!</v>
      </c>
      <c r="I166" s="562" t="s">
        <v>2662</v>
      </c>
      <c r="J166" t="s">
        <v>2053</v>
      </c>
      <c r="K166" t="s">
        <v>2680</v>
      </c>
      <c r="L166" s="564" t="s">
        <v>2666</v>
      </c>
      <c r="M166" s="562">
        <f>SUMIFS('Recon of ORS and DV'!D:D,'Recon of ORS and DV'!B:B,'DV List for import'!A166)</f>
        <v>0</v>
      </c>
      <c r="N166" s="276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2" t="e">
        <f>VLOOKUP(L167,'Import Process ORS'!$D$4:$E$1557,2,FALSE)</f>
        <v>#N/A</v>
      </c>
      <c r="D167" s="562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2" t="e">
        <f>SUMIFS('[1]MAIN-101'!$Z$1:$Z$3000,'[1]MAIN-101'!$X$1:$X$3000,A167)</f>
        <v>#VALUE!</v>
      </c>
      <c r="I167" s="562" t="s">
        <v>2687</v>
      </c>
      <c r="J167" t="s">
        <v>2683</v>
      </c>
      <c r="K167" t="s">
        <v>2678</v>
      </c>
      <c r="L167" s="562" t="str">
        <f>VLOOKUP(A167,'Format for Import of DV'!$A$3:$S$1556,3,FALSE)</f>
        <v>038</v>
      </c>
      <c r="M167" s="562" t="e">
        <f>SUMIFS('Recon of ORS and DV'!D:D,'Recon of ORS and DV'!B:B,'DV List for import'!A167)</f>
        <v>#VALUE!</v>
      </c>
      <c r="N167" s="276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2" t="e">
        <f>VLOOKUP(L168,'Import Process ORS'!$D$4:$E$1557,2,FALSE)</f>
        <v>#N/A</v>
      </c>
      <c r="D168" s="562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2" t="e">
        <f>SUMIFS('[1]MAIN-101'!$Z$1:$Z$3000,'[1]MAIN-101'!$X$1:$X$3000,A168)</f>
        <v>#VALUE!</v>
      </c>
      <c r="I168" s="562" t="s">
        <v>2687</v>
      </c>
      <c r="J168" t="s">
        <v>2683</v>
      </c>
      <c r="K168" t="s">
        <v>2678</v>
      </c>
      <c r="L168" s="562" t="str">
        <f>VLOOKUP(A168,'Format for Import of DV'!$A$3:$S$1556,3,FALSE)</f>
        <v>039</v>
      </c>
      <c r="M168" s="562" t="e">
        <f>SUMIFS('Recon of ORS and DV'!D:D,'Recon of ORS and DV'!B:B,'DV List for import'!A168)</f>
        <v>#VALUE!</v>
      </c>
      <c r="N168" s="276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4" t="str">
        <f>L169</f>
        <v>0000-00-0000</v>
      </c>
      <c r="D169" s="562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2" t="e">
        <f>SUMIFS('[1]MAIN-101'!$Z$1:$Z$3000,'[1]MAIN-101'!$X$1:$X$3000,A169)</f>
        <v>#VALUE!</v>
      </c>
      <c r="I169" s="562" t="s">
        <v>392</v>
      </c>
      <c r="J169" t="s">
        <v>2681</v>
      </c>
      <c r="K169" t="s">
        <v>2679</v>
      </c>
      <c r="L169" s="564" t="s">
        <v>2666</v>
      </c>
      <c r="M169" s="562">
        <f>SUMIFS('Recon of ORS and DV'!D:D,'Recon of ORS and DV'!B:B,'DV List for import'!A169)</f>
        <v>0</v>
      </c>
      <c r="N169" s="276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2" t="e">
        <f>VLOOKUP(L170,'Import Process ORS'!$D$4:$E$1557,2,FALSE)</f>
        <v>#N/A</v>
      </c>
      <c r="D170" s="562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2" t="e">
        <f>SUMIFS('[1]MAIN-101'!$Z$1:$Z$3000,'[1]MAIN-101'!$X$1:$X$3000,A170)</f>
        <v>#VALUE!</v>
      </c>
      <c r="I170" s="562" t="s">
        <v>2687</v>
      </c>
      <c r="J170" t="s">
        <v>2683</v>
      </c>
      <c r="K170" t="s">
        <v>2678</v>
      </c>
      <c r="L170" s="562" t="str">
        <f>VLOOKUP(A170,'Format for Import of DV'!$A$3:$S$1556,3,FALSE)</f>
        <v>056</v>
      </c>
      <c r="M170" s="562" t="e">
        <f>SUMIFS('Recon of ORS and DV'!D:D,'Recon of ORS and DV'!B:B,'DV List for import'!A170)</f>
        <v>#VALUE!</v>
      </c>
      <c r="N170" s="276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2" t="e">
        <f>VLOOKUP(L171,'Import Process ORS'!$D$4:$E$1557,2,FALSE)</f>
        <v>#N/A</v>
      </c>
      <c r="D171" s="562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2" t="e">
        <f>SUMIFS('[1]MAIN-101'!$Z$1:$Z$3000,'[1]MAIN-101'!$X$1:$X$3000,A171)</f>
        <v>#VALUE!</v>
      </c>
      <c r="I171" s="562" t="s">
        <v>2687</v>
      </c>
      <c r="J171" t="s">
        <v>2683</v>
      </c>
      <c r="K171" t="s">
        <v>2678</v>
      </c>
      <c r="L171" s="562" t="str">
        <f>VLOOKUP(A171,'Format for Import of DV'!$A$3:$S$1556,3,FALSE)</f>
        <v>057</v>
      </c>
      <c r="M171" s="562" t="e">
        <f>SUMIFS('Recon of ORS and DV'!D:D,'Recon of ORS and DV'!B:B,'DV List for import'!A171)</f>
        <v>#VALUE!</v>
      </c>
      <c r="N171" s="276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2" t="e">
        <f>VLOOKUP(L172,'Import Process ORS'!$D$4:$E$1557,2,FALSE)</f>
        <v>#N/A</v>
      </c>
      <c r="D172" s="562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2" t="e">
        <f>SUMIFS('[1]MAIN-101'!$Z$1:$Z$3000,'[1]MAIN-101'!$X$1:$X$3000,A172)</f>
        <v>#VALUE!</v>
      </c>
      <c r="I172" s="562" t="s">
        <v>2687</v>
      </c>
      <c r="J172" t="s">
        <v>2683</v>
      </c>
      <c r="K172" t="s">
        <v>2678</v>
      </c>
      <c r="L172" s="562" t="str">
        <f>VLOOKUP(A172,'Format for Import of DV'!$A$3:$S$1556,3,FALSE)</f>
        <v>043</v>
      </c>
      <c r="M172" s="562" t="e">
        <f>SUMIFS('Recon of ORS and DV'!D:D,'Recon of ORS and DV'!B:B,'DV List for import'!A172)</f>
        <v>#VALUE!</v>
      </c>
      <c r="N172" s="276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2" t="e">
        <f>VLOOKUP(L173,'Import Process ORS'!$D$4:$E$1557,2,FALSE)</f>
        <v>#N/A</v>
      </c>
      <c r="D173" s="562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2" t="e">
        <f>SUMIFS('[1]MAIN-101'!$Z$1:$Z$3000,'[1]MAIN-101'!$X$1:$X$3000,A173)</f>
        <v>#VALUE!</v>
      </c>
      <c r="I173" s="562" t="s">
        <v>2687</v>
      </c>
      <c r="J173" t="s">
        <v>2683</v>
      </c>
      <c r="K173" t="s">
        <v>2678</v>
      </c>
      <c r="L173" s="562" t="str">
        <f>VLOOKUP(A173,'Format for Import of DV'!$A$3:$S$1556,3,FALSE)</f>
        <v>044</v>
      </c>
      <c r="M173" s="562" t="e">
        <f>SUMIFS('Recon of ORS and DV'!D:D,'Recon of ORS and DV'!B:B,'DV List for import'!A173)</f>
        <v>#VALUE!</v>
      </c>
      <c r="N173" s="276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2" t="e">
        <f>VLOOKUP(L174,'Import Process ORS'!$D$4:$E$1557,2,FALSE)</f>
        <v>#N/A</v>
      </c>
      <c r="D174" s="562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2" t="e">
        <f>SUMIFS('[1]MAIN-101'!$Z$1:$Z$3000,'[1]MAIN-101'!$X$1:$X$3000,A174)</f>
        <v>#VALUE!</v>
      </c>
      <c r="I174" s="562" t="s">
        <v>2687</v>
      </c>
      <c r="J174" t="s">
        <v>2683</v>
      </c>
      <c r="K174" t="s">
        <v>2678</v>
      </c>
      <c r="L174" s="562" t="str">
        <f>VLOOKUP(A174,'Format for Import of DV'!$A$3:$S$1556,3,FALSE)</f>
        <v>045</v>
      </c>
      <c r="M174" s="562" t="e">
        <f>SUMIFS('Recon of ORS and DV'!D:D,'Recon of ORS and DV'!B:B,'DV List for import'!A174)</f>
        <v>#VALUE!</v>
      </c>
      <c r="N174" s="276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4" t="str">
        <f>L175</f>
        <v>0000-00-0000</v>
      </c>
      <c r="D175" s="562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2" t="e">
        <f>SUMIFS('[1]MAIN-101'!$Z$1:$Z$3000,'[1]MAIN-101'!$X$1:$X$3000,A175)</f>
        <v>#VALUE!</v>
      </c>
      <c r="I175" s="562" t="s">
        <v>392</v>
      </c>
      <c r="J175" t="s">
        <v>2681</v>
      </c>
      <c r="K175" t="s">
        <v>2679</v>
      </c>
      <c r="L175" s="564" t="s">
        <v>2666</v>
      </c>
      <c r="M175" s="562">
        <f>SUMIFS('Recon of ORS and DV'!D:D,'Recon of ORS and DV'!B:B,'DV List for import'!A175)</f>
        <v>0</v>
      </c>
      <c r="N175" s="276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4" t="str">
        <f>L176</f>
        <v>0000-00-0000</v>
      </c>
      <c r="D176" s="562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2" t="e">
        <f>SUMIFS('[1]MAIN-101'!$Z$1:$Z$3000,'[1]MAIN-101'!$X$1:$X$3000,A176)</f>
        <v>#VALUE!</v>
      </c>
      <c r="I176" s="562" t="s">
        <v>392</v>
      </c>
      <c r="J176" t="s">
        <v>2681</v>
      </c>
      <c r="K176" t="s">
        <v>2679</v>
      </c>
      <c r="L176" s="564" t="s">
        <v>2666</v>
      </c>
      <c r="M176" s="562">
        <f>SUMIFS('Recon of ORS and DV'!D:D,'Recon of ORS and DV'!B:B,'DV List for import'!A176)</f>
        <v>0</v>
      </c>
      <c r="N176" s="276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4" t="str">
        <f>L177</f>
        <v>0000-00-0000</v>
      </c>
      <c r="D177" s="562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2" t="e">
        <f>SUMIFS('[1]MAIN-101'!$Z$1:$Z$3000,'[1]MAIN-101'!$X$1:$X$3000,A177)</f>
        <v>#VALUE!</v>
      </c>
      <c r="I177" s="562" t="s">
        <v>392</v>
      </c>
      <c r="J177" t="s">
        <v>2681</v>
      </c>
      <c r="K177" t="s">
        <v>2679</v>
      </c>
      <c r="L177" s="564" t="s">
        <v>2666</v>
      </c>
      <c r="M177" s="562">
        <f>SUMIFS('Recon of ORS and DV'!D:D,'Recon of ORS and DV'!B:B,'DV List for import'!A177)</f>
        <v>0</v>
      </c>
      <c r="N177" s="276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4" t="str">
        <f>L178</f>
        <v>0000-00-0000</v>
      </c>
      <c r="D178" s="562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2" t="e">
        <f>SUMIFS('[1]MAIN-101'!$Z$1:$Z$3000,'[1]MAIN-101'!$X$1:$X$3000,A178)</f>
        <v>#VALUE!</v>
      </c>
      <c r="I178" s="562" t="s">
        <v>392</v>
      </c>
      <c r="J178" t="s">
        <v>2681</v>
      </c>
      <c r="K178" t="s">
        <v>2679</v>
      </c>
      <c r="L178" s="564" t="s">
        <v>2666</v>
      </c>
      <c r="M178" s="562">
        <f>SUMIFS('Recon of ORS and DV'!D:D,'Recon of ORS and DV'!B:B,'DV List for import'!A178)</f>
        <v>0</v>
      </c>
      <c r="N178" s="276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4" t="str">
        <f>L179</f>
        <v>0000-00-0000</v>
      </c>
      <c r="D179" s="562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2" t="e">
        <f>SUMIFS('[1]MAIN-101'!$Z$1:$Z$3000,'[1]MAIN-101'!$X$1:$X$3000,A179)</f>
        <v>#VALUE!</v>
      </c>
      <c r="I179" s="562" t="s">
        <v>392</v>
      </c>
      <c r="J179" t="s">
        <v>2681</v>
      </c>
      <c r="K179" t="s">
        <v>2679</v>
      </c>
      <c r="L179" s="564" t="s">
        <v>2666</v>
      </c>
      <c r="M179" s="562">
        <f>SUMIFS('Recon of ORS and DV'!D:D,'Recon of ORS and DV'!B:B,'DV List for import'!A179)</f>
        <v>0</v>
      </c>
      <c r="N179" s="276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2" t="e">
        <f>VLOOKUP(L180,'Import Process ORS'!$D$4:$E$1557,2,FALSE)</f>
        <v>#N/A</v>
      </c>
      <c r="D180" s="562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2" t="e">
        <f>SUMIFS('[1]MAIN-101'!$Z$1:$Z$3000,'[1]MAIN-101'!$X$1:$X$3000,A180)</f>
        <v>#VALUE!</v>
      </c>
      <c r="I180" s="562" t="s">
        <v>2687</v>
      </c>
      <c r="J180" t="s">
        <v>2683</v>
      </c>
      <c r="K180" t="s">
        <v>2678</v>
      </c>
      <c r="L180" s="562" t="str">
        <f>VLOOKUP(A180,'Format for Import of DV'!$A$3:$S$1556,3,FALSE)</f>
        <v>040</v>
      </c>
      <c r="M180" s="562" t="e">
        <f>SUMIFS('Recon of ORS and DV'!D:D,'Recon of ORS and DV'!B:B,'DV List for import'!A180)</f>
        <v>#VALUE!</v>
      </c>
      <c r="N180" s="276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2" t="e">
        <f>VLOOKUP(L181,'Import Process ORS'!$D$4:$E$1557,2,FALSE)</f>
        <v>#N/A</v>
      </c>
      <c r="D181" s="562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2" t="e">
        <f>SUMIFS('[1]MAIN-101'!$Z$1:$Z$3000,'[1]MAIN-101'!$X$1:$X$3000,A181)</f>
        <v>#VALUE!</v>
      </c>
      <c r="I181" s="562" t="s">
        <v>2687</v>
      </c>
      <c r="J181" t="s">
        <v>2683</v>
      </c>
      <c r="K181" t="s">
        <v>2678</v>
      </c>
      <c r="L181" s="562" t="str">
        <f>VLOOKUP(A181,'Format for Import of DV'!$A$3:$S$1556,3,FALSE)</f>
        <v>041</v>
      </c>
      <c r="M181" s="562" t="e">
        <f>SUMIFS('Recon of ORS and DV'!D:D,'Recon of ORS and DV'!B:B,'DV List for import'!A181)</f>
        <v>#VALUE!</v>
      </c>
      <c r="N181" s="276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2" t="e">
        <f>VLOOKUP(L182,'Import Process ORS'!$D$4:$E$1557,2,FALSE)</f>
        <v>#N/A</v>
      </c>
      <c r="D182" s="562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2" t="e">
        <f>SUMIFS('[1]MAIN-101'!$Z$1:$Z$3000,'[1]MAIN-101'!$X$1:$X$3000,A182)</f>
        <v>#VALUE!</v>
      </c>
      <c r="I182" s="562" t="s">
        <v>2687</v>
      </c>
      <c r="J182" t="s">
        <v>2683</v>
      </c>
      <c r="K182" t="s">
        <v>2678</v>
      </c>
      <c r="L182" s="562" t="str">
        <f>VLOOKUP(A182,'Format for Import of DV'!$A$3:$S$1556,3,FALSE)</f>
        <v>065</v>
      </c>
      <c r="M182" s="562" t="e">
        <f>SUMIFS('Recon of ORS and DV'!D:D,'Recon of ORS and DV'!B:B,'DV List for import'!A182)</f>
        <v>#VALUE!</v>
      </c>
      <c r="N182" s="276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4" t="str">
        <f>L183</f>
        <v>0000-00-0000</v>
      </c>
      <c r="D183" s="562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2" t="e">
        <f>SUMIFS('[1]MAIN-101'!$Z$1:$Z$3000,'[1]MAIN-101'!$X$1:$X$3000,A183)</f>
        <v>#VALUE!</v>
      </c>
      <c r="I183" s="562" t="s">
        <v>2662</v>
      </c>
      <c r="J183" t="s">
        <v>2053</v>
      </c>
      <c r="K183" t="s">
        <v>2680</v>
      </c>
      <c r="L183" s="564" t="s">
        <v>2666</v>
      </c>
      <c r="M183" s="562">
        <f>SUMIFS('Recon of ORS and DV'!D:D,'Recon of ORS and DV'!B:B,'DV List for import'!A183)</f>
        <v>0</v>
      </c>
      <c r="N183" s="276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4" t="str">
        <f>L184</f>
        <v>0000-00-0000</v>
      </c>
      <c r="D184" s="562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2" t="e">
        <f>SUMIFS('[1]MAIN-101'!$Z$1:$Z$3000,'[1]MAIN-101'!$X$1:$X$3000,A184)</f>
        <v>#VALUE!</v>
      </c>
      <c r="I184" s="562" t="s">
        <v>2662</v>
      </c>
      <c r="J184" t="s">
        <v>2053</v>
      </c>
      <c r="K184" t="s">
        <v>2680</v>
      </c>
      <c r="L184" s="564" t="s">
        <v>2666</v>
      </c>
      <c r="M184" s="562">
        <f>SUMIFS('Recon of ORS and DV'!D:D,'Recon of ORS and DV'!B:B,'DV List for import'!A184)</f>
        <v>0</v>
      </c>
      <c r="N184" s="276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4" t="str">
        <f>L185</f>
        <v>0000-00-0000</v>
      </c>
      <c r="D185" s="562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2" t="e">
        <f>SUMIFS('[1]MAIN-101'!$Z$1:$Z$3000,'[1]MAIN-101'!$X$1:$X$3000,A185)</f>
        <v>#VALUE!</v>
      </c>
      <c r="I185" s="562" t="s">
        <v>2662</v>
      </c>
      <c r="J185" t="s">
        <v>2053</v>
      </c>
      <c r="K185" t="s">
        <v>2680</v>
      </c>
      <c r="L185" s="564" t="s">
        <v>2666</v>
      </c>
      <c r="M185" s="562">
        <f>SUMIFS('Recon of ORS and DV'!D:D,'Recon of ORS and DV'!B:B,'DV List for import'!A185)</f>
        <v>0</v>
      </c>
      <c r="N185" s="276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2" t="e">
        <f>VLOOKUP(L186,'Import Process ORS'!$D$4:$E$1557,2,FALSE)</f>
        <v>#N/A</v>
      </c>
      <c r="D186" s="562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2" t="e">
        <f>SUMIFS('[1]MAIN-101'!$Z$1:$Z$3000,'[1]MAIN-101'!$X$1:$X$3000,A186)</f>
        <v>#VALUE!</v>
      </c>
      <c r="I186" s="562" t="s">
        <v>2687</v>
      </c>
      <c r="J186" t="s">
        <v>2683</v>
      </c>
      <c r="K186" t="s">
        <v>2678</v>
      </c>
      <c r="L186" s="562" t="str">
        <f>VLOOKUP(A186,'Format for Import of DV'!$A$3:$S$1556,3,FALSE)</f>
        <v>066</v>
      </c>
      <c r="M186" s="562" t="e">
        <f>SUMIFS('Recon of ORS and DV'!D:D,'Recon of ORS and DV'!B:B,'DV List for import'!A186)</f>
        <v>#VALUE!</v>
      </c>
      <c r="N186" s="276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2" t="e">
        <f>VLOOKUP(L187,'Import Process ORS'!$D$4:$E$1557,2,FALSE)</f>
        <v>#N/A</v>
      </c>
      <c r="D187" s="562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2" t="e">
        <f>SUMIFS('[1]MAIN-101'!$Z$1:$Z$3000,'[1]MAIN-101'!$X$1:$X$3000,A187)</f>
        <v>#VALUE!</v>
      </c>
      <c r="I187" s="562" t="s">
        <v>2685</v>
      </c>
      <c r="J187" t="s">
        <v>2683</v>
      </c>
      <c r="K187" t="s">
        <v>2678</v>
      </c>
      <c r="L187" s="562" t="str">
        <f>VLOOKUP(A187,'Format for Import of DV'!$A$3:$S$1556,3,FALSE)</f>
        <v>067</v>
      </c>
      <c r="M187" s="562" t="e">
        <f>SUMIFS('Recon of ORS and DV'!D:D,'Recon of ORS and DV'!B:B,'DV List for import'!A187)</f>
        <v>#VALUE!</v>
      </c>
      <c r="N187" s="276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2" t="e">
        <f>VLOOKUP(L188,'Import Process ORS'!$D$4:$E$1557,2,FALSE)</f>
        <v>#N/A</v>
      </c>
      <c r="D188" s="562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2" t="e">
        <f>SUMIFS('[1]MAIN-101'!$Z$1:$Z$3000,'[1]MAIN-101'!$X$1:$X$3000,A188)</f>
        <v>#VALUE!</v>
      </c>
      <c r="I188" s="562" t="s">
        <v>2685</v>
      </c>
      <c r="J188" t="s">
        <v>2683</v>
      </c>
      <c r="K188" t="s">
        <v>2678</v>
      </c>
      <c r="L188" s="562" t="str">
        <f>VLOOKUP(A188,'Format for Import of DV'!$A$3:$S$1556,3,FALSE)</f>
        <v>068</v>
      </c>
      <c r="M188" s="562" t="e">
        <f>SUMIFS('Recon of ORS and DV'!D:D,'Recon of ORS and DV'!B:B,'DV List for import'!A188)</f>
        <v>#VALUE!</v>
      </c>
      <c r="N188" s="276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2" t="e">
        <f>VLOOKUP(L189,'Import Process ORS'!$D$4:$E$1557,2,FALSE)</f>
        <v>#N/A</v>
      </c>
      <c r="D189" s="562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2" t="e">
        <f>SUMIFS('[1]MAIN-101'!$Z$1:$Z$3000,'[1]MAIN-101'!$X$1:$X$3000,A189)</f>
        <v>#VALUE!</v>
      </c>
      <c r="I189" s="562" t="s">
        <v>2685</v>
      </c>
      <c r="J189" t="s">
        <v>2683</v>
      </c>
      <c r="K189" t="s">
        <v>2678</v>
      </c>
      <c r="L189" s="562" t="str">
        <f>VLOOKUP(A189,'Format for Import of DV'!$A$3:$S$1556,3,FALSE)</f>
        <v>069</v>
      </c>
      <c r="M189" s="562" t="e">
        <f>SUMIFS('Recon of ORS and DV'!D:D,'Recon of ORS and DV'!B:B,'DV List for import'!A189)</f>
        <v>#VALUE!</v>
      </c>
      <c r="N189" s="276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2" t="e">
        <f>VLOOKUP(L190,'Import Process ORS'!$D$4:$E$1557,2,FALSE)</f>
        <v>#N/A</v>
      </c>
      <c r="D190" s="562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2" t="e">
        <f>SUMIFS('[1]MAIN-101'!$Z$1:$Z$3000,'[1]MAIN-101'!$X$1:$X$3000,A190)</f>
        <v>#VALUE!</v>
      </c>
      <c r="I190" s="562" t="s">
        <v>2685</v>
      </c>
      <c r="J190" t="s">
        <v>2683</v>
      </c>
      <c r="K190" t="s">
        <v>2678</v>
      </c>
      <c r="L190" s="562" t="str">
        <f>VLOOKUP(A190,'Format for Import of DV'!$A$3:$S$1556,3,FALSE)</f>
        <v>070</v>
      </c>
      <c r="M190" s="562" t="e">
        <f>SUMIFS('Recon of ORS and DV'!D:D,'Recon of ORS and DV'!B:B,'DV List for import'!A190)</f>
        <v>#VALUE!</v>
      </c>
      <c r="N190" s="276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2" t="e">
        <f>VLOOKUP(L191,'Import Process ORS'!$D$4:$E$1557,2,FALSE)</f>
        <v>#N/A</v>
      </c>
      <c r="D191" s="562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2" t="e">
        <f>SUMIFS('[1]MAIN-101'!$Z$1:$Z$3000,'[1]MAIN-101'!$X$1:$X$3000,A191)</f>
        <v>#VALUE!</v>
      </c>
      <c r="I191" s="562" t="s">
        <v>2685</v>
      </c>
      <c r="J191" t="s">
        <v>2683</v>
      </c>
      <c r="K191" t="s">
        <v>2678</v>
      </c>
      <c r="L191" s="562" t="str">
        <f>VLOOKUP(A191,'Format for Import of DV'!$A$3:$S$1556,3,FALSE)</f>
        <v>071</v>
      </c>
      <c r="M191" s="562" t="e">
        <f>SUMIFS('Recon of ORS and DV'!D:D,'Recon of ORS and DV'!B:B,'DV List for import'!A191)</f>
        <v>#VALUE!</v>
      </c>
      <c r="N191" s="276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4" t="str">
        <f>L192</f>
        <v>0000-00-0000</v>
      </c>
      <c r="D192" s="562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2" t="e">
        <f>SUMIFS('[1]MAIN-101'!$Z$1:$Z$3000,'[1]MAIN-101'!$X$1:$X$3000,A192)</f>
        <v>#VALUE!</v>
      </c>
      <c r="I192" s="562" t="s">
        <v>392</v>
      </c>
      <c r="J192" t="s">
        <v>2681</v>
      </c>
      <c r="K192" t="s">
        <v>2679</v>
      </c>
      <c r="L192" s="564" t="s">
        <v>2666</v>
      </c>
      <c r="M192" s="562">
        <f>SUMIFS('Recon of ORS and DV'!D:D,'Recon of ORS and DV'!B:B,'DV List for import'!A192)</f>
        <v>0</v>
      </c>
      <c r="N192" s="276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4" t="str">
        <f>L193</f>
        <v>0000-00-0000</v>
      </c>
      <c r="D193" s="562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2" t="e">
        <f>SUMIFS('[1]MAIN-101'!$Z$1:$Z$3000,'[1]MAIN-101'!$X$1:$X$3000,A193)</f>
        <v>#VALUE!</v>
      </c>
      <c r="I193" s="562" t="s">
        <v>392</v>
      </c>
      <c r="J193" t="s">
        <v>2681</v>
      </c>
      <c r="K193" t="s">
        <v>2679</v>
      </c>
      <c r="L193" s="564" t="s">
        <v>2666</v>
      </c>
      <c r="M193" s="562">
        <f>SUMIFS('Recon of ORS and DV'!D:D,'Recon of ORS and DV'!B:B,'DV List for import'!A193)</f>
        <v>0</v>
      </c>
      <c r="N193" s="276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4" t="str">
        <f>L194</f>
        <v>0000-00-0000</v>
      </c>
      <c r="D194" s="562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2" t="e">
        <f>SUMIFS('[1]MAIN-101'!$Z$1:$Z$3000,'[1]MAIN-101'!$X$1:$X$3000,A194)</f>
        <v>#VALUE!</v>
      </c>
      <c r="I194" s="562" t="s">
        <v>392</v>
      </c>
      <c r="J194" t="s">
        <v>2681</v>
      </c>
      <c r="K194" t="s">
        <v>2679</v>
      </c>
      <c r="L194" s="564" t="s">
        <v>2666</v>
      </c>
      <c r="M194" s="562">
        <f>SUMIFS('Recon of ORS and DV'!D:D,'Recon of ORS and DV'!B:B,'DV List for import'!A194)</f>
        <v>0</v>
      </c>
      <c r="N194" s="276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2" t="e">
        <f>VLOOKUP(L195,'Import Process ORS'!$D$4:$E$1557,2,FALSE)</f>
        <v>#N/A</v>
      </c>
      <c r="D195" s="562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2" t="e">
        <f>SUMIFS('[1]MAIN-101'!$Z$1:$Z$3000,'[1]MAIN-101'!$X$1:$X$3000,A195)</f>
        <v>#VALUE!</v>
      </c>
      <c r="I195" s="562" t="s">
        <v>2687</v>
      </c>
      <c r="J195" t="s">
        <v>2683</v>
      </c>
      <c r="K195" t="s">
        <v>2678</v>
      </c>
      <c r="L195" s="562" t="str">
        <f>VLOOKUP(A195,'Format for Import of DV'!$A$3:$S$1556,3,FALSE)</f>
        <v>072</v>
      </c>
      <c r="M195" s="562" t="e">
        <f>SUMIFS('Recon of ORS and DV'!D:D,'Recon of ORS and DV'!B:B,'DV List for import'!A195)</f>
        <v>#VALUE!</v>
      </c>
      <c r="N195" s="276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2" t="e">
        <f>VLOOKUP(L196,'Import Process ORS'!$D$4:$E$1557,2,FALSE)</f>
        <v>#N/A</v>
      </c>
      <c r="D196" s="562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2" t="e">
        <f>SUMIFS('[1]MAIN-101'!$Z$1:$Z$3000,'[1]MAIN-101'!$X$1:$X$3000,A196)</f>
        <v>#VALUE!</v>
      </c>
      <c r="I196" s="562" t="s">
        <v>2687</v>
      </c>
      <c r="J196" t="s">
        <v>2683</v>
      </c>
      <c r="K196" t="s">
        <v>2678</v>
      </c>
      <c r="L196" s="562" t="str">
        <f>VLOOKUP(A196,'Format for Import of DV'!$A$3:$S$1556,3,FALSE)</f>
        <v>073</v>
      </c>
      <c r="M196" s="562" t="e">
        <f>SUMIFS('Recon of ORS and DV'!D:D,'Recon of ORS and DV'!B:B,'DV List for import'!A196)</f>
        <v>#VALUE!</v>
      </c>
      <c r="N196" s="276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2" t="e">
        <f>VLOOKUP(L197,'Import Process ORS'!$D$4:$E$1557,2,FALSE)</f>
        <v>#N/A</v>
      </c>
      <c r="D197" s="562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2" t="e">
        <f>SUMIFS('[1]MAIN-101'!$Z$1:$Z$3000,'[1]MAIN-101'!$X$1:$X$3000,A197)</f>
        <v>#VALUE!</v>
      </c>
      <c r="I197" s="562" t="s">
        <v>2687</v>
      </c>
      <c r="J197" t="s">
        <v>2683</v>
      </c>
      <c r="K197" t="s">
        <v>2678</v>
      </c>
      <c r="L197" s="562" t="str">
        <f>VLOOKUP(A197,'Format for Import of DV'!$A$3:$S$1556,3,FALSE)</f>
        <v>074</v>
      </c>
      <c r="M197" s="562" t="e">
        <f>SUMIFS('Recon of ORS and DV'!D:D,'Recon of ORS and DV'!B:B,'DV List for import'!A197)</f>
        <v>#VALUE!</v>
      </c>
      <c r="N197" s="276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2" t="e">
        <f>VLOOKUP(L198,'Import Process ORS'!$D$4:$E$1557,2,FALSE)</f>
        <v>#N/A</v>
      </c>
      <c r="D198" s="562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2" t="e">
        <f>SUMIFS('[1]MAIN-101'!$Z$1:$Z$3000,'[1]MAIN-101'!$X$1:$X$3000,A198)</f>
        <v>#VALUE!</v>
      </c>
      <c r="I198" s="562" t="s">
        <v>2687</v>
      </c>
      <c r="J198" t="s">
        <v>2683</v>
      </c>
      <c r="K198" t="s">
        <v>2678</v>
      </c>
      <c r="L198" s="562" t="str">
        <f>VLOOKUP(A198,'Format for Import of DV'!$A$3:$S$1556,3,FALSE)</f>
        <v>075</v>
      </c>
      <c r="M198" s="562" t="e">
        <f>SUMIFS('Recon of ORS and DV'!D:D,'Recon of ORS and DV'!B:B,'DV List for import'!A198)</f>
        <v>#VALUE!</v>
      </c>
      <c r="N198" s="276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2" t="e">
        <f>VLOOKUP(L199,'Import Process ORS'!$D$4:$E$1557,2,FALSE)</f>
        <v>#N/A</v>
      </c>
      <c r="D199" s="562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2" t="e">
        <f>SUMIFS('[1]MAIN-101'!$Z$1:$Z$3000,'[1]MAIN-101'!$X$1:$X$3000,A199)</f>
        <v>#VALUE!</v>
      </c>
      <c r="I199" s="562" t="s">
        <v>2687</v>
      </c>
      <c r="J199" t="s">
        <v>2683</v>
      </c>
      <c r="K199" t="s">
        <v>2678</v>
      </c>
      <c r="L199" s="562" t="str">
        <f>VLOOKUP(A199,'Format for Import of DV'!$A$3:$S$1556,3,FALSE)</f>
        <v>076</v>
      </c>
      <c r="M199" s="562" t="e">
        <f>SUMIFS('Recon of ORS and DV'!D:D,'Recon of ORS and DV'!B:B,'DV List for import'!A199)</f>
        <v>#VALUE!</v>
      </c>
      <c r="N199" s="276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2" t="e">
        <f>VLOOKUP(L200,'Import Process ORS'!$D$4:$E$1557,2,FALSE)</f>
        <v>#N/A</v>
      </c>
      <c r="D200" s="562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2" t="e">
        <f>SUMIFS('[1]MAIN-101'!$Z$1:$Z$3000,'[1]MAIN-101'!$X$1:$X$3000,A200)</f>
        <v>#VALUE!</v>
      </c>
      <c r="I200" s="562" t="s">
        <v>2687</v>
      </c>
      <c r="J200" t="s">
        <v>2683</v>
      </c>
      <c r="K200" t="s">
        <v>2678</v>
      </c>
      <c r="L200" s="562" t="str">
        <f>VLOOKUP(A200,'Format for Import of DV'!$A$3:$S$1556,3,FALSE)</f>
        <v>077</v>
      </c>
      <c r="M200" s="562" t="e">
        <f>SUMIFS('Recon of ORS and DV'!D:D,'Recon of ORS and DV'!B:B,'DV List for import'!A200)</f>
        <v>#VALUE!</v>
      </c>
      <c r="N200" s="276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2" t="e">
        <f>VLOOKUP(L201,'Import Process ORS'!$D$4:$E$1557,2,FALSE)</f>
        <v>#N/A</v>
      </c>
      <c r="D201" s="562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2" t="e">
        <f>SUMIFS('[1]MAIN-101'!$Z$1:$Z$3000,'[1]MAIN-101'!$X$1:$X$3000,A201)</f>
        <v>#VALUE!</v>
      </c>
      <c r="I201" s="562" t="s">
        <v>2687</v>
      </c>
      <c r="J201" t="s">
        <v>2683</v>
      </c>
      <c r="K201" t="s">
        <v>2678</v>
      </c>
      <c r="L201" s="562" t="str">
        <f>VLOOKUP(A201,'Format for Import of DV'!$A$3:$S$1556,3,FALSE)</f>
        <v>078</v>
      </c>
      <c r="M201" s="562" t="e">
        <f>SUMIFS('Recon of ORS and DV'!D:D,'Recon of ORS and DV'!B:B,'DV List for import'!A201)</f>
        <v>#VALUE!</v>
      </c>
      <c r="N201" s="276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2" t="e">
        <f>VLOOKUP(L202,'Import Process ORS'!$D$4:$E$1557,2,FALSE)</f>
        <v>#N/A</v>
      </c>
      <c r="D202" s="562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2" t="e">
        <f>SUMIFS('[1]MAIN-101'!$Z$1:$Z$3000,'[1]MAIN-101'!$X$1:$X$3000,A202)</f>
        <v>#VALUE!</v>
      </c>
      <c r="I202" s="562" t="s">
        <v>2687</v>
      </c>
      <c r="J202" t="s">
        <v>2683</v>
      </c>
      <c r="K202" t="s">
        <v>2678</v>
      </c>
      <c r="L202" s="562" t="str">
        <f>VLOOKUP(A202,'Format for Import of DV'!$A$3:$S$1556,3,FALSE)</f>
        <v>079</v>
      </c>
      <c r="M202" s="562" t="e">
        <f>SUMIFS('Recon of ORS and DV'!D:D,'Recon of ORS and DV'!B:B,'DV List for import'!A202)</f>
        <v>#VALUE!</v>
      </c>
      <c r="N202" s="276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2" t="e">
        <f>VLOOKUP(L203,'Import Process ORS'!$D$4:$E$1557,2,FALSE)</f>
        <v>#N/A</v>
      </c>
      <c r="D203" s="562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2" t="e">
        <f>SUMIFS('[1]MAIN-101'!$Z$1:$Z$3000,'[1]MAIN-101'!$X$1:$X$3000,A203)</f>
        <v>#VALUE!</v>
      </c>
      <c r="I203" s="562" t="s">
        <v>2687</v>
      </c>
      <c r="J203" t="s">
        <v>2683</v>
      </c>
      <c r="K203" t="s">
        <v>2678</v>
      </c>
      <c r="L203" s="562" t="str">
        <f>VLOOKUP(A203,'Format for Import of DV'!$A$3:$S$1556,3,FALSE)</f>
        <v>081</v>
      </c>
      <c r="M203" s="562" t="e">
        <f>SUMIFS('Recon of ORS and DV'!D:D,'Recon of ORS and DV'!B:B,'DV List for import'!A203)</f>
        <v>#VALUE!</v>
      </c>
      <c r="N203" s="276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2" t="e">
        <f>VLOOKUP(L204,'Import Process ORS'!$D$4:$E$1557,2,FALSE)</f>
        <v>#N/A</v>
      </c>
      <c r="D204" s="562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2" t="e">
        <f>SUMIFS('[1]MAIN-101'!$Z$1:$Z$3000,'[1]MAIN-101'!$X$1:$X$3000,A204)</f>
        <v>#VALUE!</v>
      </c>
      <c r="I204" s="562" t="s">
        <v>2687</v>
      </c>
      <c r="J204" t="s">
        <v>2683</v>
      </c>
      <c r="K204" t="s">
        <v>2678</v>
      </c>
      <c r="L204" s="562" t="str">
        <f>VLOOKUP(A204,'Format for Import of DV'!$A$3:$S$1556,3,FALSE)</f>
        <v>080</v>
      </c>
      <c r="M204" s="562" t="e">
        <f>SUMIFS('Recon of ORS and DV'!D:D,'Recon of ORS and DV'!B:B,'DV List for import'!A204)</f>
        <v>#VALUE!</v>
      </c>
      <c r="N204" s="276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2" t="e">
        <f>VLOOKUP(L205,'Import Process ORS'!$D$4:$E$1557,2,FALSE)</f>
        <v>#N/A</v>
      </c>
      <c r="D205" s="562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2" t="e">
        <f>SUMIFS('[1]MAIN-101'!$Z$1:$Z$3000,'[1]MAIN-101'!$X$1:$X$3000,A205)</f>
        <v>#VALUE!</v>
      </c>
      <c r="I205" s="562" t="s">
        <v>2687</v>
      </c>
      <c r="J205" t="s">
        <v>2683</v>
      </c>
      <c r="K205" t="s">
        <v>2678</v>
      </c>
      <c r="L205" s="562" t="str">
        <f>VLOOKUP(A205,'Format for Import of DV'!$A$3:$S$1556,3,FALSE)</f>
        <v>082</v>
      </c>
      <c r="M205" s="562" t="e">
        <f>SUMIFS('Recon of ORS and DV'!D:D,'Recon of ORS and DV'!B:B,'DV List for import'!A205)</f>
        <v>#VALUE!</v>
      </c>
      <c r="N205" s="276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2" t="e">
        <f>VLOOKUP(L206,'Import Process ORS'!$D$4:$E$1557,2,FALSE)</f>
        <v>#N/A</v>
      </c>
      <c r="D206" s="562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2" t="e">
        <f>SUMIFS('[1]MAIN-101'!$Z$1:$Z$3000,'[1]MAIN-101'!$X$1:$X$3000,A206)</f>
        <v>#VALUE!</v>
      </c>
      <c r="I206" s="562" t="s">
        <v>2687</v>
      </c>
      <c r="J206" t="s">
        <v>2683</v>
      </c>
      <c r="K206" t="s">
        <v>2678</v>
      </c>
      <c r="L206" s="562" t="str">
        <f>VLOOKUP(A206,'Format for Import of DV'!$A$3:$S$1556,3,FALSE)</f>
        <v>083</v>
      </c>
      <c r="M206" s="562" t="e">
        <f>SUMIFS('Recon of ORS and DV'!D:D,'Recon of ORS and DV'!B:B,'DV List for import'!A206)</f>
        <v>#VALUE!</v>
      </c>
      <c r="N206" s="276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2" t="e">
        <f>VLOOKUP(L207,'Import Process ORS'!$D$4:$E$1557,2,FALSE)</f>
        <v>#N/A</v>
      </c>
      <c r="D207" s="562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2" t="e">
        <f>SUMIFS('[1]MAIN-101'!$Z$1:$Z$3000,'[1]MAIN-101'!$X$1:$X$3000,A207)</f>
        <v>#VALUE!</v>
      </c>
      <c r="I207" s="562" t="s">
        <v>2687</v>
      </c>
      <c r="J207" t="s">
        <v>2683</v>
      </c>
      <c r="K207" t="s">
        <v>2678</v>
      </c>
      <c r="L207" s="562" t="str">
        <f>VLOOKUP(A207,'Format for Import of DV'!$A$3:$S$1556,3,FALSE)</f>
        <v>084</v>
      </c>
      <c r="M207" s="562" t="e">
        <f>SUMIFS('Recon of ORS and DV'!D:D,'Recon of ORS and DV'!B:B,'DV List for import'!A207)</f>
        <v>#VALUE!</v>
      </c>
      <c r="N207" s="276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2" t="e">
        <f>VLOOKUP(L208,'Import Process ORS'!$D$4:$E$1557,2,FALSE)</f>
        <v>#N/A</v>
      </c>
      <c r="D208" s="562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2" t="e">
        <f>SUMIFS('[1]MAIN-101'!$Z$1:$Z$3000,'[1]MAIN-101'!$X$1:$X$3000,A208)</f>
        <v>#VALUE!</v>
      </c>
      <c r="I208" s="562" t="s">
        <v>2687</v>
      </c>
      <c r="J208" t="s">
        <v>2683</v>
      </c>
      <c r="K208" t="s">
        <v>2678</v>
      </c>
      <c r="L208" s="562" t="str">
        <f>VLOOKUP(A208,'Format for Import of DV'!$A$3:$S$1556,3,FALSE)</f>
        <v>085</v>
      </c>
      <c r="M208" s="562" t="e">
        <f>SUMIFS('Recon of ORS and DV'!D:D,'Recon of ORS and DV'!B:B,'DV List for import'!A208)</f>
        <v>#VALUE!</v>
      </c>
      <c r="N208" s="276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2" t="e">
        <f>VLOOKUP(L209,'Import Process ORS'!$D$4:$E$1557,2,FALSE)</f>
        <v>#N/A</v>
      </c>
      <c r="D209" s="562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2" t="e">
        <f>SUMIFS('[1]MAIN-101'!$Z$1:$Z$3000,'[1]MAIN-101'!$X$1:$X$3000,A209)</f>
        <v>#VALUE!</v>
      </c>
      <c r="I209" s="562" t="s">
        <v>2687</v>
      </c>
      <c r="J209" t="s">
        <v>2683</v>
      </c>
      <c r="K209" t="s">
        <v>2678</v>
      </c>
      <c r="L209" s="562" t="str">
        <f>VLOOKUP(A209,'Format for Import of DV'!$A$3:$S$1556,3,FALSE)</f>
        <v>086</v>
      </c>
      <c r="M209" s="562" t="e">
        <f>SUMIFS('Recon of ORS and DV'!D:D,'Recon of ORS and DV'!B:B,'DV List for import'!A209)</f>
        <v>#VALUE!</v>
      </c>
      <c r="N209" s="276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2" t="e">
        <f>VLOOKUP(L210,'Import Process ORS'!$D$4:$E$1557,2,FALSE)</f>
        <v>#N/A</v>
      </c>
      <c r="D210" s="562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2" t="e">
        <f>SUMIFS('[1]MAIN-101'!$Z$1:$Z$3000,'[1]MAIN-101'!$X$1:$X$3000,A210)</f>
        <v>#VALUE!</v>
      </c>
      <c r="I210" s="562" t="s">
        <v>2687</v>
      </c>
      <c r="J210" t="s">
        <v>2683</v>
      </c>
      <c r="K210" t="s">
        <v>2678</v>
      </c>
      <c r="L210" s="562" t="str">
        <f>VLOOKUP(A210,'Format for Import of DV'!$A$3:$S$1556,3,FALSE)</f>
        <v>087</v>
      </c>
      <c r="M210" s="562" t="e">
        <f>SUMIFS('Recon of ORS and DV'!D:D,'Recon of ORS and DV'!B:B,'DV List for import'!A210)</f>
        <v>#VALUE!</v>
      </c>
      <c r="N210" s="276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2" t="e">
        <f>VLOOKUP(L211,'Import Process ORS'!$D$4:$E$1557,2,FALSE)</f>
        <v>#N/A</v>
      </c>
      <c r="D211" s="562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2" t="e">
        <f>SUMIFS('[1]MAIN-101'!$Z$1:$Z$3000,'[1]MAIN-101'!$X$1:$X$3000,A211)</f>
        <v>#VALUE!</v>
      </c>
      <c r="I211" s="562" t="s">
        <v>2687</v>
      </c>
      <c r="J211" t="s">
        <v>2683</v>
      </c>
      <c r="K211" t="s">
        <v>2678</v>
      </c>
      <c r="L211" s="562" t="str">
        <f>VLOOKUP(A211,'Format for Import of DV'!$A$3:$S$1556,3,FALSE)</f>
        <v>088</v>
      </c>
      <c r="M211" s="562" t="e">
        <f>SUMIFS('Recon of ORS and DV'!D:D,'Recon of ORS and DV'!B:B,'DV List for import'!A211)</f>
        <v>#VALUE!</v>
      </c>
      <c r="N211" s="276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2" t="e">
        <f>VLOOKUP(L212,'Import Process ORS'!$D$4:$E$1557,2,FALSE)</f>
        <v>#N/A</v>
      </c>
      <c r="D212" s="562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2" t="e">
        <f>SUMIFS('[1]MAIN-101'!$Z$1:$Z$3000,'[1]MAIN-101'!$X$1:$X$3000,A212)</f>
        <v>#VALUE!</v>
      </c>
      <c r="I212" s="562" t="s">
        <v>2687</v>
      </c>
      <c r="J212" t="s">
        <v>2683</v>
      </c>
      <c r="K212" t="s">
        <v>2678</v>
      </c>
      <c r="L212" s="562" t="str">
        <f>VLOOKUP(A212,'Format for Import of DV'!$A$3:$S$1556,3,FALSE)</f>
        <v>089</v>
      </c>
      <c r="M212" s="562" t="e">
        <f>SUMIFS('Recon of ORS and DV'!D:D,'Recon of ORS and DV'!B:B,'DV List for import'!A212)</f>
        <v>#VALUE!</v>
      </c>
      <c r="N212" s="276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2" t="e">
        <f>VLOOKUP(L213,'Import Process ORS'!$D$4:$E$1557,2,FALSE)</f>
        <v>#N/A</v>
      </c>
      <c r="D213" s="562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2" t="e">
        <f>SUMIFS('[1]MAIN-101'!$Z$1:$Z$3000,'[1]MAIN-101'!$X$1:$X$3000,A213)</f>
        <v>#VALUE!</v>
      </c>
      <c r="I213" s="562" t="s">
        <v>2687</v>
      </c>
      <c r="J213" t="s">
        <v>2683</v>
      </c>
      <c r="K213" t="s">
        <v>2678</v>
      </c>
      <c r="L213" s="562" t="str">
        <f>VLOOKUP(A213,'Format for Import of DV'!$A$3:$S$1556,3,FALSE)</f>
        <v>090</v>
      </c>
      <c r="M213" s="562" t="e">
        <f>SUMIFS('Recon of ORS and DV'!D:D,'Recon of ORS and DV'!B:B,'DV List for import'!A213)</f>
        <v>#VALUE!</v>
      </c>
      <c r="N213" s="276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2" t="e">
        <f>VLOOKUP(L214,'Import Process ORS'!$D$4:$E$1557,2,FALSE)</f>
        <v>#N/A</v>
      </c>
      <c r="D214" s="562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2" t="e">
        <f>SUMIFS('[1]MAIN-101'!$Z$1:$Z$3000,'[1]MAIN-101'!$X$1:$X$3000,A214)</f>
        <v>#VALUE!</v>
      </c>
      <c r="I214" s="562" t="s">
        <v>2687</v>
      </c>
      <c r="J214" t="s">
        <v>2683</v>
      </c>
      <c r="K214" t="s">
        <v>2678</v>
      </c>
      <c r="L214" s="562" t="str">
        <f>VLOOKUP(A214,'Format for Import of DV'!$A$3:$S$1556,3,FALSE)</f>
        <v>116</v>
      </c>
      <c r="M214" s="562" t="e">
        <f>SUMIFS('Recon of ORS and DV'!D:D,'Recon of ORS and DV'!B:B,'DV List for import'!A214)</f>
        <v>#VALUE!</v>
      </c>
      <c r="N214" s="276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2" t="e">
        <f>VLOOKUP(L215,'Import Process ORS'!$D$4:$E$1557,2,FALSE)</f>
        <v>#N/A</v>
      </c>
      <c r="D215" s="562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2" t="e">
        <f>SUMIFS('[1]MAIN-101'!$Z$1:$Z$3000,'[1]MAIN-101'!$X$1:$X$3000,A215)</f>
        <v>#VALUE!</v>
      </c>
      <c r="I215" s="562" t="s">
        <v>2687</v>
      </c>
      <c r="J215" t="s">
        <v>2683</v>
      </c>
      <c r="K215" t="s">
        <v>2678</v>
      </c>
      <c r="L215" s="562" t="str">
        <f>VLOOKUP(A215,'Format for Import of DV'!$A$3:$S$1556,3,FALSE)</f>
        <v>115</v>
      </c>
      <c r="M215" s="562" t="e">
        <f>SUMIFS('Recon of ORS and DV'!D:D,'Recon of ORS and DV'!B:B,'DV List for import'!A215)</f>
        <v>#VALUE!</v>
      </c>
      <c r="N215" s="276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2" t="e">
        <f>VLOOKUP(L216,'Import Process ORS'!$D$4:$E$1557,2,FALSE)</f>
        <v>#N/A</v>
      </c>
      <c r="D216" s="562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2" t="e">
        <f>SUMIFS('[1]MAIN-101'!$Z$1:$Z$3000,'[1]MAIN-101'!$X$1:$X$3000,A216)</f>
        <v>#VALUE!</v>
      </c>
      <c r="I216" s="562" t="s">
        <v>2687</v>
      </c>
      <c r="J216" t="s">
        <v>2683</v>
      </c>
      <c r="K216" t="s">
        <v>2678</v>
      </c>
      <c r="L216" s="562" t="str">
        <f>VLOOKUP(A216,'Format for Import of DV'!$A$3:$S$1556,3,FALSE)</f>
        <v>114</v>
      </c>
      <c r="M216" s="562" t="e">
        <f>SUMIFS('Recon of ORS and DV'!D:D,'Recon of ORS and DV'!B:B,'DV List for import'!A216)</f>
        <v>#VALUE!</v>
      </c>
      <c r="N216" s="276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2" t="e">
        <f>VLOOKUP(L217,'Import Process ORS'!$D$4:$E$1557,2,FALSE)</f>
        <v>#N/A</v>
      </c>
      <c r="D217" s="562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2" t="e">
        <f>SUMIFS('[1]MAIN-101'!$Z$1:$Z$3000,'[1]MAIN-101'!$X$1:$X$3000,A217)</f>
        <v>#VALUE!</v>
      </c>
      <c r="I217" s="562" t="s">
        <v>2687</v>
      </c>
      <c r="J217" t="s">
        <v>2683</v>
      </c>
      <c r="K217" t="s">
        <v>2678</v>
      </c>
      <c r="L217" s="562" t="str">
        <f>VLOOKUP(A217,'Format for Import of DV'!$A$3:$S$1556,3,FALSE)</f>
        <v>113</v>
      </c>
      <c r="M217" s="562" t="e">
        <f>SUMIFS('Recon of ORS and DV'!D:D,'Recon of ORS and DV'!B:B,'DV List for import'!A217)</f>
        <v>#VALUE!</v>
      </c>
      <c r="N217" s="276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2" t="e">
        <f>VLOOKUP(L218,'Import Process ORS'!$D$4:$E$1557,2,FALSE)</f>
        <v>#N/A</v>
      </c>
      <c r="D218" s="562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2" t="e">
        <f>SUMIFS('[1]MAIN-101'!$Z$1:$Z$3000,'[1]MAIN-101'!$X$1:$X$3000,A218)</f>
        <v>#VALUE!</v>
      </c>
      <c r="I218" s="562" t="s">
        <v>2687</v>
      </c>
      <c r="J218" t="s">
        <v>2683</v>
      </c>
      <c r="K218" t="s">
        <v>2678</v>
      </c>
      <c r="L218" s="562" t="str">
        <f>VLOOKUP(A218,'Format for Import of DV'!$A$3:$S$1556,3,FALSE)</f>
        <v>111</v>
      </c>
      <c r="M218" s="562" t="e">
        <f>SUMIFS('Recon of ORS and DV'!D:D,'Recon of ORS and DV'!B:B,'DV List for import'!A218)</f>
        <v>#VALUE!</v>
      </c>
      <c r="N218" s="276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2" t="e">
        <f>VLOOKUP(L219,'Import Process ORS'!$D$4:$E$1557,2,FALSE)</f>
        <v>#N/A</v>
      </c>
      <c r="D219" s="562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2" t="e">
        <f>SUMIFS('[1]MAIN-101'!$Z$1:$Z$3000,'[1]MAIN-101'!$X$1:$X$3000,A219)</f>
        <v>#VALUE!</v>
      </c>
      <c r="I219" s="562" t="s">
        <v>2687</v>
      </c>
      <c r="J219" t="s">
        <v>2683</v>
      </c>
      <c r="K219" t="s">
        <v>2678</v>
      </c>
      <c r="L219" s="562" t="str">
        <f>VLOOKUP(A219,'Format for Import of DV'!$A$3:$S$1556,3,FALSE)</f>
        <v>112</v>
      </c>
      <c r="M219" s="562" t="e">
        <f>SUMIFS('Recon of ORS and DV'!D:D,'Recon of ORS and DV'!B:B,'DV List for import'!A219)</f>
        <v>#VALUE!</v>
      </c>
      <c r="N219" s="276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2" t="e">
        <f>VLOOKUP(L220,'Import Process ORS'!$D$4:$E$1557,2,FALSE)</f>
        <v>#N/A</v>
      </c>
      <c r="D220" s="562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2" t="e">
        <f>SUMIFS('[1]MAIN-101'!$Z$1:$Z$3000,'[1]MAIN-101'!$X$1:$X$3000,A220)</f>
        <v>#VALUE!</v>
      </c>
      <c r="I220" s="562" t="s">
        <v>2687</v>
      </c>
      <c r="J220" t="s">
        <v>2683</v>
      </c>
      <c r="K220" t="s">
        <v>2678</v>
      </c>
      <c r="L220" s="562" t="str">
        <f>VLOOKUP(A220,'Format for Import of DV'!$A$3:$S$1556,3,FALSE)</f>
        <v>117</v>
      </c>
      <c r="M220" s="562" t="e">
        <f>SUMIFS('Recon of ORS and DV'!D:D,'Recon of ORS and DV'!B:B,'DV List for import'!A220)</f>
        <v>#VALUE!</v>
      </c>
      <c r="N220" s="276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4" t="str">
        <f>L221</f>
        <v>0000-00-0000</v>
      </c>
      <c r="D221" s="562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2" t="e">
        <f>SUMIFS('[1]MAIN-101'!$Z$1:$Z$3000,'[1]MAIN-101'!$X$1:$X$3000,A221)</f>
        <v>#VALUE!</v>
      </c>
      <c r="I221" s="562" t="s">
        <v>392</v>
      </c>
      <c r="J221" t="s">
        <v>2681</v>
      </c>
      <c r="K221" t="s">
        <v>2679</v>
      </c>
      <c r="L221" s="564" t="s">
        <v>2666</v>
      </c>
      <c r="M221" s="562">
        <f>SUMIFS('Recon of ORS and DV'!D:D,'Recon of ORS and DV'!B:B,'DV List for import'!A221)</f>
        <v>0</v>
      </c>
      <c r="N221" s="276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2" t="e">
        <f>VLOOKUP(L222,'Import Process ORS'!$D$4:$E$1557,2,FALSE)</f>
        <v>#N/A</v>
      </c>
      <c r="D222" s="562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2" t="e">
        <f>SUMIFS('[1]MAIN-101'!$Z$1:$Z$3000,'[1]MAIN-101'!$X$1:$X$3000,A222)</f>
        <v>#VALUE!</v>
      </c>
      <c r="I222" s="562" t="s">
        <v>2687</v>
      </c>
      <c r="J222" t="s">
        <v>2683</v>
      </c>
      <c r="K222" t="s">
        <v>2678</v>
      </c>
      <c r="L222" s="562" t="str">
        <f>VLOOKUP(A222,'Format for Import of DV'!$A$3:$S$1556,3,FALSE)</f>
        <v>118</v>
      </c>
      <c r="M222" s="562" t="e">
        <f>SUMIFS('Recon of ORS and DV'!D:D,'Recon of ORS and DV'!B:B,'DV List for import'!A222)</f>
        <v>#VALUE!</v>
      </c>
      <c r="N222" s="276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2" t="e">
        <f>VLOOKUP(L223,'Import Process ORS'!$D$4:$E$1557,2,FALSE)</f>
        <v>#N/A</v>
      </c>
      <c r="D223" s="562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2" t="e">
        <f>SUMIFS('[1]MAIN-101'!$Z$1:$Z$3000,'[1]MAIN-101'!$X$1:$X$3000,A223)</f>
        <v>#VALUE!</v>
      </c>
      <c r="I223" s="562" t="s">
        <v>2687</v>
      </c>
      <c r="J223" t="s">
        <v>2683</v>
      </c>
      <c r="K223" t="s">
        <v>2678</v>
      </c>
      <c r="L223" s="562" t="str">
        <f>VLOOKUP(A223,'Format for Import of DV'!$A$3:$S$1556,3,FALSE)</f>
        <v>119</v>
      </c>
      <c r="M223" s="562" t="e">
        <f>SUMIFS('Recon of ORS and DV'!D:D,'Recon of ORS and DV'!B:B,'DV List for import'!A223)</f>
        <v>#VALUE!</v>
      </c>
      <c r="N223" s="276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2" t="e">
        <f>VLOOKUP(L224,'Import Process ORS'!$D$4:$E$1557,2,FALSE)</f>
        <v>#N/A</v>
      </c>
      <c r="D224" s="562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2" t="e">
        <f>SUMIFS('[1]MAIN-101'!$Z$1:$Z$3000,'[1]MAIN-101'!$X$1:$X$3000,A224)</f>
        <v>#VALUE!</v>
      </c>
      <c r="I224" s="562" t="s">
        <v>2687</v>
      </c>
      <c r="J224" t="s">
        <v>2683</v>
      </c>
      <c r="K224" t="s">
        <v>2678</v>
      </c>
      <c r="L224" s="562" t="str">
        <f>VLOOKUP(A224,'Format for Import of DV'!$A$3:$S$1556,3,FALSE)</f>
        <v>120</v>
      </c>
      <c r="M224" s="562" t="e">
        <f>SUMIFS('Recon of ORS and DV'!D:D,'Recon of ORS and DV'!B:B,'DV List for import'!A224)</f>
        <v>#VALUE!</v>
      </c>
      <c r="N224" s="276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2" t="e">
        <f>VLOOKUP(L225,'Import Process ORS'!$D$4:$E$1557,2,FALSE)</f>
        <v>#N/A</v>
      </c>
      <c r="D225" s="562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2" t="e">
        <f>SUMIFS('[1]MAIN-101'!$Z$1:$Z$3000,'[1]MAIN-101'!$X$1:$X$3000,A225)</f>
        <v>#VALUE!</v>
      </c>
      <c r="I225" s="562" t="s">
        <v>2687</v>
      </c>
      <c r="J225" t="s">
        <v>2683</v>
      </c>
      <c r="K225" t="s">
        <v>2678</v>
      </c>
      <c r="L225" s="562" t="str">
        <f>VLOOKUP(A225,'Format for Import of DV'!$A$3:$S$1556,3,FALSE)</f>
        <v>121</v>
      </c>
      <c r="M225" s="562" t="e">
        <f>SUMIFS('Recon of ORS and DV'!D:D,'Recon of ORS and DV'!B:B,'DV List for import'!A225)</f>
        <v>#VALUE!</v>
      </c>
      <c r="N225" s="276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2" t="e">
        <f>VLOOKUP(L226,'Import Process ORS'!$D$4:$E$1557,2,FALSE)</f>
        <v>#N/A</v>
      </c>
      <c r="D226" s="562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2" t="e">
        <f>SUMIFS('[1]MAIN-101'!$Z$1:$Z$3000,'[1]MAIN-101'!$X$1:$X$3000,A226)</f>
        <v>#VALUE!</v>
      </c>
      <c r="I226" s="562" t="s">
        <v>2687</v>
      </c>
      <c r="J226" t="s">
        <v>2683</v>
      </c>
      <c r="K226" t="s">
        <v>2678</v>
      </c>
      <c r="L226" s="562" t="str">
        <f>VLOOKUP(A226,'Format for Import of DV'!$A$3:$S$1556,3,FALSE)</f>
        <v>122</v>
      </c>
      <c r="M226" s="562" t="e">
        <f>SUMIFS('Recon of ORS and DV'!D:D,'Recon of ORS and DV'!B:B,'DV List for import'!A226)</f>
        <v>#VALUE!</v>
      </c>
      <c r="N226" s="276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2" t="e">
        <f>VLOOKUP(L227,'Import Process ORS'!$D$4:$E$1557,2,FALSE)</f>
        <v>#N/A</v>
      </c>
      <c r="D227" s="562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2" t="e">
        <f>SUMIFS('[1]MAIN-101'!$Z$1:$Z$3000,'[1]MAIN-101'!$X$1:$X$3000,A227)</f>
        <v>#VALUE!</v>
      </c>
      <c r="I227" s="562" t="s">
        <v>2687</v>
      </c>
      <c r="J227" t="s">
        <v>2683</v>
      </c>
      <c r="K227" t="s">
        <v>2678</v>
      </c>
      <c r="L227" s="562" t="str">
        <f>VLOOKUP(A227,'Format for Import of DV'!$A$3:$S$1556,3,FALSE)</f>
        <v>123</v>
      </c>
      <c r="M227" s="562" t="e">
        <f>SUMIFS('Recon of ORS and DV'!D:D,'Recon of ORS and DV'!B:B,'DV List for import'!A227)</f>
        <v>#VALUE!</v>
      </c>
      <c r="N227" s="276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4" t="str">
        <f>L228</f>
        <v>0000-00-0000</v>
      </c>
      <c r="D228" s="562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2" t="e">
        <f>SUMIFS('[1]MAIN-101'!$Z$1:$Z$3000,'[1]MAIN-101'!$X$1:$X$3000,A228)</f>
        <v>#VALUE!</v>
      </c>
      <c r="I228" s="562" t="s">
        <v>2662</v>
      </c>
      <c r="J228" t="s">
        <v>2053</v>
      </c>
      <c r="K228" t="s">
        <v>2680</v>
      </c>
      <c r="L228" s="564" t="s">
        <v>2666</v>
      </c>
      <c r="M228" s="562">
        <f>SUMIFS('Recon of ORS and DV'!D:D,'Recon of ORS and DV'!B:B,'DV List for import'!A228)</f>
        <v>0</v>
      </c>
      <c r="N228" s="276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2" t="e">
        <f>VLOOKUP(L229,'Import Process ORS'!$D$4:$E$1557,2,FALSE)</f>
        <v>#N/A</v>
      </c>
      <c r="D229" s="562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2" t="e">
        <f>SUMIFS('[1]MAIN-101'!$Z$1:$Z$3000,'[1]MAIN-101'!$X$1:$X$3000,A229)</f>
        <v>#VALUE!</v>
      </c>
      <c r="I229" s="562" t="s">
        <v>2687</v>
      </c>
      <c r="J229" t="s">
        <v>2683</v>
      </c>
      <c r="K229" t="s">
        <v>2678</v>
      </c>
      <c r="L229" s="562" t="str">
        <f>VLOOKUP(A229,'Format for Import of DV'!$A$3:$S$1556,3,FALSE)</f>
        <v>095</v>
      </c>
      <c r="M229" s="562" t="e">
        <f>SUMIFS('Recon of ORS and DV'!D:D,'Recon of ORS and DV'!B:B,'DV List for import'!A229)</f>
        <v>#VALUE!</v>
      </c>
      <c r="N229" s="276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2" t="e">
        <f>VLOOKUP(L230,'Import Process ORS'!$D$4:$E$1557,2,FALSE)</f>
        <v>#N/A</v>
      </c>
      <c r="D230" s="562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2" t="e">
        <f>SUMIFS('[1]MAIN-101'!$Z$1:$Z$3000,'[1]MAIN-101'!$X$1:$X$3000,A230)</f>
        <v>#VALUE!</v>
      </c>
      <c r="I230" s="562" t="s">
        <v>2685</v>
      </c>
      <c r="J230" t="s">
        <v>2683</v>
      </c>
      <c r="K230" t="s">
        <v>2678</v>
      </c>
      <c r="L230" s="562" t="str">
        <f>VLOOKUP(A230,'Format for Import of DV'!$A$3:$S$1556,3,FALSE)</f>
        <v>096</v>
      </c>
      <c r="M230" s="562" t="e">
        <f>SUMIFS('Recon of ORS and DV'!D:D,'Recon of ORS and DV'!B:B,'DV List for import'!A230)</f>
        <v>#VALUE!</v>
      </c>
      <c r="N230" s="276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2" t="e">
        <f>VLOOKUP(L231,'Import Process ORS'!$D$4:$E$1557,2,FALSE)</f>
        <v>#N/A</v>
      </c>
      <c r="D231" s="562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2" t="e">
        <f>SUMIFS('[1]MAIN-101'!$Z$1:$Z$3000,'[1]MAIN-101'!$X$1:$X$3000,A231)</f>
        <v>#VALUE!</v>
      </c>
      <c r="I231" s="562" t="s">
        <v>2687</v>
      </c>
      <c r="J231" t="s">
        <v>2683</v>
      </c>
      <c r="K231" t="s">
        <v>2678</v>
      </c>
      <c r="L231" s="562" t="str">
        <f>VLOOKUP(A231,'Format for Import of DV'!$A$3:$S$1556,3,FALSE)</f>
        <v>097</v>
      </c>
      <c r="M231" s="562" t="e">
        <f>SUMIFS('Recon of ORS and DV'!D:D,'Recon of ORS and DV'!B:B,'DV List for import'!A231)</f>
        <v>#VALUE!</v>
      </c>
      <c r="N231" s="276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2" t="e">
        <f>VLOOKUP(L232,'Import Process ORS'!$D$4:$E$1557,2,FALSE)</f>
        <v>#N/A</v>
      </c>
      <c r="D232" s="562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2" t="e">
        <f>SUMIFS('[1]MAIN-101'!$Z$1:$Z$3000,'[1]MAIN-101'!$X$1:$X$3000,A232)</f>
        <v>#VALUE!</v>
      </c>
      <c r="I232" s="562" t="s">
        <v>2687</v>
      </c>
      <c r="J232" t="s">
        <v>2683</v>
      </c>
      <c r="K232" t="s">
        <v>2678</v>
      </c>
      <c r="L232" s="562" t="str">
        <f>VLOOKUP(A232,'Format for Import of DV'!$A$3:$S$1556,3,FALSE)</f>
        <v>098</v>
      </c>
      <c r="M232" s="562" t="e">
        <f>SUMIFS('Recon of ORS and DV'!D:D,'Recon of ORS and DV'!B:B,'DV List for import'!A232)</f>
        <v>#VALUE!</v>
      </c>
      <c r="N232" s="276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2" t="e">
        <f>VLOOKUP(L233,'Import Process ORS'!$D$4:$E$1557,2,FALSE)</f>
        <v>#N/A</v>
      </c>
      <c r="D233" s="562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2" t="e">
        <f>SUMIFS('[1]MAIN-101'!$Z$1:$Z$3000,'[1]MAIN-101'!$X$1:$X$3000,A233)</f>
        <v>#VALUE!</v>
      </c>
      <c r="I233" s="562" t="s">
        <v>2687</v>
      </c>
      <c r="J233" t="s">
        <v>2683</v>
      </c>
      <c r="K233" t="s">
        <v>2678</v>
      </c>
      <c r="L233" s="562" t="str">
        <f>VLOOKUP(A233,'Format for Import of DV'!$A$3:$S$1556,3,FALSE)</f>
        <v>099</v>
      </c>
      <c r="M233" s="562" t="e">
        <f>SUMIFS('Recon of ORS and DV'!D:D,'Recon of ORS and DV'!B:B,'DV List for import'!A233)</f>
        <v>#VALUE!</v>
      </c>
      <c r="N233" s="276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2" t="e">
        <f>VLOOKUP(L234,'Import Process ORS'!$D$4:$E$1557,2,FALSE)</f>
        <v>#N/A</v>
      </c>
      <c r="D234" s="562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2" t="e">
        <f>SUMIFS('[1]MAIN-101'!$Z$1:$Z$3000,'[1]MAIN-101'!$X$1:$X$3000,A234)</f>
        <v>#VALUE!</v>
      </c>
      <c r="I234" s="562" t="s">
        <v>2687</v>
      </c>
      <c r="J234" t="s">
        <v>2683</v>
      </c>
      <c r="K234" t="s">
        <v>2678</v>
      </c>
      <c r="L234" s="562" t="str">
        <f>VLOOKUP(A234,'Format for Import of DV'!$A$3:$S$1556,3,FALSE)</f>
        <v>144</v>
      </c>
      <c r="M234" s="562" t="e">
        <f>SUMIFS('Recon of ORS and DV'!D:D,'Recon of ORS and DV'!B:B,'DV List for import'!A234)</f>
        <v>#VALUE!</v>
      </c>
      <c r="N234" s="276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2" t="e">
        <f>VLOOKUP(L235,'Import Process ORS'!$D$4:$E$1557,2,FALSE)</f>
        <v>#N/A</v>
      </c>
      <c r="D235" s="562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2" t="e">
        <f>SUMIFS('[1]MAIN-101'!$Z$1:$Z$3000,'[1]MAIN-101'!$X$1:$X$3000,A235)</f>
        <v>#VALUE!</v>
      </c>
      <c r="I235" s="562" t="s">
        <v>2687</v>
      </c>
      <c r="J235" t="s">
        <v>2683</v>
      </c>
      <c r="K235" t="s">
        <v>2678</v>
      </c>
      <c r="L235" s="562" t="str">
        <f>VLOOKUP(A235,'Format for Import of DV'!$A$3:$S$1556,3,FALSE)</f>
        <v>094</v>
      </c>
      <c r="M235" s="562" t="e">
        <f>SUMIFS('Recon of ORS and DV'!D:D,'Recon of ORS and DV'!B:B,'DV List for import'!A235)</f>
        <v>#VALUE!</v>
      </c>
      <c r="N235" s="276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2" t="e">
        <f>VLOOKUP(L236,'Import Process ORS'!$D$4:$E$1557,2,FALSE)</f>
        <v>#N/A</v>
      </c>
      <c r="D236" s="562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2" t="e">
        <f>SUMIFS('[1]MAIN-101'!$Z$1:$Z$3000,'[1]MAIN-101'!$X$1:$X$3000,A236)</f>
        <v>#VALUE!</v>
      </c>
      <c r="I236" s="562" t="s">
        <v>2687</v>
      </c>
      <c r="J236" t="s">
        <v>2683</v>
      </c>
      <c r="K236" t="s">
        <v>2678</v>
      </c>
      <c r="L236" s="562" t="str">
        <f>VLOOKUP(A236,'Format for Import of DV'!$A$3:$S$1556,3,FALSE)</f>
        <v>110</v>
      </c>
      <c r="M236" s="562" t="e">
        <f>SUMIFS('Recon of ORS and DV'!D:D,'Recon of ORS and DV'!B:B,'DV List for import'!A236)</f>
        <v>#VALUE!</v>
      </c>
      <c r="N236" s="276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2" t="e">
        <f>VLOOKUP(L237,'Import Process ORS'!$D$4:$E$1557,2,FALSE)</f>
        <v>#N/A</v>
      </c>
      <c r="D237" s="562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2" t="e">
        <f>SUMIFS('[1]MAIN-101'!$Z$1:$Z$3000,'[1]MAIN-101'!$X$1:$X$3000,A237)</f>
        <v>#VALUE!</v>
      </c>
      <c r="I237" s="562" t="s">
        <v>2687</v>
      </c>
      <c r="J237" t="s">
        <v>2683</v>
      </c>
      <c r="K237" t="s">
        <v>2678</v>
      </c>
      <c r="L237" s="562" t="str">
        <f>VLOOKUP(A237,'Format for Import of DV'!$A$3:$S$1556,3,FALSE)</f>
        <v>124</v>
      </c>
      <c r="M237" s="562" t="e">
        <f>SUMIFS('Recon of ORS and DV'!D:D,'Recon of ORS and DV'!B:B,'DV List for import'!A237)</f>
        <v>#VALUE!</v>
      </c>
      <c r="N237" s="276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2" t="e">
        <f>VLOOKUP(L238,'Import Process ORS'!$D$4:$E$1557,2,FALSE)</f>
        <v>#N/A</v>
      </c>
      <c r="D238" s="562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2" t="e">
        <f>SUMIFS('[1]MAIN-101'!$Z$1:$Z$3000,'[1]MAIN-101'!$X$1:$X$3000,A238)</f>
        <v>#VALUE!</v>
      </c>
      <c r="I238" s="562" t="s">
        <v>2687</v>
      </c>
      <c r="J238" t="s">
        <v>2683</v>
      </c>
      <c r="K238" t="s">
        <v>2678</v>
      </c>
      <c r="L238" s="562" t="str">
        <f>VLOOKUP(A238,'Format for Import of DV'!$A$3:$S$1556,3,FALSE)</f>
        <v>125</v>
      </c>
      <c r="M238" s="562" t="e">
        <f>SUMIFS('Recon of ORS and DV'!D:D,'Recon of ORS and DV'!B:B,'DV List for import'!A238)</f>
        <v>#VALUE!</v>
      </c>
      <c r="N238" s="276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2" t="e">
        <f>VLOOKUP(L239,'Import Process ORS'!$D$4:$E$1557,2,FALSE)</f>
        <v>#N/A</v>
      </c>
      <c r="D239" s="562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2" t="e">
        <f>SUMIFS('[1]MAIN-101'!$Z$1:$Z$3000,'[1]MAIN-101'!$X$1:$X$3000,A239)</f>
        <v>#VALUE!</v>
      </c>
      <c r="I239" s="562" t="s">
        <v>2687</v>
      </c>
      <c r="J239" t="s">
        <v>2683</v>
      </c>
      <c r="K239" t="s">
        <v>2678</v>
      </c>
      <c r="L239" s="562" t="str">
        <f>VLOOKUP(A239,'Format for Import of DV'!$A$3:$S$1556,3,FALSE)</f>
        <v>126</v>
      </c>
      <c r="M239" s="562" t="e">
        <f>SUMIFS('Recon of ORS and DV'!D:D,'Recon of ORS and DV'!B:B,'DV List for import'!A239)</f>
        <v>#VALUE!</v>
      </c>
      <c r="N239" s="276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2" t="e">
        <f>VLOOKUP(L240,'Import Process ORS'!$D$4:$E$1557,2,FALSE)</f>
        <v>#N/A</v>
      </c>
      <c r="D240" s="562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2" t="e">
        <f>SUMIFS('[1]MAIN-101'!$Z$1:$Z$3000,'[1]MAIN-101'!$X$1:$X$3000,A240)</f>
        <v>#VALUE!</v>
      </c>
      <c r="I240" s="562" t="s">
        <v>2687</v>
      </c>
      <c r="J240" t="s">
        <v>2683</v>
      </c>
      <c r="K240" t="s">
        <v>2678</v>
      </c>
      <c r="L240" s="562" t="str">
        <f>VLOOKUP(A240,'Format for Import of DV'!$A$3:$S$1556,3,FALSE)</f>
        <v>127</v>
      </c>
      <c r="M240" s="562" t="e">
        <f>SUMIFS('Recon of ORS and DV'!D:D,'Recon of ORS and DV'!B:B,'DV List for import'!A240)</f>
        <v>#VALUE!</v>
      </c>
      <c r="N240" s="276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2" t="e">
        <f>VLOOKUP(L241,'Import Process ORS'!$D$4:$E$1557,2,FALSE)</f>
        <v>#N/A</v>
      </c>
      <c r="D241" s="562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2" t="e">
        <f>SUMIFS('[1]MAIN-101'!$Z$1:$Z$3000,'[1]MAIN-101'!$X$1:$X$3000,A241)</f>
        <v>#VALUE!</v>
      </c>
      <c r="I241" s="562" t="s">
        <v>2687</v>
      </c>
      <c r="J241" t="s">
        <v>2683</v>
      </c>
      <c r="K241" t="s">
        <v>2678</v>
      </c>
      <c r="L241" s="562" t="str">
        <f>VLOOKUP(A241,'Format for Import of DV'!$A$3:$S$1556,3,FALSE)</f>
        <v>128</v>
      </c>
      <c r="M241" s="562" t="e">
        <f>SUMIFS('Recon of ORS and DV'!D:D,'Recon of ORS and DV'!B:B,'DV List for import'!A241)</f>
        <v>#VALUE!</v>
      </c>
      <c r="N241" s="276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2" t="e">
        <f>VLOOKUP(L242,'Import Process ORS'!$D$4:$E$1557,2,FALSE)</f>
        <v>#N/A</v>
      </c>
      <c r="D242" s="562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2" t="e">
        <f>SUMIFS('[1]MAIN-101'!$Z$1:$Z$3000,'[1]MAIN-101'!$X$1:$X$3000,A242)</f>
        <v>#VALUE!</v>
      </c>
      <c r="I242" s="562" t="s">
        <v>2687</v>
      </c>
      <c r="J242" t="s">
        <v>2683</v>
      </c>
      <c r="K242" t="s">
        <v>2678</v>
      </c>
      <c r="L242" s="562" t="str">
        <f>VLOOKUP(A242,'Format for Import of DV'!$A$3:$S$1556,3,FALSE)</f>
        <v>129</v>
      </c>
      <c r="M242" s="562" t="e">
        <f>SUMIFS('Recon of ORS and DV'!D:D,'Recon of ORS and DV'!B:B,'DV List for import'!A242)</f>
        <v>#VALUE!</v>
      </c>
      <c r="N242" s="276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2" t="e">
        <f>VLOOKUP(L243,'Import Process ORS'!$D$4:$E$1557,2,FALSE)</f>
        <v>#N/A</v>
      </c>
      <c r="D243" s="562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2" t="e">
        <f>SUMIFS('[1]MAIN-101'!$Z$1:$Z$3000,'[1]MAIN-101'!$X$1:$X$3000,A243)</f>
        <v>#VALUE!</v>
      </c>
      <c r="I243" s="562" t="s">
        <v>2687</v>
      </c>
      <c r="J243" t="s">
        <v>2683</v>
      </c>
      <c r="K243" t="s">
        <v>2678</v>
      </c>
      <c r="L243" s="562" t="str">
        <f>VLOOKUP(A243,'Format for Import of DV'!$A$3:$S$1556,3,FALSE)</f>
        <v>130</v>
      </c>
      <c r="M243" s="562" t="e">
        <f>SUMIFS('Recon of ORS and DV'!D:D,'Recon of ORS and DV'!B:B,'DV List for import'!A243)</f>
        <v>#VALUE!</v>
      </c>
      <c r="N243" s="276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2" t="e">
        <f>VLOOKUP(L244,'Import Process ORS'!$D$4:$E$1557,2,FALSE)</f>
        <v>#N/A</v>
      </c>
      <c r="D244" s="562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2" t="e">
        <f>SUMIFS('[1]MAIN-101'!$Z$1:$Z$3000,'[1]MAIN-101'!$X$1:$X$3000,A244)</f>
        <v>#VALUE!</v>
      </c>
      <c r="I244" s="562" t="s">
        <v>2687</v>
      </c>
      <c r="J244" t="s">
        <v>2683</v>
      </c>
      <c r="K244" t="s">
        <v>2678</v>
      </c>
      <c r="L244" s="562" t="str">
        <f>VLOOKUP(A244,'Format for Import of DV'!$A$3:$S$1556,3,FALSE)</f>
        <v>131</v>
      </c>
      <c r="M244" s="562" t="e">
        <f>SUMIFS('Recon of ORS and DV'!D:D,'Recon of ORS and DV'!B:B,'DV List for import'!A244)</f>
        <v>#VALUE!</v>
      </c>
      <c r="N244" s="276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2" t="e">
        <f>VLOOKUP(L245,'Import Process ORS'!$D$4:$E$1557,2,FALSE)</f>
        <v>#N/A</v>
      </c>
      <c r="D245" s="562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2" t="e">
        <f>SUMIFS('[1]MAIN-101'!$Z$1:$Z$3000,'[1]MAIN-101'!$X$1:$X$3000,A245)</f>
        <v>#VALUE!</v>
      </c>
      <c r="I245" s="562" t="s">
        <v>2687</v>
      </c>
      <c r="J245" t="s">
        <v>2683</v>
      </c>
      <c r="K245" t="s">
        <v>2678</v>
      </c>
      <c r="L245" s="562" t="str">
        <f>VLOOKUP(A245,'Format for Import of DV'!$A$3:$S$1556,3,FALSE)</f>
        <v>143</v>
      </c>
      <c r="M245" s="562" t="e">
        <f>SUMIFS('Recon of ORS and DV'!D:D,'Recon of ORS and DV'!B:B,'DV List for import'!A245)</f>
        <v>#VALUE!</v>
      </c>
      <c r="N245" s="276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4" t="str">
        <f>L246</f>
        <v>0000-00-0000</v>
      </c>
      <c r="D246" s="562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2" t="e">
        <f>SUMIFS('[1]MAIN-101'!$Z$1:$Z$3000,'[1]MAIN-101'!$X$1:$X$3000,A246)</f>
        <v>#VALUE!</v>
      </c>
      <c r="I246" s="562" t="s">
        <v>392</v>
      </c>
      <c r="J246" t="s">
        <v>2681</v>
      </c>
      <c r="K246" t="s">
        <v>2679</v>
      </c>
      <c r="L246" s="564" t="s">
        <v>2666</v>
      </c>
      <c r="M246" s="562">
        <f>SUMIFS('Recon of ORS and DV'!D:D,'Recon of ORS and DV'!B:B,'DV List for import'!A246)</f>
        <v>0</v>
      </c>
      <c r="N246" s="276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4" t="str">
        <f>L247</f>
        <v>0000-00-0000</v>
      </c>
      <c r="D247" s="562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2" t="e">
        <f>SUMIFS('[1]MAIN-101'!$Z$1:$Z$3000,'[1]MAIN-101'!$X$1:$X$3000,A247)</f>
        <v>#VALUE!</v>
      </c>
      <c r="I247" s="562" t="s">
        <v>392</v>
      </c>
      <c r="J247" t="s">
        <v>2681</v>
      </c>
      <c r="K247" t="s">
        <v>2679</v>
      </c>
      <c r="L247" s="564" t="s">
        <v>2666</v>
      </c>
      <c r="M247" s="562">
        <f>SUMIFS('Recon of ORS and DV'!D:D,'Recon of ORS and DV'!B:B,'DV List for import'!A247)</f>
        <v>0</v>
      </c>
      <c r="N247" s="276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4" t="str">
        <f>L248</f>
        <v>0000-00-0000</v>
      </c>
      <c r="D248" s="562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2" t="e">
        <f>SUMIFS('[1]MAIN-101'!$Z$1:$Z$3000,'[1]MAIN-101'!$X$1:$X$3000,A248)</f>
        <v>#VALUE!</v>
      </c>
      <c r="I248" s="562" t="s">
        <v>392</v>
      </c>
      <c r="J248" t="s">
        <v>2681</v>
      </c>
      <c r="K248" t="s">
        <v>2679</v>
      </c>
      <c r="L248" s="564" t="s">
        <v>2666</v>
      </c>
      <c r="M248" s="562">
        <f>SUMIFS('Recon of ORS and DV'!D:D,'Recon of ORS and DV'!B:B,'DV List for import'!A248)</f>
        <v>0</v>
      </c>
      <c r="N248" s="276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2" t="e">
        <f>VLOOKUP(L249,'Import Process ORS'!$D$4:$E$1557,2,FALSE)</f>
        <v>#N/A</v>
      </c>
      <c r="D249" s="562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2" t="e">
        <f>SUMIFS('[1]MAIN-101'!$Z$1:$Z$3000,'[1]MAIN-101'!$X$1:$X$3000,A249)</f>
        <v>#VALUE!</v>
      </c>
      <c r="I249" s="562" t="s">
        <v>2687</v>
      </c>
      <c r="J249" t="s">
        <v>2683</v>
      </c>
      <c r="K249" t="s">
        <v>2678</v>
      </c>
      <c r="L249" s="562" t="str">
        <f>VLOOKUP(A249,'Format for Import of DV'!$A$3:$S$1556,3,FALSE)</f>
        <v>092</v>
      </c>
      <c r="M249" s="562" t="e">
        <f>SUMIFS('Recon of ORS and DV'!D:D,'Recon of ORS and DV'!B:B,'DV List for import'!A249)</f>
        <v>#VALUE!</v>
      </c>
      <c r="N249" s="276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2" t="e">
        <f>VLOOKUP(L250,'Import Process ORS'!$D$4:$E$1557,2,FALSE)</f>
        <v>#N/A</v>
      </c>
      <c r="D250" s="562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2" t="e">
        <f>SUMIFS('[1]MAIN-101'!$Z$1:$Z$3000,'[1]MAIN-101'!$X$1:$X$3000,A250)</f>
        <v>#VALUE!</v>
      </c>
      <c r="I250" s="562" t="s">
        <v>2687</v>
      </c>
      <c r="J250" t="s">
        <v>2683</v>
      </c>
      <c r="K250" t="s">
        <v>2678</v>
      </c>
      <c r="L250" s="562" t="str">
        <f>VLOOKUP(A250,'Format for Import of DV'!$A$3:$S$1556,3,FALSE)</f>
        <v>093</v>
      </c>
      <c r="M250" s="562" t="e">
        <f>SUMIFS('Recon of ORS and DV'!D:D,'Recon of ORS and DV'!B:B,'DV List for import'!A250)</f>
        <v>#VALUE!</v>
      </c>
      <c r="N250" s="276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4" t="str">
        <f>L251</f>
        <v>0000-00-0000</v>
      </c>
      <c r="D251" s="562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2" t="e">
        <f>SUMIFS('[1]MAIN-101'!$Z$1:$Z$3000,'[1]MAIN-101'!$X$1:$X$3000,A251)</f>
        <v>#VALUE!</v>
      </c>
      <c r="I251" s="562" t="s">
        <v>392</v>
      </c>
      <c r="J251" t="s">
        <v>2681</v>
      </c>
      <c r="K251" t="s">
        <v>2679</v>
      </c>
      <c r="L251" s="564" t="s">
        <v>2666</v>
      </c>
      <c r="M251" s="562">
        <f>SUMIFS('Recon of ORS and DV'!D:D,'Recon of ORS and DV'!B:B,'DV List for import'!A251)</f>
        <v>0</v>
      </c>
      <c r="N251" s="276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2" t="e">
        <f>VLOOKUP(L252,'Import Process ORS'!$D$4:$E$1557,2,FALSE)</f>
        <v>#N/A</v>
      </c>
      <c r="D252" s="562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2" t="e">
        <f>SUMIFS('[1]MAIN-101'!$Z$1:$Z$3000,'[1]MAIN-101'!$X$1:$X$3000,A252)</f>
        <v>#VALUE!</v>
      </c>
      <c r="I252" s="562" t="s">
        <v>2687</v>
      </c>
      <c r="J252" t="s">
        <v>2683</v>
      </c>
      <c r="K252" t="s">
        <v>2678</v>
      </c>
      <c r="L252" s="562" t="str">
        <f>VLOOKUP(A252,'Format for Import of DV'!$A$3:$S$1556,3,FALSE)</f>
        <v>145</v>
      </c>
      <c r="M252" s="562" t="e">
        <f>SUMIFS('Recon of ORS and DV'!D:D,'Recon of ORS and DV'!B:B,'DV List for import'!A252)</f>
        <v>#VALUE!</v>
      </c>
      <c r="N252" s="276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2" t="e">
        <f>VLOOKUP(L253,'Import Process ORS'!$D$4:$E$1557,2,FALSE)</f>
        <v>#N/A</v>
      </c>
      <c r="D253" s="562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2" t="e">
        <f>SUMIFS('[1]MAIN-101'!$Z$1:$Z$3000,'[1]MAIN-101'!$X$1:$X$3000,A253)</f>
        <v>#VALUE!</v>
      </c>
      <c r="I253" s="562" t="s">
        <v>2687</v>
      </c>
      <c r="J253" t="s">
        <v>2683</v>
      </c>
      <c r="K253" t="s">
        <v>2678</v>
      </c>
      <c r="L253" s="562" t="str">
        <f>VLOOKUP(A253,'Format for Import of DV'!$A$3:$S$1556,3,FALSE)</f>
        <v>146</v>
      </c>
      <c r="M253" s="562" t="e">
        <f>SUMIFS('Recon of ORS and DV'!D:D,'Recon of ORS and DV'!B:B,'DV List for import'!A253)</f>
        <v>#VALUE!</v>
      </c>
      <c r="N253" s="276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2" t="e">
        <f>VLOOKUP(L254,'Import Process ORS'!$D$4:$E$1557,2,FALSE)</f>
        <v>#N/A</v>
      </c>
      <c r="D254" s="562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2" t="e">
        <f>SUMIFS('[1]MAIN-101'!$Z$1:$Z$3000,'[1]MAIN-101'!$X$1:$X$3000,A254)</f>
        <v>#VALUE!</v>
      </c>
      <c r="I254" s="562" t="s">
        <v>2687</v>
      </c>
      <c r="J254" t="s">
        <v>2683</v>
      </c>
      <c r="K254" t="s">
        <v>2678</v>
      </c>
      <c r="L254" s="562" t="str">
        <f>VLOOKUP(A254,'Format for Import of DV'!$A$3:$S$1556,3,FALSE)</f>
        <v>147</v>
      </c>
      <c r="M254" s="562" t="e">
        <f>SUMIFS('Recon of ORS and DV'!D:D,'Recon of ORS and DV'!B:B,'DV List for import'!A254)</f>
        <v>#VALUE!</v>
      </c>
      <c r="N254" s="276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2" t="e">
        <f>VLOOKUP(L255,'Import Process ORS'!$D$4:$E$1557,2,FALSE)</f>
        <v>#N/A</v>
      </c>
      <c r="D255" s="562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2" t="e">
        <f>SUMIFS('[1]MAIN-101'!$Z$1:$Z$3000,'[1]MAIN-101'!$X$1:$X$3000,A255)</f>
        <v>#VALUE!</v>
      </c>
      <c r="I255" s="562" t="s">
        <v>2685</v>
      </c>
      <c r="J255" t="s">
        <v>2683</v>
      </c>
      <c r="K255" t="s">
        <v>2678</v>
      </c>
      <c r="L255" s="562" t="str">
        <f>VLOOKUP(A255,'Format for Import of DV'!$A$3:$S$1556,3,FALSE)</f>
        <v>135</v>
      </c>
      <c r="M255" s="562" t="e">
        <f>SUMIFS('Recon of ORS and DV'!D:D,'Recon of ORS and DV'!B:B,'DV List for import'!A255)</f>
        <v>#VALUE!</v>
      </c>
      <c r="N255" s="276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2" t="e">
        <f>VLOOKUP(L256,'Import Process ORS'!$D$4:$E$1557,2,FALSE)</f>
        <v>#N/A</v>
      </c>
      <c r="D256" s="562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2" t="e">
        <f>SUMIFS('[1]MAIN-101'!$Z$1:$Z$3000,'[1]MAIN-101'!$X$1:$X$3000,A256)</f>
        <v>#VALUE!</v>
      </c>
      <c r="I256" s="562" t="s">
        <v>2685</v>
      </c>
      <c r="J256" t="s">
        <v>2683</v>
      </c>
      <c r="K256" t="s">
        <v>2678</v>
      </c>
      <c r="L256" s="562" t="str">
        <f>VLOOKUP(A256,'Format for Import of DV'!$A$3:$S$1556,3,FALSE)</f>
        <v>102</v>
      </c>
      <c r="M256" s="562" t="e">
        <f>SUMIFS('Recon of ORS and DV'!D:D,'Recon of ORS and DV'!B:B,'DV List for import'!A256)</f>
        <v>#VALUE!</v>
      </c>
      <c r="N256" s="276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2" t="e">
        <f>VLOOKUP(L257,'Import Process ORS'!$D$4:$E$1557,2,FALSE)</f>
        <v>#N/A</v>
      </c>
      <c r="D257" s="562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2" t="e">
        <f>SUMIFS('[1]MAIN-101'!$Z$1:$Z$3000,'[1]MAIN-101'!$X$1:$X$3000,A257)</f>
        <v>#VALUE!</v>
      </c>
      <c r="I257" s="562" t="s">
        <v>2685</v>
      </c>
      <c r="J257" t="s">
        <v>2683</v>
      </c>
      <c r="K257" t="s">
        <v>2678</v>
      </c>
      <c r="L257" s="562" t="str">
        <f>VLOOKUP(A257,'Format for Import of DV'!$A$3:$S$1556,3,FALSE)</f>
        <v>106</v>
      </c>
      <c r="M257" s="562" t="e">
        <f>SUMIFS('Recon of ORS and DV'!D:D,'Recon of ORS and DV'!B:B,'DV List for import'!A257)</f>
        <v>#VALUE!</v>
      </c>
      <c r="N257" s="276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2" t="e">
        <f>VLOOKUP(L258,'Import Process ORS'!$D$4:$E$1557,2,FALSE)</f>
        <v>#N/A</v>
      </c>
      <c r="D258" s="562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2" t="e">
        <f>SUMIFS('[1]MAIN-101'!$Z$1:$Z$3000,'[1]MAIN-101'!$X$1:$X$3000,A258)</f>
        <v>#VALUE!</v>
      </c>
      <c r="I258" s="562" t="s">
        <v>2685</v>
      </c>
      <c r="J258" t="s">
        <v>2683</v>
      </c>
      <c r="K258" t="s">
        <v>2678</v>
      </c>
      <c r="L258" s="562" t="str">
        <f>VLOOKUP(A258,'Format for Import of DV'!$A$3:$S$1556,3,FALSE)</f>
        <v>132</v>
      </c>
      <c r="M258" s="562" t="e">
        <f>SUMIFS('Recon of ORS and DV'!D:D,'Recon of ORS and DV'!B:B,'DV List for import'!A258)</f>
        <v>#VALUE!</v>
      </c>
      <c r="N258" s="276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4" t="str">
        <f t="shared" ref="C259:C282" si="15">L259</f>
        <v>0000-00-0000</v>
      </c>
      <c r="D259" s="562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2" t="e">
        <f>SUMIFS('[1]MAIN-101'!$Z$1:$Z$3000,'[1]MAIN-101'!$X$1:$X$3000,A259)</f>
        <v>#VALUE!</v>
      </c>
      <c r="I259" s="562" t="s">
        <v>2662</v>
      </c>
      <c r="J259" t="s">
        <v>2053</v>
      </c>
      <c r="K259" t="s">
        <v>2680</v>
      </c>
      <c r="L259" s="564" t="s">
        <v>2666</v>
      </c>
      <c r="M259" s="562">
        <f>SUMIFS('Recon of ORS and DV'!D:D,'Recon of ORS and DV'!B:B,'DV List for import'!A259)</f>
        <v>0</v>
      </c>
      <c r="N259" s="276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4" t="str">
        <f t="shared" si="15"/>
        <v>0000-00-0000</v>
      </c>
      <c r="D260" s="562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2" t="e">
        <f>SUMIFS('[1]MAIN-101'!$Z$1:$Z$3000,'[1]MAIN-101'!$X$1:$X$3000,A260)</f>
        <v>#VALUE!</v>
      </c>
      <c r="I260" s="562" t="s">
        <v>2662</v>
      </c>
      <c r="J260" t="s">
        <v>2053</v>
      </c>
      <c r="K260" t="s">
        <v>2680</v>
      </c>
      <c r="L260" s="564" t="s">
        <v>2666</v>
      </c>
      <c r="M260" s="562">
        <f>SUMIFS('Recon of ORS and DV'!D:D,'Recon of ORS and DV'!B:B,'DV List for import'!A260)</f>
        <v>0</v>
      </c>
      <c r="N260" s="276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4" t="str">
        <f t="shared" si="15"/>
        <v>0000-00-0000</v>
      </c>
      <c r="D261" s="562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2" t="e">
        <f>SUMIFS('[1]MAIN-101'!$Z$1:$Z$3000,'[1]MAIN-101'!$X$1:$X$3000,A261)</f>
        <v>#VALUE!</v>
      </c>
      <c r="I261" s="562" t="s">
        <v>2662</v>
      </c>
      <c r="J261" t="s">
        <v>2053</v>
      </c>
      <c r="K261" t="s">
        <v>2680</v>
      </c>
      <c r="L261" s="564" t="s">
        <v>2666</v>
      </c>
      <c r="M261" s="562">
        <f>SUMIFS('Recon of ORS and DV'!D:D,'Recon of ORS and DV'!B:B,'DV List for import'!A261)</f>
        <v>0</v>
      </c>
      <c r="N261" s="276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4" t="str">
        <f t="shared" si="15"/>
        <v>0000-00-0000</v>
      </c>
      <c r="D262" s="562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2" t="e">
        <f>SUMIFS('[1]MAIN-101'!$Z$1:$Z$3000,'[1]MAIN-101'!$X$1:$X$3000,A262)</f>
        <v>#VALUE!</v>
      </c>
      <c r="I262" s="562" t="s">
        <v>2662</v>
      </c>
      <c r="J262" t="s">
        <v>2053</v>
      </c>
      <c r="K262" t="s">
        <v>2680</v>
      </c>
      <c r="L262" s="564" t="s">
        <v>2666</v>
      </c>
      <c r="M262" s="562">
        <f>SUMIFS('Recon of ORS and DV'!D:D,'Recon of ORS and DV'!B:B,'DV List for import'!A262)</f>
        <v>0</v>
      </c>
      <c r="N262" s="276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4" t="str">
        <f t="shared" si="15"/>
        <v>0000-00-0000</v>
      </c>
      <c r="D263" s="562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2" t="e">
        <f>SUMIFS('[1]MAIN-101'!$Z$1:$Z$3000,'[1]MAIN-101'!$X$1:$X$3000,A263)</f>
        <v>#VALUE!</v>
      </c>
      <c r="I263" s="562" t="s">
        <v>2662</v>
      </c>
      <c r="J263" t="s">
        <v>2053</v>
      </c>
      <c r="K263" t="s">
        <v>2680</v>
      </c>
      <c r="L263" s="564" t="s">
        <v>2666</v>
      </c>
      <c r="M263" s="562">
        <f>SUMIFS('Recon of ORS and DV'!D:D,'Recon of ORS and DV'!B:B,'DV List for import'!A263)</f>
        <v>0</v>
      </c>
      <c r="N263" s="276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4" t="str">
        <f t="shared" si="15"/>
        <v>0000-00-0000</v>
      </c>
      <c r="D264" s="562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2" t="e">
        <f>SUMIFS('[1]MAIN-101'!$Z$1:$Z$3000,'[1]MAIN-101'!$X$1:$X$3000,A264)</f>
        <v>#VALUE!</v>
      </c>
      <c r="I264" s="562" t="s">
        <v>2662</v>
      </c>
      <c r="J264" t="s">
        <v>2053</v>
      </c>
      <c r="K264" t="s">
        <v>2680</v>
      </c>
      <c r="L264" s="564" t="s">
        <v>2666</v>
      </c>
      <c r="M264" s="562">
        <f>SUMIFS('Recon of ORS and DV'!D:D,'Recon of ORS and DV'!B:B,'DV List for import'!A264)</f>
        <v>0</v>
      </c>
      <c r="N264" s="276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4" t="str">
        <f t="shared" si="15"/>
        <v>0000-00-0000</v>
      </c>
      <c r="D265" s="562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2" t="e">
        <f>SUMIFS('[1]MAIN-101'!$Z$1:$Z$3000,'[1]MAIN-101'!$X$1:$X$3000,A265)</f>
        <v>#VALUE!</v>
      </c>
      <c r="I265" s="562" t="s">
        <v>2662</v>
      </c>
      <c r="J265" t="s">
        <v>2053</v>
      </c>
      <c r="K265" t="s">
        <v>2680</v>
      </c>
      <c r="L265" s="564" t="s">
        <v>2666</v>
      </c>
      <c r="M265" s="562">
        <f>SUMIFS('Recon of ORS and DV'!D:D,'Recon of ORS and DV'!B:B,'DV List for import'!A265)</f>
        <v>0</v>
      </c>
      <c r="N265" s="276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4" t="str">
        <f t="shared" si="15"/>
        <v>0000-00-0000</v>
      </c>
      <c r="D266" s="562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2" t="e">
        <f>SUMIFS('[1]MAIN-101'!$Z$1:$Z$3000,'[1]MAIN-101'!$X$1:$X$3000,A266)</f>
        <v>#VALUE!</v>
      </c>
      <c r="I266" s="562" t="s">
        <v>2662</v>
      </c>
      <c r="J266" t="s">
        <v>2053</v>
      </c>
      <c r="K266" t="s">
        <v>2680</v>
      </c>
      <c r="L266" s="564" t="s">
        <v>2666</v>
      </c>
      <c r="M266" s="562">
        <f>SUMIFS('Recon of ORS and DV'!D:D,'Recon of ORS and DV'!B:B,'DV List for import'!A266)</f>
        <v>0</v>
      </c>
      <c r="N266" s="276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4" t="str">
        <f t="shared" si="15"/>
        <v>0000-00-0000</v>
      </c>
      <c r="D267" s="562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2" t="e">
        <f>SUMIFS('[1]MAIN-101'!$Z$1:$Z$3000,'[1]MAIN-101'!$X$1:$X$3000,A267)</f>
        <v>#VALUE!</v>
      </c>
      <c r="I267" s="562" t="s">
        <v>2662</v>
      </c>
      <c r="J267" t="s">
        <v>2053</v>
      </c>
      <c r="K267" t="s">
        <v>2680</v>
      </c>
      <c r="L267" s="564" t="s">
        <v>2666</v>
      </c>
      <c r="M267" s="562">
        <f>SUMIFS('Recon of ORS and DV'!D:D,'Recon of ORS and DV'!B:B,'DV List for import'!A267)</f>
        <v>0</v>
      </c>
      <c r="N267" s="276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4" t="str">
        <f t="shared" si="15"/>
        <v>0000-00-0000</v>
      </c>
      <c r="D268" s="562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2" t="e">
        <f>SUMIFS('[1]MAIN-101'!$Z$1:$Z$3000,'[1]MAIN-101'!$X$1:$X$3000,A268)</f>
        <v>#VALUE!</v>
      </c>
      <c r="I268" s="562" t="s">
        <v>2662</v>
      </c>
      <c r="J268" t="s">
        <v>2053</v>
      </c>
      <c r="K268" t="s">
        <v>2680</v>
      </c>
      <c r="L268" s="564" t="s">
        <v>2666</v>
      </c>
      <c r="M268" s="562">
        <f>SUMIFS('Recon of ORS and DV'!D:D,'Recon of ORS and DV'!B:B,'DV List for import'!A268)</f>
        <v>0</v>
      </c>
      <c r="N268" s="276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4" t="str">
        <f t="shared" si="15"/>
        <v>0000-00-0000</v>
      </c>
      <c r="D269" s="562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2" t="e">
        <f>SUMIFS('[1]MAIN-101'!$Z$1:$Z$3000,'[1]MAIN-101'!$X$1:$X$3000,A269)</f>
        <v>#VALUE!</v>
      </c>
      <c r="I269" s="562" t="s">
        <v>2662</v>
      </c>
      <c r="J269" t="s">
        <v>2053</v>
      </c>
      <c r="K269" t="s">
        <v>2680</v>
      </c>
      <c r="L269" s="564" t="s">
        <v>2666</v>
      </c>
      <c r="M269" s="562">
        <f>SUMIFS('Recon of ORS and DV'!D:D,'Recon of ORS and DV'!B:B,'DV List for import'!A269)</f>
        <v>0</v>
      </c>
      <c r="N269" s="276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4" t="str">
        <f t="shared" si="15"/>
        <v>0000-00-0000</v>
      </c>
      <c r="D270" s="562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2" t="e">
        <f>SUMIFS('[1]MAIN-101'!$Z$1:$Z$3000,'[1]MAIN-101'!$X$1:$X$3000,A270)</f>
        <v>#VALUE!</v>
      </c>
      <c r="I270" s="562" t="s">
        <v>2662</v>
      </c>
      <c r="J270" t="s">
        <v>2053</v>
      </c>
      <c r="K270" t="s">
        <v>2680</v>
      </c>
      <c r="L270" s="564" t="s">
        <v>2666</v>
      </c>
      <c r="M270" s="562">
        <f>SUMIFS('Recon of ORS and DV'!D:D,'Recon of ORS and DV'!B:B,'DV List for import'!A270)</f>
        <v>0</v>
      </c>
      <c r="N270" s="276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4" t="str">
        <f t="shared" si="15"/>
        <v>0000-00-0000</v>
      </c>
      <c r="D271" s="562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2" t="e">
        <f>SUMIFS('[1]MAIN-101'!$Z$1:$Z$3000,'[1]MAIN-101'!$X$1:$X$3000,A271)</f>
        <v>#VALUE!</v>
      </c>
      <c r="I271" s="562" t="s">
        <v>2662</v>
      </c>
      <c r="J271" t="s">
        <v>2053</v>
      </c>
      <c r="K271" t="s">
        <v>2680</v>
      </c>
      <c r="L271" s="564" t="s">
        <v>2666</v>
      </c>
      <c r="M271" s="562">
        <f>SUMIFS('Recon of ORS and DV'!D:D,'Recon of ORS and DV'!B:B,'DV List for import'!A271)</f>
        <v>0</v>
      </c>
      <c r="N271" s="276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4" t="str">
        <f t="shared" si="15"/>
        <v>0000-00-0000</v>
      </c>
      <c r="D272" s="562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2" t="e">
        <f>SUMIFS('[1]MAIN-101'!$Z$1:$Z$3000,'[1]MAIN-101'!$X$1:$X$3000,A272)</f>
        <v>#VALUE!</v>
      </c>
      <c r="I272" s="562" t="s">
        <v>2662</v>
      </c>
      <c r="J272" t="s">
        <v>2053</v>
      </c>
      <c r="K272" t="s">
        <v>2680</v>
      </c>
      <c r="L272" s="564" t="s">
        <v>2666</v>
      </c>
      <c r="M272" s="562">
        <f>SUMIFS('Recon of ORS and DV'!D:D,'Recon of ORS and DV'!B:B,'DV List for import'!A272)</f>
        <v>0</v>
      </c>
      <c r="N272" s="276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4" t="str">
        <f t="shared" si="15"/>
        <v>0000-00-0000</v>
      </c>
      <c r="D273" s="562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2" t="e">
        <f>SUMIFS('[1]MAIN-101'!$Z$1:$Z$3000,'[1]MAIN-101'!$X$1:$X$3000,A273)</f>
        <v>#VALUE!</v>
      </c>
      <c r="I273" s="562" t="s">
        <v>2687</v>
      </c>
      <c r="J273" t="s">
        <v>2683</v>
      </c>
      <c r="K273" t="s">
        <v>2678</v>
      </c>
      <c r="L273" s="564" t="s">
        <v>2666</v>
      </c>
      <c r="M273" s="562">
        <f>SUMIFS('Recon of ORS and DV'!D:D,'Recon of ORS and DV'!B:B,'DV List for import'!A273)</f>
        <v>0</v>
      </c>
      <c r="N273" s="276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4" t="str">
        <f t="shared" si="15"/>
        <v>0000-00-0000</v>
      </c>
      <c r="D274" s="562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2" t="e">
        <f>SUMIFS('[1]MAIN-101'!$Z$1:$Z$3000,'[1]MAIN-101'!$X$1:$X$3000,A274)</f>
        <v>#VALUE!</v>
      </c>
      <c r="I274" s="562" t="s">
        <v>2662</v>
      </c>
      <c r="J274" t="s">
        <v>2053</v>
      </c>
      <c r="K274" t="s">
        <v>2680</v>
      </c>
      <c r="L274" s="564" t="s">
        <v>2666</v>
      </c>
      <c r="M274" s="562">
        <f>SUMIFS('Recon of ORS and DV'!D:D,'Recon of ORS and DV'!B:B,'DV List for import'!A274)</f>
        <v>0</v>
      </c>
      <c r="N274" s="276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4" t="str">
        <f t="shared" si="15"/>
        <v>0000-00-0000</v>
      </c>
      <c r="D275" s="562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2" t="e">
        <f>SUMIFS('[1]MAIN-101'!$Z$1:$Z$3000,'[1]MAIN-101'!$X$1:$X$3000,A275)</f>
        <v>#VALUE!</v>
      </c>
      <c r="I275" s="562" t="s">
        <v>2662</v>
      </c>
      <c r="J275" t="s">
        <v>2053</v>
      </c>
      <c r="K275" t="s">
        <v>2680</v>
      </c>
      <c r="L275" s="564" t="s">
        <v>2666</v>
      </c>
      <c r="M275" s="562">
        <f>SUMIFS('Recon of ORS and DV'!D:D,'Recon of ORS and DV'!B:B,'DV List for import'!A275)</f>
        <v>0</v>
      </c>
      <c r="N275" s="276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4" t="str">
        <f t="shared" si="15"/>
        <v>0000-00-0000</v>
      </c>
      <c r="D276" s="562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2" t="e">
        <f>SUMIFS('[1]MAIN-101'!$Z$1:$Z$3000,'[1]MAIN-101'!$X$1:$X$3000,A276)</f>
        <v>#VALUE!</v>
      </c>
      <c r="I276" s="562" t="s">
        <v>2662</v>
      </c>
      <c r="J276" t="s">
        <v>2053</v>
      </c>
      <c r="K276" t="s">
        <v>2680</v>
      </c>
      <c r="L276" s="564" t="s">
        <v>2666</v>
      </c>
      <c r="M276" s="562">
        <f>SUMIFS('Recon of ORS and DV'!D:D,'Recon of ORS and DV'!B:B,'DV List for import'!A276)</f>
        <v>0</v>
      </c>
      <c r="N276" s="276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4" t="str">
        <f t="shared" si="15"/>
        <v>0000-00-0000</v>
      </c>
      <c r="D277" s="562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2" t="e">
        <f>SUMIFS('[1]MAIN-101'!$Z$1:$Z$3000,'[1]MAIN-101'!$X$1:$X$3000,A277)</f>
        <v>#VALUE!</v>
      </c>
      <c r="I277" s="562" t="s">
        <v>2662</v>
      </c>
      <c r="J277" t="s">
        <v>2053</v>
      </c>
      <c r="K277" t="s">
        <v>2680</v>
      </c>
      <c r="L277" s="564" t="s">
        <v>2666</v>
      </c>
      <c r="M277" s="562">
        <f>SUMIFS('Recon of ORS and DV'!D:D,'Recon of ORS and DV'!B:B,'DV List for import'!A277)</f>
        <v>0</v>
      </c>
      <c r="N277" s="276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4" t="str">
        <f t="shared" si="15"/>
        <v>0000-00-0000</v>
      </c>
      <c r="D278" s="562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2" t="e">
        <f>SUMIFS('[1]MAIN-101'!$Z$1:$Z$3000,'[1]MAIN-101'!$X$1:$X$3000,A278)</f>
        <v>#VALUE!</v>
      </c>
      <c r="I278" s="562" t="s">
        <v>2662</v>
      </c>
      <c r="J278" t="s">
        <v>2053</v>
      </c>
      <c r="K278" t="s">
        <v>2680</v>
      </c>
      <c r="L278" s="564" t="s">
        <v>2666</v>
      </c>
      <c r="M278" s="562">
        <f>SUMIFS('Recon of ORS and DV'!D:D,'Recon of ORS and DV'!B:B,'DV List for import'!A278)</f>
        <v>0</v>
      </c>
      <c r="N278" s="276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4" t="str">
        <f t="shared" si="15"/>
        <v>0000-00-0000</v>
      </c>
      <c r="D279" s="562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2" t="e">
        <f>SUMIFS('[1]MAIN-101'!$Z$1:$Z$3000,'[1]MAIN-101'!$X$1:$X$3000,A279)</f>
        <v>#VALUE!</v>
      </c>
      <c r="I279" s="562" t="s">
        <v>2662</v>
      </c>
      <c r="J279" t="s">
        <v>2053</v>
      </c>
      <c r="K279" t="s">
        <v>2680</v>
      </c>
      <c r="L279" s="564" t="s">
        <v>2666</v>
      </c>
      <c r="M279" s="562">
        <f>SUMIFS('Recon of ORS and DV'!D:D,'Recon of ORS and DV'!B:B,'DV List for import'!A279)</f>
        <v>0</v>
      </c>
      <c r="N279" s="276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4" t="str">
        <f t="shared" si="15"/>
        <v>0000-00-0000</v>
      </c>
      <c r="D280" s="562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2" t="e">
        <f>SUMIFS('[1]MAIN-101'!$Z$1:$Z$3000,'[1]MAIN-101'!$X$1:$X$3000,A280)</f>
        <v>#VALUE!</v>
      </c>
      <c r="I280" s="562" t="s">
        <v>2662</v>
      </c>
      <c r="J280" t="s">
        <v>2053</v>
      </c>
      <c r="K280" t="s">
        <v>2680</v>
      </c>
      <c r="L280" s="564" t="s">
        <v>2666</v>
      </c>
      <c r="M280" s="562">
        <f>SUMIFS('Recon of ORS and DV'!D:D,'Recon of ORS and DV'!B:B,'DV List for import'!A280)</f>
        <v>0</v>
      </c>
      <c r="N280" s="276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4" t="str">
        <f t="shared" si="15"/>
        <v>0000-00-0000</v>
      </c>
      <c r="D281" s="562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2" t="e">
        <f>SUMIFS('[1]MAIN-101'!$Z$1:$Z$3000,'[1]MAIN-101'!$X$1:$X$3000,A281)</f>
        <v>#VALUE!</v>
      </c>
      <c r="I281" s="562" t="s">
        <v>2662</v>
      </c>
      <c r="J281" t="s">
        <v>2053</v>
      </c>
      <c r="K281" t="s">
        <v>2680</v>
      </c>
      <c r="L281" s="564" t="s">
        <v>2666</v>
      </c>
      <c r="M281" s="562">
        <f>SUMIFS('Recon of ORS and DV'!D:D,'Recon of ORS and DV'!B:B,'DV List for import'!A281)</f>
        <v>0</v>
      </c>
      <c r="N281" s="276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4" t="str">
        <f t="shared" si="15"/>
        <v>0000-00-0000</v>
      </c>
      <c r="D282" s="562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2" t="e">
        <f>SUMIFS('[1]MAIN-101'!$Z$1:$Z$3000,'[1]MAIN-101'!$X$1:$X$3000,A282)</f>
        <v>#VALUE!</v>
      </c>
      <c r="I282" s="562" t="s">
        <v>2662</v>
      </c>
      <c r="J282" t="s">
        <v>2053</v>
      </c>
      <c r="K282" t="s">
        <v>2680</v>
      </c>
      <c r="L282" s="564" t="s">
        <v>2666</v>
      </c>
      <c r="M282" s="562">
        <f>SUMIFS('Recon of ORS and DV'!D:D,'Recon of ORS and DV'!B:B,'DV List for import'!A282)</f>
        <v>0</v>
      </c>
      <c r="N282" s="276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2" t="e">
        <f>VLOOKUP(L283,'Import Process ORS'!$D$4:$E$1557,2,FALSE)</f>
        <v>#N/A</v>
      </c>
      <c r="D283" s="562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2" t="e">
        <f>SUMIFS('[1]MAIN-101'!$Z$1:$Z$3000,'[1]MAIN-101'!$X$1:$X$3000,A283)</f>
        <v>#VALUE!</v>
      </c>
      <c r="I283" s="562" t="s">
        <v>2687</v>
      </c>
      <c r="J283" t="s">
        <v>2683</v>
      </c>
      <c r="K283" t="s">
        <v>2678</v>
      </c>
      <c r="L283" s="562" t="str">
        <f>VLOOKUP(A283,'Format for Import of DV'!$A$3:$S$1556,3,FALSE)</f>
        <v>137</v>
      </c>
      <c r="M283" s="562" t="e">
        <f>SUMIFS('Recon of ORS and DV'!D:D,'Recon of ORS and DV'!B:B,'DV List for import'!A283)</f>
        <v>#VALUE!</v>
      </c>
      <c r="N283" s="276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2" t="e">
        <f>VLOOKUP(L284,'Import Process ORS'!$D$4:$E$1557,2,FALSE)</f>
        <v>#N/A</v>
      </c>
      <c r="D284" s="562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2" t="e">
        <f>SUMIFS('[1]MAIN-101'!$Z$1:$Z$3000,'[1]MAIN-101'!$X$1:$X$3000,A284)</f>
        <v>#VALUE!</v>
      </c>
      <c r="I284" s="562" t="s">
        <v>2687</v>
      </c>
      <c r="J284" t="s">
        <v>2683</v>
      </c>
      <c r="K284" t="s">
        <v>2678</v>
      </c>
      <c r="L284" s="562" t="str">
        <f>VLOOKUP(A284,'Format for Import of DV'!$A$3:$S$1556,3,FALSE)</f>
        <v>150</v>
      </c>
      <c r="M284" s="562" t="e">
        <f>SUMIFS('Recon of ORS and DV'!D:D,'Recon of ORS and DV'!B:B,'DV List for import'!A284)</f>
        <v>#VALUE!</v>
      </c>
      <c r="N284" s="276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2" t="e">
        <f>VLOOKUP(L285,'Import Process ORS'!$D$4:$E$1557,2,FALSE)</f>
        <v>#N/A</v>
      </c>
      <c r="D285" s="562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2" t="e">
        <f>SUMIFS('[1]MAIN-101'!$Z$1:$Z$3000,'[1]MAIN-101'!$X$1:$X$3000,A285)</f>
        <v>#VALUE!</v>
      </c>
      <c r="I285" s="562" t="s">
        <v>2687</v>
      </c>
      <c r="J285" t="s">
        <v>2683</v>
      </c>
      <c r="K285" t="s">
        <v>2678</v>
      </c>
      <c r="L285" s="562" t="str">
        <f>VLOOKUP(A285,'Format for Import of DV'!$A$3:$S$1556,3,FALSE)</f>
        <v>151</v>
      </c>
      <c r="M285" s="562" t="e">
        <f>SUMIFS('Recon of ORS and DV'!D:D,'Recon of ORS and DV'!B:B,'DV List for import'!A285)</f>
        <v>#VALUE!</v>
      </c>
      <c r="N285" s="276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2" t="e">
        <f>VLOOKUP(L286,'Import Process ORS'!$D$4:$E$1557,2,FALSE)</f>
        <v>#N/A</v>
      </c>
      <c r="D286" s="562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2" t="e">
        <f>SUMIFS('[1]MAIN-101'!$Z$1:$Z$3000,'[1]MAIN-101'!$X$1:$X$3000,A286)</f>
        <v>#VALUE!</v>
      </c>
      <c r="I286" s="562" t="s">
        <v>2687</v>
      </c>
      <c r="J286" t="s">
        <v>2683</v>
      </c>
      <c r="K286" t="s">
        <v>2678</v>
      </c>
      <c r="L286" s="562" t="str">
        <f>VLOOKUP(A286,'Format for Import of DV'!$A$3:$S$1556,3,FALSE)</f>
        <v>152</v>
      </c>
      <c r="M286" s="562" t="e">
        <f>SUMIFS('Recon of ORS and DV'!D:D,'Recon of ORS and DV'!B:B,'DV List for import'!A286)</f>
        <v>#VALUE!</v>
      </c>
      <c r="N286" s="276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2" t="e">
        <f>VLOOKUP(L287,'Import Process ORS'!$D$4:$E$1557,2,FALSE)</f>
        <v>#N/A</v>
      </c>
      <c r="D287" s="562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2" t="e">
        <f>SUMIFS('[1]MAIN-101'!$Z$1:$Z$3000,'[1]MAIN-101'!$X$1:$X$3000,A287)</f>
        <v>#VALUE!</v>
      </c>
      <c r="I287" s="562" t="s">
        <v>2687</v>
      </c>
      <c r="J287" t="s">
        <v>2683</v>
      </c>
      <c r="K287" t="s">
        <v>2678</v>
      </c>
      <c r="L287" s="562" t="str">
        <f>VLOOKUP(A287,'Format for Import of DV'!$A$3:$S$1556,3,FALSE)</f>
        <v>153</v>
      </c>
      <c r="M287" s="562" t="e">
        <f>SUMIFS('Recon of ORS and DV'!D:D,'Recon of ORS and DV'!B:B,'DV List for import'!A287)</f>
        <v>#VALUE!</v>
      </c>
      <c r="N287" s="276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2" t="e">
        <f>VLOOKUP(L288,'Import Process ORS'!$D$4:$E$1557,2,FALSE)</f>
        <v>#N/A</v>
      </c>
      <c r="D288" s="562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2" t="e">
        <f>SUMIFS('[1]MAIN-101'!$Z$1:$Z$3000,'[1]MAIN-101'!$X$1:$X$3000,A288)</f>
        <v>#VALUE!</v>
      </c>
      <c r="I288" s="562" t="s">
        <v>2687</v>
      </c>
      <c r="J288" t="s">
        <v>2683</v>
      </c>
      <c r="K288" t="s">
        <v>2678</v>
      </c>
      <c r="L288" s="562" t="str">
        <f>VLOOKUP(A288,'Format for Import of DV'!$A$3:$S$1556,3,FALSE)</f>
        <v>154</v>
      </c>
      <c r="M288" s="562" t="e">
        <f>SUMIFS('Recon of ORS and DV'!D:D,'Recon of ORS and DV'!B:B,'DV List for import'!A288)</f>
        <v>#VALUE!</v>
      </c>
      <c r="N288" s="276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2" t="e">
        <f>VLOOKUP(L289,'Import Process ORS'!$D$4:$E$1557,2,FALSE)</f>
        <v>#N/A</v>
      </c>
      <c r="D289" s="562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2" t="e">
        <f>SUMIFS('[1]MAIN-101'!$Z$1:$Z$3000,'[1]MAIN-101'!$X$1:$X$3000,A289)</f>
        <v>#VALUE!</v>
      </c>
      <c r="I289" s="562" t="s">
        <v>2687</v>
      </c>
      <c r="J289" t="s">
        <v>2683</v>
      </c>
      <c r="K289" t="s">
        <v>2678</v>
      </c>
      <c r="L289" s="562" t="str">
        <f>VLOOKUP(A289,'Format for Import of DV'!$A$3:$S$1556,3,FALSE)</f>
        <v>155</v>
      </c>
      <c r="M289" s="562" t="e">
        <f>SUMIFS('Recon of ORS and DV'!D:D,'Recon of ORS and DV'!B:B,'DV List for import'!A289)</f>
        <v>#VALUE!</v>
      </c>
      <c r="N289" s="276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4" t="str">
        <f>L290</f>
        <v>0000-00-0000</v>
      </c>
      <c r="D290" s="562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2" t="e">
        <f>SUMIFS('[1]MAIN-101'!$Z$1:$Z$3000,'[1]MAIN-101'!$X$1:$X$3000,A290)</f>
        <v>#VALUE!</v>
      </c>
      <c r="I290" s="562" t="s">
        <v>2687</v>
      </c>
      <c r="J290" t="s">
        <v>2683</v>
      </c>
      <c r="K290" t="s">
        <v>2678</v>
      </c>
      <c r="L290" s="564" t="s">
        <v>2666</v>
      </c>
      <c r="M290" s="562">
        <f>SUMIFS('Recon of ORS and DV'!D:D,'Recon of ORS and DV'!B:B,'DV List for import'!A290)</f>
        <v>0</v>
      </c>
      <c r="N290" s="276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2" t="e">
        <f>VLOOKUP(L291,'Import Process ORS'!$D$4:$E$1557,2,FALSE)</f>
        <v>#N/A</v>
      </c>
      <c r="D291" s="562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2" t="e">
        <f>SUMIFS('[1]MAIN-101'!$Z$1:$Z$3000,'[1]MAIN-101'!$X$1:$X$3000,A291)</f>
        <v>#VALUE!</v>
      </c>
      <c r="I291" s="562" t="s">
        <v>2687</v>
      </c>
      <c r="J291" t="s">
        <v>2683</v>
      </c>
      <c r="K291" t="s">
        <v>2678</v>
      </c>
      <c r="L291" s="562" t="str">
        <f>VLOOKUP(A291,'Format for Import of DV'!$A$3:$S$1556,3,FALSE)</f>
        <v>148</v>
      </c>
      <c r="M291" s="562" t="e">
        <f>SUMIFS('Recon of ORS and DV'!D:D,'Recon of ORS and DV'!B:B,'DV List for import'!A291)</f>
        <v>#VALUE!</v>
      </c>
      <c r="N291" s="276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2" t="e">
        <f>VLOOKUP(L292,'Import Process ORS'!$D$4:$E$1557,2,FALSE)</f>
        <v>#N/A</v>
      </c>
      <c r="D292" s="562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2" t="e">
        <f>SUMIFS('[1]MAIN-101'!$Z$1:$Z$3000,'[1]MAIN-101'!$X$1:$X$3000,A292)</f>
        <v>#VALUE!</v>
      </c>
      <c r="I292" s="562" t="s">
        <v>2687</v>
      </c>
      <c r="J292" t="s">
        <v>2683</v>
      </c>
      <c r="K292" t="s">
        <v>2678</v>
      </c>
      <c r="L292" s="562" t="str">
        <f>VLOOKUP(A292,'Format for Import of DV'!$A$3:$S$1556,3,FALSE)</f>
        <v>149</v>
      </c>
      <c r="M292" s="562" t="e">
        <f>SUMIFS('Recon of ORS and DV'!D:D,'Recon of ORS and DV'!B:B,'DV List for import'!A292)</f>
        <v>#VALUE!</v>
      </c>
      <c r="N292" s="276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4" t="str">
        <f t="shared" ref="C293:C302" si="17">L293</f>
        <v>0000-00-0000</v>
      </c>
      <c r="D293" s="562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2" t="e">
        <f>SUMIFS('[1]MAIN-101'!$Z$1:$Z$3000,'[1]MAIN-101'!$X$1:$X$3000,A293)</f>
        <v>#VALUE!</v>
      </c>
      <c r="I293" s="562" t="s">
        <v>2687</v>
      </c>
      <c r="J293" t="s">
        <v>2683</v>
      </c>
      <c r="K293" t="s">
        <v>2678</v>
      </c>
      <c r="L293" s="564" t="s">
        <v>2666</v>
      </c>
      <c r="M293" s="562">
        <f>SUMIFS('Recon of ORS and DV'!D:D,'Recon of ORS and DV'!B:B,'DV List for import'!A293)</f>
        <v>0</v>
      </c>
      <c r="N293" s="276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4" t="str">
        <f t="shared" si="17"/>
        <v>0000-00-0000</v>
      </c>
      <c r="D294" s="562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2" t="e">
        <f>SUMIFS('[1]MAIN-101'!$Z$1:$Z$3000,'[1]MAIN-101'!$X$1:$X$3000,A294)</f>
        <v>#VALUE!</v>
      </c>
      <c r="I294" s="562" t="s">
        <v>2687</v>
      </c>
      <c r="J294" t="s">
        <v>2683</v>
      </c>
      <c r="K294" t="s">
        <v>2678</v>
      </c>
      <c r="L294" s="564" t="s">
        <v>2666</v>
      </c>
      <c r="M294" s="562">
        <f>SUMIFS('Recon of ORS and DV'!D:D,'Recon of ORS and DV'!B:B,'DV List for import'!A294)</f>
        <v>0</v>
      </c>
      <c r="N294" s="276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4" t="str">
        <f t="shared" si="17"/>
        <v>0000-00-0000</v>
      </c>
      <c r="D295" s="562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2" t="e">
        <f>SUMIFS('[1]MAIN-101'!$Z$1:$Z$3000,'[1]MAIN-101'!$X$1:$X$3000,A295)</f>
        <v>#VALUE!</v>
      </c>
      <c r="I295" s="562" t="s">
        <v>2662</v>
      </c>
      <c r="J295" t="s">
        <v>2053</v>
      </c>
      <c r="K295" t="s">
        <v>2680</v>
      </c>
      <c r="L295" s="564" t="s">
        <v>2666</v>
      </c>
      <c r="M295" s="562">
        <f>SUMIFS('Recon of ORS and DV'!D:D,'Recon of ORS and DV'!B:B,'DV List for import'!A295)</f>
        <v>0</v>
      </c>
      <c r="N295" s="276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4" t="str">
        <f t="shared" si="17"/>
        <v>0000-00-0000</v>
      </c>
      <c r="D296" s="562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2" t="e">
        <f>SUMIFS('[1]MAIN-101'!$Z$1:$Z$3000,'[1]MAIN-101'!$X$1:$X$3000,A296)</f>
        <v>#VALUE!</v>
      </c>
      <c r="I296" s="562" t="s">
        <v>2662</v>
      </c>
      <c r="J296" t="s">
        <v>2053</v>
      </c>
      <c r="K296" t="s">
        <v>2680</v>
      </c>
      <c r="L296" s="564" t="s">
        <v>2666</v>
      </c>
      <c r="M296" s="562">
        <f>SUMIFS('Recon of ORS and DV'!D:D,'Recon of ORS and DV'!B:B,'DV List for import'!A296)</f>
        <v>0</v>
      </c>
      <c r="N296" s="276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4" t="str">
        <f t="shared" si="17"/>
        <v>0000-00-0000</v>
      </c>
      <c r="D297" s="562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2" t="e">
        <f>SUMIFS('[1]MAIN-101'!$Z$1:$Z$3000,'[1]MAIN-101'!$X$1:$X$3000,A297)</f>
        <v>#VALUE!</v>
      </c>
      <c r="I297" s="562" t="s">
        <v>2662</v>
      </c>
      <c r="J297" t="s">
        <v>2053</v>
      </c>
      <c r="K297" t="s">
        <v>2680</v>
      </c>
      <c r="L297" s="564" t="s">
        <v>2666</v>
      </c>
      <c r="M297" s="562">
        <f>SUMIFS('Recon of ORS and DV'!D:D,'Recon of ORS and DV'!B:B,'DV List for import'!A297)</f>
        <v>0</v>
      </c>
      <c r="N297" s="276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4" t="str">
        <f t="shared" si="17"/>
        <v>0000-00-0000</v>
      </c>
      <c r="D298" s="562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2" t="e">
        <f>SUMIFS('[1]MAIN-101'!$Z$1:$Z$3000,'[1]MAIN-101'!$X$1:$X$3000,A298)</f>
        <v>#VALUE!</v>
      </c>
      <c r="I298" s="562" t="s">
        <v>2662</v>
      </c>
      <c r="J298" t="s">
        <v>2053</v>
      </c>
      <c r="K298" t="s">
        <v>2680</v>
      </c>
      <c r="L298" s="564" t="s">
        <v>2666</v>
      </c>
      <c r="M298" s="562">
        <f>SUMIFS('Recon of ORS and DV'!D:D,'Recon of ORS and DV'!B:B,'DV List for import'!A298)</f>
        <v>0</v>
      </c>
      <c r="N298" s="276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4" t="str">
        <f t="shared" si="17"/>
        <v>0000-00-0000</v>
      </c>
      <c r="D299" s="562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2" t="e">
        <f>SUMIFS('[1]MAIN-101'!$Z$1:$Z$3000,'[1]MAIN-101'!$X$1:$X$3000,A299)</f>
        <v>#VALUE!</v>
      </c>
      <c r="I299" s="562" t="s">
        <v>2662</v>
      </c>
      <c r="J299" t="s">
        <v>2053</v>
      </c>
      <c r="K299" t="s">
        <v>2680</v>
      </c>
      <c r="L299" s="564" t="s">
        <v>2666</v>
      </c>
      <c r="M299" s="562">
        <f>SUMIFS('Recon of ORS and DV'!D:D,'Recon of ORS and DV'!B:B,'DV List for import'!A299)</f>
        <v>0</v>
      </c>
      <c r="N299" s="276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4" t="str">
        <f t="shared" si="17"/>
        <v>0000-00-0000</v>
      </c>
      <c r="D300" s="562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2" t="e">
        <f>SUMIFS('[1]MAIN-101'!$Z$1:$Z$3000,'[1]MAIN-101'!$X$1:$X$3000,A300)</f>
        <v>#VALUE!</v>
      </c>
      <c r="I300" s="562" t="s">
        <v>2662</v>
      </c>
      <c r="J300" t="s">
        <v>2053</v>
      </c>
      <c r="K300" t="s">
        <v>2680</v>
      </c>
      <c r="L300" s="564" t="s">
        <v>2666</v>
      </c>
      <c r="M300" s="562">
        <f>SUMIFS('Recon of ORS and DV'!D:D,'Recon of ORS and DV'!B:B,'DV List for import'!A300)</f>
        <v>0</v>
      </c>
      <c r="N300" s="276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4" t="str">
        <f t="shared" si="17"/>
        <v>0000-00-0000</v>
      </c>
      <c r="D301" s="562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2" t="e">
        <f>SUMIFS('[1]MAIN-101'!$Z$1:$Z$3000,'[1]MAIN-101'!$X$1:$X$3000,A301)</f>
        <v>#VALUE!</v>
      </c>
      <c r="I301" s="562" t="s">
        <v>2662</v>
      </c>
      <c r="J301" t="s">
        <v>2053</v>
      </c>
      <c r="K301" t="s">
        <v>2680</v>
      </c>
      <c r="L301" s="564" t="s">
        <v>2666</v>
      </c>
      <c r="M301" s="562">
        <f>SUMIFS('Recon of ORS and DV'!D:D,'Recon of ORS and DV'!B:B,'DV List for import'!A301)</f>
        <v>0</v>
      </c>
      <c r="N301" s="276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4" t="str">
        <f t="shared" si="17"/>
        <v>0000-00-0000</v>
      </c>
      <c r="D302" s="562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2" t="e">
        <f>SUMIFS('[1]MAIN-101'!$Z$1:$Z$3000,'[1]MAIN-101'!$X$1:$X$3000,A302)</f>
        <v>#VALUE!</v>
      </c>
      <c r="I302" s="562" t="s">
        <v>2662</v>
      </c>
      <c r="J302" t="s">
        <v>2053</v>
      </c>
      <c r="K302" t="s">
        <v>2680</v>
      </c>
      <c r="L302" s="564" t="s">
        <v>2666</v>
      </c>
      <c r="M302" s="562">
        <f>SUMIFS('Recon of ORS and DV'!D:D,'Recon of ORS and DV'!B:B,'DV List for import'!A302)</f>
        <v>0</v>
      </c>
      <c r="N302" s="276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2" t="e">
        <f>VLOOKUP(L303,'Import Process ORS'!$D$4:$E$1557,2,FALSE)</f>
        <v>#N/A</v>
      </c>
      <c r="D303" s="562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2" t="e">
        <f>SUMIFS('[1]MAIN-101'!$Z$1:$Z$3000,'[1]MAIN-101'!$X$1:$X$3000,A303)</f>
        <v>#VALUE!</v>
      </c>
      <c r="I303" s="562" t="s">
        <v>2687</v>
      </c>
      <c r="J303" t="s">
        <v>2683</v>
      </c>
      <c r="K303" t="s">
        <v>2678</v>
      </c>
      <c r="L303" s="562" t="str">
        <f>VLOOKUP(A303,'Format for Import of DV'!$A$3:$S$1556,3,FALSE)</f>
        <v>213</v>
      </c>
      <c r="M303" s="562" t="e">
        <f>SUMIFS('Recon of ORS and DV'!D:D,'Recon of ORS and DV'!B:B,'DV List for import'!A303)</f>
        <v>#VALUE!</v>
      </c>
      <c r="N303" s="276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4" t="str">
        <f t="shared" ref="C304:C318" si="19">L304</f>
        <v>0000-00-0000</v>
      </c>
      <c r="D304" s="562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2" t="e">
        <f>SUMIFS('[1]MAIN-101'!$Z$1:$Z$3000,'[1]MAIN-101'!$X$1:$X$3000,A304)</f>
        <v>#VALUE!</v>
      </c>
      <c r="I304" s="562" t="s">
        <v>2662</v>
      </c>
      <c r="J304" t="s">
        <v>2053</v>
      </c>
      <c r="K304" t="s">
        <v>2680</v>
      </c>
      <c r="L304" s="564" t="s">
        <v>2666</v>
      </c>
      <c r="M304" s="562">
        <f>SUMIFS('Recon of ORS and DV'!D:D,'Recon of ORS and DV'!B:B,'DV List for import'!A304)</f>
        <v>0</v>
      </c>
      <c r="N304" s="276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4" t="str">
        <f t="shared" si="19"/>
        <v>0000-00-0000</v>
      </c>
      <c r="D305" s="562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2" t="e">
        <f>SUMIFS('[1]MAIN-101'!$Z$1:$Z$3000,'[1]MAIN-101'!$X$1:$X$3000,A305)</f>
        <v>#VALUE!</v>
      </c>
      <c r="I305" s="562" t="s">
        <v>2662</v>
      </c>
      <c r="J305" t="s">
        <v>2053</v>
      </c>
      <c r="K305" t="s">
        <v>2680</v>
      </c>
      <c r="L305" s="564" t="s">
        <v>2666</v>
      </c>
      <c r="M305" s="562">
        <f>SUMIFS('Recon of ORS and DV'!D:D,'Recon of ORS and DV'!B:B,'DV List for import'!A305)</f>
        <v>0</v>
      </c>
      <c r="N305" s="276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4" t="str">
        <f t="shared" si="19"/>
        <v>0000-00-0000</v>
      </c>
      <c r="D306" s="562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2" t="e">
        <f>SUMIFS('[1]MAIN-101'!$Z$1:$Z$3000,'[1]MAIN-101'!$X$1:$X$3000,A306)</f>
        <v>#VALUE!</v>
      </c>
      <c r="I306" s="562" t="s">
        <v>2662</v>
      </c>
      <c r="J306" t="s">
        <v>2053</v>
      </c>
      <c r="K306" t="s">
        <v>2680</v>
      </c>
      <c r="L306" s="564" t="s">
        <v>2666</v>
      </c>
      <c r="M306" s="562">
        <f>SUMIFS('Recon of ORS and DV'!D:D,'Recon of ORS and DV'!B:B,'DV List for import'!A306)</f>
        <v>0</v>
      </c>
      <c r="N306" s="276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4" t="str">
        <f t="shared" si="19"/>
        <v>0000-00-0000</v>
      </c>
      <c r="D307" s="562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2" t="e">
        <f>SUMIFS('[1]MAIN-101'!$Z$1:$Z$3000,'[1]MAIN-101'!$X$1:$X$3000,A307)</f>
        <v>#VALUE!</v>
      </c>
      <c r="I307" s="562" t="s">
        <v>2662</v>
      </c>
      <c r="J307" t="s">
        <v>2053</v>
      </c>
      <c r="K307" t="s">
        <v>2680</v>
      </c>
      <c r="L307" s="564" t="s">
        <v>2666</v>
      </c>
      <c r="M307" s="562">
        <f>SUMIFS('Recon of ORS and DV'!D:D,'Recon of ORS and DV'!B:B,'DV List for import'!A307)</f>
        <v>0</v>
      </c>
      <c r="N307" s="276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4" t="str">
        <f t="shared" si="19"/>
        <v>0000-00-0000</v>
      </c>
      <c r="D308" s="562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2" t="e">
        <f>SUMIFS('[1]MAIN-101'!$Z$1:$Z$3000,'[1]MAIN-101'!$X$1:$X$3000,A308)</f>
        <v>#VALUE!</v>
      </c>
      <c r="I308" s="562" t="s">
        <v>2662</v>
      </c>
      <c r="J308" t="s">
        <v>2053</v>
      </c>
      <c r="K308" t="s">
        <v>2680</v>
      </c>
      <c r="L308" s="564" t="s">
        <v>2666</v>
      </c>
      <c r="M308" s="562">
        <f>SUMIFS('Recon of ORS and DV'!D:D,'Recon of ORS and DV'!B:B,'DV List for import'!A308)</f>
        <v>0</v>
      </c>
      <c r="N308" s="276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4" t="str">
        <f t="shared" si="19"/>
        <v>0000-00-0000</v>
      </c>
      <c r="D309" s="562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2" t="e">
        <f>SUMIFS('[1]MAIN-101'!$Z$1:$Z$3000,'[1]MAIN-101'!$X$1:$X$3000,A309)</f>
        <v>#VALUE!</v>
      </c>
      <c r="I309" s="562" t="s">
        <v>2662</v>
      </c>
      <c r="J309" t="s">
        <v>2053</v>
      </c>
      <c r="K309" t="s">
        <v>2680</v>
      </c>
      <c r="L309" s="564" t="s">
        <v>2666</v>
      </c>
      <c r="M309" s="562">
        <f>SUMIFS('Recon of ORS and DV'!D:D,'Recon of ORS and DV'!B:B,'DV List for import'!A309)</f>
        <v>0</v>
      </c>
      <c r="N309" s="276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4" t="str">
        <f t="shared" si="19"/>
        <v>0000-00-0000</v>
      </c>
      <c r="D310" s="562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2" t="e">
        <f>SUMIFS('[1]MAIN-101'!$Z$1:$Z$3000,'[1]MAIN-101'!$X$1:$X$3000,A310)</f>
        <v>#VALUE!</v>
      </c>
      <c r="I310" s="562" t="s">
        <v>2662</v>
      </c>
      <c r="J310" t="s">
        <v>2053</v>
      </c>
      <c r="K310" t="s">
        <v>2680</v>
      </c>
      <c r="L310" s="564" t="s">
        <v>2666</v>
      </c>
      <c r="M310" s="562">
        <f>SUMIFS('Recon of ORS and DV'!D:D,'Recon of ORS and DV'!B:B,'DV List for import'!A310)</f>
        <v>0</v>
      </c>
      <c r="N310" s="276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4" t="str">
        <f t="shared" si="19"/>
        <v>0000-00-0000</v>
      </c>
      <c r="D311" s="562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2" t="e">
        <f>SUMIFS('[1]MAIN-101'!$Z$1:$Z$3000,'[1]MAIN-101'!$X$1:$X$3000,A311)</f>
        <v>#VALUE!</v>
      </c>
      <c r="I311" s="562" t="s">
        <v>2662</v>
      </c>
      <c r="J311" t="s">
        <v>2053</v>
      </c>
      <c r="K311" t="s">
        <v>2680</v>
      </c>
      <c r="L311" s="564" t="s">
        <v>2666</v>
      </c>
      <c r="M311" s="562">
        <f>SUMIFS('Recon of ORS and DV'!D:D,'Recon of ORS and DV'!B:B,'DV List for import'!A311)</f>
        <v>0</v>
      </c>
      <c r="N311" s="276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4" t="str">
        <f t="shared" si="19"/>
        <v>0000-00-0000</v>
      </c>
      <c r="D312" s="562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2" t="e">
        <f>SUMIFS('[1]MAIN-101'!$Z$1:$Z$3000,'[1]MAIN-101'!$X$1:$X$3000,A312)</f>
        <v>#VALUE!</v>
      </c>
      <c r="I312" s="562" t="s">
        <v>2662</v>
      </c>
      <c r="J312" t="s">
        <v>2053</v>
      </c>
      <c r="K312" t="s">
        <v>2680</v>
      </c>
      <c r="L312" s="564" t="s">
        <v>2666</v>
      </c>
      <c r="M312" s="562">
        <f>SUMIFS('Recon of ORS and DV'!D:D,'Recon of ORS and DV'!B:B,'DV List for import'!A312)</f>
        <v>0</v>
      </c>
      <c r="N312" s="276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4" t="str">
        <f t="shared" si="19"/>
        <v>0000-00-0000</v>
      </c>
      <c r="D313" s="562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2" t="e">
        <f>SUMIFS('[1]MAIN-101'!$Z$1:$Z$3000,'[1]MAIN-101'!$X$1:$X$3000,A313)</f>
        <v>#VALUE!</v>
      </c>
      <c r="I313" s="562" t="s">
        <v>2662</v>
      </c>
      <c r="J313" t="s">
        <v>2053</v>
      </c>
      <c r="K313" t="s">
        <v>2680</v>
      </c>
      <c r="L313" s="564" t="s">
        <v>2666</v>
      </c>
      <c r="M313" s="562">
        <f>SUMIFS('Recon of ORS and DV'!D:D,'Recon of ORS and DV'!B:B,'DV List for import'!A313)</f>
        <v>0</v>
      </c>
      <c r="N313" s="276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4" t="str">
        <f t="shared" si="19"/>
        <v>0000-00-0000</v>
      </c>
      <c r="D314" s="562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2" t="e">
        <f>SUMIFS('[1]MAIN-101'!$Z$1:$Z$3000,'[1]MAIN-101'!$X$1:$X$3000,A314)</f>
        <v>#VALUE!</v>
      </c>
      <c r="I314" s="562" t="s">
        <v>2662</v>
      </c>
      <c r="J314" t="s">
        <v>2053</v>
      </c>
      <c r="K314" t="s">
        <v>2680</v>
      </c>
      <c r="L314" s="564" t="s">
        <v>2666</v>
      </c>
      <c r="M314" s="562">
        <f>SUMIFS('Recon of ORS and DV'!D:D,'Recon of ORS and DV'!B:B,'DV List for import'!A314)</f>
        <v>0</v>
      </c>
      <c r="N314" s="276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4" t="str">
        <f t="shared" si="19"/>
        <v>0000-00-0000</v>
      </c>
      <c r="D315" s="562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2" t="e">
        <f>SUMIFS('[1]MAIN-101'!$Z$1:$Z$3000,'[1]MAIN-101'!$X$1:$X$3000,A315)</f>
        <v>#VALUE!</v>
      </c>
      <c r="I315" s="562" t="s">
        <v>2662</v>
      </c>
      <c r="J315" t="s">
        <v>2053</v>
      </c>
      <c r="K315" t="s">
        <v>2680</v>
      </c>
      <c r="L315" s="564" t="s">
        <v>2666</v>
      </c>
      <c r="M315" s="562">
        <f>SUMIFS('Recon of ORS and DV'!D:D,'Recon of ORS and DV'!B:B,'DV List for import'!A315)</f>
        <v>0</v>
      </c>
      <c r="N315" s="276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4" t="str">
        <f t="shared" si="19"/>
        <v>0000-00-0000</v>
      </c>
      <c r="D316" s="562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2" t="e">
        <f>SUMIFS('[1]MAIN-101'!$Z$1:$Z$3000,'[1]MAIN-101'!$X$1:$X$3000,A316)</f>
        <v>#VALUE!</v>
      </c>
      <c r="I316" s="562" t="s">
        <v>2662</v>
      </c>
      <c r="J316" t="s">
        <v>2053</v>
      </c>
      <c r="K316" t="s">
        <v>2680</v>
      </c>
      <c r="L316" s="564" t="s">
        <v>2666</v>
      </c>
      <c r="M316" s="562">
        <f>SUMIFS('Recon of ORS and DV'!D:D,'Recon of ORS and DV'!B:B,'DV List for import'!A316)</f>
        <v>0</v>
      </c>
      <c r="N316" s="276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4" t="str">
        <f t="shared" si="19"/>
        <v>0000-00-0000</v>
      </c>
      <c r="D317" s="562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2" t="e">
        <f>SUMIFS('[1]MAIN-101'!$Z$1:$Z$3000,'[1]MAIN-101'!$X$1:$X$3000,A317)</f>
        <v>#VALUE!</v>
      </c>
      <c r="I317" s="562" t="s">
        <v>2662</v>
      </c>
      <c r="J317" t="s">
        <v>2053</v>
      </c>
      <c r="K317" t="s">
        <v>2680</v>
      </c>
      <c r="L317" s="564" t="s">
        <v>2666</v>
      </c>
      <c r="M317" s="562">
        <f>SUMIFS('Recon of ORS and DV'!D:D,'Recon of ORS and DV'!B:B,'DV List for import'!A317)</f>
        <v>0</v>
      </c>
      <c r="N317" s="276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4" t="str">
        <f t="shared" si="19"/>
        <v>0000-00-0000</v>
      </c>
      <c r="D318" s="562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2" t="e">
        <f>SUMIFS('[1]MAIN-101'!$Z$1:$Z$3000,'[1]MAIN-101'!$X$1:$X$3000,A318)</f>
        <v>#VALUE!</v>
      </c>
      <c r="I318" s="562" t="s">
        <v>2662</v>
      </c>
      <c r="J318" t="s">
        <v>2053</v>
      </c>
      <c r="K318" t="s">
        <v>2680</v>
      </c>
      <c r="L318" s="564" t="s">
        <v>2666</v>
      </c>
      <c r="M318" s="562">
        <f>SUMIFS('Recon of ORS and DV'!D:D,'Recon of ORS and DV'!B:B,'DV List for import'!A318)</f>
        <v>0</v>
      </c>
      <c r="N318" s="276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2" t="e">
        <f>VLOOKUP(L319,'Import Process ORS'!$D$4:$E$1557,2,FALSE)</f>
        <v>#N/A</v>
      </c>
      <c r="D319" s="562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2" t="e">
        <f>SUMIFS('[1]MAIN-101'!$Z$1:$Z$3000,'[1]MAIN-101'!$X$1:$X$3000,A319)</f>
        <v>#VALUE!</v>
      </c>
      <c r="I319" s="562" t="s">
        <v>2687</v>
      </c>
      <c r="J319" t="s">
        <v>2683</v>
      </c>
      <c r="K319" t="s">
        <v>2678</v>
      </c>
      <c r="L319" s="562" t="str">
        <f>VLOOKUP(A319,'Format for Import of DV'!$A$3:$S$1556,3,FALSE)</f>
        <v>173</v>
      </c>
      <c r="M319" s="562" t="e">
        <f>SUMIFS('Recon of ORS and DV'!D:D,'Recon of ORS and DV'!B:B,'DV List for import'!A319)</f>
        <v>#VALUE!</v>
      </c>
      <c r="N319" s="276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2" t="e">
        <f>VLOOKUP(L320,'Import Process ORS'!$D$4:$E$1557,2,FALSE)</f>
        <v>#N/A</v>
      </c>
      <c r="D320" s="562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2" t="e">
        <f>SUMIFS('[1]MAIN-101'!$Z$1:$Z$3000,'[1]MAIN-101'!$X$1:$X$3000,A320)</f>
        <v>#VALUE!</v>
      </c>
      <c r="I320" s="562" t="s">
        <v>2687</v>
      </c>
      <c r="J320" t="s">
        <v>2683</v>
      </c>
      <c r="K320" t="s">
        <v>2678</v>
      </c>
      <c r="L320" s="562" t="str">
        <f>VLOOKUP(A320,'Format for Import of DV'!$A$3:$S$1556,3,FALSE)</f>
        <v>174</v>
      </c>
      <c r="M320" s="562" t="e">
        <f>SUMIFS('Recon of ORS and DV'!D:D,'Recon of ORS and DV'!B:B,'DV List for import'!A320)</f>
        <v>#VALUE!</v>
      </c>
      <c r="N320" s="276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2" t="e">
        <f>VLOOKUP(L321,'Import Process ORS'!$D$4:$E$1557,2,FALSE)</f>
        <v>#N/A</v>
      </c>
      <c r="D321" s="562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2" t="e">
        <f>SUMIFS('[1]MAIN-101'!$Z$1:$Z$3000,'[1]MAIN-101'!$X$1:$X$3000,A321)</f>
        <v>#VALUE!</v>
      </c>
      <c r="I321" s="562" t="s">
        <v>2687</v>
      </c>
      <c r="J321" t="s">
        <v>2683</v>
      </c>
      <c r="K321" t="s">
        <v>2678</v>
      </c>
      <c r="L321" s="562" t="str">
        <f>VLOOKUP(A321,'Format for Import of DV'!$A$3:$S$1556,3,FALSE)</f>
        <v>169</v>
      </c>
      <c r="M321" s="562" t="e">
        <f>SUMIFS('Recon of ORS and DV'!D:D,'Recon of ORS and DV'!B:B,'DV List for import'!A321)</f>
        <v>#VALUE!</v>
      </c>
      <c r="N321" s="276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2" t="e">
        <f>VLOOKUP(L322,'Import Process ORS'!$D$4:$E$1557,2,FALSE)</f>
        <v>#N/A</v>
      </c>
      <c r="D322" s="562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2" t="e">
        <f>SUMIFS('[1]MAIN-101'!$Z$1:$Z$3000,'[1]MAIN-101'!$X$1:$X$3000,A322)</f>
        <v>#VALUE!</v>
      </c>
      <c r="I322" s="562" t="s">
        <v>2687</v>
      </c>
      <c r="J322" t="s">
        <v>2683</v>
      </c>
      <c r="K322" t="s">
        <v>2678</v>
      </c>
      <c r="L322" s="562" t="str">
        <f>VLOOKUP(A322,'Format for Import of DV'!$A$3:$S$1556,3,FALSE)</f>
        <v>168</v>
      </c>
      <c r="M322" s="562" t="e">
        <f>SUMIFS('Recon of ORS and DV'!D:D,'Recon of ORS and DV'!B:B,'DV List for import'!A322)</f>
        <v>#VALUE!</v>
      </c>
      <c r="N322" s="276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2" t="e">
        <f>VLOOKUP(L323,'Import Process ORS'!$D$4:$E$1557,2,FALSE)</f>
        <v>#N/A</v>
      </c>
      <c r="D323" s="562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2" t="e">
        <f>SUMIFS('[1]MAIN-101'!$Z$1:$Z$3000,'[1]MAIN-101'!$X$1:$X$3000,A323)</f>
        <v>#VALUE!</v>
      </c>
      <c r="I323" s="562" t="s">
        <v>2687</v>
      </c>
      <c r="J323" t="s">
        <v>2683</v>
      </c>
      <c r="K323" t="s">
        <v>2678</v>
      </c>
      <c r="L323" s="562" t="str">
        <f>VLOOKUP(A323,'Format for Import of DV'!$A$3:$S$1556,3,FALSE)</f>
        <v>167</v>
      </c>
      <c r="M323" s="562" t="e">
        <f>SUMIFS('Recon of ORS and DV'!D:D,'Recon of ORS and DV'!B:B,'DV List for import'!A323)</f>
        <v>#VALUE!</v>
      </c>
      <c r="N323" s="276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2" t="e">
        <f>VLOOKUP(L324,'Import Process ORS'!$D$4:$E$1557,2,FALSE)</f>
        <v>#N/A</v>
      </c>
      <c r="D324" s="562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2" t="e">
        <f>SUMIFS('[1]MAIN-101'!$Z$1:$Z$3000,'[1]MAIN-101'!$X$1:$X$3000,A324)</f>
        <v>#VALUE!</v>
      </c>
      <c r="I324" s="562" t="s">
        <v>2687</v>
      </c>
      <c r="J324" t="s">
        <v>2683</v>
      </c>
      <c r="K324" t="s">
        <v>2678</v>
      </c>
      <c r="L324" s="562" t="str">
        <f>VLOOKUP(A324,'Format for Import of DV'!$A$3:$S$1556,3,FALSE)</f>
        <v>166</v>
      </c>
      <c r="M324" s="562" t="e">
        <f>SUMIFS('Recon of ORS and DV'!D:D,'Recon of ORS and DV'!B:B,'DV List for import'!A324)</f>
        <v>#VALUE!</v>
      </c>
      <c r="N324" s="276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2" t="e">
        <f>VLOOKUP(L325,'Import Process ORS'!$D$4:$E$1557,2,FALSE)</f>
        <v>#N/A</v>
      </c>
      <c r="D325" s="562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2" t="e">
        <f>SUMIFS('[1]MAIN-101'!$Z$1:$Z$3000,'[1]MAIN-101'!$X$1:$X$3000,A325)</f>
        <v>#VALUE!</v>
      </c>
      <c r="I325" s="562" t="s">
        <v>2687</v>
      </c>
      <c r="J325" t="s">
        <v>2683</v>
      </c>
      <c r="K325" t="s">
        <v>2678</v>
      </c>
      <c r="L325" s="562" t="str">
        <f>VLOOKUP(A325,'Format for Import of DV'!$A$3:$S$1556,3,FALSE)</f>
        <v>170</v>
      </c>
      <c r="M325" s="562" t="e">
        <f>SUMIFS('Recon of ORS and DV'!D:D,'Recon of ORS and DV'!B:B,'DV List for import'!A325)</f>
        <v>#VALUE!</v>
      </c>
      <c r="N325" s="276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2" t="e">
        <f>VLOOKUP(L326,'Import Process ORS'!$D$4:$E$1557,2,FALSE)</f>
        <v>#N/A</v>
      </c>
      <c r="D326" s="562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2" t="e">
        <f>SUMIFS('[1]MAIN-101'!$Z$1:$Z$3000,'[1]MAIN-101'!$X$1:$X$3000,A326)</f>
        <v>#VALUE!</v>
      </c>
      <c r="I326" s="562" t="s">
        <v>2687</v>
      </c>
      <c r="J326" t="s">
        <v>2683</v>
      </c>
      <c r="K326" t="s">
        <v>2678</v>
      </c>
      <c r="L326" s="562" t="str">
        <f>VLOOKUP(A326,'Format for Import of DV'!$A$3:$S$1556,3,FALSE)</f>
        <v>171</v>
      </c>
      <c r="M326" s="562" t="e">
        <f>SUMIFS('Recon of ORS and DV'!D:D,'Recon of ORS and DV'!B:B,'DV List for import'!A326)</f>
        <v>#VALUE!</v>
      </c>
      <c r="N326" s="276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2" t="e">
        <f>VLOOKUP(L327,'Import Process ORS'!$D$4:$E$1557,2,FALSE)</f>
        <v>#N/A</v>
      </c>
      <c r="D327" s="562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2" t="e">
        <f>SUMIFS('[1]MAIN-101'!$Z$1:$Z$3000,'[1]MAIN-101'!$X$1:$X$3000,A327)</f>
        <v>#VALUE!</v>
      </c>
      <c r="I327" s="562" t="s">
        <v>2687</v>
      </c>
      <c r="J327" t="s">
        <v>2683</v>
      </c>
      <c r="K327" t="s">
        <v>2678</v>
      </c>
      <c r="L327" s="562" t="str">
        <f>VLOOKUP(A327,'Format for Import of DV'!$A$3:$S$1556,3,FALSE)</f>
        <v>175</v>
      </c>
      <c r="M327" s="562" t="e">
        <f>SUMIFS('Recon of ORS and DV'!D:D,'Recon of ORS and DV'!B:B,'DV List for import'!A327)</f>
        <v>#VALUE!</v>
      </c>
      <c r="N327" s="276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2" t="e">
        <f>VLOOKUP(L328,'Import Process ORS'!$D$4:$E$1557,2,FALSE)</f>
        <v>#N/A</v>
      </c>
      <c r="D328" s="562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2" t="e">
        <f>SUMIFS('[1]MAIN-101'!$Z$1:$Z$3000,'[1]MAIN-101'!$X$1:$X$3000,A328)</f>
        <v>#VALUE!</v>
      </c>
      <c r="I328" s="562" t="s">
        <v>2687</v>
      </c>
      <c r="J328" t="s">
        <v>2683</v>
      </c>
      <c r="K328" t="s">
        <v>2678</v>
      </c>
      <c r="L328" s="562" t="str">
        <f>VLOOKUP(A328,'Format for Import of DV'!$A$3:$S$1556,3,FALSE)</f>
        <v>176</v>
      </c>
      <c r="M328" s="562" t="e">
        <f>SUMIFS('Recon of ORS and DV'!D:D,'Recon of ORS and DV'!B:B,'DV List for import'!A328)</f>
        <v>#VALUE!</v>
      </c>
      <c r="N328" s="276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2" t="e">
        <f>VLOOKUP(L329,'Import Process ORS'!$D$4:$E$1557,2,FALSE)</f>
        <v>#N/A</v>
      </c>
      <c r="D329" s="562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2" t="e">
        <f>SUMIFS('[1]MAIN-101'!$Z$1:$Z$3000,'[1]MAIN-101'!$X$1:$X$3000,A329)</f>
        <v>#VALUE!</v>
      </c>
      <c r="I329" s="562" t="s">
        <v>2687</v>
      </c>
      <c r="J329" t="s">
        <v>2683</v>
      </c>
      <c r="K329" t="s">
        <v>2678</v>
      </c>
      <c r="L329" s="562" t="str">
        <f>VLOOKUP(A329,'Format for Import of DV'!$A$3:$S$1556,3,FALSE)</f>
        <v>177</v>
      </c>
      <c r="M329" s="562" t="e">
        <f>SUMIFS('Recon of ORS and DV'!D:D,'Recon of ORS and DV'!B:B,'DV List for import'!A329)</f>
        <v>#VALUE!</v>
      </c>
      <c r="N329" s="276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4" t="str">
        <f>L330</f>
        <v>0000-00-0000</v>
      </c>
      <c r="D330" s="562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2" t="e">
        <f>SUMIFS('[1]MAIN-101'!$Z$1:$Z$3000,'[1]MAIN-101'!$X$1:$X$3000,A330)</f>
        <v>#VALUE!</v>
      </c>
      <c r="I330" s="562" t="s">
        <v>2662</v>
      </c>
      <c r="J330" t="s">
        <v>2053</v>
      </c>
      <c r="K330" t="s">
        <v>2680</v>
      </c>
      <c r="L330" s="564" t="s">
        <v>2666</v>
      </c>
      <c r="M330" s="562">
        <f>SUMIFS('Recon of ORS and DV'!D:D,'Recon of ORS and DV'!B:B,'DV List for import'!A330)</f>
        <v>0</v>
      </c>
      <c r="N330" s="276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4" t="str">
        <f>L331</f>
        <v>0000-00-0000</v>
      </c>
      <c r="D331" s="562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2" t="e">
        <f>SUMIFS('[1]MAIN-101'!$Z$1:$Z$3000,'[1]MAIN-101'!$X$1:$X$3000,A331)</f>
        <v>#VALUE!</v>
      </c>
      <c r="I331" s="562" t="s">
        <v>2662</v>
      </c>
      <c r="J331" t="s">
        <v>2053</v>
      </c>
      <c r="K331" t="s">
        <v>2680</v>
      </c>
      <c r="L331" s="564" t="s">
        <v>2666</v>
      </c>
      <c r="M331" s="562">
        <f>SUMIFS('Recon of ORS and DV'!D:D,'Recon of ORS and DV'!B:B,'DV List for import'!A331)</f>
        <v>0</v>
      </c>
      <c r="N331" s="276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4" t="str">
        <f>L332</f>
        <v>0000-00-0000</v>
      </c>
      <c r="D332" s="562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2" t="e">
        <f>SUMIFS('[1]MAIN-101'!$Z$1:$Z$3000,'[1]MAIN-101'!$X$1:$X$3000,A332)</f>
        <v>#VALUE!</v>
      </c>
      <c r="I332" s="562" t="s">
        <v>2662</v>
      </c>
      <c r="J332" t="s">
        <v>2053</v>
      </c>
      <c r="K332" t="s">
        <v>2680</v>
      </c>
      <c r="L332" s="564" t="s">
        <v>2666</v>
      </c>
      <c r="M332" s="562">
        <f>SUMIFS('Recon of ORS and DV'!D:D,'Recon of ORS and DV'!B:B,'DV List for import'!A332)</f>
        <v>0</v>
      </c>
      <c r="N332" s="276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4" t="str">
        <f>L333</f>
        <v>0000-00-0000</v>
      </c>
      <c r="D333" s="562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2" t="e">
        <f>SUMIFS('[1]MAIN-101'!$Z$1:$Z$3000,'[1]MAIN-101'!$X$1:$X$3000,A333)</f>
        <v>#VALUE!</v>
      </c>
      <c r="I333" s="562" t="s">
        <v>2662</v>
      </c>
      <c r="J333" t="s">
        <v>2053</v>
      </c>
      <c r="K333" t="s">
        <v>2680</v>
      </c>
      <c r="L333" s="564" t="s">
        <v>2666</v>
      </c>
      <c r="M333" s="562">
        <f>SUMIFS('Recon of ORS and DV'!D:D,'Recon of ORS and DV'!B:B,'DV List for import'!A333)</f>
        <v>0</v>
      </c>
      <c r="N333" s="276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2" t="e">
        <f>VLOOKUP(L334,'Import Process ORS'!$D$4:$E$1557,2,FALSE)</f>
        <v>#N/A</v>
      </c>
      <c r="D334" s="562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2" t="e">
        <f>SUMIFS('[1]MAIN-101'!$Z$1:$Z$3000,'[1]MAIN-101'!$X$1:$X$3000,A334)</f>
        <v>#VALUE!</v>
      </c>
      <c r="I334" s="562" t="s">
        <v>2687</v>
      </c>
      <c r="J334" t="s">
        <v>2683</v>
      </c>
      <c r="K334" t="s">
        <v>2678</v>
      </c>
      <c r="L334" s="562" t="str">
        <f>VLOOKUP(A334,'Format for Import of DV'!$A$3:$S$1556,3,FALSE)</f>
        <v>184</v>
      </c>
      <c r="M334" s="562" t="e">
        <f>SUMIFS('Recon of ORS and DV'!D:D,'Recon of ORS and DV'!B:B,'DV List for import'!A334)</f>
        <v>#VALUE!</v>
      </c>
      <c r="N334" s="276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4" t="str">
        <f>L335</f>
        <v>0000-00-0000</v>
      </c>
      <c r="D335" s="562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2" t="e">
        <f>SUMIFS('[1]MAIN-101'!$Z$1:$Z$3000,'[1]MAIN-101'!$X$1:$X$3000,A335)</f>
        <v>#VALUE!</v>
      </c>
      <c r="I335" s="562" t="s">
        <v>2662</v>
      </c>
      <c r="J335" t="s">
        <v>2053</v>
      </c>
      <c r="K335" t="s">
        <v>2680</v>
      </c>
      <c r="L335" s="564" t="s">
        <v>2666</v>
      </c>
      <c r="M335" s="562">
        <f>SUMIFS('Recon of ORS and DV'!D:D,'Recon of ORS and DV'!B:B,'DV List for import'!A335)</f>
        <v>0</v>
      </c>
      <c r="N335" s="276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2" t="e">
        <f>VLOOKUP(L336,'Import Process ORS'!$D$4:$E$1557,2,FALSE)</f>
        <v>#N/A</v>
      </c>
      <c r="D336" s="562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2" t="e">
        <f>SUMIFS('[1]MAIN-101'!$Z$1:$Z$3000,'[1]MAIN-101'!$X$1:$X$3000,A336)</f>
        <v>#VALUE!</v>
      </c>
      <c r="I336" s="562" t="s">
        <v>2687</v>
      </c>
      <c r="J336" t="s">
        <v>2683</v>
      </c>
      <c r="K336" t="s">
        <v>2678</v>
      </c>
      <c r="L336" s="562" t="str">
        <f>VLOOKUP(A336,'Format for Import of DV'!$A$3:$S$1556,3,FALSE)</f>
        <v>178</v>
      </c>
      <c r="M336" s="562" t="e">
        <f>SUMIFS('Recon of ORS and DV'!D:D,'Recon of ORS and DV'!B:B,'DV List for import'!A336)</f>
        <v>#VALUE!</v>
      </c>
      <c r="N336" s="276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2" t="e">
        <f>VLOOKUP(L337,'Import Process ORS'!$D$4:$E$1557,2,FALSE)</f>
        <v>#N/A</v>
      </c>
      <c r="D337" s="562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2" t="e">
        <f>SUMIFS('[1]MAIN-101'!$Z$1:$Z$3000,'[1]MAIN-101'!$X$1:$X$3000,A337)</f>
        <v>#VALUE!</v>
      </c>
      <c r="I337" s="562" t="s">
        <v>2687</v>
      </c>
      <c r="J337" t="s">
        <v>2683</v>
      </c>
      <c r="K337" t="s">
        <v>2678</v>
      </c>
      <c r="L337" s="562" t="str">
        <f>VLOOKUP(A337,'Format for Import of DV'!$A$3:$S$1556,3,FALSE)</f>
        <v>179</v>
      </c>
      <c r="M337" s="562" t="e">
        <f>SUMIFS('Recon of ORS and DV'!D:D,'Recon of ORS and DV'!B:B,'DV List for import'!A337)</f>
        <v>#VALUE!</v>
      </c>
      <c r="N337" s="276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2" t="e">
        <f>VLOOKUP(L338,'Import Process ORS'!$D$4:$E$1557,2,FALSE)</f>
        <v>#N/A</v>
      </c>
      <c r="D338" s="562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2" t="e">
        <f>SUMIFS('[1]MAIN-101'!$Z$1:$Z$3000,'[1]MAIN-101'!$X$1:$X$3000,A338)</f>
        <v>#VALUE!</v>
      </c>
      <c r="I338" s="562" t="s">
        <v>2687</v>
      </c>
      <c r="J338" t="s">
        <v>2683</v>
      </c>
      <c r="K338" t="s">
        <v>2678</v>
      </c>
      <c r="L338" s="562" t="str">
        <f>VLOOKUP(A338,'Format for Import of DV'!$A$3:$S$1556,3,FALSE)</f>
        <v>180</v>
      </c>
      <c r="M338" s="562" t="e">
        <f>SUMIFS('Recon of ORS and DV'!D:D,'Recon of ORS and DV'!B:B,'DV List for import'!A338)</f>
        <v>#VALUE!</v>
      </c>
      <c r="N338" s="276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2" t="e">
        <f>VLOOKUP(L339,'Import Process ORS'!$D$4:$E$1557,2,FALSE)</f>
        <v>#N/A</v>
      </c>
      <c r="D339" s="562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2" t="e">
        <f>SUMIFS('[1]MAIN-101'!$Z$1:$Z$3000,'[1]MAIN-101'!$X$1:$X$3000,A339)</f>
        <v>#VALUE!</v>
      </c>
      <c r="I339" s="562" t="s">
        <v>2687</v>
      </c>
      <c r="J339" t="s">
        <v>2683</v>
      </c>
      <c r="K339" t="s">
        <v>2678</v>
      </c>
      <c r="L339" s="562" t="str">
        <f>VLOOKUP(A339,'Format for Import of DV'!$A$3:$S$1556,3,FALSE)</f>
        <v>181</v>
      </c>
      <c r="M339" s="562" t="e">
        <f>SUMIFS('Recon of ORS and DV'!D:D,'Recon of ORS and DV'!B:B,'DV List for import'!A339)</f>
        <v>#VALUE!</v>
      </c>
      <c r="N339" s="276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2" t="e">
        <f>VLOOKUP(L340,'Import Process ORS'!$D$4:$E$1557,2,FALSE)</f>
        <v>#N/A</v>
      </c>
      <c r="D340" s="562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2" t="e">
        <f>SUMIFS('[1]MAIN-101'!$Z$1:$Z$3000,'[1]MAIN-101'!$X$1:$X$3000,A340)</f>
        <v>#VALUE!</v>
      </c>
      <c r="I340" s="562" t="s">
        <v>2687</v>
      </c>
      <c r="J340" t="s">
        <v>2683</v>
      </c>
      <c r="K340" t="s">
        <v>2678</v>
      </c>
      <c r="L340" s="562" t="str">
        <f>VLOOKUP(A340,'Format for Import of DV'!$A$3:$S$1556,3,FALSE)</f>
        <v>182</v>
      </c>
      <c r="M340" s="562" t="e">
        <f>SUMIFS('Recon of ORS and DV'!D:D,'Recon of ORS and DV'!B:B,'DV List for import'!A340)</f>
        <v>#VALUE!</v>
      </c>
      <c r="N340" s="276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2" t="e">
        <f>VLOOKUP(L341,'Import Process ORS'!$D$4:$E$1557,2,FALSE)</f>
        <v>#N/A</v>
      </c>
      <c r="D341" s="562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2" t="e">
        <f>SUMIFS('[1]MAIN-101'!$Z$1:$Z$3000,'[1]MAIN-101'!$X$1:$X$3000,A341)</f>
        <v>#VALUE!</v>
      </c>
      <c r="I341" s="562" t="s">
        <v>2687</v>
      </c>
      <c r="J341" t="s">
        <v>2683</v>
      </c>
      <c r="K341" t="s">
        <v>2678</v>
      </c>
      <c r="L341" s="562" t="str">
        <f>VLOOKUP(A341,'Format for Import of DV'!$A$3:$S$1556,3,FALSE)</f>
        <v>183</v>
      </c>
      <c r="M341" s="562" t="e">
        <f>SUMIFS('Recon of ORS and DV'!D:D,'Recon of ORS and DV'!B:B,'DV List for import'!A341)</f>
        <v>#VALUE!</v>
      </c>
      <c r="N341" s="276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2" t="e">
        <f>VLOOKUP(L342,'Import Process ORS'!$D$4:$E$1557,2,FALSE)</f>
        <v>#N/A</v>
      </c>
      <c r="D342" s="562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2" t="e">
        <f>SUMIFS('[1]MAIN-101'!$Z$1:$Z$3000,'[1]MAIN-101'!$X$1:$X$3000,A342)</f>
        <v>#VALUE!</v>
      </c>
      <c r="I342" s="562" t="s">
        <v>2687</v>
      </c>
      <c r="J342" t="s">
        <v>2683</v>
      </c>
      <c r="K342" t="s">
        <v>2678</v>
      </c>
      <c r="L342" s="562" t="str">
        <f>VLOOKUP(A342,'Format for Import of DV'!$A$3:$S$1556,3,FALSE)</f>
        <v>185</v>
      </c>
      <c r="M342" s="562" t="e">
        <f>SUMIFS('Recon of ORS and DV'!D:D,'Recon of ORS and DV'!B:B,'DV List for import'!A342)</f>
        <v>#VALUE!</v>
      </c>
      <c r="N342" s="276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2" t="e">
        <f>VLOOKUP(L343,'Import Process ORS'!$D$4:$E$1557,2,FALSE)</f>
        <v>#N/A</v>
      </c>
      <c r="D343" s="562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2" t="e">
        <f>SUMIFS('[1]MAIN-101'!$Z$1:$Z$3000,'[1]MAIN-101'!$X$1:$X$3000,A343)</f>
        <v>#VALUE!</v>
      </c>
      <c r="I343" s="562" t="s">
        <v>2687</v>
      </c>
      <c r="J343" t="s">
        <v>2683</v>
      </c>
      <c r="K343" t="s">
        <v>2678</v>
      </c>
      <c r="L343" s="562" t="str">
        <f>VLOOKUP(A343,'Format for Import of DV'!$A$3:$S$1556,3,FALSE)</f>
        <v>187</v>
      </c>
      <c r="M343" s="562" t="e">
        <f>SUMIFS('Recon of ORS and DV'!D:D,'Recon of ORS and DV'!B:B,'DV List for import'!A343)</f>
        <v>#VALUE!</v>
      </c>
      <c r="N343" s="276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2" t="e">
        <f>VLOOKUP(L344,'Import Process ORS'!$D$4:$E$1557,2,FALSE)</f>
        <v>#N/A</v>
      </c>
      <c r="D344" s="562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2" t="e">
        <f>SUMIFS('[1]MAIN-101'!$Z$1:$Z$3000,'[1]MAIN-101'!$X$1:$X$3000,A344)</f>
        <v>#VALUE!</v>
      </c>
      <c r="I344" s="562" t="s">
        <v>2687</v>
      </c>
      <c r="J344" t="s">
        <v>2683</v>
      </c>
      <c r="K344" t="s">
        <v>2678</v>
      </c>
      <c r="L344" s="562" t="str">
        <f>VLOOKUP(A344,'Format for Import of DV'!$A$3:$S$1556,3,FALSE)</f>
        <v>188</v>
      </c>
      <c r="M344" s="562" t="e">
        <f>SUMIFS('Recon of ORS and DV'!D:D,'Recon of ORS and DV'!B:B,'DV List for import'!A344)</f>
        <v>#VALUE!</v>
      </c>
      <c r="N344" s="276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2" t="e">
        <f>VLOOKUP(L345,'Import Process ORS'!$D$4:$E$1557,2,FALSE)</f>
        <v>#N/A</v>
      </c>
      <c r="D345" s="562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2" t="e">
        <f>SUMIFS('[1]MAIN-101'!$Z$1:$Z$3000,'[1]MAIN-101'!$X$1:$X$3000,A345)</f>
        <v>#VALUE!</v>
      </c>
      <c r="I345" s="562" t="s">
        <v>2687</v>
      </c>
      <c r="J345" t="s">
        <v>2683</v>
      </c>
      <c r="K345" t="s">
        <v>2678</v>
      </c>
      <c r="L345" s="562" t="str">
        <f>VLOOKUP(A345,'Format for Import of DV'!$A$3:$S$1556,3,FALSE)</f>
        <v>189</v>
      </c>
      <c r="M345" s="562" t="e">
        <f>SUMIFS('Recon of ORS and DV'!D:D,'Recon of ORS and DV'!B:B,'DV List for import'!A345)</f>
        <v>#VALUE!</v>
      </c>
      <c r="N345" s="276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2" t="e">
        <f>VLOOKUP(L346,'Import Process ORS'!$D$4:$E$1557,2,FALSE)</f>
        <v>#N/A</v>
      </c>
      <c r="D346" s="562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2" t="e">
        <f>SUMIFS('[1]MAIN-101'!$Z$1:$Z$3000,'[1]MAIN-101'!$X$1:$X$3000,A346)</f>
        <v>#VALUE!</v>
      </c>
      <c r="I346" s="562" t="s">
        <v>2687</v>
      </c>
      <c r="J346" t="s">
        <v>2683</v>
      </c>
      <c r="K346" t="s">
        <v>2678</v>
      </c>
      <c r="L346" s="562" t="str">
        <f>VLOOKUP(A346,'Format for Import of DV'!$A$3:$S$1556,3,FALSE)</f>
        <v>190</v>
      </c>
      <c r="M346" s="562" t="e">
        <f>SUMIFS('Recon of ORS and DV'!D:D,'Recon of ORS and DV'!B:B,'DV List for import'!A346)</f>
        <v>#VALUE!</v>
      </c>
      <c r="N346" s="276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2" t="e">
        <f>VLOOKUP(L347,'Import Process ORS'!$D$4:$E$1557,2,FALSE)</f>
        <v>#N/A</v>
      </c>
      <c r="D347" s="562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2" t="e">
        <f>SUMIFS('[1]MAIN-101'!$Z$1:$Z$3000,'[1]MAIN-101'!$X$1:$X$3000,A347)</f>
        <v>#VALUE!</v>
      </c>
      <c r="I347" s="562" t="s">
        <v>2687</v>
      </c>
      <c r="J347" t="s">
        <v>2683</v>
      </c>
      <c r="K347" t="s">
        <v>2678</v>
      </c>
      <c r="L347" s="562" t="str">
        <f>VLOOKUP(A347,'Format for Import of DV'!$A$3:$S$1556,3,FALSE)</f>
        <v>192</v>
      </c>
      <c r="M347" s="562" t="e">
        <f>SUMIFS('Recon of ORS and DV'!D:D,'Recon of ORS and DV'!B:B,'DV List for import'!A347)</f>
        <v>#VALUE!</v>
      </c>
      <c r="N347" s="276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2" t="e">
        <f>VLOOKUP(L348,'Import Process ORS'!$D$4:$E$1557,2,FALSE)</f>
        <v>#N/A</v>
      </c>
      <c r="D348" s="562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2" t="e">
        <f>SUMIFS('[1]MAIN-101'!$Z$1:$Z$3000,'[1]MAIN-101'!$X$1:$X$3000,A348)</f>
        <v>#VALUE!</v>
      </c>
      <c r="I348" s="562" t="s">
        <v>2687</v>
      </c>
      <c r="J348" t="s">
        <v>2683</v>
      </c>
      <c r="K348" t="s">
        <v>2678</v>
      </c>
      <c r="L348" s="562" t="str">
        <f>VLOOKUP(A348,'Format for Import of DV'!$A$3:$S$1556,3,FALSE)</f>
        <v>193</v>
      </c>
      <c r="M348" s="562" t="e">
        <f>SUMIFS('Recon of ORS and DV'!D:D,'Recon of ORS and DV'!B:B,'DV List for import'!A348)</f>
        <v>#VALUE!</v>
      </c>
      <c r="N348" s="276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2" t="e">
        <f>VLOOKUP(L349,'Import Process ORS'!$D$4:$E$1557,2,FALSE)</f>
        <v>#N/A</v>
      </c>
      <c r="D349" s="562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2" t="e">
        <f>SUMIFS('[1]MAIN-101'!$Z$1:$Z$3000,'[1]MAIN-101'!$X$1:$X$3000,A349)</f>
        <v>#VALUE!</v>
      </c>
      <c r="I349" s="562" t="s">
        <v>2687</v>
      </c>
      <c r="J349" t="s">
        <v>2683</v>
      </c>
      <c r="K349" t="s">
        <v>2678</v>
      </c>
      <c r="L349" s="562" t="str">
        <f>VLOOKUP(A349,'Format for Import of DV'!$A$3:$S$1556,3,FALSE)</f>
        <v>194</v>
      </c>
      <c r="M349" s="562" t="e">
        <f>SUMIFS('Recon of ORS and DV'!D:D,'Recon of ORS and DV'!B:B,'DV List for import'!A349)</f>
        <v>#VALUE!</v>
      </c>
      <c r="N349" s="276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2" t="e">
        <f>VLOOKUP(L350,'Import Process ORS'!$D$4:$E$1557,2,FALSE)</f>
        <v>#N/A</v>
      </c>
      <c r="D350" s="562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2" t="e">
        <f>SUMIFS('[1]MAIN-101'!$Z$1:$Z$3000,'[1]MAIN-101'!$X$1:$X$3000,A350)</f>
        <v>#VALUE!</v>
      </c>
      <c r="I350" s="562" t="s">
        <v>2687</v>
      </c>
      <c r="J350" t="s">
        <v>2683</v>
      </c>
      <c r="K350" t="s">
        <v>2678</v>
      </c>
      <c r="L350" s="562" t="str">
        <f>VLOOKUP(A350,'Format for Import of DV'!$A$3:$S$1556,3,FALSE)</f>
        <v>195</v>
      </c>
      <c r="M350" s="562" t="e">
        <f>SUMIFS('Recon of ORS and DV'!D:D,'Recon of ORS and DV'!B:B,'DV List for import'!A350)</f>
        <v>#VALUE!</v>
      </c>
      <c r="N350" s="276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2" t="e">
        <f>VLOOKUP(L351,'Import Process ORS'!$D$4:$E$1557,2,FALSE)</f>
        <v>#N/A</v>
      </c>
      <c r="D351" s="562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2" t="e">
        <f>SUMIFS('[1]MAIN-101'!$Z$1:$Z$3000,'[1]MAIN-101'!$X$1:$X$3000,A351)</f>
        <v>#VALUE!</v>
      </c>
      <c r="I351" s="562" t="s">
        <v>2687</v>
      </c>
      <c r="J351" t="s">
        <v>2683</v>
      </c>
      <c r="K351" t="s">
        <v>2678</v>
      </c>
      <c r="L351" s="562" t="str">
        <f>VLOOKUP(A351,'Format for Import of DV'!$A$3:$S$1556,3,FALSE)</f>
        <v>196</v>
      </c>
      <c r="M351" s="562" t="e">
        <f>SUMIFS('Recon of ORS and DV'!D:D,'Recon of ORS and DV'!B:B,'DV List for import'!A351)</f>
        <v>#VALUE!</v>
      </c>
      <c r="N351" s="276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2" t="e">
        <f>VLOOKUP(L352,'Import Process ORS'!$D$4:$E$1557,2,FALSE)</f>
        <v>#N/A</v>
      </c>
      <c r="D352" s="562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2" t="e">
        <f>SUMIFS('[1]MAIN-101'!$Z$1:$Z$3000,'[1]MAIN-101'!$X$1:$X$3000,A352)</f>
        <v>#VALUE!</v>
      </c>
      <c r="I352" s="562" t="s">
        <v>2687</v>
      </c>
      <c r="J352" t="s">
        <v>2683</v>
      </c>
      <c r="K352" t="s">
        <v>2678</v>
      </c>
      <c r="L352" s="562" t="str">
        <f>VLOOKUP(A352,'Format for Import of DV'!$A$3:$S$1556,3,FALSE)</f>
        <v>197</v>
      </c>
      <c r="M352" s="562" t="e">
        <f>SUMIFS('Recon of ORS and DV'!D:D,'Recon of ORS and DV'!B:B,'DV List for import'!A352)</f>
        <v>#VALUE!</v>
      </c>
      <c r="N352" s="276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2" t="e">
        <f>VLOOKUP(L353,'Import Process ORS'!$D$4:$E$1557,2,FALSE)</f>
        <v>#N/A</v>
      </c>
      <c r="D353" s="562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2" t="e">
        <f>SUMIFS('[1]MAIN-101'!$Z$1:$Z$3000,'[1]MAIN-101'!$X$1:$X$3000,A353)</f>
        <v>#VALUE!</v>
      </c>
      <c r="I353" s="562" t="s">
        <v>2687</v>
      </c>
      <c r="J353" t="s">
        <v>2683</v>
      </c>
      <c r="K353" t="s">
        <v>2678</v>
      </c>
      <c r="L353" s="562" t="str">
        <f>VLOOKUP(A353,'Format for Import of DV'!$A$3:$S$1556,3,FALSE)</f>
        <v>198</v>
      </c>
      <c r="M353" s="562" t="e">
        <f>SUMIFS('Recon of ORS and DV'!D:D,'Recon of ORS and DV'!B:B,'DV List for import'!A353)</f>
        <v>#VALUE!</v>
      </c>
      <c r="N353" s="276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2" t="e">
        <f>VLOOKUP(L354,'Import Process ORS'!$D$4:$E$1557,2,FALSE)</f>
        <v>#N/A</v>
      </c>
      <c r="D354" s="562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2" t="e">
        <f>SUMIFS('[1]MAIN-101'!$Z$1:$Z$3000,'[1]MAIN-101'!$X$1:$X$3000,A354)</f>
        <v>#VALUE!</v>
      </c>
      <c r="I354" s="562" t="s">
        <v>2687</v>
      </c>
      <c r="J354" t="s">
        <v>2683</v>
      </c>
      <c r="K354" t="s">
        <v>2678</v>
      </c>
      <c r="L354" s="562" t="str">
        <f>VLOOKUP(A354,'Format for Import of DV'!$A$3:$S$1556,3,FALSE)</f>
        <v>186</v>
      </c>
      <c r="M354" s="562" t="e">
        <f>SUMIFS('Recon of ORS and DV'!D:D,'Recon of ORS and DV'!B:B,'DV List for import'!A354)</f>
        <v>#VALUE!</v>
      </c>
      <c r="N354" s="276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2" t="e">
        <f>VLOOKUP(L355,'Import Process ORS'!$D$4:$E$1557,2,FALSE)</f>
        <v>#N/A</v>
      </c>
      <c r="D355" s="562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2" t="e">
        <f>SUMIFS('[1]MAIN-101'!$Z$1:$Z$3000,'[1]MAIN-101'!$X$1:$X$3000,A355)</f>
        <v>#VALUE!</v>
      </c>
      <c r="I355" s="562" t="s">
        <v>2687</v>
      </c>
      <c r="J355" t="s">
        <v>2683</v>
      </c>
      <c r="K355" t="s">
        <v>2678</v>
      </c>
      <c r="L355" s="562" t="str">
        <f>VLOOKUP(A355,'Format for Import of DV'!$A$3:$S$1556,3,FALSE)</f>
        <v>199</v>
      </c>
      <c r="M355" s="562" t="e">
        <f>SUMIFS('Recon of ORS and DV'!D:D,'Recon of ORS and DV'!B:B,'DV List for import'!A355)</f>
        <v>#VALUE!</v>
      </c>
      <c r="N355" s="276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2" t="e">
        <f>VLOOKUP(L356,'Import Process ORS'!$D$4:$E$1557,2,FALSE)</f>
        <v>#N/A</v>
      </c>
      <c r="D356" s="562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2" t="e">
        <f>SUMIFS('[1]MAIN-101'!$Z$1:$Z$3000,'[1]MAIN-101'!$X$1:$X$3000,A356)</f>
        <v>#VALUE!</v>
      </c>
      <c r="I356" s="562" t="s">
        <v>2687</v>
      </c>
      <c r="J356" t="s">
        <v>2683</v>
      </c>
      <c r="K356" t="s">
        <v>2678</v>
      </c>
      <c r="L356" s="562" t="str">
        <f>VLOOKUP(A356,'Format for Import of DV'!$A$3:$S$1556,3,FALSE)</f>
        <v>200</v>
      </c>
      <c r="M356" s="562" t="e">
        <f>SUMIFS('Recon of ORS and DV'!D:D,'Recon of ORS and DV'!B:B,'DV List for import'!A356)</f>
        <v>#VALUE!</v>
      </c>
      <c r="N356" s="276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2" t="e">
        <f>VLOOKUP(L357,'Import Process ORS'!$D$4:$E$1557,2,FALSE)</f>
        <v>#N/A</v>
      </c>
      <c r="D357" s="562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2" t="e">
        <f>SUMIFS('[1]MAIN-101'!$Z$1:$Z$3000,'[1]MAIN-101'!$X$1:$X$3000,A357)</f>
        <v>#VALUE!</v>
      </c>
      <c r="I357" s="562" t="s">
        <v>2687</v>
      </c>
      <c r="J357" t="s">
        <v>2683</v>
      </c>
      <c r="K357" t="s">
        <v>2678</v>
      </c>
      <c r="L357" s="562" t="str">
        <f>VLOOKUP(A357,'Format for Import of DV'!$A$3:$S$1556,3,FALSE)</f>
        <v>201</v>
      </c>
      <c r="M357" s="562" t="e">
        <f>SUMIFS('Recon of ORS and DV'!D:D,'Recon of ORS and DV'!B:B,'DV List for import'!A357)</f>
        <v>#VALUE!</v>
      </c>
      <c r="N357" s="276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2" t="e">
        <f>VLOOKUP(L358,'Import Process ORS'!$D$4:$E$1557,2,FALSE)</f>
        <v>#N/A</v>
      </c>
      <c r="D358" s="562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2" t="e">
        <f>SUMIFS('[1]MAIN-101'!$Z$1:$Z$3000,'[1]MAIN-101'!$X$1:$X$3000,A358)</f>
        <v>#VALUE!</v>
      </c>
      <c r="I358" s="562" t="s">
        <v>2687</v>
      </c>
      <c r="J358" t="s">
        <v>2683</v>
      </c>
      <c r="K358" t="s">
        <v>2678</v>
      </c>
      <c r="L358" s="562" t="str">
        <f>VLOOKUP(A358,'Format for Import of DV'!$A$3:$S$1556,3,FALSE)</f>
        <v>202</v>
      </c>
      <c r="M358" s="562" t="e">
        <f>SUMIFS('Recon of ORS and DV'!D:D,'Recon of ORS and DV'!B:B,'DV List for import'!A358)</f>
        <v>#VALUE!</v>
      </c>
      <c r="N358" s="276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2" t="e">
        <f>VLOOKUP(L359,'Import Process ORS'!$D$4:$E$1557,2,FALSE)</f>
        <v>#N/A</v>
      </c>
      <c r="D359" s="562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2" t="e">
        <f>SUMIFS('[1]MAIN-101'!$Z$1:$Z$3000,'[1]MAIN-101'!$X$1:$X$3000,A359)</f>
        <v>#VALUE!</v>
      </c>
      <c r="I359" s="562" t="s">
        <v>2687</v>
      </c>
      <c r="J359" t="s">
        <v>2683</v>
      </c>
      <c r="K359" t="s">
        <v>2678</v>
      </c>
      <c r="L359" s="562" t="str">
        <f>VLOOKUP(A359,'Format for Import of DV'!$A$3:$S$1556,3,FALSE)</f>
        <v>203</v>
      </c>
      <c r="M359" s="562" t="e">
        <f>SUMIFS('Recon of ORS and DV'!D:D,'Recon of ORS and DV'!B:B,'DV List for import'!A359)</f>
        <v>#VALUE!</v>
      </c>
      <c r="N359" s="276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2" t="e">
        <f>VLOOKUP(L360,'Import Process ORS'!$D$4:$E$1557,2,FALSE)</f>
        <v>#N/A</v>
      </c>
      <c r="D360" s="562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2" t="e">
        <f>SUMIFS('[1]MAIN-101'!$Z$1:$Z$3000,'[1]MAIN-101'!$X$1:$X$3000,A360)</f>
        <v>#VALUE!</v>
      </c>
      <c r="I360" s="562" t="s">
        <v>2687</v>
      </c>
      <c r="J360" t="s">
        <v>2683</v>
      </c>
      <c r="K360" t="s">
        <v>2678</v>
      </c>
      <c r="L360" s="562" t="str">
        <f>VLOOKUP(A360,'Format for Import of DV'!$A$3:$S$1556,3,FALSE)</f>
        <v>204</v>
      </c>
      <c r="M360" s="562" t="e">
        <f>SUMIFS('Recon of ORS and DV'!D:D,'Recon of ORS and DV'!B:B,'DV List for import'!A360)</f>
        <v>#VALUE!</v>
      </c>
      <c r="N360" s="276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2" t="e">
        <f>VLOOKUP(L361,'Import Process ORS'!$D$4:$E$1557,2,FALSE)</f>
        <v>#N/A</v>
      </c>
      <c r="D361" s="562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2" t="e">
        <f>SUMIFS('[1]MAIN-101'!$Z$1:$Z$3000,'[1]MAIN-101'!$X$1:$X$3000,A361)</f>
        <v>#VALUE!</v>
      </c>
      <c r="I361" s="562" t="s">
        <v>2687</v>
      </c>
      <c r="J361" t="s">
        <v>2683</v>
      </c>
      <c r="K361" t="s">
        <v>2678</v>
      </c>
      <c r="L361" s="562" t="str">
        <f>VLOOKUP(A361,'Format for Import of DV'!$A$3:$S$1556,3,FALSE)</f>
        <v>205</v>
      </c>
      <c r="M361" s="562" t="e">
        <f>SUMIFS('Recon of ORS and DV'!D:D,'Recon of ORS and DV'!B:B,'DV List for import'!A361)</f>
        <v>#VALUE!</v>
      </c>
      <c r="N361" s="276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2" t="e">
        <f>VLOOKUP(L362,'Import Process ORS'!$D$4:$E$1557,2,FALSE)</f>
        <v>#N/A</v>
      </c>
      <c r="D362" s="562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2" t="e">
        <f>SUMIFS('[1]MAIN-101'!$Z$1:$Z$3000,'[1]MAIN-101'!$X$1:$X$3000,A362)</f>
        <v>#VALUE!</v>
      </c>
      <c r="I362" s="562" t="s">
        <v>2687</v>
      </c>
      <c r="J362" t="s">
        <v>2683</v>
      </c>
      <c r="K362" t="s">
        <v>2678</v>
      </c>
      <c r="L362" s="562" t="str">
        <f>VLOOKUP(A362,'Format for Import of DV'!$A$3:$S$1556,3,FALSE)</f>
        <v>206</v>
      </c>
      <c r="M362" s="562" t="e">
        <f>SUMIFS('Recon of ORS and DV'!D:D,'Recon of ORS and DV'!B:B,'DV List for import'!A362)</f>
        <v>#VALUE!</v>
      </c>
      <c r="N362" s="276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2" t="e">
        <f>VLOOKUP(L363,'Import Process ORS'!$D$4:$E$1557,2,FALSE)</f>
        <v>#N/A</v>
      </c>
      <c r="D363" s="562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2" t="e">
        <f>SUMIFS('[1]MAIN-101'!$Z$1:$Z$3000,'[1]MAIN-101'!$X$1:$X$3000,A363)</f>
        <v>#VALUE!</v>
      </c>
      <c r="I363" s="562" t="s">
        <v>2687</v>
      </c>
      <c r="J363" t="s">
        <v>2683</v>
      </c>
      <c r="K363" t="s">
        <v>2678</v>
      </c>
      <c r="L363" s="562" t="str">
        <f>VLOOKUP(A363,'Format for Import of DV'!$A$3:$S$1556,3,FALSE)</f>
        <v>207</v>
      </c>
      <c r="M363" s="562" t="e">
        <f>SUMIFS('Recon of ORS and DV'!D:D,'Recon of ORS and DV'!B:B,'DV List for import'!A363)</f>
        <v>#VALUE!</v>
      </c>
      <c r="N363" s="276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2" t="e">
        <f>VLOOKUP(L364,'Import Process ORS'!$D$4:$E$1557,2,FALSE)</f>
        <v>#N/A</v>
      </c>
      <c r="D364" s="562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2" t="e">
        <f>SUMIFS('[1]MAIN-101'!$Z$1:$Z$3000,'[1]MAIN-101'!$X$1:$X$3000,A364)</f>
        <v>#VALUE!</v>
      </c>
      <c r="I364" s="562" t="s">
        <v>2687</v>
      </c>
      <c r="J364" t="s">
        <v>2683</v>
      </c>
      <c r="K364" t="s">
        <v>2678</v>
      </c>
      <c r="L364" s="562" t="str">
        <f>VLOOKUP(A364,'Format for Import of DV'!$A$3:$S$1556,3,FALSE)</f>
        <v>208</v>
      </c>
      <c r="M364" s="562" t="e">
        <f>SUMIFS('Recon of ORS and DV'!D:D,'Recon of ORS and DV'!B:B,'DV List for import'!A364)</f>
        <v>#VALUE!</v>
      </c>
      <c r="N364" s="276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4" t="str">
        <f>L365</f>
        <v>0000-00-0000</v>
      </c>
      <c r="D365" s="562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2" t="e">
        <f>SUMIFS('[1]MAIN-101'!$Z$1:$Z$3000,'[1]MAIN-101'!$X$1:$X$3000,A365)</f>
        <v>#VALUE!</v>
      </c>
      <c r="I365" s="562" t="s">
        <v>2662</v>
      </c>
      <c r="J365" t="s">
        <v>2053</v>
      </c>
      <c r="K365" t="s">
        <v>2680</v>
      </c>
      <c r="L365" s="564" t="s">
        <v>2666</v>
      </c>
      <c r="M365" s="562">
        <f>SUMIFS('Recon of ORS and DV'!D:D,'Recon of ORS and DV'!B:B,'DV List for import'!A365)</f>
        <v>0</v>
      </c>
      <c r="N365" s="276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2" t="e">
        <f>VLOOKUP(L366,'Import Process ORS'!$D$4:$E$1557,2,FALSE)</f>
        <v>#N/A</v>
      </c>
      <c r="D366" s="562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2" t="e">
        <f>SUMIFS('[1]MAIN-101'!$Z$1:$Z$3000,'[1]MAIN-101'!$X$1:$X$3000,A366)</f>
        <v>#VALUE!</v>
      </c>
      <c r="I366" s="562" t="s">
        <v>2687</v>
      </c>
      <c r="J366" t="s">
        <v>2683</v>
      </c>
      <c r="K366" t="s">
        <v>2678</v>
      </c>
      <c r="L366" s="562" t="str">
        <f>VLOOKUP(A366,'Format for Import of DV'!$A$3:$S$1556,3,FALSE)</f>
        <v>209</v>
      </c>
      <c r="M366" s="562" t="e">
        <f>SUMIFS('Recon of ORS and DV'!D:D,'Recon of ORS and DV'!B:B,'DV List for import'!A366)</f>
        <v>#VALUE!</v>
      </c>
      <c r="N366" s="276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4" t="str">
        <f>L367</f>
        <v>0000-00-0000</v>
      </c>
      <c r="D367" s="562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2" t="e">
        <f>SUMIFS('[1]MAIN-101'!$Z$1:$Z$3000,'[1]MAIN-101'!$X$1:$X$3000,A367)</f>
        <v>#VALUE!</v>
      </c>
      <c r="I367" s="562" t="s">
        <v>2662</v>
      </c>
      <c r="J367" t="s">
        <v>2053</v>
      </c>
      <c r="K367" t="s">
        <v>2680</v>
      </c>
      <c r="L367" s="564" t="s">
        <v>2666</v>
      </c>
      <c r="M367" s="562">
        <f>SUMIFS('Recon of ORS and DV'!D:D,'Recon of ORS and DV'!B:B,'DV List for import'!A367)</f>
        <v>0</v>
      </c>
      <c r="N367" s="276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2" t="e">
        <f>VLOOKUP(L368,'Import Process ORS'!$D$4:$E$1557,2,FALSE)</f>
        <v>#N/A</v>
      </c>
      <c r="D368" s="562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2" t="e">
        <f>SUMIFS('[1]MAIN-101'!$Z$1:$Z$3000,'[1]MAIN-101'!$X$1:$X$3000,A368)</f>
        <v>#VALUE!</v>
      </c>
      <c r="I368" s="562" t="s">
        <v>2687</v>
      </c>
      <c r="J368" t="s">
        <v>2683</v>
      </c>
      <c r="K368" t="s">
        <v>2678</v>
      </c>
      <c r="L368" s="562" t="str">
        <f>VLOOKUP(A368,'Format for Import of DV'!$A$3:$S$1556,3,FALSE)</f>
        <v>212</v>
      </c>
      <c r="M368" s="562" t="e">
        <f>SUMIFS('Recon of ORS and DV'!D:D,'Recon of ORS and DV'!B:B,'DV List for import'!A368)</f>
        <v>#VALUE!</v>
      </c>
      <c r="N368" s="276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2" t="e">
        <f>VLOOKUP(L369,'Import Process ORS'!$D$4:$E$1557,2,FALSE)</f>
        <v>#N/A</v>
      </c>
      <c r="D369" s="562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2" t="e">
        <f>SUMIFS('[1]MAIN-101'!$Z$1:$Z$3000,'[1]MAIN-101'!$X$1:$X$3000,A369)</f>
        <v>#VALUE!</v>
      </c>
      <c r="I369" s="562" t="s">
        <v>2687</v>
      </c>
      <c r="J369" t="s">
        <v>2683</v>
      </c>
      <c r="K369" t="s">
        <v>2678</v>
      </c>
      <c r="L369" s="562" t="str">
        <f>VLOOKUP(A369,'Format for Import of DV'!$A$3:$S$1556,3,FALSE)</f>
        <v>214</v>
      </c>
      <c r="M369" s="562" t="e">
        <f>SUMIFS('Recon of ORS and DV'!D:D,'Recon of ORS and DV'!B:B,'DV List for import'!A369)</f>
        <v>#VALUE!</v>
      </c>
      <c r="N369" s="276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2" t="e">
        <f>VLOOKUP(L370,'Import Process ORS'!$D$4:$E$1557,2,FALSE)</f>
        <v>#N/A</v>
      </c>
      <c r="D370" s="562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2" t="e">
        <f>SUMIFS('[1]MAIN-101'!$Z$1:$Z$3000,'[1]MAIN-101'!$X$1:$X$3000,A370)</f>
        <v>#VALUE!</v>
      </c>
      <c r="I370" s="562" t="s">
        <v>2687</v>
      </c>
      <c r="J370" t="s">
        <v>2683</v>
      </c>
      <c r="K370" t="s">
        <v>2678</v>
      </c>
      <c r="L370" s="562" t="str">
        <f>VLOOKUP(A370,'Format for Import of DV'!$A$3:$S$1556,3,FALSE)</f>
        <v>215</v>
      </c>
      <c r="M370" s="562" t="e">
        <f>SUMIFS('Recon of ORS and DV'!D:D,'Recon of ORS and DV'!B:B,'DV List for import'!A370)</f>
        <v>#VALUE!</v>
      </c>
      <c r="N370" s="276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2" t="e">
        <f>VLOOKUP(L371,'Import Process ORS'!$D$4:$E$1557,2,FALSE)</f>
        <v>#N/A</v>
      </c>
      <c r="D371" s="562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2" t="e">
        <f>SUMIFS('[1]MAIN-101'!$Z$1:$Z$3000,'[1]MAIN-101'!$X$1:$X$3000,A371)</f>
        <v>#VALUE!</v>
      </c>
      <c r="I371" s="562" t="s">
        <v>2687</v>
      </c>
      <c r="J371" t="s">
        <v>2683</v>
      </c>
      <c r="K371" t="s">
        <v>2678</v>
      </c>
      <c r="L371" s="562" t="str">
        <f>VLOOKUP(A371,'Format for Import of DV'!$A$3:$S$1556,3,FALSE)</f>
        <v>216</v>
      </c>
      <c r="M371" s="562" t="e">
        <f>SUMIFS('Recon of ORS and DV'!D:D,'Recon of ORS and DV'!B:B,'DV List for import'!A371)</f>
        <v>#VALUE!</v>
      </c>
      <c r="N371" s="276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2" t="e">
        <f>VLOOKUP(L372,'Import Process ORS'!$D$4:$E$1557,2,FALSE)</f>
        <v>#N/A</v>
      </c>
      <c r="D372" s="562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2" t="e">
        <f>SUMIFS('[1]MAIN-101'!$Z$1:$Z$3000,'[1]MAIN-101'!$X$1:$X$3000,A372)</f>
        <v>#VALUE!</v>
      </c>
      <c r="I372" s="562" t="s">
        <v>2687</v>
      </c>
      <c r="J372" t="s">
        <v>2683</v>
      </c>
      <c r="K372" t="s">
        <v>2678</v>
      </c>
      <c r="L372" s="562" t="str">
        <f>VLOOKUP(A372,'Format for Import of DV'!$A$3:$S$1556,3,FALSE)</f>
        <v>217</v>
      </c>
      <c r="M372" s="562" t="e">
        <f>SUMIFS('Recon of ORS and DV'!D:D,'Recon of ORS and DV'!B:B,'DV List for import'!A372)</f>
        <v>#VALUE!</v>
      </c>
      <c r="N372" s="276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2" t="e">
        <f>VLOOKUP(L373,'Import Process ORS'!$D$4:$E$1557,2,FALSE)</f>
        <v>#N/A</v>
      </c>
      <c r="D373" s="562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2" t="e">
        <f>SUMIFS('[1]MAIN-101'!$Z$1:$Z$3000,'[1]MAIN-101'!$X$1:$X$3000,A373)</f>
        <v>#VALUE!</v>
      </c>
      <c r="I373" s="562" t="s">
        <v>2687</v>
      </c>
      <c r="J373" t="s">
        <v>2683</v>
      </c>
      <c r="K373" t="s">
        <v>2678</v>
      </c>
      <c r="L373" s="562" t="str">
        <f>VLOOKUP(A373,'Format for Import of DV'!$A$3:$S$1556,3,FALSE)</f>
        <v>218</v>
      </c>
      <c r="M373" s="562" t="e">
        <f>SUMIFS('Recon of ORS and DV'!D:D,'Recon of ORS and DV'!B:B,'DV List for import'!A373)</f>
        <v>#VALUE!</v>
      </c>
      <c r="N373" s="276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2" t="e">
        <f>VLOOKUP(L374,'Import Process ORS'!$D$4:$E$1557,2,FALSE)</f>
        <v>#N/A</v>
      </c>
      <c r="D374" s="562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2" t="e">
        <f>SUMIFS('[1]MAIN-101'!$Z$1:$Z$3000,'[1]MAIN-101'!$X$1:$X$3000,A374)</f>
        <v>#VALUE!</v>
      </c>
      <c r="I374" s="562" t="s">
        <v>2687</v>
      </c>
      <c r="J374" t="s">
        <v>2683</v>
      </c>
      <c r="K374" t="s">
        <v>2678</v>
      </c>
      <c r="L374" s="562" t="str">
        <f>VLOOKUP(A374,'Format for Import of DV'!$A$3:$S$1556,3,FALSE)</f>
        <v>233</v>
      </c>
      <c r="M374" s="562" t="e">
        <f>SUMIFS('Recon of ORS and DV'!D:D,'Recon of ORS and DV'!B:B,'DV List for import'!A374)</f>
        <v>#VALUE!</v>
      </c>
      <c r="N374" s="276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2" t="e">
        <f>VLOOKUP(L375,'Import Process ORS'!$D$4:$E$1557,2,FALSE)</f>
        <v>#N/A</v>
      </c>
      <c r="D375" s="562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2" t="e">
        <f>SUMIFS('[1]MAIN-101'!$Z$1:$Z$3000,'[1]MAIN-101'!$X$1:$X$3000,A375)</f>
        <v>#VALUE!</v>
      </c>
      <c r="I375" s="562" t="s">
        <v>2687</v>
      </c>
      <c r="J375" t="s">
        <v>2683</v>
      </c>
      <c r="K375" t="s">
        <v>2678</v>
      </c>
      <c r="L375" s="562" t="str">
        <f>VLOOKUP(A375,'Format for Import of DV'!$A$3:$S$1556,3,FALSE)</f>
        <v>220</v>
      </c>
      <c r="M375" s="562" t="e">
        <f>SUMIFS('Recon of ORS and DV'!D:D,'Recon of ORS and DV'!B:B,'DV List for import'!A375)</f>
        <v>#VALUE!</v>
      </c>
      <c r="N375" s="276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2" t="e">
        <f>VLOOKUP(L376,'Import Process ORS'!$D$4:$E$1557,2,FALSE)</f>
        <v>#N/A</v>
      </c>
      <c r="D376" s="562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2" t="e">
        <f>SUMIFS('[1]MAIN-101'!$Z$1:$Z$3000,'[1]MAIN-101'!$X$1:$X$3000,A376)</f>
        <v>#VALUE!</v>
      </c>
      <c r="I376" s="562" t="s">
        <v>2687</v>
      </c>
      <c r="J376" t="s">
        <v>2683</v>
      </c>
      <c r="K376" t="s">
        <v>2678</v>
      </c>
      <c r="L376" s="562" t="str">
        <f>VLOOKUP(A376,'Format for Import of DV'!$A$3:$S$1556,3,FALSE)</f>
        <v>221</v>
      </c>
      <c r="M376" s="562" t="e">
        <f>SUMIFS('Recon of ORS and DV'!D:D,'Recon of ORS and DV'!B:B,'DV List for import'!A376)</f>
        <v>#VALUE!</v>
      </c>
      <c r="N376" s="276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2" t="e">
        <f>VLOOKUP(L377,'Import Process ORS'!$D$4:$E$1557,2,FALSE)</f>
        <v>#N/A</v>
      </c>
      <c r="D377" s="562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2" t="e">
        <f>SUMIFS('[1]MAIN-101'!$Z$1:$Z$3000,'[1]MAIN-101'!$X$1:$X$3000,A377)</f>
        <v>#VALUE!</v>
      </c>
      <c r="I377" s="562" t="s">
        <v>2687</v>
      </c>
      <c r="J377" t="s">
        <v>2683</v>
      </c>
      <c r="K377" t="s">
        <v>2678</v>
      </c>
      <c r="L377" s="562" t="str">
        <f>VLOOKUP(A377,'Format for Import of DV'!$A$3:$S$1556,3,FALSE)</f>
        <v>222</v>
      </c>
      <c r="M377" s="562" t="e">
        <f>SUMIFS('Recon of ORS and DV'!D:D,'Recon of ORS and DV'!B:B,'DV List for import'!A377)</f>
        <v>#VALUE!</v>
      </c>
      <c r="N377" s="276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2" t="e">
        <f>VLOOKUP(L378,'Import Process ORS'!$D$4:$E$1557,2,FALSE)</f>
        <v>#N/A</v>
      </c>
      <c r="D378" s="562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2" t="e">
        <f>SUMIFS('[1]MAIN-101'!$Z$1:$Z$3000,'[1]MAIN-101'!$X$1:$X$3000,A378)</f>
        <v>#VALUE!</v>
      </c>
      <c r="I378" s="562" t="s">
        <v>2687</v>
      </c>
      <c r="J378" t="s">
        <v>2683</v>
      </c>
      <c r="K378" t="s">
        <v>2678</v>
      </c>
      <c r="L378" s="562" t="str">
        <f>VLOOKUP(A378,'Format for Import of DV'!$A$3:$S$1556,3,FALSE)</f>
        <v>223</v>
      </c>
      <c r="M378" s="562" t="e">
        <f>SUMIFS('Recon of ORS and DV'!D:D,'Recon of ORS and DV'!B:B,'DV List for import'!A378)</f>
        <v>#VALUE!</v>
      </c>
      <c r="N378" s="276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2" t="e">
        <f>VLOOKUP(L379,'Import Process ORS'!$D$4:$E$1557,2,FALSE)</f>
        <v>#N/A</v>
      </c>
      <c r="D379" s="562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2" t="e">
        <f>SUMIFS('[1]MAIN-101'!$Z$1:$Z$3000,'[1]MAIN-101'!$X$1:$X$3000,A379)</f>
        <v>#VALUE!</v>
      </c>
      <c r="I379" s="562" t="s">
        <v>2687</v>
      </c>
      <c r="J379" t="s">
        <v>2683</v>
      </c>
      <c r="K379" t="s">
        <v>2678</v>
      </c>
      <c r="L379" s="562" t="str">
        <f>VLOOKUP(A379,'Format for Import of DV'!$A$3:$S$1556,3,FALSE)</f>
        <v>224</v>
      </c>
      <c r="M379" s="562" t="e">
        <f>SUMIFS('Recon of ORS and DV'!D:D,'Recon of ORS and DV'!B:B,'DV List for import'!A379)</f>
        <v>#VALUE!</v>
      </c>
      <c r="N379" s="276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2" t="e">
        <f>VLOOKUP(L380,'Import Process ORS'!$D$4:$E$1557,2,FALSE)</f>
        <v>#N/A</v>
      </c>
      <c r="D380" s="562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2" t="e">
        <f>SUMIFS('[1]MAIN-101'!$Z$1:$Z$3000,'[1]MAIN-101'!$X$1:$X$3000,A380)</f>
        <v>#VALUE!</v>
      </c>
      <c r="I380" s="562" t="s">
        <v>2687</v>
      </c>
      <c r="J380" t="s">
        <v>2683</v>
      </c>
      <c r="K380" t="s">
        <v>2678</v>
      </c>
      <c r="L380" s="562" t="str">
        <f>VLOOKUP(A380,'Format for Import of DV'!$A$3:$S$1556,3,FALSE)</f>
        <v>225</v>
      </c>
      <c r="M380" s="562" t="e">
        <f>SUMIFS('Recon of ORS and DV'!D:D,'Recon of ORS and DV'!B:B,'DV List for import'!A380)</f>
        <v>#VALUE!</v>
      </c>
      <c r="N380" s="276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2" t="e">
        <f>VLOOKUP(L381,'Import Process ORS'!$D$4:$E$1557,2,FALSE)</f>
        <v>#N/A</v>
      </c>
      <c r="D381" s="562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2" t="e">
        <f>SUMIFS('[1]MAIN-101'!$Z$1:$Z$3000,'[1]MAIN-101'!$X$1:$X$3000,A381)</f>
        <v>#VALUE!</v>
      </c>
      <c r="I381" s="562" t="s">
        <v>2687</v>
      </c>
      <c r="J381" t="s">
        <v>2683</v>
      </c>
      <c r="K381" t="s">
        <v>2678</v>
      </c>
      <c r="L381" s="562" t="str">
        <f>VLOOKUP(A381,'Format for Import of DV'!$A$3:$S$1556,3,FALSE)</f>
        <v>226</v>
      </c>
      <c r="M381" s="562" t="e">
        <f>SUMIFS('Recon of ORS and DV'!D:D,'Recon of ORS and DV'!B:B,'DV List for import'!A381)</f>
        <v>#VALUE!</v>
      </c>
      <c r="N381" s="276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2" t="e">
        <f>VLOOKUP(L382,'Import Process ORS'!$D$4:$E$1557,2,FALSE)</f>
        <v>#N/A</v>
      </c>
      <c r="D382" s="562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2" t="e">
        <f>SUMIFS('[1]MAIN-101'!$Z$1:$Z$3000,'[1]MAIN-101'!$X$1:$X$3000,A382)</f>
        <v>#VALUE!</v>
      </c>
      <c r="I382" s="562" t="s">
        <v>2687</v>
      </c>
      <c r="J382" t="s">
        <v>2683</v>
      </c>
      <c r="K382" t="s">
        <v>2678</v>
      </c>
      <c r="L382" s="562" t="str">
        <f>VLOOKUP(A382,'Format for Import of DV'!$A$3:$S$1556,3,FALSE)</f>
        <v>227</v>
      </c>
      <c r="M382" s="562" t="e">
        <f>SUMIFS('Recon of ORS and DV'!D:D,'Recon of ORS and DV'!B:B,'DV List for import'!A382)</f>
        <v>#VALUE!</v>
      </c>
      <c r="N382" s="276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2" t="e">
        <f>VLOOKUP(L383,'Import Process ORS'!$D$4:$E$1557,2,FALSE)</f>
        <v>#N/A</v>
      </c>
      <c r="D383" s="562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2" t="e">
        <f>SUMIFS('[1]MAIN-101'!$Z$1:$Z$3000,'[1]MAIN-101'!$X$1:$X$3000,A383)</f>
        <v>#VALUE!</v>
      </c>
      <c r="I383" s="562" t="s">
        <v>2687</v>
      </c>
      <c r="J383" t="s">
        <v>2683</v>
      </c>
      <c r="K383" t="s">
        <v>2678</v>
      </c>
      <c r="L383" s="562" t="str">
        <f>VLOOKUP(A383,'Format for Import of DV'!$A$3:$S$1556,3,FALSE)</f>
        <v>228</v>
      </c>
      <c r="M383" s="562" t="e">
        <f>SUMIFS('Recon of ORS and DV'!D:D,'Recon of ORS and DV'!B:B,'DV List for import'!A383)</f>
        <v>#VALUE!</v>
      </c>
      <c r="N383" s="276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2" t="e">
        <f>VLOOKUP(L384,'Import Process ORS'!$D$4:$E$1557,2,FALSE)</f>
        <v>#N/A</v>
      </c>
      <c r="D384" s="562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2" t="e">
        <f>SUMIFS('[1]MAIN-101'!$Z$1:$Z$3000,'[1]MAIN-101'!$X$1:$X$3000,A384)</f>
        <v>#VALUE!</v>
      </c>
      <c r="I384" s="562" t="s">
        <v>2687</v>
      </c>
      <c r="J384" t="s">
        <v>2683</v>
      </c>
      <c r="K384" t="s">
        <v>2678</v>
      </c>
      <c r="L384" s="562" t="str">
        <f>VLOOKUP(A384,'Format for Import of DV'!$A$3:$S$1556,3,FALSE)</f>
        <v>230</v>
      </c>
      <c r="M384" s="562" t="e">
        <f>SUMIFS('Recon of ORS and DV'!D:D,'Recon of ORS and DV'!B:B,'DV List for import'!A384)</f>
        <v>#VALUE!</v>
      </c>
      <c r="N384" s="276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2" t="e">
        <f>VLOOKUP(L385,'Import Process ORS'!$D$4:$E$1557,2,FALSE)</f>
        <v>#N/A</v>
      </c>
      <c r="D385" s="562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2" t="e">
        <f>SUMIFS('[1]MAIN-101'!$Z$1:$Z$3000,'[1]MAIN-101'!$X$1:$X$3000,A385)</f>
        <v>#VALUE!</v>
      </c>
      <c r="I385" s="562" t="s">
        <v>2687</v>
      </c>
      <c r="J385" t="s">
        <v>2683</v>
      </c>
      <c r="K385" t="s">
        <v>2678</v>
      </c>
      <c r="L385" s="562" t="str">
        <f>VLOOKUP(A385,'Format for Import of DV'!$A$3:$S$1556,3,FALSE)</f>
        <v>231</v>
      </c>
      <c r="M385" s="562" t="e">
        <f>SUMIFS('Recon of ORS and DV'!D:D,'Recon of ORS and DV'!B:B,'DV List for import'!A385)</f>
        <v>#VALUE!</v>
      </c>
      <c r="N385" s="276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2" t="e">
        <f>VLOOKUP(L386,'Import Process ORS'!$D$4:$E$1557,2,FALSE)</f>
        <v>#N/A</v>
      </c>
      <c r="D386" s="562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2" t="e">
        <f>SUMIFS('[1]MAIN-101'!$Z$1:$Z$3000,'[1]MAIN-101'!$X$1:$X$3000,A386)</f>
        <v>#VALUE!</v>
      </c>
      <c r="I386" s="562" t="s">
        <v>2687</v>
      </c>
      <c r="J386" t="s">
        <v>2683</v>
      </c>
      <c r="K386" t="s">
        <v>2678</v>
      </c>
      <c r="L386" s="562" t="str">
        <f>VLOOKUP(A386,'Format for Import of DV'!$A$3:$S$1556,3,FALSE)</f>
        <v>229</v>
      </c>
      <c r="M386" s="562" t="e">
        <f>SUMIFS('Recon of ORS and DV'!D:D,'Recon of ORS and DV'!B:B,'DV List for import'!A386)</f>
        <v>#VALUE!</v>
      </c>
      <c r="N386" s="276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2" t="e">
        <f>VLOOKUP(L387,'Import Process ORS'!$D$4:$E$1557,2,FALSE)</f>
        <v>#N/A</v>
      </c>
      <c r="D387" s="562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2" t="e">
        <f>SUMIFS('[1]MAIN-101'!$Z$1:$Z$3000,'[1]MAIN-101'!$X$1:$X$3000,A387)</f>
        <v>#VALUE!</v>
      </c>
      <c r="I387" s="562" t="s">
        <v>2687</v>
      </c>
      <c r="J387" t="s">
        <v>2683</v>
      </c>
      <c r="K387" t="s">
        <v>2678</v>
      </c>
      <c r="L387" s="562" t="str">
        <f>VLOOKUP(A387,'Format for Import of DV'!$A$3:$S$1556,3,FALSE)</f>
        <v>232</v>
      </c>
      <c r="M387" s="562" t="e">
        <f>SUMIFS('Recon of ORS and DV'!D:D,'Recon of ORS and DV'!B:B,'DV List for import'!A387)</f>
        <v>#VALUE!</v>
      </c>
      <c r="N387" s="276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2" t="e">
        <f>VLOOKUP(L388,'Import Process ORS'!$D$4:$E$1557,2,FALSE)</f>
        <v>#N/A</v>
      </c>
      <c r="D388" s="562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2" t="e">
        <f>SUMIFS('[1]MAIN-101'!$Z$1:$Z$3000,'[1]MAIN-101'!$X$1:$X$3000,A388)</f>
        <v>#VALUE!</v>
      </c>
      <c r="I388" s="562" t="s">
        <v>2687</v>
      </c>
      <c r="J388" t="s">
        <v>2683</v>
      </c>
      <c r="K388" t="s">
        <v>2678</v>
      </c>
      <c r="L388" s="562" t="str">
        <f>VLOOKUP(A388,'Format for Import of DV'!$A$3:$S$1556,3,FALSE)</f>
        <v>234</v>
      </c>
      <c r="M388" s="562" t="e">
        <f>SUMIFS('Recon of ORS and DV'!D:D,'Recon of ORS and DV'!B:B,'DV List for import'!A388)</f>
        <v>#VALUE!</v>
      </c>
      <c r="N388" s="276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2" t="e">
        <f>VLOOKUP(L389,'Import Process ORS'!$D$4:$E$1557,2,FALSE)</f>
        <v>#N/A</v>
      </c>
      <c r="D389" s="562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2" t="e">
        <f>SUMIFS('[1]MAIN-101'!$Z$1:$Z$3000,'[1]MAIN-101'!$X$1:$X$3000,A389)</f>
        <v>#VALUE!</v>
      </c>
      <c r="I389" s="562" t="s">
        <v>2687</v>
      </c>
      <c r="J389" t="s">
        <v>2683</v>
      </c>
      <c r="K389" t="s">
        <v>2678</v>
      </c>
      <c r="L389" s="562" t="str">
        <f>VLOOKUP(A389,'Format for Import of DV'!$A$3:$S$1556,3,FALSE)</f>
        <v>235</v>
      </c>
      <c r="M389" s="562" t="e">
        <f>SUMIFS('Recon of ORS and DV'!D:D,'Recon of ORS and DV'!B:B,'DV List for import'!A389)</f>
        <v>#VALUE!</v>
      </c>
      <c r="N389" s="276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2" t="e">
        <f>VLOOKUP(L390,'Import Process ORS'!$D$4:$E$1557,2,FALSE)</f>
        <v>#N/A</v>
      </c>
      <c r="D390" s="562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2" t="e">
        <f>SUMIFS('[1]MAIN-101'!$Z$1:$Z$3000,'[1]MAIN-101'!$X$1:$X$3000,A390)</f>
        <v>#VALUE!</v>
      </c>
      <c r="I390" s="562" t="s">
        <v>2687</v>
      </c>
      <c r="J390" t="s">
        <v>2683</v>
      </c>
      <c r="K390" t="s">
        <v>2678</v>
      </c>
      <c r="L390" s="562" t="str">
        <f>VLOOKUP(A390,'Format for Import of DV'!$A$3:$S$1556,3,FALSE)</f>
        <v>211</v>
      </c>
      <c r="M390" s="562" t="e">
        <f>SUMIFS('Recon of ORS and DV'!D:D,'Recon of ORS and DV'!B:B,'DV List for import'!A390)</f>
        <v>#VALUE!</v>
      </c>
      <c r="N390" s="276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2" t="e">
        <f>VLOOKUP(L391,'Import Process ORS'!$D$4:$E$1557,2,FALSE)</f>
        <v>#N/A</v>
      </c>
      <c r="D391" s="562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2" t="e">
        <f>SUMIFS('[1]MAIN-101'!$Z$1:$Z$3000,'[1]MAIN-101'!$X$1:$X$3000,A391)</f>
        <v>#VALUE!</v>
      </c>
      <c r="I391" s="562" t="s">
        <v>2687</v>
      </c>
      <c r="J391" t="s">
        <v>2683</v>
      </c>
      <c r="K391" t="s">
        <v>2678</v>
      </c>
      <c r="L391" s="562" t="str">
        <f>VLOOKUP(A391,'Format for Import of DV'!$A$3:$S$1556,3,FALSE)</f>
        <v>210</v>
      </c>
      <c r="M391" s="562" t="e">
        <f>SUMIFS('Recon of ORS and DV'!D:D,'Recon of ORS and DV'!B:B,'DV List for import'!A391)</f>
        <v>#VALUE!</v>
      </c>
      <c r="N391" s="276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2" t="e">
        <f>VLOOKUP(L392,'Import Process ORS'!$D$4:$E$1557,2,FALSE)</f>
        <v>#N/A</v>
      </c>
      <c r="D392" s="562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2" t="e">
        <f>SUMIFS('[1]MAIN-101'!$Z$1:$Z$3000,'[1]MAIN-101'!$X$1:$X$3000,A392)</f>
        <v>#VALUE!</v>
      </c>
      <c r="I392" s="562" t="s">
        <v>2687</v>
      </c>
      <c r="J392" t="s">
        <v>2683</v>
      </c>
      <c r="K392" t="s">
        <v>2678</v>
      </c>
      <c r="L392" s="562" t="str">
        <f>VLOOKUP(A392,'Format for Import of DV'!$A$3:$S$1556,3,FALSE)</f>
        <v>219</v>
      </c>
      <c r="M392" s="562" t="e">
        <f>SUMIFS('Recon of ORS and DV'!D:D,'Recon of ORS and DV'!B:B,'DV List for import'!A392)</f>
        <v>#VALUE!</v>
      </c>
      <c r="N392" s="276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2" t="e">
        <f>VLOOKUP(L393,'Import Process ORS'!$D$4:$E$1557,2,FALSE)</f>
        <v>#N/A</v>
      </c>
      <c r="D393" s="562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2" t="e">
        <f>SUMIFS('[1]MAIN-101'!$Z$1:$Z$3000,'[1]MAIN-101'!$X$1:$X$3000,A393)</f>
        <v>#VALUE!</v>
      </c>
      <c r="I393" s="562" t="s">
        <v>2687</v>
      </c>
      <c r="J393" t="s">
        <v>2683</v>
      </c>
      <c r="K393" t="s">
        <v>2678</v>
      </c>
      <c r="L393" s="562" t="str">
        <f>VLOOKUP(A393,'Format for Import of DV'!$A$3:$S$1556,3,FALSE)</f>
        <v>236</v>
      </c>
      <c r="M393" s="562" t="e">
        <f>SUMIFS('Recon of ORS and DV'!D:D,'Recon of ORS and DV'!B:B,'DV List for import'!A393)</f>
        <v>#VALUE!</v>
      </c>
      <c r="N393" s="276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2" t="e">
        <f>VLOOKUP(L394,'Import Process ORS'!$D$4:$E$1557,2,FALSE)</f>
        <v>#N/A</v>
      </c>
      <c r="D394" s="562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2" t="e">
        <f>SUMIFS('[1]MAIN-101'!$Z$1:$Z$3000,'[1]MAIN-101'!$X$1:$X$3000,A394)</f>
        <v>#VALUE!</v>
      </c>
      <c r="I394" s="562" t="s">
        <v>2687</v>
      </c>
      <c r="J394" t="s">
        <v>2683</v>
      </c>
      <c r="K394" t="s">
        <v>2678</v>
      </c>
      <c r="L394" s="562" t="str">
        <f>VLOOKUP(A394,'Format for Import of DV'!$A$3:$S$1556,3,FALSE)</f>
        <v>240</v>
      </c>
      <c r="M394" s="562" t="e">
        <f>SUMIFS('Recon of ORS and DV'!D:D,'Recon of ORS and DV'!B:B,'DV List for import'!A394)</f>
        <v>#VALUE!</v>
      </c>
      <c r="N394" s="276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2" t="e">
        <f>VLOOKUP(L395,'Import Process ORS'!$D$4:$E$1557,2,FALSE)</f>
        <v>#N/A</v>
      </c>
      <c r="D395" s="562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2" t="e">
        <f>SUMIFS('[1]MAIN-101'!$Z$1:$Z$3000,'[1]MAIN-101'!$X$1:$X$3000,A395)</f>
        <v>#VALUE!</v>
      </c>
      <c r="I395" s="562" t="s">
        <v>2687</v>
      </c>
      <c r="J395" t="s">
        <v>2683</v>
      </c>
      <c r="K395" t="s">
        <v>2678</v>
      </c>
      <c r="L395" s="562" t="str">
        <f>VLOOKUP(A395,'Format for Import of DV'!$A$3:$S$1556,3,FALSE)</f>
        <v>241</v>
      </c>
      <c r="M395" s="562" t="e">
        <f>SUMIFS('Recon of ORS and DV'!D:D,'Recon of ORS and DV'!B:B,'DV List for import'!A395)</f>
        <v>#VALUE!</v>
      </c>
      <c r="N395" s="276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2" t="e">
        <f>VLOOKUP(L396,'Import Process ORS'!$D$4:$E$1557,2,FALSE)</f>
        <v>#N/A</v>
      </c>
      <c r="D396" s="562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2" t="e">
        <f>SUMIFS('[1]MAIN-101'!$Z$1:$Z$3000,'[1]MAIN-101'!$X$1:$X$3000,A396)</f>
        <v>#VALUE!</v>
      </c>
      <c r="I396" s="562" t="s">
        <v>2687</v>
      </c>
      <c r="J396" t="s">
        <v>2683</v>
      </c>
      <c r="K396" t="s">
        <v>2678</v>
      </c>
      <c r="L396" s="562" t="str">
        <f>VLOOKUP(A396,'Format for Import of DV'!$A$3:$S$1556,3,FALSE)</f>
        <v>242</v>
      </c>
      <c r="M396" s="562" t="e">
        <f>SUMIFS('Recon of ORS and DV'!D:D,'Recon of ORS and DV'!B:B,'DV List for import'!A396)</f>
        <v>#VALUE!</v>
      </c>
      <c r="N396" s="276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2" t="e">
        <f>VLOOKUP(L397,'Import Process ORS'!$D$4:$E$1557,2,FALSE)</f>
        <v>#N/A</v>
      </c>
      <c r="D397" s="562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2" t="e">
        <f>SUMIFS('[1]MAIN-101'!$Z$1:$Z$3000,'[1]MAIN-101'!$X$1:$X$3000,A397)</f>
        <v>#VALUE!</v>
      </c>
      <c r="I397" s="562" t="s">
        <v>2687</v>
      </c>
      <c r="J397" t="s">
        <v>2683</v>
      </c>
      <c r="K397" t="s">
        <v>2678</v>
      </c>
      <c r="L397" s="562" t="str">
        <f>VLOOKUP(A397,'Format for Import of DV'!$A$3:$S$1556,3,FALSE)</f>
        <v>237</v>
      </c>
      <c r="M397" s="562" t="e">
        <f>SUMIFS('Recon of ORS and DV'!D:D,'Recon of ORS and DV'!B:B,'DV List for import'!A397)</f>
        <v>#VALUE!</v>
      </c>
      <c r="N397" s="276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2" t="e">
        <f>VLOOKUP(L398,'Import Process ORS'!$D$4:$E$1557,2,FALSE)</f>
        <v>#N/A</v>
      </c>
      <c r="D398" s="562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2" t="e">
        <f>SUMIFS('[1]MAIN-101'!$Z$1:$Z$3000,'[1]MAIN-101'!$X$1:$X$3000,A398)</f>
        <v>#VALUE!</v>
      </c>
      <c r="I398" s="562" t="s">
        <v>2687</v>
      </c>
      <c r="J398" t="s">
        <v>2683</v>
      </c>
      <c r="K398" t="s">
        <v>2678</v>
      </c>
      <c r="L398" s="562" t="str">
        <f>VLOOKUP(A398,'Format for Import of DV'!$A$3:$S$1556,3,FALSE)</f>
        <v>238</v>
      </c>
      <c r="M398" s="562" t="e">
        <f>SUMIFS('Recon of ORS and DV'!D:D,'Recon of ORS and DV'!B:B,'DV List for import'!A398)</f>
        <v>#VALUE!</v>
      </c>
      <c r="N398" s="276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2" t="e">
        <f>VLOOKUP(L399,'Import Process ORS'!$D$4:$E$1557,2,FALSE)</f>
        <v>#N/A</v>
      </c>
      <c r="D399" s="562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2" t="e">
        <f>SUMIFS('[1]MAIN-101'!$Z$1:$Z$3000,'[1]MAIN-101'!$X$1:$X$3000,A399)</f>
        <v>#VALUE!</v>
      </c>
      <c r="I399" s="562" t="s">
        <v>2687</v>
      </c>
      <c r="J399" t="s">
        <v>2683</v>
      </c>
      <c r="K399" t="s">
        <v>2678</v>
      </c>
      <c r="L399" s="562" t="str">
        <f>VLOOKUP(A399,'Format for Import of DV'!$A$3:$S$1556,3,FALSE)</f>
        <v>239</v>
      </c>
      <c r="M399" s="562" t="e">
        <f>SUMIFS('Recon of ORS and DV'!D:D,'Recon of ORS and DV'!B:B,'DV List for import'!A399)</f>
        <v>#VALUE!</v>
      </c>
      <c r="N399" s="276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2" t="e">
        <f>VLOOKUP(L400,'Import Process ORS'!$D$4:$E$1557,2,FALSE)</f>
        <v>#N/A</v>
      </c>
      <c r="D400" s="562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2" t="e">
        <f>SUMIFS('[1]MAIN-101'!$Z$1:$Z$3000,'[1]MAIN-101'!$X$1:$X$3000,A400)</f>
        <v>#VALUE!</v>
      </c>
      <c r="I400" s="562" t="s">
        <v>2687</v>
      </c>
      <c r="J400" t="s">
        <v>2683</v>
      </c>
      <c r="K400" t="s">
        <v>2678</v>
      </c>
      <c r="L400" s="562" t="str">
        <f>VLOOKUP(A400,'Format for Import of DV'!$A$3:$S$1556,3,FALSE)</f>
        <v>244</v>
      </c>
      <c r="M400" s="562" t="e">
        <f>SUMIFS('Recon of ORS and DV'!D:D,'Recon of ORS and DV'!B:B,'DV List for import'!A400)</f>
        <v>#VALUE!</v>
      </c>
      <c r="N400" s="276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2" t="e">
        <f>VLOOKUP(L401,'Import Process ORS'!$D$4:$E$1557,2,FALSE)</f>
        <v>#N/A</v>
      </c>
      <c r="D401" s="562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2" t="e">
        <f>SUMIFS('[1]MAIN-101'!$Z$1:$Z$3000,'[1]MAIN-101'!$X$1:$X$3000,A401)</f>
        <v>#VALUE!</v>
      </c>
      <c r="I401" s="562" t="s">
        <v>2685</v>
      </c>
      <c r="J401" t="s">
        <v>2683</v>
      </c>
      <c r="K401" t="s">
        <v>2678</v>
      </c>
      <c r="L401" s="562" t="str">
        <f>VLOOKUP(A401,'Format for Import of DV'!$A$3:$S$1556,3,FALSE)</f>
        <v>250</v>
      </c>
      <c r="M401" s="562" t="e">
        <f>SUMIFS('Recon of ORS and DV'!D:D,'Recon of ORS and DV'!B:B,'DV List for import'!A401)</f>
        <v>#VALUE!</v>
      </c>
      <c r="N401" s="276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2" t="e">
        <f>VLOOKUP(L402,'Import Process ORS'!$D$4:$E$1557,2,FALSE)</f>
        <v>#N/A</v>
      </c>
      <c r="D402" s="562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2" t="e">
        <f>SUMIFS('[1]MAIN-101'!$Z$1:$Z$3000,'[1]MAIN-101'!$X$1:$X$3000,A402)</f>
        <v>#VALUE!</v>
      </c>
      <c r="I402" s="562" t="s">
        <v>2685</v>
      </c>
      <c r="J402" t="s">
        <v>2683</v>
      </c>
      <c r="K402" t="s">
        <v>2678</v>
      </c>
      <c r="L402" s="562" t="str">
        <f>VLOOKUP(A402,'Format for Import of DV'!$A$3:$S$1556,3,FALSE)</f>
        <v>247</v>
      </c>
      <c r="M402" s="562" t="e">
        <f>SUMIFS('Recon of ORS and DV'!D:D,'Recon of ORS and DV'!B:B,'DV List for import'!A402)</f>
        <v>#VALUE!</v>
      </c>
      <c r="N402" s="276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2" t="e">
        <f>VLOOKUP(L403,'Import Process ORS'!$D$4:$E$1557,2,FALSE)</f>
        <v>#N/A</v>
      </c>
      <c r="D403" s="562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2" t="e">
        <f>SUMIFS('[1]MAIN-101'!$Z$1:$Z$3000,'[1]MAIN-101'!$X$1:$X$3000,A403)</f>
        <v>#VALUE!</v>
      </c>
      <c r="I403" s="562" t="s">
        <v>2685</v>
      </c>
      <c r="J403" t="s">
        <v>2683</v>
      </c>
      <c r="K403" t="s">
        <v>2678</v>
      </c>
      <c r="L403" s="562" t="str">
        <f>VLOOKUP(A403,'Format for Import of DV'!$A$3:$S$1556,3,FALSE)</f>
        <v>248</v>
      </c>
      <c r="M403" s="562" t="e">
        <f>SUMIFS('Recon of ORS and DV'!D:D,'Recon of ORS and DV'!B:B,'DV List for import'!A403)</f>
        <v>#VALUE!</v>
      </c>
      <c r="N403" s="276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2" t="e">
        <f>VLOOKUP(L404,'Import Process ORS'!$D$4:$E$1557,2,FALSE)</f>
        <v>#N/A</v>
      </c>
      <c r="D404" s="562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2" t="e">
        <f>SUMIFS('[1]MAIN-101'!$Z$1:$Z$3000,'[1]MAIN-101'!$X$1:$X$3000,A404)</f>
        <v>#VALUE!</v>
      </c>
      <c r="I404" s="562" t="s">
        <v>2685</v>
      </c>
      <c r="J404" t="s">
        <v>2683</v>
      </c>
      <c r="K404" t="s">
        <v>2678</v>
      </c>
      <c r="L404" s="562" t="str">
        <f>VLOOKUP(A404,'Format for Import of DV'!$A$3:$S$1556,3,FALSE)</f>
        <v>249</v>
      </c>
      <c r="M404" s="562" t="e">
        <f>SUMIFS('Recon of ORS and DV'!D:D,'Recon of ORS and DV'!B:B,'DV List for import'!A404)</f>
        <v>#VALUE!</v>
      </c>
      <c r="N404" s="276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2" t="e">
        <f>VLOOKUP(L405,'Import Process ORS'!$D$4:$E$1557,2,FALSE)</f>
        <v>#N/A</v>
      </c>
      <c r="D405" s="562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2" t="e">
        <f>SUMIFS('[1]MAIN-101'!$Z$1:$Z$3000,'[1]MAIN-101'!$X$1:$X$3000,A405)</f>
        <v>#VALUE!</v>
      </c>
      <c r="I405" s="562" t="s">
        <v>2687</v>
      </c>
      <c r="J405" t="s">
        <v>2683</v>
      </c>
      <c r="K405" t="s">
        <v>2678</v>
      </c>
      <c r="L405" s="562" t="str">
        <f>VLOOKUP(A405,'Format for Import of DV'!$A$3:$S$1556,3,FALSE)</f>
        <v>256</v>
      </c>
      <c r="M405" s="562" t="e">
        <f>SUMIFS('Recon of ORS and DV'!D:D,'Recon of ORS and DV'!B:B,'DV List for import'!A405)</f>
        <v>#VALUE!</v>
      </c>
      <c r="N405" s="276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2" t="e">
        <f>VLOOKUP(L406,'Import Process ORS'!$D$4:$E$1557,2,FALSE)</f>
        <v>#N/A</v>
      </c>
      <c r="D406" s="562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2" t="e">
        <f>SUMIFS('[1]MAIN-101'!$Z$1:$Z$3000,'[1]MAIN-101'!$X$1:$X$3000,A406)</f>
        <v>#VALUE!</v>
      </c>
      <c r="I406" s="562" t="s">
        <v>2687</v>
      </c>
      <c r="J406" t="s">
        <v>2683</v>
      </c>
      <c r="K406" t="s">
        <v>2678</v>
      </c>
      <c r="L406" s="562" t="str">
        <f>VLOOKUP(A406,'Format for Import of DV'!$A$3:$S$1556,3,FALSE)</f>
        <v>257</v>
      </c>
      <c r="M406" s="562" t="e">
        <f>SUMIFS('Recon of ORS and DV'!D:D,'Recon of ORS and DV'!B:B,'DV List for import'!A406)</f>
        <v>#VALUE!</v>
      </c>
      <c r="N406" s="276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2" t="e">
        <f>VLOOKUP(L407,'Import Process ORS'!$D$4:$E$1557,2,FALSE)</f>
        <v>#N/A</v>
      </c>
      <c r="D407" s="562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2" t="e">
        <f>SUMIFS('[1]MAIN-101'!$Z$1:$Z$3000,'[1]MAIN-101'!$X$1:$X$3000,A407)</f>
        <v>#VALUE!</v>
      </c>
      <c r="I407" s="562" t="s">
        <v>2687</v>
      </c>
      <c r="J407" t="s">
        <v>2683</v>
      </c>
      <c r="K407" t="s">
        <v>2678</v>
      </c>
      <c r="L407" s="562" t="str">
        <f>VLOOKUP(A407,'Format for Import of DV'!$A$3:$S$1556,3,FALSE)</f>
        <v>258</v>
      </c>
      <c r="M407" s="562" t="e">
        <f>SUMIFS('Recon of ORS and DV'!D:D,'Recon of ORS and DV'!B:B,'DV List for import'!A407)</f>
        <v>#VALUE!</v>
      </c>
      <c r="N407" s="276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2" t="e">
        <f>VLOOKUP(L408,'Import Process ORS'!$D$4:$E$1557,2,FALSE)</f>
        <v>#N/A</v>
      </c>
      <c r="D408" s="562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2" t="e">
        <f>SUMIFS('[1]MAIN-101'!$Z$1:$Z$3000,'[1]MAIN-101'!$X$1:$X$3000,A408)</f>
        <v>#VALUE!</v>
      </c>
      <c r="I408" s="562" t="s">
        <v>2687</v>
      </c>
      <c r="J408" t="s">
        <v>2683</v>
      </c>
      <c r="K408" t="s">
        <v>2678</v>
      </c>
      <c r="L408" s="562" t="str">
        <f>VLOOKUP(A408,'Format for Import of DV'!$A$3:$S$1556,3,FALSE)</f>
        <v>259</v>
      </c>
      <c r="M408" s="562" t="e">
        <f>SUMIFS('Recon of ORS and DV'!D:D,'Recon of ORS and DV'!B:B,'DV List for import'!A408)</f>
        <v>#VALUE!</v>
      </c>
      <c r="N408" s="276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2" t="e">
        <f>VLOOKUP(L409,'Import Process ORS'!$D$4:$E$1557,2,FALSE)</f>
        <v>#N/A</v>
      </c>
      <c r="D409" s="562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2" t="e">
        <f>SUMIFS('[1]MAIN-101'!$Z$1:$Z$3000,'[1]MAIN-101'!$X$1:$X$3000,A409)</f>
        <v>#VALUE!</v>
      </c>
      <c r="I409" s="562" t="s">
        <v>2687</v>
      </c>
      <c r="J409" t="s">
        <v>2683</v>
      </c>
      <c r="K409" t="s">
        <v>2678</v>
      </c>
      <c r="L409" s="562" t="str">
        <f>VLOOKUP(A409,'Format for Import of DV'!$A$3:$S$1556,3,FALSE)</f>
        <v>260</v>
      </c>
      <c r="M409" s="562" t="e">
        <f>SUMIFS('Recon of ORS and DV'!D:D,'Recon of ORS and DV'!B:B,'DV List for import'!A409)</f>
        <v>#VALUE!</v>
      </c>
      <c r="N409" s="276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2" t="e">
        <f>VLOOKUP(L410,'Import Process ORS'!$D$4:$E$1557,2,FALSE)</f>
        <v>#N/A</v>
      </c>
      <c r="D410" s="562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2" t="e">
        <f>SUMIFS('[1]MAIN-101'!$Z$1:$Z$3000,'[1]MAIN-101'!$X$1:$X$3000,A410)</f>
        <v>#VALUE!</v>
      </c>
      <c r="I410" s="562" t="s">
        <v>2687</v>
      </c>
      <c r="J410" t="s">
        <v>2683</v>
      </c>
      <c r="K410" t="s">
        <v>2678</v>
      </c>
      <c r="L410" s="562" t="str">
        <f>VLOOKUP(A410,'Format for Import of DV'!$A$3:$S$1556,3,FALSE)</f>
        <v>245</v>
      </c>
      <c r="M410" s="562" t="e">
        <f>SUMIFS('Recon of ORS and DV'!D:D,'Recon of ORS and DV'!B:B,'DV List for import'!A410)</f>
        <v>#VALUE!</v>
      </c>
      <c r="N410" s="276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2" t="e">
        <f>VLOOKUP(L411,'Import Process ORS'!$D$4:$E$1557,2,FALSE)</f>
        <v>#N/A</v>
      </c>
      <c r="D411" s="562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2" t="e">
        <f>SUMIFS('[1]MAIN-101'!$Z$1:$Z$3000,'[1]MAIN-101'!$X$1:$X$3000,A411)</f>
        <v>#VALUE!</v>
      </c>
      <c r="I411" s="562" t="s">
        <v>2687</v>
      </c>
      <c r="J411" t="s">
        <v>2683</v>
      </c>
      <c r="K411" t="s">
        <v>2678</v>
      </c>
      <c r="L411" s="562" t="str">
        <f>VLOOKUP(A411,'Format for Import of DV'!$A$3:$S$1556,3,FALSE)</f>
        <v>255</v>
      </c>
      <c r="M411" s="562" t="e">
        <f>SUMIFS('Recon of ORS and DV'!D:D,'Recon of ORS and DV'!B:B,'DV List for import'!A411)</f>
        <v>#VALUE!</v>
      </c>
      <c r="N411" s="276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4" t="str">
        <f t="shared" ref="C412:C425" si="23">L412</f>
        <v>0000-00-0000</v>
      </c>
      <c r="D412" s="562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2" t="e">
        <f>SUMIFS('[1]MAIN-101'!$Z$1:$Z$3000,'[1]MAIN-101'!$X$1:$X$3000,A412)</f>
        <v>#VALUE!</v>
      </c>
      <c r="I412" s="562" t="s">
        <v>2662</v>
      </c>
      <c r="J412" t="s">
        <v>2053</v>
      </c>
      <c r="K412" t="s">
        <v>2680</v>
      </c>
      <c r="L412" s="564" t="s">
        <v>2666</v>
      </c>
      <c r="M412" s="562">
        <f>SUMIFS('Recon of ORS and DV'!D:D,'Recon of ORS and DV'!B:B,'DV List for import'!A412)</f>
        <v>0</v>
      </c>
      <c r="N412" s="276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4" t="str">
        <f t="shared" si="23"/>
        <v>0000-00-0000</v>
      </c>
      <c r="D413" s="562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2" t="e">
        <f>SUMIFS('[1]MAIN-101'!$Z$1:$Z$3000,'[1]MAIN-101'!$X$1:$X$3000,A413)</f>
        <v>#VALUE!</v>
      </c>
      <c r="I413" s="562" t="s">
        <v>2662</v>
      </c>
      <c r="J413" t="s">
        <v>2053</v>
      </c>
      <c r="K413" t="s">
        <v>2680</v>
      </c>
      <c r="L413" s="564" t="s">
        <v>2666</v>
      </c>
      <c r="M413" s="562">
        <f>SUMIFS('Recon of ORS and DV'!D:D,'Recon of ORS and DV'!B:B,'DV List for import'!A413)</f>
        <v>0</v>
      </c>
      <c r="N413" s="276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4" t="str">
        <f t="shared" si="23"/>
        <v>0000-00-0000</v>
      </c>
      <c r="D414" s="562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2" t="e">
        <f>SUMIFS('[1]MAIN-101'!$Z$1:$Z$3000,'[1]MAIN-101'!$X$1:$X$3000,A414)</f>
        <v>#VALUE!</v>
      </c>
      <c r="I414" s="562" t="s">
        <v>2662</v>
      </c>
      <c r="J414" t="s">
        <v>2053</v>
      </c>
      <c r="K414" t="s">
        <v>2680</v>
      </c>
      <c r="L414" s="564" t="s">
        <v>2666</v>
      </c>
      <c r="M414" s="562">
        <f>SUMIFS('Recon of ORS and DV'!D:D,'Recon of ORS and DV'!B:B,'DV List for import'!A414)</f>
        <v>0</v>
      </c>
      <c r="N414" s="276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4" t="str">
        <f t="shared" si="23"/>
        <v>0000-00-0000</v>
      </c>
      <c r="D415" s="562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2" t="e">
        <f>SUMIFS('[1]MAIN-101'!$Z$1:$Z$3000,'[1]MAIN-101'!$X$1:$X$3000,A415)</f>
        <v>#VALUE!</v>
      </c>
      <c r="I415" s="562" t="s">
        <v>2662</v>
      </c>
      <c r="J415" t="s">
        <v>2053</v>
      </c>
      <c r="K415" t="s">
        <v>2680</v>
      </c>
      <c r="L415" s="564" t="s">
        <v>2666</v>
      </c>
      <c r="M415" s="562">
        <f>SUMIFS('Recon of ORS and DV'!D:D,'Recon of ORS and DV'!B:B,'DV List for import'!A415)</f>
        <v>0</v>
      </c>
      <c r="N415" s="276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4" t="str">
        <f t="shared" si="23"/>
        <v>0000-00-0000</v>
      </c>
      <c r="D416" s="562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2" t="e">
        <f>SUMIFS('[1]MAIN-101'!$Z$1:$Z$3000,'[1]MAIN-101'!$X$1:$X$3000,A416)</f>
        <v>#VALUE!</v>
      </c>
      <c r="I416" s="562" t="s">
        <v>2662</v>
      </c>
      <c r="J416" t="s">
        <v>2053</v>
      </c>
      <c r="K416" t="s">
        <v>2680</v>
      </c>
      <c r="L416" s="564" t="s">
        <v>2666</v>
      </c>
      <c r="M416" s="562">
        <f>SUMIFS('Recon of ORS and DV'!D:D,'Recon of ORS and DV'!B:B,'DV List for import'!A416)</f>
        <v>0</v>
      </c>
      <c r="N416" s="276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4" t="str">
        <f t="shared" si="23"/>
        <v>0000-00-0000</v>
      </c>
      <c r="D417" s="562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2" t="e">
        <f>SUMIFS('[1]MAIN-101'!$Z$1:$Z$3000,'[1]MAIN-101'!$X$1:$X$3000,A417)</f>
        <v>#VALUE!</v>
      </c>
      <c r="I417" s="562" t="s">
        <v>2662</v>
      </c>
      <c r="J417" t="s">
        <v>2053</v>
      </c>
      <c r="K417" t="s">
        <v>2680</v>
      </c>
      <c r="L417" s="564" t="s">
        <v>2666</v>
      </c>
      <c r="M417" s="562">
        <f>SUMIFS('Recon of ORS and DV'!D:D,'Recon of ORS and DV'!B:B,'DV List for import'!A417)</f>
        <v>0</v>
      </c>
      <c r="N417" s="276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4" t="str">
        <f t="shared" si="23"/>
        <v>0000-00-0000</v>
      </c>
      <c r="D418" s="562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2" t="e">
        <f>SUMIFS('[1]MAIN-101'!$Z$1:$Z$3000,'[1]MAIN-101'!$X$1:$X$3000,A418)</f>
        <v>#VALUE!</v>
      </c>
      <c r="I418" s="562" t="s">
        <v>2662</v>
      </c>
      <c r="J418" t="s">
        <v>2053</v>
      </c>
      <c r="K418" t="s">
        <v>2680</v>
      </c>
      <c r="L418" s="564" t="s">
        <v>2666</v>
      </c>
      <c r="M418" s="562">
        <f>SUMIFS('Recon of ORS and DV'!D:D,'Recon of ORS and DV'!B:B,'DV List for import'!A418)</f>
        <v>0</v>
      </c>
      <c r="N418" s="276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4" t="str">
        <f t="shared" si="23"/>
        <v>0000-00-0000</v>
      </c>
      <c r="D419" s="562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2" t="e">
        <f>SUMIFS('[1]MAIN-101'!$Z$1:$Z$3000,'[1]MAIN-101'!$X$1:$X$3000,A419)</f>
        <v>#VALUE!</v>
      </c>
      <c r="I419" s="562" t="s">
        <v>2662</v>
      </c>
      <c r="J419" t="s">
        <v>2053</v>
      </c>
      <c r="K419" t="s">
        <v>2680</v>
      </c>
      <c r="L419" s="564" t="s">
        <v>2666</v>
      </c>
      <c r="M419" s="562">
        <f>SUMIFS('Recon of ORS and DV'!D:D,'Recon of ORS and DV'!B:B,'DV List for import'!A419)</f>
        <v>0</v>
      </c>
      <c r="N419" s="276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4" t="str">
        <f t="shared" si="23"/>
        <v>0000-00-0000</v>
      </c>
      <c r="D420" s="562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2" t="e">
        <f>SUMIFS('[1]MAIN-101'!$Z$1:$Z$3000,'[1]MAIN-101'!$X$1:$X$3000,A420)</f>
        <v>#VALUE!</v>
      </c>
      <c r="I420" s="562" t="s">
        <v>2662</v>
      </c>
      <c r="J420" t="s">
        <v>2053</v>
      </c>
      <c r="K420" t="s">
        <v>2680</v>
      </c>
      <c r="L420" s="564" t="s">
        <v>2666</v>
      </c>
      <c r="M420" s="562">
        <f>SUMIFS('Recon of ORS and DV'!D:D,'Recon of ORS and DV'!B:B,'DV List for import'!A420)</f>
        <v>0</v>
      </c>
      <c r="N420" s="276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4" t="str">
        <f t="shared" si="23"/>
        <v>0000-00-0000</v>
      </c>
      <c r="D421" s="562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2" t="e">
        <f>SUMIFS('[1]MAIN-101'!$Z$1:$Z$3000,'[1]MAIN-101'!$X$1:$X$3000,A421)</f>
        <v>#VALUE!</v>
      </c>
      <c r="I421" s="562" t="s">
        <v>2662</v>
      </c>
      <c r="J421" t="s">
        <v>2053</v>
      </c>
      <c r="K421" t="s">
        <v>2680</v>
      </c>
      <c r="L421" s="564" t="s">
        <v>2666</v>
      </c>
      <c r="M421" s="562">
        <f>SUMIFS('Recon of ORS and DV'!D:D,'Recon of ORS and DV'!B:B,'DV List for import'!A421)</f>
        <v>0</v>
      </c>
      <c r="N421" s="276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4" t="str">
        <f t="shared" si="23"/>
        <v>0000-00-0000</v>
      </c>
      <c r="D422" s="562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2" t="e">
        <f>SUMIFS('[1]MAIN-101'!$Z$1:$Z$3000,'[1]MAIN-101'!$X$1:$X$3000,A422)</f>
        <v>#VALUE!</v>
      </c>
      <c r="I422" s="562" t="s">
        <v>2662</v>
      </c>
      <c r="J422" t="s">
        <v>2053</v>
      </c>
      <c r="K422" t="s">
        <v>2680</v>
      </c>
      <c r="L422" s="564" t="s">
        <v>2666</v>
      </c>
      <c r="M422" s="562">
        <f>SUMIFS('Recon of ORS and DV'!D:D,'Recon of ORS and DV'!B:B,'DV List for import'!A422)</f>
        <v>0</v>
      </c>
      <c r="N422" s="276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4" t="str">
        <f t="shared" si="23"/>
        <v>0000-00-0000</v>
      </c>
      <c r="D423" s="562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2" t="e">
        <f>SUMIFS('[1]MAIN-101'!$Z$1:$Z$3000,'[1]MAIN-101'!$X$1:$X$3000,A423)</f>
        <v>#VALUE!</v>
      </c>
      <c r="I423" s="562" t="s">
        <v>2662</v>
      </c>
      <c r="J423" t="s">
        <v>2053</v>
      </c>
      <c r="K423" t="s">
        <v>2680</v>
      </c>
      <c r="L423" s="564" t="s">
        <v>2666</v>
      </c>
      <c r="M423" s="562">
        <f>SUMIFS('Recon of ORS and DV'!D:D,'Recon of ORS and DV'!B:B,'DV List for import'!A423)</f>
        <v>0</v>
      </c>
      <c r="N423" s="276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4" t="str">
        <f t="shared" si="23"/>
        <v>0000-00-0000</v>
      </c>
      <c r="D424" s="562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2" t="e">
        <f>SUMIFS('[1]MAIN-101'!$Z$1:$Z$3000,'[1]MAIN-101'!$X$1:$X$3000,A424)</f>
        <v>#VALUE!</v>
      </c>
      <c r="I424" s="562" t="s">
        <v>2662</v>
      </c>
      <c r="J424" t="s">
        <v>2053</v>
      </c>
      <c r="K424" t="s">
        <v>2680</v>
      </c>
      <c r="L424" s="564" t="s">
        <v>2666</v>
      </c>
      <c r="M424" s="562">
        <f>SUMIFS('Recon of ORS and DV'!D:D,'Recon of ORS and DV'!B:B,'DV List for import'!A424)</f>
        <v>0</v>
      </c>
      <c r="N424" s="276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4" t="str">
        <f t="shared" si="23"/>
        <v>0000-00-0000</v>
      </c>
      <c r="D425" s="562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2" t="e">
        <f>SUMIFS('[1]MAIN-101'!$Z$1:$Z$3000,'[1]MAIN-101'!$X$1:$X$3000,A425)</f>
        <v>#VALUE!</v>
      </c>
      <c r="I425" s="562" t="s">
        <v>2662</v>
      </c>
      <c r="J425" t="s">
        <v>2053</v>
      </c>
      <c r="K425" t="s">
        <v>2680</v>
      </c>
      <c r="L425" s="564" t="s">
        <v>2666</v>
      </c>
      <c r="M425" s="562">
        <f>SUMIFS('Recon of ORS and DV'!D:D,'Recon of ORS and DV'!B:B,'DV List for import'!A425)</f>
        <v>0</v>
      </c>
      <c r="N425" s="276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2" t="e">
        <f>VLOOKUP(L426,'Import Process ORS'!$D$4:$E$1557,2,FALSE)</f>
        <v>#N/A</v>
      </c>
      <c r="D426" s="562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2" t="e">
        <f>SUMIFS('[1]MAIN-101'!$Z$1:$Z$3000,'[1]MAIN-101'!$X$1:$X$3000,A426)</f>
        <v>#VALUE!</v>
      </c>
      <c r="I426" s="562" t="s">
        <v>2687</v>
      </c>
      <c r="J426" t="s">
        <v>2683</v>
      </c>
      <c r="K426" t="s">
        <v>2678</v>
      </c>
      <c r="L426" s="562" t="str">
        <f>VLOOKUP(A426,'Format for Import of DV'!$A$3:$S$1556,3,FALSE)</f>
        <v>267</v>
      </c>
      <c r="M426" s="562" t="e">
        <f>SUMIFS('Recon of ORS and DV'!D:D,'Recon of ORS and DV'!B:B,'DV List for import'!A426)</f>
        <v>#VALUE!</v>
      </c>
      <c r="N426" s="276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2" t="e">
        <f>VLOOKUP(L427,'Import Process ORS'!$D$4:$E$1557,2,FALSE)</f>
        <v>#N/A</v>
      </c>
      <c r="D427" s="562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2" t="e">
        <f>SUMIFS('[1]MAIN-101'!$Z$1:$Z$3000,'[1]MAIN-101'!$X$1:$X$3000,A427)</f>
        <v>#VALUE!</v>
      </c>
      <c r="I427" s="562" t="s">
        <v>2687</v>
      </c>
      <c r="J427" t="s">
        <v>2683</v>
      </c>
      <c r="K427" t="s">
        <v>2678</v>
      </c>
      <c r="L427" s="562" t="str">
        <f>VLOOKUP(A427,'Format for Import of DV'!$A$3:$S$1556,3,FALSE)</f>
        <v>265</v>
      </c>
      <c r="M427" s="562" t="e">
        <f>SUMIFS('Recon of ORS and DV'!D:D,'Recon of ORS and DV'!B:B,'DV List for import'!A427)</f>
        <v>#VALUE!</v>
      </c>
      <c r="N427" s="276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2" t="e">
        <f>VLOOKUP(L428,'Import Process ORS'!$D$4:$E$1557,2,FALSE)</f>
        <v>#N/A</v>
      </c>
      <c r="D428" s="562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2" t="e">
        <f>SUMIFS('[1]MAIN-101'!$Z$1:$Z$3000,'[1]MAIN-101'!$X$1:$X$3000,A428)</f>
        <v>#VALUE!</v>
      </c>
      <c r="I428" s="562" t="s">
        <v>2687</v>
      </c>
      <c r="J428" t="s">
        <v>2683</v>
      </c>
      <c r="K428" t="s">
        <v>2678</v>
      </c>
      <c r="L428" s="562" t="str">
        <f>VLOOKUP(A428,'Format for Import of DV'!$A$3:$S$1556,3,FALSE)</f>
        <v>264</v>
      </c>
      <c r="M428" s="562" t="e">
        <f>SUMIFS('Recon of ORS and DV'!D:D,'Recon of ORS and DV'!B:B,'DV List for import'!A428)</f>
        <v>#VALUE!</v>
      </c>
      <c r="N428" s="276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2" t="e">
        <f>VLOOKUP(L429,'Import Process ORS'!$D$4:$E$1557,2,FALSE)</f>
        <v>#N/A</v>
      </c>
      <c r="D429" s="562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2" t="e">
        <f>SUMIFS('[1]MAIN-101'!$Z$1:$Z$3000,'[1]MAIN-101'!$X$1:$X$3000,A429)</f>
        <v>#VALUE!</v>
      </c>
      <c r="I429" s="562" t="s">
        <v>2687</v>
      </c>
      <c r="J429" t="s">
        <v>2683</v>
      </c>
      <c r="K429" t="s">
        <v>2678</v>
      </c>
      <c r="L429" s="562" t="str">
        <f>VLOOKUP(A429,'Format for Import of DV'!$A$3:$S$1556,3,FALSE)</f>
        <v>268</v>
      </c>
      <c r="M429" s="562" t="e">
        <f>SUMIFS('Recon of ORS and DV'!D:D,'Recon of ORS and DV'!B:B,'DV List for import'!A429)</f>
        <v>#VALUE!</v>
      </c>
      <c r="N429" s="276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4" t="str">
        <f t="shared" ref="C430:C459" si="25">L430</f>
        <v>0000-00-0000</v>
      </c>
      <c r="D430" s="562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2" t="e">
        <f>SUMIFS('[1]MAIN-101'!$Z$1:$Z$3000,'[1]MAIN-101'!$X$1:$X$3000,A430)</f>
        <v>#VALUE!</v>
      </c>
      <c r="I430" s="562" t="s">
        <v>2662</v>
      </c>
      <c r="J430" t="s">
        <v>2053</v>
      </c>
      <c r="K430" t="s">
        <v>2680</v>
      </c>
      <c r="L430" s="564" t="s">
        <v>2666</v>
      </c>
      <c r="M430" s="562">
        <f>SUMIFS('Recon of ORS and DV'!D:D,'Recon of ORS and DV'!B:B,'DV List for import'!A430)</f>
        <v>0</v>
      </c>
      <c r="N430" s="276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4" t="str">
        <f t="shared" si="25"/>
        <v>0000-00-0000</v>
      </c>
      <c r="D431" s="562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2" t="e">
        <f>SUMIFS('[1]MAIN-101'!$Z$1:$Z$3000,'[1]MAIN-101'!$X$1:$X$3000,A431)</f>
        <v>#VALUE!</v>
      </c>
      <c r="I431" s="562" t="s">
        <v>2662</v>
      </c>
      <c r="J431" t="s">
        <v>2053</v>
      </c>
      <c r="K431" t="s">
        <v>2680</v>
      </c>
      <c r="L431" s="564" t="s">
        <v>2666</v>
      </c>
      <c r="M431" s="562">
        <f>SUMIFS('Recon of ORS and DV'!D:D,'Recon of ORS and DV'!B:B,'DV List for import'!A431)</f>
        <v>0</v>
      </c>
      <c r="N431" s="276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4" t="str">
        <f t="shared" si="25"/>
        <v>0000-00-0000</v>
      </c>
      <c r="D432" s="562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2" t="e">
        <f>SUMIFS('[1]MAIN-101'!$Z$1:$Z$3000,'[1]MAIN-101'!$X$1:$X$3000,A432)</f>
        <v>#VALUE!</v>
      </c>
      <c r="I432" s="562" t="s">
        <v>2662</v>
      </c>
      <c r="J432" t="s">
        <v>2053</v>
      </c>
      <c r="K432" t="s">
        <v>2680</v>
      </c>
      <c r="L432" s="564" t="s">
        <v>2666</v>
      </c>
      <c r="M432" s="562">
        <f>SUMIFS('Recon of ORS and DV'!D:D,'Recon of ORS and DV'!B:B,'DV List for import'!A432)</f>
        <v>0</v>
      </c>
      <c r="N432" s="276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4" t="str">
        <f t="shared" si="25"/>
        <v>0000-00-0000</v>
      </c>
      <c r="D433" s="562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2" t="e">
        <f>SUMIFS('[1]MAIN-101'!$Z$1:$Z$3000,'[1]MAIN-101'!$X$1:$X$3000,A433)</f>
        <v>#VALUE!</v>
      </c>
      <c r="I433" s="562" t="s">
        <v>2662</v>
      </c>
      <c r="J433" t="s">
        <v>2053</v>
      </c>
      <c r="K433" t="s">
        <v>2680</v>
      </c>
      <c r="L433" s="564" t="s">
        <v>2666</v>
      </c>
      <c r="M433" s="562">
        <f>SUMIFS('Recon of ORS and DV'!D:D,'Recon of ORS and DV'!B:B,'DV List for import'!A433)</f>
        <v>0</v>
      </c>
      <c r="N433" s="276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4" t="str">
        <f t="shared" si="25"/>
        <v>0000-00-0000</v>
      </c>
      <c r="D434" s="562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2" t="e">
        <f>SUMIFS('[1]MAIN-101'!$Z$1:$Z$3000,'[1]MAIN-101'!$X$1:$X$3000,A434)</f>
        <v>#VALUE!</v>
      </c>
      <c r="I434" s="562" t="s">
        <v>2662</v>
      </c>
      <c r="J434" t="s">
        <v>2053</v>
      </c>
      <c r="K434" t="s">
        <v>2680</v>
      </c>
      <c r="L434" s="564" t="s">
        <v>2666</v>
      </c>
      <c r="M434" s="562">
        <f>SUMIFS('Recon of ORS and DV'!D:D,'Recon of ORS and DV'!B:B,'DV List for import'!A434)</f>
        <v>0</v>
      </c>
      <c r="N434" s="276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4" t="str">
        <f t="shared" si="25"/>
        <v>0000-00-0000</v>
      </c>
      <c r="D435" s="562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2" t="e">
        <f>SUMIFS('[1]MAIN-101'!$Z$1:$Z$3000,'[1]MAIN-101'!$X$1:$X$3000,A435)</f>
        <v>#VALUE!</v>
      </c>
      <c r="I435" s="562" t="s">
        <v>2662</v>
      </c>
      <c r="J435" t="s">
        <v>2053</v>
      </c>
      <c r="K435" t="s">
        <v>2680</v>
      </c>
      <c r="L435" s="564" t="s">
        <v>2666</v>
      </c>
      <c r="M435" s="562">
        <f>SUMIFS('Recon of ORS and DV'!D:D,'Recon of ORS and DV'!B:B,'DV List for import'!A435)</f>
        <v>0</v>
      </c>
      <c r="N435" s="276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4" t="str">
        <f t="shared" si="25"/>
        <v>0000-00-0000</v>
      </c>
      <c r="D436" s="562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2" t="e">
        <f>SUMIFS('[1]MAIN-101'!$Z$1:$Z$3000,'[1]MAIN-101'!$X$1:$X$3000,A436)</f>
        <v>#VALUE!</v>
      </c>
      <c r="I436" s="562" t="s">
        <v>2662</v>
      </c>
      <c r="J436" t="s">
        <v>2053</v>
      </c>
      <c r="K436" t="s">
        <v>2680</v>
      </c>
      <c r="L436" s="564" t="s">
        <v>2666</v>
      </c>
      <c r="M436" s="562">
        <f>SUMIFS('Recon of ORS and DV'!D:D,'Recon of ORS and DV'!B:B,'DV List for import'!A436)</f>
        <v>0</v>
      </c>
      <c r="N436" s="276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4" t="str">
        <f t="shared" si="25"/>
        <v>0000-00-0000</v>
      </c>
      <c r="D437" s="562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2" t="e">
        <f>SUMIFS('[1]MAIN-101'!$Z$1:$Z$3000,'[1]MAIN-101'!$X$1:$X$3000,A437)</f>
        <v>#VALUE!</v>
      </c>
      <c r="I437" s="562" t="s">
        <v>2662</v>
      </c>
      <c r="J437" t="s">
        <v>2053</v>
      </c>
      <c r="K437" t="s">
        <v>2680</v>
      </c>
      <c r="L437" s="564" t="s">
        <v>2666</v>
      </c>
      <c r="M437" s="562">
        <f>SUMIFS('Recon of ORS and DV'!D:D,'Recon of ORS and DV'!B:B,'DV List for import'!A437)</f>
        <v>0</v>
      </c>
      <c r="N437" s="276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4" t="str">
        <f t="shared" si="25"/>
        <v>0000-00-0000</v>
      </c>
      <c r="D438" s="562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2" t="e">
        <f>SUMIFS('[1]MAIN-101'!$Z$1:$Z$3000,'[1]MAIN-101'!$X$1:$X$3000,A438)</f>
        <v>#VALUE!</v>
      </c>
      <c r="I438" s="562" t="s">
        <v>2662</v>
      </c>
      <c r="J438" t="s">
        <v>2053</v>
      </c>
      <c r="K438" t="s">
        <v>2680</v>
      </c>
      <c r="L438" s="564" t="s">
        <v>2666</v>
      </c>
      <c r="M438" s="562">
        <f>SUMIFS('Recon of ORS and DV'!D:D,'Recon of ORS and DV'!B:B,'DV List for import'!A438)</f>
        <v>0</v>
      </c>
      <c r="N438" s="276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4" t="str">
        <f t="shared" si="25"/>
        <v>0000-00-0000</v>
      </c>
      <c r="D439" s="562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2" t="e">
        <f>SUMIFS('[1]MAIN-101'!$Z$1:$Z$3000,'[1]MAIN-101'!$X$1:$X$3000,A439)</f>
        <v>#VALUE!</v>
      </c>
      <c r="I439" s="562" t="s">
        <v>2662</v>
      </c>
      <c r="J439" t="s">
        <v>2053</v>
      </c>
      <c r="K439" t="s">
        <v>2680</v>
      </c>
      <c r="L439" s="564" t="s">
        <v>2666</v>
      </c>
      <c r="M439" s="562">
        <f>SUMIFS('Recon of ORS and DV'!D:D,'Recon of ORS and DV'!B:B,'DV List for import'!A439)</f>
        <v>0</v>
      </c>
      <c r="N439" s="276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4" t="str">
        <f t="shared" si="25"/>
        <v>0000-00-0000</v>
      </c>
      <c r="D440" s="562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2" t="e">
        <f>SUMIFS('[1]MAIN-101'!$Z$1:$Z$3000,'[1]MAIN-101'!$X$1:$X$3000,A440)</f>
        <v>#VALUE!</v>
      </c>
      <c r="I440" s="562" t="s">
        <v>2662</v>
      </c>
      <c r="J440" t="s">
        <v>2053</v>
      </c>
      <c r="K440" t="s">
        <v>2680</v>
      </c>
      <c r="L440" s="564" t="s">
        <v>2666</v>
      </c>
      <c r="M440" s="562">
        <f>SUMIFS('Recon of ORS and DV'!D:D,'Recon of ORS and DV'!B:B,'DV List for import'!A440)</f>
        <v>0</v>
      </c>
      <c r="N440" s="276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4" t="str">
        <f t="shared" si="25"/>
        <v>0000-00-0000</v>
      </c>
      <c r="D441" s="562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2" t="e">
        <f>SUMIFS('[1]MAIN-101'!$Z$1:$Z$3000,'[1]MAIN-101'!$X$1:$X$3000,A441)</f>
        <v>#VALUE!</v>
      </c>
      <c r="I441" s="562" t="s">
        <v>2662</v>
      </c>
      <c r="J441" t="s">
        <v>2053</v>
      </c>
      <c r="K441" t="s">
        <v>2680</v>
      </c>
      <c r="L441" s="564" t="s">
        <v>2666</v>
      </c>
      <c r="M441" s="562">
        <f>SUMIFS('Recon of ORS and DV'!D:D,'Recon of ORS and DV'!B:B,'DV List for import'!A441)</f>
        <v>0</v>
      </c>
      <c r="N441" s="276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4" t="str">
        <f t="shared" si="25"/>
        <v>0000-00-0000</v>
      </c>
      <c r="D442" s="562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2" t="e">
        <f>SUMIFS('[1]MAIN-101'!$Z$1:$Z$3000,'[1]MAIN-101'!$X$1:$X$3000,A442)</f>
        <v>#VALUE!</v>
      </c>
      <c r="I442" s="562" t="s">
        <v>2662</v>
      </c>
      <c r="J442" t="s">
        <v>2053</v>
      </c>
      <c r="K442" t="s">
        <v>2680</v>
      </c>
      <c r="L442" s="564" t="s">
        <v>2666</v>
      </c>
      <c r="M442" s="562">
        <f>SUMIFS('Recon of ORS and DV'!D:D,'Recon of ORS and DV'!B:B,'DV List for import'!A442)</f>
        <v>0</v>
      </c>
      <c r="N442" s="276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4" t="str">
        <f t="shared" si="25"/>
        <v>0000-00-0000</v>
      </c>
      <c r="D443" s="562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2" t="e">
        <f>SUMIFS('[1]MAIN-101'!$Z$1:$Z$3000,'[1]MAIN-101'!$X$1:$X$3000,A443)</f>
        <v>#VALUE!</v>
      </c>
      <c r="I443" s="562" t="s">
        <v>2662</v>
      </c>
      <c r="J443" t="s">
        <v>2053</v>
      </c>
      <c r="K443" t="s">
        <v>2680</v>
      </c>
      <c r="L443" s="564" t="s">
        <v>2666</v>
      </c>
      <c r="M443" s="562">
        <f>SUMIFS('Recon of ORS and DV'!D:D,'Recon of ORS and DV'!B:B,'DV List for import'!A443)</f>
        <v>0</v>
      </c>
      <c r="N443" s="276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4" t="str">
        <f t="shared" si="25"/>
        <v>0000-00-0000</v>
      </c>
      <c r="D444" s="562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2" t="e">
        <f>SUMIFS('[1]MAIN-101'!$Z$1:$Z$3000,'[1]MAIN-101'!$X$1:$X$3000,A444)</f>
        <v>#VALUE!</v>
      </c>
      <c r="I444" s="562" t="s">
        <v>2662</v>
      </c>
      <c r="J444" t="s">
        <v>2053</v>
      </c>
      <c r="K444" t="s">
        <v>2680</v>
      </c>
      <c r="L444" s="564" t="s">
        <v>2666</v>
      </c>
      <c r="M444" s="562">
        <f>SUMIFS('Recon of ORS and DV'!D:D,'Recon of ORS and DV'!B:B,'DV List for import'!A444)</f>
        <v>0</v>
      </c>
      <c r="N444" s="276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4" t="str">
        <f t="shared" si="25"/>
        <v>0000-00-0000</v>
      </c>
      <c r="D445" s="562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2" t="e">
        <f>SUMIFS('[1]MAIN-101'!$Z$1:$Z$3000,'[1]MAIN-101'!$X$1:$X$3000,A445)</f>
        <v>#VALUE!</v>
      </c>
      <c r="I445" s="562" t="s">
        <v>2662</v>
      </c>
      <c r="J445" t="s">
        <v>2053</v>
      </c>
      <c r="K445" t="s">
        <v>2680</v>
      </c>
      <c r="L445" s="564" t="s">
        <v>2666</v>
      </c>
      <c r="M445" s="562">
        <f>SUMIFS('Recon of ORS and DV'!D:D,'Recon of ORS and DV'!B:B,'DV List for import'!A445)</f>
        <v>0</v>
      </c>
      <c r="N445" s="276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4" t="str">
        <f t="shared" si="25"/>
        <v>0000-00-0000</v>
      </c>
      <c r="D446" s="562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2" t="e">
        <f>SUMIFS('[1]MAIN-101'!$Z$1:$Z$3000,'[1]MAIN-101'!$X$1:$X$3000,A446)</f>
        <v>#VALUE!</v>
      </c>
      <c r="I446" s="562" t="s">
        <v>2662</v>
      </c>
      <c r="J446" t="s">
        <v>2053</v>
      </c>
      <c r="K446" t="s">
        <v>2680</v>
      </c>
      <c r="L446" s="564" t="s">
        <v>2666</v>
      </c>
      <c r="M446" s="562">
        <f>SUMIFS('Recon of ORS and DV'!D:D,'Recon of ORS and DV'!B:B,'DV List for import'!A446)</f>
        <v>0</v>
      </c>
      <c r="N446" s="276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4" t="str">
        <f t="shared" si="25"/>
        <v>0000-00-0000</v>
      </c>
      <c r="D447" s="562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2" t="e">
        <f>SUMIFS('[1]MAIN-101'!$Z$1:$Z$3000,'[1]MAIN-101'!$X$1:$X$3000,A447)</f>
        <v>#VALUE!</v>
      </c>
      <c r="I447" s="562" t="s">
        <v>2662</v>
      </c>
      <c r="J447" t="s">
        <v>2053</v>
      </c>
      <c r="K447" t="s">
        <v>2680</v>
      </c>
      <c r="L447" s="564" t="s">
        <v>2666</v>
      </c>
      <c r="M447" s="562">
        <f>SUMIFS('Recon of ORS and DV'!D:D,'Recon of ORS and DV'!B:B,'DV List for import'!A447)</f>
        <v>0</v>
      </c>
      <c r="N447" s="276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4" t="str">
        <f t="shared" si="25"/>
        <v>0000-00-0000</v>
      </c>
      <c r="D448" s="562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2" t="e">
        <f>SUMIFS('[1]MAIN-101'!$Z$1:$Z$3000,'[1]MAIN-101'!$X$1:$X$3000,A448)</f>
        <v>#VALUE!</v>
      </c>
      <c r="I448" s="562" t="s">
        <v>2662</v>
      </c>
      <c r="J448" t="s">
        <v>2053</v>
      </c>
      <c r="K448" t="s">
        <v>2680</v>
      </c>
      <c r="L448" s="564" t="s">
        <v>2666</v>
      </c>
      <c r="M448" s="562">
        <f>SUMIFS('Recon of ORS and DV'!D:D,'Recon of ORS and DV'!B:B,'DV List for import'!A448)</f>
        <v>0</v>
      </c>
      <c r="N448" s="276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4" t="str">
        <f t="shared" si="25"/>
        <v>0000-00-0000</v>
      </c>
      <c r="D449" s="562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2" t="e">
        <f>SUMIFS('[1]MAIN-101'!$Z$1:$Z$3000,'[1]MAIN-101'!$X$1:$X$3000,A449)</f>
        <v>#VALUE!</v>
      </c>
      <c r="I449" s="562" t="s">
        <v>2662</v>
      </c>
      <c r="J449" t="s">
        <v>2053</v>
      </c>
      <c r="K449" t="s">
        <v>2680</v>
      </c>
      <c r="L449" s="564" t="s">
        <v>2666</v>
      </c>
      <c r="M449" s="562">
        <f>SUMIFS('Recon of ORS and DV'!D:D,'Recon of ORS and DV'!B:B,'DV List for import'!A449)</f>
        <v>0</v>
      </c>
      <c r="N449" s="276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4" t="str">
        <f t="shared" si="25"/>
        <v>0000-00-0000</v>
      </c>
      <c r="D450" s="562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2" t="e">
        <f>SUMIFS('[1]MAIN-101'!$Z$1:$Z$3000,'[1]MAIN-101'!$X$1:$X$3000,A450)</f>
        <v>#VALUE!</v>
      </c>
      <c r="I450" s="562" t="s">
        <v>2662</v>
      </c>
      <c r="J450" t="s">
        <v>2053</v>
      </c>
      <c r="K450" t="s">
        <v>2680</v>
      </c>
      <c r="L450" s="564" t="s">
        <v>2666</v>
      </c>
      <c r="M450" s="562">
        <f>SUMIFS('Recon of ORS and DV'!D:D,'Recon of ORS and DV'!B:B,'DV List for import'!A450)</f>
        <v>0</v>
      </c>
      <c r="N450" s="276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4" t="str">
        <f t="shared" si="25"/>
        <v>0000-00-0000</v>
      </c>
      <c r="D451" s="562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2" t="e">
        <f>SUMIFS('[1]MAIN-101'!$Z$1:$Z$3000,'[1]MAIN-101'!$X$1:$X$3000,A451)</f>
        <v>#VALUE!</v>
      </c>
      <c r="I451" s="562" t="s">
        <v>392</v>
      </c>
      <c r="J451" t="s">
        <v>2681</v>
      </c>
      <c r="K451" t="s">
        <v>2679</v>
      </c>
      <c r="L451" s="564" t="s">
        <v>2666</v>
      </c>
      <c r="M451" s="562">
        <f>SUMIFS('Recon of ORS and DV'!D:D,'Recon of ORS and DV'!B:B,'DV List for import'!A451)</f>
        <v>0</v>
      </c>
      <c r="N451" s="276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4" t="str">
        <f t="shared" si="25"/>
        <v>0000-00-0000</v>
      </c>
      <c r="D452" s="562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2" t="e">
        <f>SUMIFS('[1]MAIN-101'!$Z$1:$Z$3000,'[1]MAIN-101'!$X$1:$X$3000,A452)</f>
        <v>#VALUE!</v>
      </c>
      <c r="I452" s="562" t="s">
        <v>392</v>
      </c>
      <c r="J452" t="s">
        <v>2681</v>
      </c>
      <c r="K452" t="s">
        <v>2679</v>
      </c>
      <c r="L452" s="564" t="s">
        <v>2666</v>
      </c>
      <c r="M452" s="562">
        <f>SUMIFS('Recon of ORS and DV'!D:D,'Recon of ORS and DV'!B:B,'DV List for import'!A452)</f>
        <v>0</v>
      </c>
      <c r="N452" s="276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4" t="str">
        <f t="shared" si="25"/>
        <v>0000-00-0000</v>
      </c>
      <c r="D453" s="562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2" t="e">
        <f>SUMIFS('[1]MAIN-101'!$Z$1:$Z$3000,'[1]MAIN-101'!$X$1:$X$3000,A453)</f>
        <v>#VALUE!</v>
      </c>
      <c r="I453" s="562" t="s">
        <v>392</v>
      </c>
      <c r="J453" t="s">
        <v>2681</v>
      </c>
      <c r="K453" t="s">
        <v>2679</v>
      </c>
      <c r="L453" s="564" t="s">
        <v>2666</v>
      </c>
      <c r="M453" s="562">
        <f>SUMIFS('Recon of ORS and DV'!D:D,'Recon of ORS and DV'!B:B,'DV List for import'!A453)</f>
        <v>0</v>
      </c>
      <c r="N453" s="276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4" t="str">
        <f t="shared" si="25"/>
        <v>0000-00-0000</v>
      </c>
      <c r="D454" s="562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2" t="e">
        <f>SUMIFS('[1]MAIN-101'!$Z$1:$Z$3000,'[1]MAIN-101'!$X$1:$X$3000,A454)</f>
        <v>#VALUE!</v>
      </c>
      <c r="I454" s="562" t="s">
        <v>392</v>
      </c>
      <c r="J454" t="s">
        <v>2681</v>
      </c>
      <c r="K454" t="s">
        <v>2679</v>
      </c>
      <c r="L454" s="564" t="s">
        <v>2666</v>
      </c>
      <c r="M454" s="562">
        <f>SUMIFS('Recon of ORS and DV'!D:D,'Recon of ORS and DV'!B:B,'DV List for import'!A454)</f>
        <v>0</v>
      </c>
      <c r="N454" s="276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4" t="str">
        <f t="shared" si="25"/>
        <v>0000-00-0000</v>
      </c>
      <c r="D455" s="562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2" t="e">
        <f>SUMIFS('[1]MAIN-101'!$Z$1:$Z$3000,'[1]MAIN-101'!$X$1:$X$3000,A455)</f>
        <v>#VALUE!</v>
      </c>
      <c r="I455" s="562" t="s">
        <v>392</v>
      </c>
      <c r="J455" t="s">
        <v>2681</v>
      </c>
      <c r="K455" t="s">
        <v>2679</v>
      </c>
      <c r="L455" s="564" t="s">
        <v>2666</v>
      </c>
      <c r="M455" s="562">
        <f>SUMIFS('Recon of ORS and DV'!D:D,'Recon of ORS and DV'!B:B,'DV List for import'!A455)</f>
        <v>0</v>
      </c>
      <c r="N455" s="276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4" t="str">
        <f t="shared" si="25"/>
        <v>0000-00-0000</v>
      </c>
      <c r="D456" s="562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2" t="e">
        <f>SUMIFS('[1]MAIN-101'!$Z$1:$Z$3000,'[1]MAIN-101'!$X$1:$X$3000,A456)</f>
        <v>#VALUE!</v>
      </c>
      <c r="I456" s="562" t="s">
        <v>2687</v>
      </c>
      <c r="J456" t="s">
        <v>2683</v>
      </c>
      <c r="K456" t="s">
        <v>2678</v>
      </c>
      <c r="L456" s="564" t="s">
        <v>2666</v>
      </c>
      <c r="M456" s="562">
        <f>SUMIFS('Recon of ORS and DV'!D:D,'Recon of ORS and DV'!B:B,'DV List for import'!A456)</f>
        <v>0</v>
      </c>
      <c r="N456" s="276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4" t="str">
        <f t="shared" si="25"/>
        <v>0000-00-0000</v>
      </c>
      <c r="D457" s="562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2" t="e">
        <f>SUMIFS('[1]MAIN-101'!$Z$1:$Z$3000,'[1]MAIN-101'!$X$1:$X$3000,A457)</f>
        <v>#VALUE!</v>
      </c>
      <c r="I457" s="562" t="s">
        <v>392</v>
      </c>
      <c r="J457" t="s">
        <v>2681</v>
      </c>
      <c r="K457" t="s">
        <v>2679</v>
      </c>
      <c r="L457" s="564" t="s">
        <v>2666</v>
      </c>
      <c r="M457" s="562">
        <f>SUMIFS('Recon of ORS and DV'!D:D,'Recon of ORS and DV'!B:B,'DV List for import'!A457)</f>
        <v>0</v>
      </c>
      <c r="N457" s="276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4" t="str">
        <f t="shared" si="25"/>
        <v>0000-00-0000</v>
      </c>
      <c r="D458" s="562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2" t="e">
        <f>SUMIFS('[1]MAIN-101'!$Z$1:$Z$3000,'[1]MAIN-101'!$X$1:$X$3000,A458)</f>
        <v>#VALUE!</v>
      </c>
      <c r="I458" s="562" t="s">
        <v>2687</v>
      </c>
      <c r="J458" t="s">
        <v>2683</v>
      </c>
      <c r="K458" t="s">
        <v>2678</v>
      </c>
      <c r="L458" s="564" t="s">
        <v>2666</v>
      </c>
      <c r="M458" s="562">
        <f>SUMIFS('Recon of ORS and DV'!D:D,'Recon of ORS and DV'!B:B,'DV List for import'!A458)</f>
        <v>0</v>
      </c>
      <c r="N458" s="276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4" t="str">
        <f t="shared" si="25"/>
        <v>0000-00-0000</v>
      </c>
      <c r="D459" s="562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2" t="e">
        <f>SUMIFS('[1]MAIN-101'!$Z$1:$Z$3000,'[1]MAIN-101'!$X$1:$X$3000,A459)</f>
        <v>#VALUE!</v>
      </c>
      <c r="I459" s="562" t="s">
        <v>2687</v>
      </c>
      <c r="J459" t="s">
        <v>2683</v>
      </c>
      <c r="K459" t="s">
        <v>2678</v>
      </c>
      <c r="L459" s="564" t="s">
        <v>2666</v>
      </c>
      <c r="M459" s="562">
        <f>SUMIFS('Recon of ORS and DV'!D:D,'Recon of ORS and DV'!B:B,'DV List for import'!A459)</f>
        <v>0</v>
      </c>
      <c r="N459" s="276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2" t="e">
        <f>VLOOKUP(L460,'Import Process ORS'!$D$4:$E$1557,2,FALSE)</f>
        <v>#N/A</v>
      </c>
      <c r="D460" s="562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2" t="e">
        <f>SUMIFS('[1]MAIN-101'!$Z$1:$Z$3000,'[1]MAIN-101'!$X$1:$X$3000,A460)</f>
        <v>#VALUE!</v>
      </c>
      <c r="I460" s="562" t="s">
        <v>2687</v>
      </c>
      <c r="J460" t="s">
        <v>2683</v>
      </c>
      <c r="K460" t="s">
        <v>2678</v>
      </c>
      <c r="L460" s="562" t="str">
        <f>VLOOKUP(A460,'Format for Import of DV'!$A$3:$S$1556,3,FALSE)</f>
        <v>253</v>
      </c>
      <c r="M460" s="562" t="e">
        <f>SUMIFS('Recon of ORS and DV'!D:D,'Recon of ORS and DV'!B:B,'DV List for import'!A460)</f>
        <v>#VALUE!</v>
      </c>
      <c r="N460" s="276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4" t="str">
        <f>L461</f>
        <v>0000-00-0000</v>
      </c>
      <c r="D461" s="562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2" t="e">
        <f>SUMIFS('[1]MAIN-101'!$Z$1:$Z$3000,'[1]MAIN-101'!$X$1:$X$3000,A461)</f>
        <v>#VALUE!</v>
      </c>
      <c r="I461" s="562" t="s">
        <v>2687</v>
      </c>
      <c r="J461" t="s">
        <v>2683</v>
      </c>
      <c r="K461" t="s">
        <v>2678</v>
      </c>
      <c r="L461" s="564" t="s">
        <v>2666</v>
      </c>
      <c r="M461" s="562">
        <f>SUMIFS('Recon of ORS and DV'!D:D,'Recon of ORS and DV'!B:B,'DV List for import'!A461)</f>
        <v>0</v>
      </c>
      <c r="N461" s="276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4" t="str">
        <f>L462</f>
        <v>0000-00-0000</v>
      </c>
      <c r="D462" s="562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2" t="e">
        <f>SUMIFS('[1]MAIN-101'!$Z$1:$Z$3000,'[1]MAIN-101'!$X$1:$X$3000,A462)</f>
        <v>#VALUE!</v>
      </c>
      <c r="I462" s="562" t="s">
        <v>392</v>
      </c>
      <c r="J462" t="s">
        <v>2681</v>
      </c>
      <c r="K462" t="s">
        <v>2679</v>
      </c>
      <c r="L462" s="564" t="s">
        <v>2666</v>
      </c>
      <c r="M462" s="562">
        <f>SUMIFS('Recon of ORS and DV'!D:D,'Recon of ORS and DV'!B:B,'DV List for import'!A462)</f>
        <v>0</v>
      </c>
      <c r="N462" s="276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4" t="str">
        <f>L463</f>
        <v>0000-00-0000</v>
      </c>
      <c r="D463" s="562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2" t="e">
        <f>SUMIFS('[1]MAIN-101'!$Z$1:$Z$3000,'[1]MAIN-101'!$X$1:$X$3000,A463)</f>
        <v>#VALUE!</v>
      </c>
      <c r="I463" s="562" t="s">
        <v>2687</v>
      </c>
      <c r="J463" t="s">
        <v>2683</v>
      </c>
      <c r="K463" t="s">
        <v>2678</v>
      </c>
      <c r="L463" s="564" t="s">
        <v>2666</v>
      </c>
      <c r="M463" s="562">
        <f>SUMIFS('Recon of ORS and DV'!D:D,'Recon of ORS and DV'!B:B,'DV List for import'!A463)</f>
        <v>0</v>
      </c>
      <c r="N463" s="276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4" t="str">
        <f>L464</f>
        <v>0000-00-0000</v>
      </c>
      <c r="D464" s="562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2" t="e">
        <f>SUMIFS('[1]MAIN-101'!$Z$1:$Z$3000,'[1]MAIN-101'!$X$1:$X$3000,A464)</f>
        <v>#VALUE!</v>
      </c>
      <c r="I464" s="562" t="s">
        <v>392</v>
      </c>
      <c r="J464" t="s">
        <v>2681</v>
      </c>
      <c r="K464" t="s">
        <v>2679</v>
      </c>
      <c r="L464" s="564" t="s">
        <v>2666</v>
      </c>
      <c r="M464" s="562">
        <f>SUMIFS('Recon of ORS and DV'!D:D,'Recon of ORS and DV'!B:B,'DV List for import'!A464)</f>
        <v>0</v>
      </c>
      <c r="N464" s="276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2" t="e">
        <f>VLOOKUP(L465,'Import Process ORS'!$D$4:$E$1557,2,FALSE)</f>
        <v>#N/A</v>
      </c>
      <c r="D465" s="562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2" t="e">
        <f>SUMIFS('[1]MAIN-101'!$Z$1:$Z$3000,'[1]MAIN-101'!$X$1:$X$3000,A465)</f>
        <v>#VALUE!</v>
      </c>
      <c r="I465" s="562" t="s">
        <v>2687</v>
      </c>
      <c r="J465" t="s">
        <v>2683</v>
      </c>
      <c r="K465" t="s">
        <v>2678</v>
      </c>
      <c r="L465" s="562" t="str">
        <f>VLOOKUP(A465,'Format for Import of DV'!$A$3:$S$1556,3,FALSE)</f>
        <v>252</v>
      </c>
      <c r="M465" s="562" t="e">
        <f>SUMIFS('Recon of ORS and DV'!D:D,'Recon of ORS and DV'!B:B,'DV List for import'!A465)</f>
        <v>#VALUE!</v>
      </c>
      <c r="N465" s="276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2" t="e">
        <f>VLOOKUP(L466,'Import Process ORS'!$D$4:$E$1557,2,FALSE)</f>
        <v>#N/A</v>
      </c>
      <c r="D466" s="562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2" t="e">
        <f>SUMIFS('[1]MAIN-101'!$Z$1:$Z$3000,'[1]MAIN-101'!$X$1:$X$3000,A466)</f>
        <v>#VALUE!</v>
      </c>
      <c r="I466" s="562" t="s">
        <v>2687</v>
      </c>
      <c r="J466" t="s">
        <v>2683</v>
      </c>
      <c r="K466" t="s">
        <v>2678</v>
      </c>
      <c r="L466" s="562" t="str">
        <f>VLOOKUP(A466,'Format for Import of DV'!$A$3:$S$1556,3,FALSE)</f>
        <v>254</v>
      </c>
      <c r="M466" s="562" t="e">
        <f>SUMIFS('Recon of ORS and DV'!D:D,'Recon of ORS and DV'!B:B,'DV List for import'!A466)</f>
        <v>#VALUE!</v>
      </c>
      <c r="N466" s="276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4" t="str">
        <f>L467</f>
        <v>0000-00-0000</v>
      </c>
      <c r="D467" s="562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2" t="e">
        <f>SUMIFS('[1]MAIN-101'!$Z$1:$Z$3000,'[1]MAIN-101'!$X$1:$X$3000,A467)</f>
        <v>#VALUE!</v>
      </c>
      <c r="I467" s="562" t="s">
        <v>392</v>
      </c>
      <c r="J467" t="s">
        <v>2681</v>
      </c>
      <c r="K467" t="s">
        <v>2679</v>
      </c>
      <c r="L467" s="564" t="s">
        <v>2666</v>
      </c>
      <c r="M467" s="562">
        <f>SUMIFS('Recon of ORS and DV'!D:D,'Recon of ORS and DV'!B:B,'DV List for import'!A467)</f>
        <v>0</v>
      </c>
      <c r="N467" s="276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2" t="e">
        <f>VLOOKUP(L468,'Import Process ORS'!$D$4:$E$1557,2,FALSE)</f>
        <v>#N/A</v>
      </c>
      <c r="D468" s="562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2" t="e">
        <f>SUMIFS('[1]MAIN-101'!$Z$1:$Z$3000,'[1]MAIN-101'!$X$1:$X$3000,A468)</f>
        <v>#VALUE!</v>
      </c>
      <c r="I468" s="562" t="s">
        <v>2687</v>
      </c>
      <c r="J468" t="s">
        <v>2683</v>
      </c>
      <c r="K468" t="s">
        <v>2678</v>
      </c>
      <c r="L468" s="562" t="str">
        <f>VLOOKUP(A468,'Format for Import of DV'!$A$3:$S$1556,3,FALSE)</f>
        <v>172</v>
      </c>
      <c r="M468" s="562" t="e">
        <f>SUMIFS('Recon of ORS and DV'!D:D,'Recon of ORS and DV'!B:B,'DV List for import'!A468)</f>
        <v>#VALUE!</v>
      </c>
      <c r="N468" s="276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2" t="e">
        <f>VLOOKUP(L469,'Import Process ORS'!$D$4:$E$1557,2,FALSE)</f>
        <v>#N/A</v>
      </c>
      <c r="D469" s="562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2" t="e">
        <f>SUMIFS('[1]MAIN-101'!$Z$1:$Z$3000,'[1]MAIN-101'!$X$1:$X$3000,A469)</f>
        <v>#VALUE!</v>
      </c>
      <c r="I469" s="562" t="s">
        <v>2687</v>
      </c>
      <c r="J469" t="s">
        <v>2683</v>
      </c>
      <c r="K469" t="s">
        <v>2678</v>
      </c>
      <c r="L469" s="562" t="str">
        <f>VLOOKUP(A469,'Format for Import of DV'!$A$3:$S$1556,3,FALSE)</f>
        <v>263</v>
      </c>
      <c r="M469" s="562" t="e">
        <f>SUMIFS('Recon of ORS and DV'!D:D,'Recon of ORS and DV'!B:B,'DV List for import'!A469)</f>
        <v>#VALUE!</v>
      </c>
      <c r="N469" s="276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2" t="e">
        <f>VLOOKUP(L470,'Import Process ORS'!$D$4:$E$1557,2,FALSE)</f>
        <v>#N/A</v>
      </c>
      <c r="D470" s="562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2" t="e">
        <f>SUMIFS('[1]MAIN-101'!$Z$1:$Z$3000,'[1]MAIN-101'!$X$1:$X$3000,A470)</f>
        <v>#VALUE!</v>
      </c>
      <c r="I470" s="562" t="s">
        <v>2687</v>
      </c>
      <c r="J470" t="s">
        <v>2683</v>
      </c>
      <c r="K470" t="s">
        <v>2678</v>
      </c>
      <c r="L470" s="562" t="str">
        <f>VLOOKUP(A470,'Format for Import of DV'!$A$3:$S$1556,3,FALSE)</f>
        <v>266</v>
      </c>
      <c r="M470" s="562" t="e">
        <f>SUMIFS('Recon of ORS and DV'!D:D,'Recon of ORS and DV'!B:B,'DV List for import'!A470)</f>
        <v>#VALUE!</v>
      </c>
      <c r="N470" s="276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2" t="e">
        <f>VLOOKUP(L471,'Import Process ORS'!$D$4:$E$1557,2,FALSE)</f>
        <v>#N/A</v>
      </c>
      <c r="D471" s="562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2" t="e">
        <f>SUMIFS('[1]MAIN-101'!$Z$1:$Z$3000,'[1]MAIN-101'!$X$1:$X$3000,A471)</f>
        <v>#VALUE!</v>
      </c>
      <c r="I471" s="562" t="s">
        <v>2687</v>
      </c>
      <c r="J471" t="s">
        <v>2683</v>
      </c>
      <c r="K471" t="s">
        <v>2678</v>
      </c>
      <c r="L471" s="562" t="str">
        <f>VLOOKUP(A471,'Format for Import of DV'!$A$3:$S$1556,3,FALSE)</f>
        <v>261</v>
      </c>
      <c r="M471" s="562" t="e">
        <f>SUMIFS('Recon of ORS and DV'!D:D,'Recon of ORS and DV'!B:B,'DV List for import'!A471)</f>
        <v>#VALUE!</v>
      </c>
      <c r="N471" s="276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2" t="e">
        <f>VLOOKUP(L472,'Import Process ORS'!$D$4:$E$1557,2,FALSE)</f>
        <v>#N/A</v>
      </c>
      <c r="D472" s="562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2" t="e">
        <f>SUMIFS('[1]MAIN-101'!$Z$1:$Z$3000,'[1]MAIN-101'!$X$1:$X$3000,A472)</f>
        <v>#VALUE!</v>
      </c>
      <c r="I472" s="562" t="s">
        <v>2687</v>
      </c>
      <c r="J472" t="s">
        <v>2683</v>
      </c>
      <c r="K472" t="s">
        <v>2678</v>
      </c>
      <c r="L472" s="562" t="str">
        <f>VLOOKUP(A472,'Format for Import of DV'!$A$3:$S$1556,3,FALSE)</f>
        <v>243</v>
      </c>
      <c r="M472" s="562" t="e">
        <f>SUMIFS('Recon of ORS and DV'!D:D,'Recon of ORS and DV'!B:B,'DV List for import'!A472)</f>
        <v>#VALUE!</v>
      </c>
      <c r="N472" s="276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2" t="e">
        <f>VLOOKUP(L473,'Import Process ORS'!$D$4:$E$1557,2,FALSE)</f>
        <v>#N/A</v>
      </c>
      <c r="D473" s="562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2" t="e">
        <f>SUMIFS('[1]MAIN-101'!$Z$1:$Z$3000,'[1]MAIN-101'!$X$1:$X$3000,A473)</f>
        <v>#VALUE!</v>
      </c>
      <c r="I473" s="562" t="s">
        <v>2687</v>
      </c>
      <c r="J473" t="s">
        <v>2683</v>
      </c>
      <c r="K473" t="s">
        <v>2678</v>
      </c>
      <c r="L473" s="562" t="str">
        <f>VLOOKUP(A473,'Format for Import of DV'!$A$3:$S$1556,3,FALSE)</f>
        <v>246</v>
      </c>
      <c r="M473" s="562" t="e">
        <f>SUMIFS('Recon of ORS and DV'!D:D,'Recon of ORS and DV'!B:B,'DV List for import'!A473)</f>
        <v>#VALUE!</v>
      </c>
      <c r="N473" s="276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2" t="e">
        <f>VLOOKUP(L474,'Import Process ORS'!$D$4:$E$1557,2,FALSE)</f>
        <v>#N/A</v>
      </c>
      <c r="D474" s="562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2" t="e">
        <f>SUMIFS('[1]MAIN-101'!$Z$1:$Z$3000,'[1]MAIN-101'!$X$1:$X$3000,A474)</f>
        <v>#VALUE!</v>
      </c>
      <c r="I474" s="562" t="s">
        <v>2687</v>
      </c>
      <c r="J474" t="s">
        <v>2683</v>
      </c>
      <c r="K474" t="s">
        <v>2678</v>
      </c>
      <c r="L474" s="562" t="str">
        <f>VLOOKUP(A474,'Format for Import of DV'!$A$3:$S$1556,3,FALSE)</f>
        <v>251</v>
      </c>
      <c r="M474" s="562" t="e">
        <f>SUMIFS('Recon of ORS and DV'!D:D,'Recon of ORS and DV'!B:B,'DV List for import'!A474)</f>
        <v>#VALUE!</v>
      </c>
      <c r="N474" s="276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4" t="str">
        <f>L475</f>
        <v>0000-00-0000</v>
      </c>
      <c r="D475" s="562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2" t="e">
        <f>SUMIFS('[1]MAIN-101'!$Z$1:$Z$3000,'[1]MAIN-101'!$X$1:$X$3000,A475)</f>
        <v>#VALUE!</v>
      </c>
      <c r="I475" s="562" t="s">
        <v>392</v>
      </c>
      <c r="J475" t="s">
        <v>2681</v>
      </c>
      <c r="K475" t="s">
        <v>2679</v>
      </c>
      <c r="L475" s="564" t="s">
        <v>2666</v>
      </c>
      <c r="M475" s="562">
        <f>SUMIFS('Recon of ORS and DV'!D:D,'Recon of ORS and DV'!B:B,'DV List for import'!A475)</f>
        <v>0</v>
      </c>
      <c r="N475" s="276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4" t="str">
        <f>L476</f>
        <v>0000-00-0000</v>
      </c>
      <c r="D476" s="562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2" t="e">
        <f>SUMIFS('[1]MAIN-101'!$Z$1:$Z$3000,'[1]MAIN-101'!$X$1:$X$3000,A476)</f>
        <v>#VALUE!</v>
      </c>
      <c r="I476" s="562" t="s">
        <v>392</v>
      </c>
      <c r="J476" t="s">
        <v>2681</v>
      </c>
      <c r="K476" t="s">
        <v>2679</v>
      </c>
      <c r="L476" s="564" t="s">
        <v>2666</v>
      </c>
      <c r="M476" s="562">
        <f>SUMIFS('Recon of ORS and DV'!D:D,'Recon of ORS and DV'!B:B,'DV List for import'!A476)</f>
        <v>0</v>
      </c>
      <c r="N476" s="276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4" t="str">
        <f>L477</f>
        <v>0000-00-0000</v>
      </c>
      <c r="D477" s="562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2" t="e">
        <f>SUMIFS('[1]MAIN-101'!$Z$1:$Z$3000,'[1]MAIN-101'!$X$1:$X$3000,A477)</f>
        <v>#VALUE!</v>
      </c>
      <c r="I477" s="562" t="s">
        <v>392</v>
      </c>
      <c r="J477" t="s">
        <v>2681</v>
      </c>
      <c r="K477" t="s">
        <v>2679</v>
      </c>
      <c r="L477" s="564" t="s">
        <v>2666</v>
      </c>
      <c r="M477" s="562">
        <f>SUMIFS('Recon of ORS and DV'!D:D,'Recon of ORS and DV'!B:B,'DV List for import'!A477)</f>
        <v>0</v>
      </c>
      <c r="N477" s="276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2" t="e">
        <f>VLOOKUP(L478,'Import Process ORS'!$D$4:$E$1557,2,FALSE)</f>
        <v>#N/A</v>
      </c>
      <c r="D478" s="562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2" t="e">
        <f>SUMIFS('[1]MAIN-101'!$Z$1:$Z$3000,'[1]MAIN-101'!$X$1:$X$3000,A478)</f>
        <v>#VALUE!</v>
      </c>
      <c r="I478" s="562" t="s">
        <v>2687</v>
      </c>
      <c r="J478" t="s">
        <v>2683</v>
      </c>
      <c r="K478" t="s">
        <v>2678</v>
      </c>
      <c r="L478" s="562" t="str">
        <f>VLOOKUP(A478,'Format for Import of DV'!$A$3:$S$1556,3,FALSE)</f>
        <v>262</v>
      </c>
      <c r="M478" s="562" t="e">
        <f>SUMIFS('Recon of ORS and DV'!D:D,'Recon of ORS and DV'!B:B,'DV List for import'!A478)</f>
        <v>#VALUE!</v>
      </c>
      <c r="N478" s="276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4" t="str">
        <f>L479</f>
        <v>0000-00-0000</v>
      </c>
      <c r="D479" s="562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2" t="e">
        <f>SUMIFS('[1]MAIN-101'!$Z$1:$Z$3000,'[1]MAIN-101'!$X$1:$X$3000,A479)</f>
        <v>#VALUE!</v>
      </c>
      <c r="I479" s="562" t="s">
        <v>392</v>
      </c>
      <c r="J479" t="s">
        <v>2681</v>
      </c>
      <c r="K479" t="s">
        <v>2679</v>
      </c>
      <c r="L479" s="564" t="s">
        <v>2666</v>
      </c>
      <c r="M479" s="562">
        <f>SUMIFS('Recon of ORS and DV'!D:D,'Recon of ORS and DV'!B:B,'DV List for import'!A479)</f>
        <v>0</v>
      </c>
      <c r="N479" s="276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4" t="str">
        <f>L480</f>
        <v>0000-00-0000</v>
      </c>
      <c r="D480" s="562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2" t="e">
        <f>SUMIFS('[1]MAIN-101'!$Z$1:$Z$3000,'[1]MAIN-101'!$X$1:$X$3000,A480)</f>
        <v>#VALUE!</v>
      </c>
      <c r="I480" s="562" t="s">
        <v>392</v>
      </c>
      <c r="J480" t="s">
        <v>2681</v>
      </c>
      <c r="K480" t="s">
        <v>2679</v>
      </c>
      <c r="L480" s="564" t="s">
        <v>2666</v>
      </c>
      <c r="M480" s="562">
        <f>SUMIFS('Recon of ORS and DV'!D:D,'Recon of ORS and DV'!B:B,'DV List for import'!A480)</f>
        <v>0</v>
      </c>
      <c r="N480" s="276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2" t="e">
        <f>VLOOKUP(L481,'Import Process ORS'!$D$4:$E$1557,2,FALSE)</f>
        <v>#N/A</v>
      </c>
      <c r="D481" s="562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2" t="e">
        <f>SUMIFS('[1]MAIN-101'!$Z$1:$Z$3000,'[1]MAIN-101'!$X$1:$X$3000,A481)</f>
        <v>#VALUE!</v>
      </c>
      <c r="I481" s="562" t="s">
        <v>2687</v>
      </c>
      <c r="J481" t="s">
        <v>2683</v>
      </c>
      <c r="K481" t="s">
        <v>2678</v>
      </c>
      <c r="L481" s="562" t="str">
        <f>VLOOKUP(A481,'Format for Import of DV'!$A$3:$S$1556,3,FALSE)</f>
        <v>269</v>
      </c>
      <c r="M481" s="562" t="e">
        <f>SUMIFS('Recon of ORS and DV'!D:D,'Recon of ORS and DV'!B:B,'DV List for import'!A481)</f>
        <v>#VALUE!</v>
      </c>
      <c r="N481" s="276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2" t="e">
        <f>VLOOKUP(L482,'Import Process ORS'!$D$4:$E$1557,2,FALSE)</f>
        <v>#N/A</v>
      </c>
      <c r="D482" s="562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2" t="e">
        <f>SUMIFS('[1]MAIN-101'!$Z$1:$Z$3000,'[1]MAIN-101'!$X$1:$X$3000,A482)</f>
        <v>#VALUE!</v>
      </c>
      <c r="I482" s="562" t="s">
        <v>2687</v>
      </c>
      <c r="J482" t="s">
        <v>2683</v>
      </c>
      <c r="K482" t="s">
        <v>2678</v>
      </c>
      <c r="L482" s="562" t="str">
        <f>VLOOKUP(A482,'Format for Import of DV'!$A$3:$S$1556,3,FALSE)</f>
        <v>270</v>
      </c>
      <c r="M482" s="562" t="e">
        <f>SUMIFS('Recon of ORS and DV'!D:D,'Recon of ORS and DV'!B:B,'DV List for import'!A482)</f>
        <v>#VALUE!</v>
      </c>
      <c r="N482" s="276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2" t="e">
        <f>VLOOKUP(L483,'Import Process ORS'!$D$4:$E$1557,2,FALSE)</f>
        <v>#N/A</v>
      </c>
      <c r="D483" s="562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2" t="e">
        <f>SUMIFS('[1]MAIN-101'!$Z$1:$Z$3000,'[1]MAIN-101'!$X$1:$X$3000,A483)</f>
        <v>#VALUE!</v>
      </c>
      <c r="I483" s="562" t="s">
        <v>2687</v>
      </c>
      <c r="J483" t="s">
        <v>2683</v>
      </c>
      <c r="K483" t="s">
        <v>2678</v>
      </c>
      <c r="L483" s="562" t="str">
        <f>VLOOKUP(A483,'Format for Import of DV'!$A$3:$S$1556,3,FALSE)</f>
        <v>277</v>
      </c>
      <c r="M483" s="562" t="e">
        <f>SUMIFS('Recon of ORS and DV'!D:D,'Recon of ORS and DV'!B:B,'DV List for import'!A483)</f>
        <v>#VALUE!</v>
      </c>
      <c r="N483" s="276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2" t="e">
        <f>VLOOKUP(L484,'Import Process ORS'!$D$4:$E$1557,2,FALSE)</f>
        <v>#N/A</v>
      </c>
      <c r="D484" s="562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2" t="e">
        <f>SUMIFS('[1]MAIN-101'!$Z$1:$Z$3000,'[1]MAIN-101'!$X$1:$X$3000,A484)</f>
        <v>#VALUE!</v>
      </c>
      <c r="I484" s="562" t="s">
        <v>2687</v>
      </c>
      <c r="J484" t="s">
        <v>2683</v>
      </c>
      <c r="K484" t="s">
        <v>2678</v>
      </c>
      <c r="L484" s="562" t="str">
        <f>VLOOKUP(A484,'Format for Import of DV'!$A$3:$S$1556,3,FALSE)</f>
        <v>278</v>
      </c>
      <c r="M484" s="562" t="e">
        <f>SUMIFS('Recon of ORS and DV'!D:D,'Recon of ORS and DV'!B:B,'DV List for import'!A484)</f>
        <v>#VALUE!</v>
      </c>
      <c r="N484" s="276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2" t="e">
        <f>VLOOKUP(L485,'Import Process ORS'!$D$4:$E$1557,2,FALSE)</f>
        <v>#N/A</v>
      </c>
      <c r="D485" s="562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2" t="e">
        <f>SUMIFS('[1]MAIN-101'!$Z$1:$Z$3000,'[1]MAIN-101'!$X$1:$X$3000,A485)</f>
        <v>#VALUE!</v>
      </c>
      <c r="I485" s="562" t="s">
        <v>2687</v>
      </c>
      <c r="J485" t="s">
        <v>2683</v>
      </c>
      <c r="K485" t="s">
        <v>2678</v>
      </c>
      <c r="L485" s="562" t="str">
        <f>VLOOKUP(A485,'Format for Import of DV'!$A$3:$S$1556,3,FALSE)</f>
        <v>279</v>
      </c>
      <c r="M485" s="562" t="e">
        <f>SUMIFS('Recon of ORS and DV'!D:D,'Recon of ORS and DV'!B:B,'DV List for import'!A485)</f>
        <v>#VALUE!</v>
      </c>
      <c r="N485" s="276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2" t="e">
        <f>VLOOKUP(L486,'Import Process ORS'!$D$4:$E$1557,2,FALSE)</f>
        <v>#N/A</v>
      </c>
      <c r="D486" s="562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2" t="e">
        <f>SUMIFS('[1]MAIN-101'!$Z$1:$Z$3000,'[1]MAIN-101'!$X$1:$X$3000,A486)</f>
        <v>#VALUE!</v>
      </c>
      <c r="I486" s="562" t="s">
        <v>2687</v>
      </c>
      <c r="J486" t="s">
        <v>2683</v>
      </c>
      <c r="K486" t="s">
        <v>2678</v>
      </c>
      <c r="L486" s="562" t="str">
        <f>VLOOKUP(A486,'Format for Import of DV'!$A$3:$S$1556,3,FALSE)</f>
        <v>280</v>
      </c>
      <c r="M486" s="562" t="e">
        <f>SUMIFS('Recon of ORS and DV'!D:D,'Recon of ORS and DV'!B:B,'DV List for import'!A486)</f>
        <v>#VALUE!</v>
      </c>
      <c r="N486" s="276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2" t="e">
        <f>VLOOKUP(L487,'Import Process ORS'!$D$4:$E$1557,2,FALSE)</f>
        <v>#N/A</v>
      </c>
      <c r="D487" s="562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2" t="e">
        <f>SUMIFS('[1]MAIN-101'!$Z$1:$Z$3000,'[1]MAIN-101'!$X$1:$X$3000,A487)</f>
        <v>#VALUE!</v>
      </c>
      <c r="I487" s="562" t="s">
        <v>2687</v>
      </c>
      <c r="J487" t="s">
        <v>2683</v>
      </c>
      <c r="K487" t="s">
        <v>2678</v>
      </c>
      <c r="L487" s="562" t="str">
        <f>VLOOKUP(A487,'Format for Import of DV'!$A$3:$S$1556,3,FALSE)</f>
        <v>281</v>
      </c>
      <c r="M487" s="562" t="e">
        <f>SUMIFS('Recon of ORS and DV'!D:D,'Recon of ORS and DV'!B:B,'DV List for import'!A487)</f>
        <v>#VALUE!</v>
      </c>
      <c r="N487" s="276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2" t="e">
        <f>VLOOKUP(L488,'Import Process ORS'!$D$4:$E$1557,2,FALSE)</f>
        <v>#N/A</v>
      </c>
      <c r="D488" s="562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2" t="e">
        <f>SUMIFS('[1]MAIN-101'!$Z$1:$Z$3000,'[1]MAIN-101'!$X$1:$X$3000,A488)</f>
        <v>#VALUE!</v>
      </c>
      <c r="I488" s="562" t="s">
        <v>2687</v>
      </c>
      <c r="J488" t="s">
        <v>2683</v>
      </c>
      <c r="K488" t="s">
        <v>2678</v>
      </c>
      <c r="L488" s="562" t="str">
        <f>VLOOKUP(A488,'Format for Import of DV'!$A$3:$S$1556,3,FALSE)</f>
        <v>275</v>
      </c>
      <c r="M488" s="562" t="e">
        <f>SUMIFS('Recon of ORS and DV'!D:D,'Recon of ORS and DV'!B:B,'DV List for import'!A488)</f>
        <v>#VALUE!</v>
      </c>
      <c r="N488" s="276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2" t="e">
        <f>VLOOKUP(L489,'Import Process ORS'!$D$4:$E$1557,2,FALSE)</f>
        <v>#N/A</v>
      </c>
      <c r="D489" s="562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2" t="e">
        <f>SUMIFS('[1]MAIN-101'!$Z$1:$Z$3000,'[1]MAIN-101'!$X$1:$X$3000,A489)</f>
        <v>#VALUE!</v>
      </c>
      <c r="I489" s="562" t="s">
        <v>2687</v>
      </c>
      <c r="J489" t="s">
        <v>2683</v>
      </c>
      <c r="K489" t="s">
        <v>2678</v>
      </c>
      <c r="L489" s="562" t="str">
        <f>VLOOKUP(A489,'Format for Import of DV'!$A$3:$S$1556,3,FALSE)</f>
        <v>274</v>
      </c>
      <c r="M489" s="562" t="e">
        <f>SUMIFS('Recon of ORS and DV'!D:D,'Recon of ORS and DV'!B:B,'DV List for import'!A489)</f>
        <v>#VALUE!</v>
      </c>
      <c r="N489" s="276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2" t="e">
        <f>VLOOKUP(L490,'Import Process ORS'!$D$4:$E$1557,2,FALSE)</f>
        <v>#N/A</v>
      </c>
      <c r="D490" s="562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2" t="e">
        <f>SUMIFS('[1]MAIN-101'!$Z$1:$Z$3000,'[1]MAIN-101'!$X$1:$X$3000,A490)</f>
        <v>#VALUE!</v>
      </c>
      <c r="I490" s="562" t="s">
        <v>2687</v>
      </c>
      <c r="J490" t="s">
        <v>2683</v>
      </c>
      <c r="K490" t="s">
        <v>2678</v>
      </c>
      <c r="L490" s="562" t="str">
        <f>VLOOKUP(A490,'Format for Import of DV'!$A$3:$S$1556,3,FALSE)</f>
        <v>273</v>
      </c>
      <c r="M490" s="562" t="e">
        <f>SUMIFS('Recon of ORS and DV'!D:D,'Recon of ORS and DV'!B:B,'DV List for import'!A490)</f>
        <v>#VALUE!</v>
      </c>
      <c r="N490" s="276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2" t="e">
        <f>VLOOKUP(L491,'Import Process ORS'!$D$4:$E$1557,2,FALSE)</f>
        <v>#N/A</v>
      </c>
      <c r="D491" s="562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2" t="e">
        <f>SUMIFS('[1]MAIN-101'!$Z$1:$Z$3000,'[1]MAIN-101'!$X$1:$X$3000,A491)</f>
        <v>#VALUE!</v>
      </c>
      <c r="I491" s="562" t="s">
        <v>2687</v>
      </c>
      <c r="J491" t="s">
        <v>2683</v>
      </c>
      <c r="K491" t="s">
        <v>2678</v>
      </c>
      <c r="L491" s="562" t="str">
        <f>VLOOKUP(A491,'Format for Import of DV'!$A$3:$S$1556,3,FALSE)</f>
        <v>271</v>
      </c>
      <c r="M491" s="562" t="e">
        <f>SUMIFS('Recon of ORS and DV'!D:D,'Recon of ORS and DV'!B:B,'DV List for import'!A491)</f>
        <v>#VALUE!</v>
      </c>
      <c r="N491" s="276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2" t="e">
        <f>VLOOKUP(L492,'Import Process ORS'!$D$4:$E$1557,2,FALSE)</f>
        <v>#N/A</v>
      </c>
      <c r="D492" s="562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2" t="e">
        <f>SUMIFS('[1]MAIN-101'!$Z$1:$Z$3000,'[1]MAIN-101'!$X$1:$X$3000,A492)</f>
        <v>#VALUE!</v>
      </c>
      <c r="I492" s="562" t="s">
        <v>2687</v>
      </c>
      <c r="J492" t="s">
        <v>2683</v>
      </c>
      <c r="K492" t="s">
        <v>2678</v>
      </c>
      <c r="L492" s="562" t="str">
        <f>VLOOKUP(A492,'Format for Import of DV'!$A$3:$S$1556,3,FALSE)</f>
        <v>276</v>
      </c>
      <c r="M492" s="562" t="e">
        <f>SUMIFS('Recon of ORS and DV'!D:D,'Recon of ORS and DV'!B:B,'DV List for import'!A492)</f>
        <v>#VALUE!</v>
      </c>
      <c r="N492" s="276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4" t="str">
        <f>L493</f>
        <v>0000-00-0000</v>
      </c>
      <c r="D493" s="562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2" t="e">
        <f>SUMIFS('[1]MAIN-101'!$Z$1:$Z$3000,'[1]MAIN-101'!$X$1:$X$3000,A493)</f>
        <v>#VALUE!</v>
      </c>
      <c r="I493" s="562" t="s">
        <v>392</v>
      </c>
      <c r="J493" t="s">
        <v>2681</v>
      </c>
      <c r="K493" t="s">
        <v>2679</v>
      </c>
      <c r="L493" s="564" t="s">
        <v>2666</v>
      </c>
      <c r="M493" s="562">
        <f>SUMIFS('Recon of ORS and DV'!D:D,'Recon of ORS and DV'!B:B,'DV List for import'!A493)</f>
        <v>0</v>
      </c>
      <c r="N493" s="276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4" t="str">
        <f>L494</f>
        <v>0000-00-0000</v>
      </c>
      <c r="D494" s="562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2" t="e">
        <f>SUMIFS('[1]MAIN-101'!$Z$1:$Z$3000,'[1]MAIN-101'!$X$1:$X$3000,A494)</f>
        <v>#VALUE!</v>
      </c>
      <c r="I494" s="562" t="s">
        <v>392</v>
      </c>
      <c r="J494" t="s">
        <v>2681</v>
      </c>
      <c r="K494" t="s">
        <v>2679</v>
      </c>
      <c r="L494" s="564" t="s">
        <v>2666</v>
      </c>
      <c r="M494" s="562">
        <f>SUMIFS('Recon of ORS and DV'!D:D,'Recon of ORS and DV'!B:B,'DV List for import'!A494)</f>
        <v>0</v>
      </c>
      <c r="N494" s="276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4" t="str">
        <f>L495</f>
        <v>0000-00-0000</v>
      </c>
      <c r="D495" s="562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2" t="e">
        <f>SUMIFS('[1]MAIN-101'!$Z$1:$Z$3000,'[1]MAIN-101'!$X$1:$X$3000,A495)</f>
        <v>#VALUE!</v>
      </c>
      <c r="I495" s="562" t="s">
        <v>392</v>
      </c>
      <c r="J495" t="s">
        <v>2681</v>
      </c>
      <c r="K495" t="s">
        <v>2679</v>
      </c>
      <c r="L495" s="564" t="s">
        <v>2666</v>
      </c>
      <c r="M495" s="562">
        <f>SUMIFS('Recon of ORS and DV'!D:D,'Recon of ORS and DV'!B:B,'DV List for import'!A495)</f>
        <v>0</v>
      </c>
      <c r="N495" s="276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4" t="str">
        <f>L496</f>
        <v>0000-00-0000</v>
      </c>
      <c r="D496" s="562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2" t="e">
        <f>SUMIFS('[1]MAIN-101'!$Z$1:$Z$3000,'[1]MAIN-101'!$X$1:$X$3000,A496)</f>
        <v>#VALUE!</v>
      </c>
      <c r="I496" s="562" t="s">
        <v>392</v>
      </c>
      <c r="J496" t="s">
        <v>2681</v>
      </c>
      <c r="K496" t="s">
        <v>2679</v>
      </c>
      <c r="L496" s="564" t="s">
        <v>2666</v>
      </c>
      <c r="M496" s="562">
        <f>SUMIFS('Recon of ORS and DV'!D:D,'Recon of ORS and DV'!B:B,'DV List for import'!A496)</f>
        <v>0</v>
      </c>
      <c r="N496" s="276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2" t="e">
        <f>VLOOKUP(L497,'Import Process ORS'!$D$4:$E$1557,2,FALSE)</f>
        <v>#N/A</v>
      </c>
      <c r="D497" s="562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2" t="e">
        <f>SUMIFS('[1]MAIN-101'!$Z$1:$Z$3000,'[1]MAIN-101'!$X$1:$X$3000,A497)</f>
        <v>#VALUE!</v>
      </c>
      <c r="I497" s="562" t="s">
        <v>2687</v>
      </c>
      <c r="J497" t="s">
        <v>2683</v>
      </c>
      <c r="K497" t="s">
        <v>2678</v>
      </c>
      <c r="L497" s="562" t="str">
        <f>VLOOKUP(A497,'Format for Import of DV'!$A$3:$S$1556,3,FALSE)</f>
        <v>272</v>
      </c>
      <c r="M497" s="562" t="e">
        <f>SUMIFS('Recon of ORS and DV'!D:D,'Recon of ORS and DV'!B:B,'DV List for import'!A497)</f>
        <v>#VALUE!</v>
      </c>
      <c r="N497" s="276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2" t="e">
        <f>VLOOKUP(L498,'Import Process ORS'!$D$4:$E$1557,2,FALSE)</f>
        <v>#N/A</v>
      </c>
      <c r="D498" s="562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2" t="e">
        <f>SUMIFS('[1]MAIN-101'!$Z$1:$Z$3000,'[1]MAIN-101'!$X$1:$X$3000,A498)</f>
        <v>#VALUE!</v>
      </c>
      <c r="I498" s="562" t="s">
        <v>2687</v>
      </c>
      <c r="J498" t="s">
        <v>2683</v>
      </c>
      <c r="K498" t="s">
        <v>2678</v>
      </c>
      <c r="L498" s="562" t="str">
        <f>VLOOKUP(A498,'Format for Import of DV'!$A$3:$S$1556,3,FALSE)</f>
        <v>282</v>
      </c>
      <c r="M498" s="562" t="e">
        <f>SUMIFS('Recon of ORS and DV'!D:D,'Recon of ORS and DV'!B:B,'DV List for import'!A498)</f>
        <v>#VALUE!</v>
      </c>
      <c r="N498" s="276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2" t="e">
        <f>VLOOKUP(L499,'Import Process ORS'!$D$4:$E$1557,2,FALSE)</f>
        <v>#N/A</v>
      </c>
      <c r="D499" s="562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2" t="e">
        <f>SUMIFS('[1]MAIN-101'!$Z$1:$Z$3000,'[1]MAIN-101'!$X$1:$X$3000,A499)</f>
        <v>#VALUE!</v>
      </c>
      <c r="I499" s="562" t="s">
        <v>2687</v>
      </c>
      <c r="J499" t="s">
        <v>2683</v>
      </c>
      <c r="K499" t="s">
        <v>2678</v>
      </c>
      <c r="L499" s="562" t="str">
        <f>VLOOKUP(A499,'Format for Import of DV'!$A$3:$S$1556,3,FALSE)</f>
        <v>283</v>
      </c>
      <c r="M499" s="562" t="e">
        <f>SUMIFS('Recon of ORS and DV'!D:D,'Recon of ORS and DV'!B:B,'DV List for import'!A499)</f>
        <v>#VALUE!</v>
      </c>
      <c r="N499" s="276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2" t="e">
        <f>VLOOKUP(L500,'Import Process ORS'!$D$4:$E$1557,2,FALSE)</f>
        <v>#N/A</v>
      </c>
      <c r="D500" s="562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2" t="e">
        <f>SUMIFS('[1]MAIN-101'!$Z$1:$Z$3000,'[1]MAIN-101'!$X$1:$X$3000,A500)</f>
        <v>#VALUE!</v>
      </c>
      <c r="I500" s="562" t="s">
        <v>2687</v>
      </c>
      <c r="J500" t="s">
        <v>2683</v>
      </c>
      <c r="K500" t="s">
        <v>2678</v>
      </c>
      <c r="L500" s="562" t="str">
        <f>VLOOKUP(A500,'Format for Import of DV'!$A$3:$S$1556,3,FALSE)</f>
        <v>285</v>
      </c>
      <c r="M500" s="562" t="e">
        <f>SUMIFS('Recon of ORS and DV'!D:D,'Recon of ORS and DV'!B:B,'DV List for import'!A500)</f>
        <v>#VALUE!</v>
      </c>
      <c r="N500" s="276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2" t="e">
        <f>VLOOKUP(L501,'Import Process ORS'!$D$4:$E$1557,2,FALSE)</f>
        <v>#N/A</v>
      </c>
      <c r="D501" s="562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2" t="e">
        <f>SUMIFS('[1]MAIN-101'!$Z$1:$Z$3000,'[1]MAIN-101'!$X$1:$X$3000,A501)</f>
        <v>#VALUE!</v>
      </c>
      <c r="I501" s="562" t="s">
        <v>2687</v>
      </c>
      <c r="J501" t="s">
        <v>2683</v>
      </c>
      <c r="K501" t="s">
        <v>2678</v>
      </c>
      <c r="L501" s="562" t="str">
        <f>VLOOKUP(A501,'Format for Import of DV'!$A$3:$S$1556,3,FALSE)</f>
        <v>286</v>
      </c>
      <c r="M501" s="562" t="e">
        <f>SUMIFS('Recon of ORS and DV'!D:D,'Recon of ORS and DV'!B:B,'DV List for import'!A501)</f>
        <v>#VALUE!</v>
      </c>
      <c r="N501" s="276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2" t="e">
        <f>VLOOKUP(L502,'Import Process ORS'!$D$4:$E$1557,2,FALSE)</f>
        <v>#N/A</v>
      </c>
      <c r="D502" s="562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2" t="e">
        <f>SUMIFS('[1]MAIN-101'!$Z$1:$Z$3000,'[1]MAIN-101'!$X$1:$X$3000,A502)</f>
        <v>#VALUE!</v>
      </c>
      <c r="I502" s="562" t="s">
        <v>2687</v>
      </c>
      <c r="J502" t="s">
        <v>2683</v>
      </c>
      <c r="K502" t="s">
        <v>2678</v>
      </c>
      <c r="L502" s="562" t="str">
        <f>VLOOKUP(A502,'Format for Import of DV'!$A$3:$S$1556,3,FALSE)</f>
        <v>287</v>
      </c>
      <c r="M502" s="562" t="e">
        <f>SUMIFS('Recon of ORS and DV'!D:D,'Recon of ORS and DV'!B:B,'DV List for import'!A502)</f>
        <v>#VALUE!</v>
      </c>
      <c r="N502" s="276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4" t="str">
        <f t="shared" ref="C503:C509" si="28">L503</f>
        <v>0000-00-0000</v>
      </c>
      <c r="D503" s="562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2" t="e">
        <f>SUMIFS('[1]MAIN-101'!$Z$1:$Z$3000,'[1]MAIN-101'!$X$1:$X$3000,A503)</f>
        <v>#VALUE!</v>
      </c>
      <c r="I503" s="562" t="s">
        <v>2662</v>
      </c>
      <c r="J503" t="s">
        <v>2053</v>
      </c>
      <c r="K503" t="s">
        <v>2680</v>
      </c>
      <c r="L503" s="564" t="s">
        <v>2666</v>
      </c>
      <c r="M503" s="562">
        <f>SUMIFS('Recon of ORS and DV'!D:D,'Recon of ORS and DV'!B:B,'DV List for import'!A503)</f>
        <v>0</v>
      </c>
      <c r="N503" s="276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4" t="str">
        <f t="shared" si="28"/>
        <v>0000-00-0000</v>
      </c>
      <c r="D504" s="562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2" t="e">
        <f>SUMIFS('[1]MAIN-101'!$Z$1:$Z$3000,'[1]MAIN-101'!$X$1:$X$3000,A504)</f>
        <v>#VALUE!</v>
      </c>
      <c r="I504" s="562" t="s">
        <v>2662</v>
      </c>
      <c r="J504" t="s">
        <v>2053</v>
      </c>
      <c r="K504" t="s">
        <v>2680</v>
      </c>
      <c r="L504" s="564" t="s">
        <v>2666</v>
      </c>
      <c r="M504" s="562">
        <f>SUMIFS('Recon of ORS and DV'!D:D,'Recon of ORS and DV'!B:B,'DV List for import'!A504)</f>
        <v>0</v>
      </c>
      <c r="N504" s="276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4" t="str">
        <f t="shared" si="28"/>
        <v>0000-00-0000</v>
      </c>
      <c r="D505" s="562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2" t="e">
        <f>SUMIFS('[1]MAIN-101'!$Z$1:$Z$3000,'[1]MAIN-101'!$X$1:$X$3000,A505)</f>
        <v>#VALUE!</v>
      </c>
      <c r="I505" s="562" t="s">
        <v>2662</v>
      </c>
      <c r="J505" t="s">
        <v>2053</v>
      </c>
      <c r="K505" t="s">
        <v>2680</v>
      </c>
      <c r="L505" s="564" t="s">
        <v>2666</v>
      </c>
      <c r="M505" s="562">
        <f>SUMIFS('Recon of ORS and DV'!D:D,'Recon of ORS and DV'!B:B,'DV List for import'!A505)</f>
        <v>0</v>
      </c>
      <c r="N505" s="276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4" t="str">
        <f t="shared" si="28"/>
        <v>0000-00-0000</v>
      </c>
      <c r="D506" s="562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2" t="e">
        <f>SUMIFS('[1]MAIN-101'!$Z$1:$Z$3000,'[1]MAIN-101'!$X$1:$X$3000,A506)</f>
        <v>#VALUE!</v>
      </c>
      <c r="I506" s="562" t="s">
        <v>2662</v>
      </c>
      <c r="J506" t="s">
        <v>2053</v>
      </c>
      <c r="K506" t="s">
        <v>2680</v>
      </c>
      <c r="L506" s="564" t="s">
        <v>2666</v>
      </c>
      <c r="M506" s="562">
        <f>SUMIFS('Recon of ORS and DV'!D:D,'Recon of ORS and DV'!B:B,'DV List for import'!A506)</f>
        <v>0</v>
      </c>
      <c r="N506" s="276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4" t="str">
        <f t="shared" si="28"/>
        <v>0000-00-0000</v>
      </c>
      <c r="D507" s="562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2" t="e">
        <f>SUMIFS('[1]MAIN-101'!$Z$1:$Z$3000,'[1]MAIN-101'!$X$1:$X$3000,A507)</f>
        <v>#VALUE!</v>
      </c>
      <c r="I507" s="562" t="s">
        <v>2662</v>
      </c>
      <c r="J507" t="s">
        <v>2053</v>
      </c>
      <c r="K507" t="s">
        <v>2680</v>
      </c>
      <c r="L507" s="564" t="s">
        <v>2666</v>
      </c>
      <c r="M507" s="562">
        <f>SUMIFS('Recon of ORS and DV'!D:D,'Recon of ORS and DV'!B:B,'DV List for import'!A507)</f>
        <v>0</v>
      </c>
      <c r="N507" s="276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4" t="str">
        <f t="shared" si="28"/>
        <v>0000-00-0000</v>
      </c>
      <c r="D508" s="562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2" t="e">
        <f>SUMIFS('[1]MAIN-101'!$Z$1:$Z$3000,'[1]MAIN-101'!$X$1:$X$3000,A508)</f>
        <v>#VALUE!</v>
      </c>
      <c r="I508" s="562" t="s">
        <v>2662</v>
      </c>
      <c r="J508" t="s">
        <v>2053</v>
      </c>
      <c r="K508" t="s">
        <v>2680</v>
      </c>
      <c r="L508" s="564" t="s">
        <v>2666</v>
      </c>
      <c r="M508" s="562">
        <f>SUMIFS('Recon of ORS and DV'!D:D,'Recon of ORS and DV'!B:B,'DV List for import'!A508)</f>
        <v>0</v>
      </c>
      <c r="N508" s="276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4" t="str">
        <f t="shared" si="28"/>
        <v>0000-00-0000</v>
      </c>
      <c r="D509" s="562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2" t="e">
        <f>SUMIFS('[1]MAIN-101'!$Z$1:$Z$3000,'[1]MAIN-101'!$X$1:$X$3000,A509)</f>
        <v>#VALUE!</v>
      </c>
      <c r="I509" s="562" t="s">
        <v>2662</v>
      </c>
      <c r="J509" t="s">
        <v>2053</v>
      </c>
      <c r="K509" t="s">
        <v>2680</v>
      </c>
      <c r="L509" s="564" t="s">
        <v>2666</v>
      </c>
      <c r="M509" s="562">
        <f>SUMIFS('Recon of ORS and DV'!D:D,'Recon of ORS and DV'!B:B,'DV List for import'!A509)</f>
        <v>0</v>
      </c>
      <c r="N509" s="276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2" t="e">
        <f>VLOOKUP(L510,'Import Process ORS'!$D$4:$E$1557,2,FALSE)</f>
        <v>#N/A</v>
      </c>
      <c r="D510" s="562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2" t="e">
        <f>SUMIFS('[1]MAIN-101'!$Z$1:$Z$3000,'[1]MAIN-101'!$X$1:$X$3000,A510)</f>
        <v>#VALUE!</v>
      </c>
      <c r="I510" s="562" t="s">
        <v>2687</v>
      </c>
      <c r="J510" t="s">
        <v>2683</v>
      </c>
      <c r="K510" t="s">
        <v>2678</v>
      </c>
      <c r="L510" s="562" t="str">
        <f>VLOOKUP(A510,'Format for Import of DV'!$A$3:$S$1556,3,FALSE)</f>
        <v>289</v>
      </c>
      <c r="M510" s="562" t="e">
        <f>SUMIFS('Recon of ORS and DV'!D:D,'Recon of ORS and DV'!B:B,'DV List for import'!A510)</f>
        <v>#VALUE!</v>
      </c>
      <c r="N510" s="276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2" t="e">
        <f>VLOOKUP(L511,'Import Process ORS'!$D$4:$E$1557,2,FALSE)</f>
        <v>#N/A</v>
      </c>
      <c r="D511" s="562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2" t="e">
        <f>SUMIFS('[1]MAIN-101'!$Z$1:$Z$3000,'[1]MAIN-101'!$X$1:$X$3000,A511)</f>
        <v>#VALUE!</v>
      </c>
      <c r="I511" s="562" t="s">
        <v>2687</v>
      </c>
      <c r="J511" t="s">
        <v>2683</v>
      </c>
      <c r="K511" t="s">
        <v>2678</v>
      </c>
      <c r="L511" s="562" t="str">
        <f>VLOOKUP(A511,'Format for Import of DV'!$A$3:$S$1556,3,FALSE)</f>
        <v>288</v>
      </c>
      <c r="M511" s="562" t="e">
        <f>SUMIFS('Recon of ORS and DV'!D:D,'Recon of ORS and DV'!B:B,'DV List for import'!A511)</f>
        <v>#VALUE!</v>
      </c>
      <c r="N511" s="276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4" t="str">
        <f t="shared" ref="C512:C522" si="29">L512</f>
        <v>0000-00-0000</v>
      </c>
      <c r="D512" s="562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2" t="e">
        <f>SUMIFS('[1]MAIN-101'!$Z$1:$Z$3000,'[1]MAIN-101'!$X$1:$X$3000,A512)</f>
        <v>#VALUE!</v>
      </c>
      <c r="I512" s="562" t="s">
        <v>2662</v>
      </c>
      <c r="J512" t="s">
        <v>2053</v>
      </c>
      <c r="K512" t="s">
        <v>2680</v>
      </c>
      <c r="L512" s="564" t="s">
        <v>2666</v>
      </c>
      <c r="M512" s="562">
        <f>SUMIFS('Recon of ORS and DV'!D:D,'Recon of ORS and DV'!B:B,'DV List for import'!A512)</f>
        <v>0</v>
      </c>
      <c r="N512" s="276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4" t="str">
        <f t="shared" si="29"/>
        <v>0000-00-0000</v>
      </c>
      <c r="D513" s="562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2" t="e">
        <f>SUMIFS('[1]MAIN-101'!$Z$1:$Z$3000,'[1]MAIN-101'!$X$1:$X$3000,A513)</f>
        <v>#VALUE!</v>
      </c>
      <c r="I513" s="562" t="s">
        <v>2662</v>
      </c>
      <c r="J513" t="s">
        <v>2053</v>
      </c>
      <c r="K513" t="s">
        <v>2680</v>
      </c>
      <c r="L513" s="564" t="s">
        <v>2666</v>
      </c>
      <c r="M513" s="562">
        <f>SUMIFS('Recon of ORS and DV'!D:D,'Recon of ORS and DV'!B:B,'DV List for import'!A513)</f>
        <v>0</v>
      </c>
      <c r="N513" s="276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4" t="str">
        <f t="shared" si="29"/>
        <v>0000-00-0000</v>
      </c>
      <c r="D514" s="562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2" t="e">
        <f>SUMIFS('[1]MAIN-101'!$Z$1:$Z$3000,'[1]MAIN-101'!$X$1:$X$3000,A514)</f>
        <v>#VALUE!</v>
      </c>
      <c r="I514" s="562" t="s">
        <v>2662</v>
      </c>
      <c r="J514" t="s">
        <v>2053</v>
      </c>
      <c r="K514" t="s">
        <v>2680</v>
      </c>
      <c r="L514" s="564" t="s">
        <v>2666</v>
      </c>
      <c r="M514" s="562">
        <f>SUMIFS('Recon of ORS and DV'!D:D,'Recon of ORS and DV'!B:B,'DV List for import'!A514)</f>
        <v>0</v>
      </c>
      <c r="N514" s="276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4" t="str">
        <f t="shared" si="29"/>
        <v>0000-00-0000</v>
      </c>
      <c r="D515" s="562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2" t="e">
        <f>SUMIFS('[1]MAIN-101'!$Z$1:$Z$3000,'[1]MAIN-101'!$X$1:$X$3000,A515)</f>
        <v>#VALUE!</v>
      </c>
      <c r="I515" s="562" t="s">
        <v>2662</v>
      </c>
      <c r="J515" t="s">
        <v>2053</v>
      </c>
      <c r="K515" t="s">
        <v>2680</v>
      </c>
      <c r="L515" s="564" t="s">
        <v>2666</v>
      </c>
      <c r="M515" s="562">
        <f>SUMIFS('Recon of ORS and DV'!D:D,'Recon of ORS and DV'!B:B,'DV List for import'!A515)</f>
        <v>0</v>
      </c>
      <c r="N515" s="276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4" t="str">
        <f t="shared" si="29"/>
        <v>0000-00-0000</v>
      </c>
      <c r="D516" s="562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2" t="e">
        <f>SUMIFS('[1]MAIN-101'!$Z$1:$Z$3000,'[1]MAIN-101'!$X$1:$X$3000,A516)</f>
        <v>#VALUE!</v>
      </c>
      <c r="I516" s="562" t="s">
        <v>2662</v>
      </c>
      <c r="J516" t="s">
        <v>2053</v>
      </c>
      <c r="K516" t="s">
        <v>2680</v>
      </c>
      <c r="L516" s="564" t="s">
        <v>2666</v>
      </c>
      <c r="M516" s="562">
        <f>SUMIFS('Recon of ORS and DV'!D:D,'Recon of ORS and DV'!B:B,'DV List for import'!A516)</f>
        <v>0</v>
      </c>
      <c r="N516" s="276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4" t="str">
        <f t="shared" si="29"/>
        <v>0000-00-0000</v>
      </c>
      <c r="D517" s="562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2" t="e">
        <f>SUMIFS('[1]MAIN-101'!$Z$1:$Z$3000,'[1]MAIN-101'!$X$1:$X$3000,A517)</f>
        <v>#VALUE!</v>
      </c>
      <c r="I517" s="562" t="s">
        <v>2662</v>
      </c>
      <c r="J517" t="s">
        <v>2053</v>
      </c>
      <c r="K517" t="s">
        <v>2680</v>
      </c>
      <c r="L517" s="564" t="s">
        <v>2666</v>
      </c>
      <c r="M517" s="562">
        <f>SUMIFS('Recon of ORS and DV'!D:D,'Recon of ORS and DV'!B:B,'DV List for import'!A517)</f>
        <v>0</v>
      </c>
      <c r="N517" s="276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4" t="str">
        <f t="shared" si="29"/>
        <v>0000-00-0000</v>
      </c>
      <c r="D518" s="562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2" t="e">
        <f>SUMIFS('[1]MAIN-101'!$Z$1:$Z$3000,'[1]MAIN-101'!$X$1:$X$3000,A518)</f>
        <v>#VALUE!</v>
      </c>
      <c r="I518" s="562" t="s">
        <v>2662</v>
      </c>
      <c r="J518" t="s">
        <v>2053</v>
      </c>
      <c r="K518" t="s">
        <v>2680</v>
      </c>
      <c r="L518" s="564" t="s">
        <v>2666</v>
      </c>
      <c r="M518" s="562">
        <f>SUMIFS('Recon of ORS and DV'!D:D,'Recon of ORS and DV'!B:B,'DV List for import'!A518)</f>
        <v>0</v>
      </c>
      <c r="N518" s="276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4" t="str">
        <f t="shared" si="29"/>
        <v>0000-00-0000</v>
      </c>
      <c r="D519" s="562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2" t="e">
        <f>SUMIFS('[1]MAIN-101'!$Z$1:$Z$3000,'[1]MAIN-101'!$X$1:$X$3000,A519)</f>
        <v>#VALUE!</v>
      </c>
      <c r="I519" s="562" t="s">
        <v>2662</v>
      </c>
      <c r="J519" t="s">
        <v>2053</v>
      </c>
      <c r="K519" t="s">
        <v>2680</v>
      </c>
      <c r="L519" s="564" t="s">
        <v>2666</v>
      </c>
      <c r="M519" s="562">
        <f>SUMIFS('Recon of ORS and DV'!D:D,'Recon of ORS and DV'!B:B,'DV List for import'!A519)</f>
        <v>0</v>
      </c>
      <c r="N519" s="276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4" t="str">
        <f t="shared" si="29"/>
        <v>0000-00-0000</v>
      </c>
      <c r="D520" s="562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2" t="e">
        <f>SUMIFS('[1]MAIN-101'!$Z$1:$Z$3000,'[1]MAIN-101'!$X$1:$X$3000,A520)</f>
        <v>#VALUE!</v>
      </c>
      <c r="I520" s="562" t="s">
        <v>2662</v>
      </c>
      <c r="J520" t="s">
        <v>2053</v>
      </c>
      <c r="K520" t="s">
        <v>2680</v>
      </c>
      <c r="L520" s="564" t="s">
        <v>2666</v>
      </c>
      <c r="M520" s="562">
        <f>SUMIFS('Recon of ORS and DV'!D:D,'Recon of ORS and DV'!B:B,'DV List for import'!A520)</f>
        <v>0</v>
      </c>
      <c r="N520" s="276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4" t="str">
        <f t="shared" si="29"/>
        <v>0000-00-0000</v>
      </c>
      <c r="D521" s="562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2" t="e">
        <f>SUMIFS('[1]MAIN-101'!$Z$1:$Z$3000,'[1]MAIN-101'!$X$1:$X$3000,A521)</f>
        <v>#VALUE!</v>
      </c>
      <c r="I521" s="562" t="s">
        <v>2662</v>
      </c>
      <c r="J521" t="s">
        <v>2053</v>
      </c>
      <c r="K521" t="s">
        <v>2680</v>
      </c>
      <c r="L521" s="564" t="s">
        <v>2666</v>
      </c>
      <c r="M521" s="562">
        <f>SUMIFS('Recon of ORS and DV'!D:D,'Recon of ORS and DV'!B:B,'DV List for import'!A521)</f>
        <v>0</v>
      </c>
      <c r="N521" s="276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4" t="str">
        <f t="shared" si="29"/>
        <v>0000-00-0000</v>
      </c>
      <c r="D522" s="562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2" t="e">
        <f>SUMIFS('[1]MAIN-101'!$Z$1:$Z$3000,'[1]MAIN-101'!$X$1:$X$3000,A522)</f>
        <v>#VALUE!</v>
      </c>
      <c r="I522" s="562" t="s">
        <v>2662</v>
      </c>
      <c r="J522" t="s">
        <v>2053</v>
      </c>
      <c r="K522" t="s">
        <v>2680</v>
      </c>
      <c r="L522" s="564" t="s">
        <v>2666</v>
      </c>
      <c r="M522" s="562">
        <f>SUMIFS('Recon of ORS and DV'!D:D,'Recon of ORS and DV'!B:B,'DV List for import'!A522)</f>
        <v>0</v>
      </c>
      <c r="N522" s="276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2" t="e">
        <f>VLOOKUP(L523,'Import Process ORS'!$D$4:$E$1557,2,FALSE)</f>
        <v>#N/A</v>
      </c>
      <c r="D523" s="562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2" t="e">
        <f>SUMIFS('[1]MAIN-101'!$Z$1:$Z$3000,'[1]MAIN-101'!$X$1:$X$3000,A523)</f>
        <v>#VALUE!</v>
      </c>
      <c r="I523" s="562" t="s">
        <v>2685</v>
      </c>
      <c r="J523" t="s">
        <v>2683</v>
      </c>
      <c r="K523" t="s">
        <v>2678</v>
      </c>
      <c r="L523" s="562" t="str">
        <f>VLOOKUP(A523,'Format for Import of DV'!$A$3:$S$1556,3,FALSE)</f>
        <v>299</v>
      </c>
      <c r="M523" s="562" t="e">
        <f>SUMIFS('Recon of ORS and DV'!D:D,'Recon of ORS and DV'!B:B,'DV List for import'!A523)</f>
        <v>#VALUE!</v>
      </c>
      <c r="N523" s="276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2" t="e">
        <f>VLOOKUP(L524,'Import Process ORS'!$D$4:$E$1557,2,FALSE)</f>
        <v>#N/A</v>
      </c>
      <c r="D524" s="562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2" t="e">
        <f>SUMIFS('[1]MAIN-101'!$Z$1:$Z$3000,'[1]MAIN-101'!$X$1:$X$3000,A524)</f>
        <v>#VALUE!</v>
      </c>
      <c r="I524" s="562" t="s">
        <v>2685</v>
      </c>
      <c r="J524" t="s">
        <v>2683</v>
      </c>
      <c r="K524" t="s">
        <v>2678</v>
      </c>
      <c r="L524" s="562" t="str">
        <f>VLOOKUP(A524,'Format for Import of DV'!$A$3:$S$1556,3,FALSE)</f>
        <v>300</v>
      </c>
      <c r="M524" s="562" t="e">
        <f>SUMIFS('Recon of ORS and DV'!D:D,'Recon of ORS and DV'!B:B,'DV List for import'!A524)</f>
        <v>#VALUE!</v>
      </c>
      <c r="N524" s="276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2" t="e">
        <f>VLOOKUP(L525,'Import Process ORS'!$D$4:$E$1557,2,FALSE)</f>
        <v>#N/A</v>
      </c>
      <c r="D525" s="562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2" t="e">
        <f>SUMIFS('[1]MAIN-101'!$Z$1:$Z$3000,'[1]MAIN-101'!$X$1:$X$3000,A525)</f>
        <v>#VALUE!</v>
      </c>
      <c r="I525" s="562" t="s">
        <v>2685</v>
      </c>
      <c r="J525" t="s">
        <v>2683</v>
      </c>
      <c r="K525" t="s">
        <v>2678</v>
      </c>
      <c r="L525" s="562" t="str">
        <f>VLOOKUP(A525,'Format for Import of DV'!$A$3:$S$1556,3,FALSE)</f>
        <v>301</v>
      </c>
      <c r="M525" s="562">
        <f>SUMIFS('Recon of ORS and DV'!D:D,'Recon of ORS and DV'!B:B,'DV List for import'!A525)</f>
        <v>505666.32</v>
      </c>
      <c r="N525" s="276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2" t="e">
        <f>VLOOKUP(L526,'Import Process ORS'!$D$4:$E$1557,2,FALSE)</f>
        <v>#N/A</v>
      </c>
      <c r="D526" s="562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2" t="e">
        <f>SUMIFS('[1]MAIN-101'!$Z$1:$Z$3000,'[1]MAIN-101'!$X$1:$X$3000,A526)</f>
        <v>#VALUE!</v>
      </c>
      <c r="I526" s="562" t="s">
        <v>2685</v>
      </c>
      <c r="J526" t="s">
        <v>2683</v>
      </c>
      <c r="K526" t="s">
        <v>2678</v>
      </c>
      <c r="L526" s="562" t="str">
        <f>VLOOKUP(A526,'Format for Import of DV'!$A$3:$S$1556,3,FALSE)</f>
        <v>302</v>
      </c>
      <c r="M526" s="562" t="e">
        <f>SUMIFS('Recon of ORS and DV'!D:D,'Recon of ORS and DV'!B:B,'DV List for import'!A526)</f>
        <v>#VALUE!</v>
      </c>
      <c r="N526" s="276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2" t="e">
        <f>VLOOKUP(L527,'Import Process ORS'!$D$4:$E$1557,2,FALSE)</f>
        <v>#N/A</v>
      </c>
      <c r="D527" s="562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2" t="e">
        <f>SUMIFS('[1]MAIN-101'!$Z$1:$Z$3000,'[1]MAIN-101'!$X$1:$X$3000,A527)</f>
        <v>#VALUE!</v>
      </c>
      <c r="I527" s="562" t="s">
        <v>2685</v>
      </c>
      <c r="J527" t="s">
        <v>2683</v>
      </c>
      <c r="K527" t="s">
        <v>2678</v>
      </c>
      <c r="L527" s="562" t="str">
        <f>VLOOKUP(A527,'Format for Import of DV'!$A$3:$S$1556,3,FALSE)</f>
        <v>303</v>
      </c>
      <c r="M527" s="562" t="e">
        <f>SUMIFS('Recon of ORS and DV'!D:D,'Recon of ORS and DV'!B:B,'DV List for import'!A527)</f>
        <v>#VALUE!</v>
      </c>
      <c r="N527" s="276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2" t="e">
        <f>VLOOKUP(L528,'Import Process ORS'!$D$4:$E$1557,2,FALSE)</f>
        <v>#N/A</v>
      </c>
      <c r="D528" s="562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2" t="e">
        <f>SUMIFS('[1]MAIN-101'!$Z$1:$Z$3000,'[1]MAIN-101'!$X$1:$X$3000,A528)</f>
        <v>#VALUE!</v>
      </c>
      <c r="I528" s="562" t="s">
        <v>2685</v>
      </c>
      <c r="J528" t="s">
        <v>2683</v>
      </c>
      <c r="K528" t="s">
        <v>2678</v>
      </c>
      <c r="L528" s="562" t="str">
        <f>VLOOKUP(A528,'Format for Import of DV'!$A$3:$S$1556,3,FALSE)</f>
        <v>304</v>
      </c>
      <c r="M528" s="562" t="e">
        <f>SUMIFS('Recon of ORS and DV'!D:D,'Recon of ORS and DV'!B:B,'DV List for import'!A528)</f>
        <v>#VALUE!</v>
      </c>
      <c r="N528" s="276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4" t="str">
        <f>L529</f>
        <v>0000-00-0000</v>
      </c>
      <c r="D529" s="562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2" t="e">
        <f>SUMIFS('[1]MAIN-101'!$Z$1:$Z$3000,'[1]MAIN-101'!$X$1:$X$3000,A529)</f>
        <v>#VALUE!</v>
      </c>
      <c r="I529" s="562" t="s">
        <v>392</v>
      </c>
      <c r="J529" t="s">
        <v>2681</v>
      </c>
      <c r="K529" t="s">
        <v>2679</v>
      </c>
      <c r="L529" s="564" t="s">
        <v>2666</v>
      </c>
      <c r="M529" s="562">
        <f>SUMIFS('Recon of ORS and DV'!D:D,'Recon of ORS and DV'!B:B,'DV List for import'!A529)</f>
        <v>0</v>
      </c>
      <c r="N529" s="276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4" t="str">
        <f>L530</f>
        <v>0000-00-0000</v>
      </c>
      <c r="D530" s="562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2" t="e">
        <f>SUMIFS('[1]MAIN-101'!$Z$1:$Z$3000,'[1]MAIN-101'!$X$1:$X$3000,A530)</f>
        <v>#VALUE!</v>
      </c>
      <c r="I530" s="562" t="s">
        <v>392</v>
      </c>
      <c r="J530" t="s">
        <v>2681</v>
      </c>
      <c r="K530" t="s">
        <v>2679</v>
      </c>
      <c r="L530" s="564" t="s">
        <v>2666</v>
      </c>
      <c r="M530" s="562">
        <f>SUMIFS('Recon of ORS and DV'!D:D,'Recon of ORS and DV'!B:B,'DV List for import'!A530)</f>
        <v>0</v>
      </c>
      <c r="N530" s="276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2" t="e">
        <f>VLOOKUP(L531,'Import Process ORS'!$D$4:$E$1557,2,FALSE)</f>
        <v>#N/A</v>
      </c>
      <c r="D531" s="562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2" t="e">
        <f>SUMIFS('[1]MAIN-101'!$Z$1:$Z$3000,'[1]MAIN-101'!$X$1:$X$3000,A531)</f>
        <v>#VALUE!</v>
      </c>
      <c r="I531" s="562" t="s">
        <v>2687</v>
      </c>
      <c r="J531" t="s">
        <v>2683</v>
      </c>
      <c r="K531" t="s">
        <v>2678</v>
      </c>
      <c r="L531" s="562" t="str">
        <f>VLOOKUP(A531,'Format for Import of DV'!$A$3:$S$1556,3,FALSE)</f>
        <v>298</v>
      </c>
      <c r="M531" s="562" t="e">
        <f>SUMIFS('Recon of ORS and DV'!D:D,'Recon of ORS and DV'!B:B,'DV List for import'!A531)</f>
        <v>#VALUE!</v>
      </c>
      <c r="N531" s="276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4" t="str">
        <f>L532</f>
        <v>0000-00-0000</v>
      </c>
      <c r="D532" s="562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2" t="e">
        <f>SUMIFS('[1]MAIN-101'!$Z$1:$Z$3000,'[1]MAIN-101'!$X$1:$X$3000,A532)</f>
        <v>#VALUE!</v>
      </c>
      <c r="I532" s="562" t="s">
        <v>392</v>
      </c>
      <c r="J532" t="s">
        <v>2681</v>
      </c>
      <c r="K532" t="s">
        <v>2679</v>
      </c>
      <c r="L532" s="564" t="s">
        <v>2666</v>
      </c>
      <c r="M532" s="562">
        <f>SUMIFS('Recon of ORS and DV'!D:D,'Recon of ORS and DV'!B:B,'DV List for import'!A532)</f>
        <v>0</v>
      </c>
      <c r="N532" s="276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4" t="str">
        <f>L533</f>
        <v>0000-00-0000</v>
      </c>
      <c r="D533" s="562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2" t="e">
        <f>SUMIFS('[1]MAIN-101'!$Z$1:$Z$3000,'[1]MAIN-101'!$X$1:$X$3000,A533)</f>
        <v>#VALUE!</v>
      </c>
      <c r="I533" s="562" t="s">
        <v>392</v>
      </c>
      <c r="J533" t="s">
        <v>2681</v>
      </c>
      <c r="K533" t="s">
        <v>2679</v>
      </c>
      <c r="L533" s="564" t="s">
        <v>2666</v>
      </c>
      <c r="M533" s="562">
        <f>SUMIFS('Recon of ORS and DV'!D:D,'Recon of ORS and DV'!B:B,'DV List for import'!A533)</f>
        <v>0</v>
      </c>
      <c r="N533" s="276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4" t="str">
        <f>L534</f>
        <v>0000-00-0000</v>
      </c>
      <c r="D534" s="562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2" t="e">
        <f>SUMIFS('[1]MAIN-101'!$Z$1:$Z$3000,'[1]MAIN-101'!$X$1:$X$3000,A534)</f>
        <v>#VALUE!</v>
      </c>
      <c r="I534" s="562" t="s">
        <v>392</v>
      </c>
      <c r="J534" t="s">
        <v>2681</v>
      </c>
      <c r="K534" t="s">
        <v>2679</v>
      </c>
      <c r="L534" s="564" t="s">
        <v>2666</v>
      </c>
      <c r="M534" s="562">
        <f>SUMIFS('Recon of ORS and DV'!D:D,'Recon of ORS and DV'!B:B,'DV List for import'!A534)</f>
        <v>0</v>
      </c>
      <c r="N534" s="276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4" t="str">
        <f>L535</f>
        <v>0000-00-0000</v>
      </c>
      <c r="D535" s="562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2" t="e">
        <f>SUMIFS('[1]MAIN-101'!$Z$1:$Z$3000,'[1]MAIN-101'!$X$1:$X$3000,A535)</f>
        <v>#VALUE!</v>
      </c>
      <c r="I535" s="562" t="s">
        <v>392</v>
      </c>
      <c r="J535" t="s">
        <v>2681</v>
      </c>
      <c r="K535" t="s">
        <v>2679</v>
      </c>
      <c r="L535" s="564" t="s">
        <v>2666</v>
      </c>
      <c r="M535" s="562">
        <f>SUMIFS('Recon of ORS and DV'!D:D,'Recon of ORS and DV'!B:B,'DV List for import'!A535)</f>
        <v>0</v>
      </c>
      <c r="N535" s="276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2" t="e">
        <f>VLOOKUP(L536,'Import Process ORS'!$D$4:$E$1557,2,FALSE)</f>
        <v>#N/A</v>
      </c>
      <c r="D536" s="562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2" t="e">
        <f>SUMIFS('[1]MAIN-101'!$Z$1:$Z$3000,'[1]MAIN-101'!$X$1:$X$3000,A536)</f>
        <v>#VALUE!</v>
      </c>
      <c r="I536" s="562" t="s">
        <v>2685</v>
      </c>
      <c r="J536" t="s">
        <v>2683</v>
      </c>
      <c r="K536" t="s">
        <v>2678</v>
      </c>
      <c r="L536" s="562" t="str">
        <f>VLOOKUP(A536,'Format for Import of DV'!$A$3:$S$1556,3,FALSE)</f>
        <v>305</v>
      </c>
      <c r="M536" s="562" t="e">
        <f>SUMIFS('Recon of ORS and DV'!D:D,'Recon of ORS and DV'!B:B,'DV List for import'!A536)</f>
        <v>#VALUE!</v>
      </c>
      <c r="N536" s="276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2" t="e">
        <f>VLOOKUP(L537,'Import Process ORS'!$D$4:$E$1557,2,FALSE)</f>
        <v>#N/A</v>
      </c>
      <c r="D537" s="562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2" t="e">
        <f>SUMIFS('[1]MAIN-101'!$Z$1:$Z$3000,'[1]MAIN-101'!$X$1:$X$3000,A537)</f>
        <v>#VALUE!</v>
      </c>
      <c r="I537" s="562" t="s">
        <v>2685</v>
      </c>
      <c r="J537" t="s">
        <v>2683</v>
      </c>
      <c r="K537" t="s">
        <v>2678</v>
      </c>
      <c r="L537" s="562" t="str">
        <f>VLOOKUP(A537,'Format for Import of DV'!$A$3:$S$1556,3,FALSE)</f>
        <v>306</v>
      </c>
      <c r="M537" s="562" t="e">
        <f>SUMIFS('Recon of ORS and DV'!D:D,'Recon of ORS and DV'!B:B,'DV List for import'!A537)</f>
        <v>#VALUE!</v>
      </c>
      <c r="N537" s="276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2" t="e">
        <f>VLOOKUP(L538,'Import Process ORS'!$D$4:$E$1557,2,FALSE)</f>
        <v>#N/A</v>
      </c>
      <c r="D538" s="562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2" t="e">
        <f>SUMIFS('[1]MAIN-101'!$Z$1:$Z$3000,'[1]MAIN-101'!$X$1:$X$3000,A538)</f>
        <v>#VALUE!</v>
      </c>
      <c r="I538" s="562" t="s">
        <v>2685</v>
      </c>
      <c r="J538" t="s">
        <v>2683</v>
      </c>
      <c r="K538" t="s">
        <v>2678</v>
      </c>
      <c r="L538" s="562" t="str">
        <f>VLOOKUP(A538,'Format for Import of DV'!$A$3:$S$1556,3,FALSE)</f>
        <v>307</v>
      </c>
      <c r="M538" s="562" t="e">
        <f>SUMIFS('Recon of ORS and DV'!D:D,'Recon of ORS and DV'!B:B,'DV List for import'!A538)</f>
        <v>#VALUE!</v>
      </c>
      <c r="N538" s="276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2" t="e">
        <f>VLOOKUP(L539,'Import Process ORS'!$D$4:$E$1557,2,FALSE)</f>
        <v>#N/A</v>
      </c>
      <c r="D539" s="562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2" t="e">
        <f>SUMIFS('[1]MAIN-101'!$Z$1:$Z$3000,'[1]MAIN-101'!$X$1:$X$3000,A539)</f>
        <v>#VALUE!</v>
      </c>
      <c r="I539" s="562" t="s">
        <v>2685</v>
      </c>
      <c r="J539" t="s">
        <v>2683</v>
      </c>
      <c r="K539" t="s">
        <v>2678</v>
      </c>
      <c r="L539" s="562" t="str">
        <f>VLOOKUP(A539,'Format for Import of DV'!$A$3:$S$1556,3,FALSE)</f>
        <v>308</v>
      </c>
      <c r="M539" s="562" t="e">
        <f>SUMIFS('Recon of ORS and DV'!D:D,'Recon of ORS and DV'!B:B,'DV List for import'!A539)</f>
        <v>#VALUE!</v>
      </c>
      <c r="N539" s="276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2" t="e">
        <f>VLOOKUP(L540,'Import Process ORS'!$D$4:$E$1557,2,FALSE)</f>
        <v>#N/A</v>
      </c>
      <c r="D540" s="562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2" t="e">
        <f>SUMIFS('[1]MAIN-101'!$Z$1:$Z$3000,'[1]MAIN-101'!$X$1:$X$3000,A540)</f>
        <v>#VALUE!</v>
      </c>
      <c r="I540" s="562" t="s">
        <v>2685</v>
      </c>
      <c r="J540" t="s">
        <v>2683</v>
      </c>
      <c r="K540" t="s">
        <v>2678</v>
      </c>
      <c r="L540" s="562" t="str">
        <f>VLOOKUP(A540,'Format for Import of DV'!$A$3:$S$1556,3,FALSE)</f>
        <v>309</v>
      </c>
      <c r="M540" s="562" t="e">
        <f>SUMIFS('Recon of ORS and DV'!D:D,'Recon of ORS and DV'!B:B,'DV List for import'!A540)</f>
        <v>#VALUE!</v>
      </c>
      <c r="N540" s="276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2" t="e">
        <f>VLOOKUP(L541,'Import Process ORS'!$D$4:$E$1557,2,FALSE)</f>
        <v>#N/A</v>
      </c>
      <c r="D541" s="562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2" t="e">
        <f>SUMIFS('[1]MAIN-101'!$Z$1:$Z$3000,'[1]MAIN-101'!$X$1:$X$3000,A541)</f>
        <v>#VALUE!</v>
      </c>
      <c r="I541" s="562" t="s">
        <v>2685</v>
      </c>
      <c r="J541" t="s">
        <v>2683</v>
      </c>
      <c r="K541" t="s">
        <v>2678</v>
      </c>
      <c r="L541" s="562" t="str">
        <f>VLOOKUP(A541,'Format for Import of DV'!$A$3:$S$1556,3,FALSE)</f>
        <v>310</v>
      </c>
      <c r="M541" s="562" t="e">
        <f>SUMIFS('Recon of ORS and DV'!D:D,'Recon of ORS and DV'!B:B,'DV List for import'!A541)</f>
        <v>#VALUE!</v>
      </c>
      <c r="N541" s="276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2" t="e">
        <f>VLOOKUP(L542,'Import Process ORS'!$D$4:$E$1557,2,FALSE)</f>
        <v>#N/A</v>
      </c>
      <c r="D542" s="562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2" t="e">
        <f>SUMIFS('[1]MAIN-101'!$Z$1:$Z$3000,'[1]MAIN-101'!$X$1:$X$3000,A542)</f>
        <v>#VALUE!</v>
      </c>
      <c r="I542" s="562" t="s">
        <v>2685</v>
      </c>
      <c r="J542" t="s">
        <v>2683</v>
      </c>
      <c r="K542" t="s">
        <v>2678</v>
      </c>
      <c r="L542" s="562" t="str">
        <f>VLOOKUP(A542,'Format for Import of DV'!$A$3:$S$1556,3,FALSE)</f>
        <v>311</v>
      </c>
      <c r="M542" s="562" t="e">
        <f>SUMIFS('Recon of ORS and DV'!D:D,'Recon of ORS and DV'!B:B,'DV List for import'!A542)</f>
        <v>#VALUE!</v>
      </c>
      <c r="N542" s="276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2" t="e">
        <f>VLOOKUP(L543,'Import Process ORS'!$D$4:$E$1557,2,FALSE)</f>
        <v>#N/A</v>
      </c>
      <c r="D543" s="562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2" t="e">
        <f>SUMIFS('[1]MAIN-101'!$Z$1:$Z$3000,'[1]MAIN-101'!$X$1:$X$3000,A543)</f>
        <v>#VALUE!</v>
      </c>
      <c r="I543" s="562" t="s">
        <v>2687</v>
      </c>
      <c r="J543" t="s">
        <v>2683</v>
      </c>
      <c r="K543" t="s">
        <v>2678</v>
      </c>
      <c r="L543" s="562" t="str">
        <f>VLOOKUP(A543,'Format for Import of DV'!$A$3:$S$1556,3,FALSE)</f>
        <v>314</v>
      </c>
      <c r="M543" s="562" t="e">
        <f>SUMIFS('Recon of ORS and DV'!D:D,'Recon of ORS and DV'!B:B,'DV List for import'!A543)</f>
        <v>#VALUE!</v>
      </c>
      <c r="N543" s="276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2" t="e">
        <f>VLOOKUP(L544,'Import Process ORS'!$D$4:$E$1557,2,FALSE)</f>
        <v>#N/A</v>
      </c>
      <c r="D544" s="562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2" t="e">
        <f>SUMIFS('[1]MAIN-101'!$Z$1:$Z$3000,'[1]MAIN-101'!$X$1:$X$3000,A544)</f>
        <v>#VALUE!</v>
      </c>
      <c r="I544" s="562" t="s">
        <v>2687</v>
      </c>
      <c r="J544" t="s">
        <v>2683</v>
      </c>
      <c r="K544" t="s">
        <v>2678</v>
      </c>
      <c r="L544" s="562" t="str">
        <f>VLOOKUP(A544,'Format for Import of DV'!$A$3:$S$1556,3,FALSE)</f>
        <v>320</v>
      </c>
      <c r="M544" s="562" t="e">
        <f>SUMIFS('Recon of ORS and DV'!D:D,'Recon of ORS and DV'!B:B,'DV List for import'!A544)</f>
        <v>#VALUE!</v>
      </c>
      <c r="N544" s="276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2" t="e">
        <f>VLOOKUP(L545,'Import Process ORS'!$D$4:$E$1557,2,FALSE)</f>
        <v>#N/A</v>
      </c>
      <c r="D545" s="562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2" t="e">
        <f>SUMIFS('[1]MAIN-101'!$Z$1:$Z$3000,'[1]MAIN-101'!$X$1:$X$3000,A545)</f>
        <v>#VALUE!</v>
      </c>
      <c r="I545" s="562" t="s">
        <v>2687</v>
      </c>
      <c r="J545" t="s">
        <v>2683</v>
      </c>
      <c r="K545" t="s">
        <v>2678</v>
      </c>
      <c r="L545" s="562" t="str">
        <f>VLOOKUP(A545,'Format for Import of DV'!$A$3:$S$1556,3,FALSE)</f>
        <v>290</v>
      </c>
      <c r="M545" s="562" t="e">
        <f>SUMIFS('Recon of ORS and DV'!D:D,'Recon of ORS and DV'!B:B,'DV List for import'!A545)</f>
        <v>#VALUE!</v>
      </c>
      <c r="N545" s="276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2" t="e">
        <f>VLOOKUP(L546,'Import Process ORS'!$D$4:$E$1557,2,FALSE)</f>
        <v>#N/A</v>
      </c>
      <c r="D546" s="562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2" t="e">
        <f>SUMIFS('[1]MAIN-101'!$Z$1:$Z$3000,'[1]MAIN-101'!$X$1:$X$3000,A546)</f>
        <v>#VALUE!</v>
      </c>
      <c r="I546" s="562" t="s">
        <v>2687</v>
      </c>
      <c r="J546" t="s">
        <v>2683</v>
      </c>
      <c r="K546" t="s">
        <v>2678</v>
      </c>
      <c r="L546" s="562" t="str">
        <f>VLOOKUP(A546,'Format for Import of DV'!$A$3:$S$1556,3,FALSE)</f>
        <v>291</v>
      </c>
      <c r="M546" s="562" t="e">
        <f>SUMIFS('Recon of ORS and DV'!D:D,'Recon of ORS and DV'!B:B,'DV List for import'!A546)</f>
        <v>#VALUE!</v>
      </c>
      <c r="N546" s="276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2" t="e">
        <f>VLOOKUP(L547,'Import Process ORS'!$D$4:$E$1557,2,FALSE)</f>
        <v>#N/A</v>
      </c>
      <c r="D547" s="562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2" t="e">
        <f>SUMIFS('[1]MAIN-101'!$Z$1:$Z$3000,'[1]MAIN-101'!$X$1:$X$3000,A547)</f>
        <v>#VALUE!</v>
      </c>
      <c r="I547" s="562" t="s">
        <v>2687</v>
      </c>
      <c r="J547" t="s">
        <v>2683</v>
      </c>
      <c r="K547" t="s">
        <v>2678</v>
      </c>
      <c r="L547" s="562" t="str">
        <f>VLOOKUP(A547,'Format for Import of DV'!$A$3:$S$1556,3,FALSE)</f>
        <v>292</v>
      </c>
      <c r="M547" s="562" t="e">
        <f>SUMIFS('Recon of ORS and DV'!D:D,'Recon of ORS and DV'!B:B,'DV List for import'!A547)</f>
        <v>#VALUE!</v>
      </c>
      <c r="N547" s="276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2" t="e">
        <f>VLOOKUP(L548,'Import Process ORS'!$D$4:$E$1557,2,FALSE)</f>
        <v>#N/A</v>
      </c>
      <c r="D548" s="562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2" t="e">
        <f>SUMIFS('[1]MAIN-101'!$Z$1:$Z$3000,'[1]MAIN-101'!$X$1:$X$3000,A548)</f>
        <v>#VALUE!</v>
      </c>
      <c r="I548" s="562" t="s">
        <v>2686</v>
      </c>
      <c r="J548" t="s">
        <v>2683</v>
      </c>
      <c r="K548" t="s">
        <v>2678</v>
      </c>
      <c r="L548" s="562" t="str">
        <f>VLOOKUP(A548,'Format for Import of DV'!$A$3:$S$1556,3,FALSE)</f>
        <v>293</v>
      </c>
      <c r="M548" s="562" t="e">
        <f>SUMIFS('Recon of ORS and DV'!D:D,'Recon of ORS and DV'!B:B,'DV List for import'!A548)</f>
        <v>#VALUE!</v>
      </c>
      <c r="N548" s="276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2" t="e">
        <f>VLOOKUP(L549,'Import Process ORS'!$D$4:$E$1557,2,FALSE)</f>
        <v>#N/A</v>
      </c>
      <c r="D549" s="562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2" t="e">
        <f>SUMIFS('[1]MAIN-101'!$Z$1:$Z$3000,'[1]MAIN-101'!$X$1:$X$3000,A549)</f>
        <v>#VALUE!</v>
      </c>
      <c r="I549" s="562" t="s">
        <v>2687</v>
      </c>
      <c r="J549" t="s">
        <v>2683</v>
      </c>
      <c r="K549" t="s">
        <v>2678</v>
      </c>
      <c r="L549" s="562" t="str">
        <f>VLOOKUP(A549,'Format for Import of DV'!$A$3:$S$1556,3,FALSE)</f>
        <v>294</v>
      </c>
      <c r="M549" s="562" t="e">
        <f>SUMIFS('Recon of ORS and DV'!D:D,'Recon of ORS and DV'!B:B,'DV List for import'!A549)</f>
        <v>#VALUE!</v>
      </c>
      <c r="N549" s="276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2" t="e">
        <f>VLOOKUP(L550,'Import Process ORS'!$D$4:$E$1557,2,FALSE)</f>
        <v>#N/A</v>
      </c>
      <c r="D550" s="562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2" t="e">
        <f>SUMIFS('[1]MAIN-101'!$Z$1:$Z$3000,'[1]MAIN-101'!$X$1:$X$3000,A550)</f>
        <v>#VALUE!</v>
      </c>
      <c r="I550" s="562" t="s">
        <v>2687</v>
      </c>
      <c r="J550" t="s">
        <v>2683</v>
      </c>
      <c r="K550" t="s">
        <v>2678</v>
      </c>
      <c r="L550" s="562" t="str">
        <f>VLOOKUP(A550,'Format for Import of DV'!$A$3:$S$1556,3,FALSE)</f>
        <v>295</v>
      </c>
      <c r="M550" s="562" t="e">
        <f>SUMIFS('Recon of ORS and DV'!D:D,'Recon of ORS and DV'!B:B,'DV List for import'!A550)</f>
        <v>#VALUE!</v>
      </c>
      <c r="N550" s="276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2" t="e">
        <f>VLOOKUP(L551,'Import Process ORS'!$D$4:$E$1557,2,FALSE)</f>
        <v>#N/A</v>
      </c>
      <c r="D551" s="562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2" t="e">
        <f>SUMIFS('[1]MAIN-101'!$Z$1:$Z$3000,'[1]MAIN-101'!$X$1:$X$3000,A551)</f>
        <v>#VALUE!</v>
      </c>
      <c r="I551" s="562" t="s">
        <v>2687</v>
      </c>
      <c r="J551" t="s">
        <v>2683</v>
      </c>
      <c r="K551" t="s">
        <v>2678</v>
      </c>
      <c r="L551" s="562" t="str">
        <f>VLOOKUP(A551,'Format for Import of DV'!$A$3:$S$1556,3,FALSE)</f>
        <v>296</v>
      </c>
      <c r="M551" s="562" t="e">
        <f>SUMIFS('Recon of ORS and DV'!D:D,'Recon of ORS and DV'!B:B,'DV List for import'!A551)</f>
        <v>#VALUE!</v>
      </c>
      <c r="N551" s="276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2" t="e">
        <f>VLOOKUP(L552,'Import Process ORS'!$D$4:$E$1557,2,FALSE)</f>
        <v>#N/A</v>
      </c>
      <c r="D552" s="562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2" t="e">
        <f>SUMIFS('[1]MAIN-101'!$Z$1:$Z$3000,'[1]MAIN-101'!$X$1:$X$3000,A552)</f>
        <v>#VALUE!</v>
      </c>
      <c r="I552" s="562" t="s">
        <v>2687</v>
      </c>
      <c r="J552" t="s">
        <v>2683</v>
      </c>
      <c r="K552" t="s">
        <v>2678</v>
      </c>
      <c r="L552" s="562" t="str">
        <f>VLOOKUP(A552,'Format for Import of DV'!$A$3:$S$1556,3,FALSE)</f>
        <v>297</v>
      </c>
      <c r="M552" s="562" t="e">
        <f>SUMIFS('Recon of ORS and DV'!D:D,'Recon of ORS and DV'!B:B,'DV List for import'!A552)</f>
        <v>#VALUE!</v>
      </c>
      <c r="N552" s="276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4" t="str">
        <f>L553</f>
        <v>0000-00-0000</v>
      </c>
      <c r="D553" s="562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2" t="e">
        <f>SUMIFS('[1]MAIN-101'!$Z$1:$Z$3000,'[1]MAIN-101'!$X$1:$X$3000,A553)</f>
        <v>#VALUE!</v>
      </c>
      <c r="I553" s="562" t="s">
        <v>392</v>
      </c>
      <c r="J553" t="s">
        <v>2681</v>
      </c>
      <c r="K553" t="s">
        <v>2679</v>
      </c>
      <c r="L553" s="564" t="s">
        <v>2666</v>
      </c>
      <c r="M553" s="562">
        <f>SUMIFS('Recon of ORS and DV'!D:D,'Recon of ORS and DV'!B:B,'DV List for import'!A553)</f>
        <v>0</v>
      </c>
      <c r="N553" s="276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2" t="e">
        <f>VLOOKUP(L554,'Import Process ORS'!$D$4:$E$1557,2,FALSE)</f>
        <v>#N/A</v>
      </c>
      <c r="D554" s="562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2" t="e">
        <f>SUMIFS('[1]MAIN-101'!$Z$1:$Z$3000,'[1]MAIN-101'!$X$1:$X$3000,A554)</f>
        <v>#VALUE!</v>
      </c>
      <c r="I554" s="562" t="s">
        <v>2685</v>
      </c>
      <c r="J554" t="s">
        <v>2683</v>
      </c>
      <c r="K554" t="s">
        <v>2678</v>
      </c>
      <c r="L554" s="562" t="str">
        <f>VLOOKUP(A554,'Format for Import of DV'!$A$3:$S$1556,3,FALSE)</f>
        <v>315</v>
      </c>
      <c r="M554" s="562" t="e">
        <f>SUMIFS('Recon of ORS and DV'!D:D,'Recon of ORS and DV'!B:B,'DV List for import'!A554)</f>
        <v>#VALUE!</v>
      </c>
      <c r="N554" s="276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2" t="e">
        <f>VLOOKUP(L555,'Import Process ORS'!$D$4:$E$1557,2,FALSE)</f>
        <v>#N/A</v>
      </c>
      <c r="D555" s="562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2" t="e">
        <f>SUMIFS('[1]MAIN-101'!$Z$1:$Z$3000,'[1]MAIN-101'!$X$1:$X$3000,A555)</f>
        <v>#VALUE!</v>
      </c>
      <c r="I555" s="562" t="s">
        <v>2685</v>
      </c>
      <c r="J555" t="s">
        <v>2683</v>
      </c>
      <c r="K555" t="s">
        <v>2678</v>
      </c>
      <c r="L555" s="562" t="str">
        <f>VLOOKUP(A555,'Format for Import of DV'!$A$3:$S$1556,3,FALSE)</f>
        <v>316</v>
      </c>
      <c r="M555" s="562" t="e">
        <f>SUMIFS('Recon of ORS and DV'!D:D,'Recon of ORS and DV'!B:B,'DV List for import'!A555)</f>
        <v>#VALUE!</v>
      </c>
      <c r="N555" s="276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2" t="e">
        <f>VLOOKUP(L556,'Import Process ORS'!$D$4:$E$1557,2,FALSE)</f>
        <v>#N/A</v>
      </c>
      <c r="D556" s="562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2" t="e">
        <f>SUMIFS('[1]MAIN-101'!$Z$1:$Z$3000,'[1]MAIN-101'!$X$1:$X$3000,A556)</f>
        <v>#VALUE!</v>
      </c>
      <c r="I556" s="562" t="s">
        <v>2685</v>
      </c>
      <c r="J556" t="s">
        <v>2683</v>
      </c>
      <c r="K556" t="s">
        <v>2678</v>
      </c>
      <c r="L556" s="562" t="str">
        <f>VLOOKUP(A556,'Format for Import of DV'!$A$3:$S$1556,3,FALSE)</f>
        <v>317</v>
      </c>
      <c r="M556" s="562" t="e">
        <f>SUMIFS('Recon of ORS and DV'!D:D,'Recon of ORS and DV'!B:B,'DV List for import'!A556)</f>
        <v>#VALUE!</v>
      </c>
      <c r="N556" s="276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2" t="e">
        <f>VLOOKUP(L557,'Import Process ORS'!$D$4:$E$1557,2,FALSE)</f>
        <v>#N/A</v>
      </c>
      <c r="D557" s="562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2" t="e">
        <f>SUMIFS('[1]MAIN-101'!$Z$1:$Z$3000,'[1]MAIN-101'!$X$1:$X$3000,A557)</f>
        <v>#VALUE!</v>
      </c>
      <c r="I557" s="562" t="s">
        <v>2685</v>
      </c>
      <c r="J557" t="s">
        <v>2683</v>
      </c>
      <c r="K557" t="s">
        <v>2678</v>
      </c>
      <c r="L557" s="562" t="str">
        <f>VLOOKUP(A557,'Format for Import of DV'!$A$3:$S$1556,3,FALSE)</f>
        <v>318</v>
      </c>
      <c r="M557" s="562" t="e">
        <f>SUMIFS('Recon of ORS and DV'!D:D,'Recon of ORS and DV'!B:B,'DV List for import'!A557)</f>
        <v>#VALUE!</v>
      </c>
      <c r="N557" s="276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2" t="e">
        <f>VLOOKUP(L558,'Import Process ORS'!$D$4:$E$1557,2,FALSE)</f>
        <v>#N/A</v>
      </c>
      <c r="D558" s="562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2" t="e">
        <f>SUMIFS('[1]MAIN-101'!$Z$1:$Z$3000,'[1]MAIN-101'!$X$1:$X$3000,A558)</f>
        <v>#VALUE!</v>
      </c>
      <c r="I558" s="562" t="s">
        <v>2685</v>
      </c>
      <c r="J558" t="s">
        <v>2683</v>
      </c>
      <c r="K558" t="s">
        <v>2678</v>
      </c>
      <c r="L558" s="562" t="str">
        <f>VLOOKUP(A558,'Format for Import of DV'!$A$3:$S$1556,3,FALSE)</f>
        <v>319</v>
      </c>
      <c r="M558" s="562" t="e">
        <f>SUMIFS('Recon of ORS and DV'!D:D,'Recon of ORS and DV'!B:B,'DV List for import'!A558)</f>
        <v>#VALUE!</v>
      </c>
      <c r="N558" s="276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4" t="str">
        <f>L559</f>
        <v>0000-00-0000</v>
      </c>
      <c r="D559" s="562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2" t="e">
        <f>SUMIFS('[1]MAIN-101'!$Z$1:$Z$3000,'[1]MAIN-101'!$X$1:$X$3000,A559)</f>
        <v>#VALUE!</v>
      </c>
      <c r="I559" s="562" t="s">
        <v>2685</v>
      </c>
      <c r="J559" t="s">
        <v>2681</v>
      </c>
      <c r="K559" t="s">
        <v>2679</v>
      </c>
      <c r="L559" s="564" t="s">
        <v>2666</v>
      </c>
      <c r="M559" s="562">
        <f>SUMIFS('Recon of ORS and DV'!D:D,'Recon of ORS and DV'!B:B,'DV List for import'!A559)</f>
        <v>0</v>
      </c>
      <c r="N559" s="276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4" t="str">
        <f>L560</f>
        <v>0000-00-0000</v>
      </c>
      <c r="D560" s="562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2" t="e">
        <f>SUMIFS('[1]MAIN-101'!$Z$1:$Z$3000,'[1]MAIN-101'!$X$1:$X$3000,A560)</f>
        <v>#VALUE!</v>
      </c>
      <c r="I560" s="562" t="s">
        <v>2685</v>
      </c>
      <c r="J560" t="s">
        <v>2681</v>
      </c>
      <c r="K560" t="s">
        <v>2679</v>
      </c>
      <c r="L560" s="564" t="s">
        <v>2666</v>
      </c>
      <c r="M560" s="562">
        <f>SUMIFS('Recon of ORS and DV'!D:D,'Recon of ORS and DV'!B:B,'DV List for import'!A560)</f>
        <v>0</v>
      </c>
      <c r="N560" s="276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4" t="str">
        <f>L561</f>
        <v>0000-00-0000</v>
      </c>
      <c r="D561" s="562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2" t="e">
        <f>SUMIFS('[1]MAIN-101'!$Z$1:$Z$3000,'[1]MAIN-101'!$X$1:$X$3000,A561)</f>
        <v>#VALUE!</v>
      </c>
      <c r="I561" s="562" t="s">
        <v>2685</v>
      </c>
      <c r="J561" t="s">
        <v>2681</v>
      </c>
      <c r="K561" t="s">
        <v>2679</v>
      </c>
      <c r="L561" s="564" t="s">
        <v>2666</v>
      </c>
      <c r="M561" s="562">
        <f>SUMIFS('Recon of ORS and DV'!D:D,'Recon of ORS and DV'!B:B,'DV List for import'!A561)</f>
        <v>0</v>
      </c>
      <c r="N561" s="276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4" t="str">
        <f>L562</f>
        <v>0000-00-0000</v>
      </c>
      <c r="D562" s="562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2" t="e">
        <f>SUMIFS('[1]MAIN-101'!$Z$1:$Z$3000,'[1]MAIN-101'!$X$1:$X$3000,A562)</f>
        <v>#VALUE!</v>
      </c>
      <c r="I562" s="562" t="s">
        <v>2662</v>
      </c>
      <c r="J562" t="s">
        <v>2053</v>
      </c>
      <c r="K562" t="s">
        <v>2680</v>
      </c>
      <c r="L562" s="564" t="s">
        <v>2666</v>
      </c>
      <c r="M562" s="562">
        <f>SUMIFS('Recon of ORS and DV'!D:D,'Recon of ORS and DV'!B:B,'DV List for import'!A562)</f>
        <v>0</v>
      </c>
      <c r="N562" s="276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2" t="e">
        <f>VLOOKUP(L563,'Import Process ORS'!$D$4:$E$1557,2,FALSE)</f>
        <v>#N/A</v>
      </c>
      <c r="D563" s="562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2" t="e">
        <f>SUMIFS('[1]MAIN-101'!$Z$1:$Z$3000,'[1]MAIN-101'!$X$1:$X$3000,A563)</f>
        <v>#VALUE!</v>
      </c>
      <c r="I563" s="562" t="s">
        <v>2685</v>
      </c>
      <c r="J563" t="s">
        <v>2683</v>
      </c>
      <c r="K563" t="s">
        <v>2678</v>
      </c>
      <c r="L563" s="562" t="str">
        <f>VLOOKUP(A563,'Format for Import of DV'!$A$3:$S$1556,3,FALSE)</f>
        <v>331</v>
      </c>
      <c r="M563" s="562" t="e">
        <f>SUMIFS('Recon of ORS and DV'!D:D,'Recon of ORS and DV'!B:B,'DV List for import'!A563)</f>
        <v>#VALUE!</v>
      </c>
      <c r="N563" s="276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2" t="e">
        <f>VLOOKUP(L564,'Import Process ORS'!$D$4:$E$1557,2,FALSE)</f>
        <v>#N/A</v>
      </c>
      <c r="D564" s="562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2" t="e">
        <f>SUMIFS('[1]MAIN-101'!$Z$1:$Z$3000,'[1]MAIN-101'!$X$1:$X$3000,A564)</f>
        <v>#VALUE!</v>
      </c>
      <c r="I564" s="562" t="s">
        <v>2685</v>
      </c>
      <c r="J564" t="s">
        <v>2683</v>
      </c>
      <c r="K564" t="s">
        <v>2678</v>
      </c>
      <c r="L564" s="562" t="str">
        <f>VLOOKUP(A564,'Format for Import of DV'!$A$3:$S$1556,3,FALSE)</f>
        <v>332</v>
      </c>
      <c r="M564" s="562" t="e">
        <f>SUMIFS('Recon of ORS and DV'!D:D,'Recon of ORS and DV'!B:B,'DV List for import'!A564)</f>
        <v>#VALUE!</v>
      </c>
      <c r="N564" s="276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2" t="e">
        <f>VLOOKUP(L565,'Import Process ORS'!$D$4:$E$1557,2,FALSE)</f>
        <v>#N/A</v>
      </c>
      <c r="D565" s="562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2" t="e">
        <f>SUMIFS('[1]MAIN-101'!$Z$1:$Z$3000,'[1]MAIN-101'!$X$1:$X$3000,A565)</f>
        <v>#VALUE!</v>
      </c>
      <c r="I565" s="562" t="s">
        <v>2685</v>
      </c>
      <c r="J565" t="s">
        <v>2683</v>
      </c>
      <c r="K565" t="s">
        <v>2678</v>
      </c>
      <c r="L565" s="562" t="str">
        <f>VLOOKUP(A565,'Format for Import of DV'!$A$3:$S$1556,3,FALSE)</f>
        <v>333</v>
      </c>
      <c r="M565" s="562" t="e">
        <f>SUMIFS('Recon of ORS and DV'!D:D,'Recon of ORS and DV'!B:B,'DV List for import'!A565)</f>
        <v>#VALUE!</v>
      </c>
      <c r="N565" s="276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2" t="e">
        <f>VLOOKUP(L566,'Import Process ORS'!$D$4:$E$1557,2,FALSE)</f>
        <v>#N/A</v>
      </c>
      <c r="D566" s="562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2" t="e">
        <f>SUMIFS('[1]MAIN-101'!$Z$1:$Z$3000,'[1]MAIN-101'!$X$1:$X$3000,A566)</f>
        <v>#VALUE!</v>
      </c>
      <c r="I566" s="562" t="s">
        <v>2685</v>
      </c>
      <c r="J566" t="s">
        <v>2683</v>
      </c>
      <c r="K566" t="s">
        <v>2678</v>
      </c>
      <c r="L566" s="562" t="str">
        <f>VLOOKUP(A566,'Format for Import of DV'!$A$3:$S$1556,3,FALSE)</f>
        <v>334</v>
      </c>
      <c r="M566" s="562" t="e">
        <f>SUMIFS('Recon of ORS and DV'!D:D,'Recon of ORS and DV'!B:B,'DV List for import'!A566)</f>
        <v>#VALUE!</v>
      </c>
      <c r="N566" s="276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2" t="e">
        <f>VLOOKUP(L567,'Import Process ORS'!$D$4:$E$1557,2,FALSE)</f>
        <v>#N/A</v>
      </c>
      <c r="D567" s="562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2" t="e">
        <f>SUMIFS('[1]MAIN-101'!$Z$1:$Z$3000,'[1]MAIN-101'!$X$1:$X$3000,A567)</f>
        <v>#VALUE!</v>
      </c>
      <c r="I567" s="562" t="s">
        <v>2687</v>
      </c>
      <c r="J567" t="s">
        <v>2683</v>
      </c>
      <c r="K567" t="s">
        <v>2678</v>
      </c>
      <c r="L567" s="562" t="str">
        <f>VLOOKUP(A567,'Format for Import of DV'!$A$3:$S$1556,3,FALSE)</f>
        <v>323</v>
      </c>
      <c r="M567" s="562" t="e">
        <f>SUMIFS('Recon of ORS and DV'!D:D,'Recon of ORS and DV'!B:B,'DV List for import'!A567)</f>
        <v>#VALUE!</v>
      </c>
      <c r="N567" s="276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2" t="e">
        <f>VLOOKUP(L568,'Import Process ORS'!$D$4:$E$1557,2,FALSE)</f>
        <v>#N/A</v>
      </c>
      <c r="D568" s="562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2" t="e">
        <f>SUMIFS('[1]MAIN-101'!$Z$1:$Z$3000,'[1]MAIN-101'!$X$1:$X$3000,A568)</f>
        <v>#VALUE!</v>
      </c>
      <c r="I568" s="562" t="s">
        <v>2687</v>
      </c>
      <c r="J568" t="s">
        <v>2683</v>
      </c>
      <c r="K568" t="s">
        <v>2678</v>
      </c>
      <c r="L568" s="562" t="str">
        <f>VLOOKUP(A568,'Format for Import of DV'!$A$3:$S$1556,3,FALSE)</f>
        <v>324</v>
      </c>
      <c r="M568" s="562" t="e">
        <f>SUMIFS('Recon of ORS and DV'!D:D,'Recon of ORS and DV'!B:B,'DV List for import'!A568)</f>
        <v>#VALUE!</v>
      </c>
      <c r="N568" s="276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2" t="e">
        <f>VLOOKUP(L569,'Import Process ORS'!$D$4:$E$1557,2,FALSE)</f>
        <v>#N/A</v>
      </c>
      <c r="D569" s="562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2" t="e">
        <f>SUMIFS('[1]MAIN-101'!$Z$1:$Z$3000,'[1]MAIN-101'!$X$1:$X$3000,A569)</f>
        <v>#VALUE!</v>
      </c>
      <c r="I569" s="562" t="s">
        <v>2687</v>
      </c>
      <c r="J569" t="s">
        <v>2683</v>
      </c>
      <c r="K569" t="s">
        <v>2678</v>
      </c>
      <c r="L569" s="562" t="str">
        <f>VLOOKUP(A569,'Format for Import of DV'!$A$3:$S$1556,3,FALSE)</f>
        <v>322</v>
      </c>
      <c r="M569" s="562" t="e">
        <f>SUMIFS('Recon of ORS and DV'!D:D,'Recon of ORS and DV'!B:B,'DV List for import'!A569)</f>
        <v>#VALUE!</v>
      </c>
      <c r="N569" s="276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4" t="str">
        <f>L570</f>
        <v>0000-00-0000</v>
      </c>
      <c r="D570" s="562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2" t="e">
        <f>SUMIFS('[1]MAIN-101'!$Z$1:$Z$3000,'[1]MAIN-101'!$X$1:$X$3000,A570)</f>
        <v>#VALUE!</v>
      </c>
      <c r="I570" s="562" t="s">
        <v>392</v>
      </c>
      <c r="J570" t="s">
        <v>2681</v>
      </c>
      <c r="K570" t="s">
        <v>2679</v>
      </c>
      <c r="L570" s="564" t="s">
        <v>2666</v>
      </c>
      <c r="M570" s="562">
        <f>SUMIFS('Recon of ORS and DV'!D:D,'Recon of ORS and DV'!B:B,'DV List for import'!A570)</f>
        <v>0</v>
      </c>
      <c r="N570" s="276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2" t="e">
        <f>VLOOKUP(L571,'Import Process ORS'!$D$4:$E$1557,2,FALSE)</f>
        <v>#N/A</v>
      </c>
      <c r="D571" s="562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2" t="e">
        <f>SUMIFS('[1]MAIN-101'!$Z$1:$Z$3000,'[1]MAIN-101'!$X$1:$X$3000,A571)</f>
        <v>#VALUE!</v>
      </c>
      <c r="I571" s="562" t="s">
        <v>2687</v>
      </c>
      <c r="J571" t="s">
        <v>2683</v>
      </c>
      <c r="K571" t="s">
        <v>2678</v>
      </c>
      <c r="L571" s="562" t="str">
        <f>VLOOKUP(A571,'Format for Import of DV'!$A$3:$S$1556,3,FALSE)</f>
        <v>335</v>
      </c>
      <c r="M571" s="562" t="e">
        <f>SUMIFS('Recon of ORS and DV'!D:D,'Recon of ORS and DV'!B:B,'DV List for import'!A571)</f>
        <v>#VALUE!</v>
      </c>
      <c r="N571" s="276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2" t="e">
        <f>VLOOKUP(L572,'Import Process ORS'!$D$4:$E$1557,2,FALSE)</f>
        <v>#N/A</v>
      </c>
      <c r="D572" s="562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2" t="e">
        <f>SUMIFS('[1]MAIN-101'!$Z$1:$Z$3000,'[1]MAIN-101'!$X$1:$X$3000,A572)</f>
        <v>#VALUE!</v>
      </c>
      <c r="I572" s="562" t="s">
        <v>2687</v>
      </c>
      <c r="J572" t="s">
        <v>2683</v>
      </c>
      <c r="K572" t="s">
        <v>2678</v>
      </c>
      <c r="L572" s="562" t="str">
        <f>VLOOKUP(A572,'Format for Import of DV'!$A$3:$S$1556,3,FALSE)</f>
        <v>336</v>
      </c>
      <c r="M572" s="562" t="e">
        <f>SUMIFS('Recon of ORS and DV'!D:D,'Recon of ORS and DV'!B:B,'DV List for import'!A572)</f>
        <v>#VALUE!</v>
      </c>
      <c r="N572" s="276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2" t="e">
        <f>VLOOKUP(L573,'Import Process ORS'!$D$4:$E$1557,2,FALSE)</f>
        <v>#N/A</v>
      </c>
      <c r="D573" s="562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2" t="e">
        <f>SUMIFS('[1]MAIN-101'!$Z$1:$Z$3000,'[1]MAIN-101'!$X$1:$X$3000,A573)</f>
        <v>#VALUE!</v>
      </c>
      <c r="I573" s="562" t="s">
        <v>2687</v>
      </c>
      <c r="J573" t="s">
        <v>2683</v>
      </c>
      <c r="K573" t="s">
        <v>2678</v>
      </c>
      <c r="L573" s="562" t="str">
        <f>VLOOKUP(A573,'Format for Import of DV'!$A$3:$S$1556,3,FALSE)</f>
        <v>325</v>
      </c>
      <c r="M573" s="562" t="e">
        <f>SUMIFS('Recon of ORS and DV'!D:D,'Recon of ORS and DV'!B:B,'DV List for import'!A573)</f>
        <v>#VALUE!</v>
      </c>
      <c r="N573" s="276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2" t="e">
        <f>VLOOKUP(L574,'Import Process ORS'!$D$4:$E$1557,2,FALSE)</f>
        <v>#N/A</v>
      </c>
      <c r="D574" s="562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2" t="e">
        <f>SUMIFS('[1]MAIN-101'!$Z$1:$Z$3000,'[1]MAIN-101'!$X$1:$X$3000,A574)</f>
        <v>#VALUE!</v>
      </c>
      <c r="I574" s="562" t="s">
        <v>2687</v>
      </c>
      <c r="J574" t="s">
        <v>2683</v>
      </c>
      <c r="K574" t="s">
        <v>2678</v>
      </c>
      <c r="L574" s="562" t="str">
        <f>VLOOKUP(A574,'Format for Import of DV'!$A$3:$S$1556,3,FALSE)</f>
        <v>326</v>
      </c>
      <c r="M574" s="562" t="e">
        <f>SUMIFS('Recon of ORS and DV'!D:D,'Recon of ORS and DV'!B:B,'DV List for import'!A574)</f>
        <v>#VALUE!</v>
      </c>
      <c r="N574" s="276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2" t="e">
        <f>VLOOKUP(L575,'Import Process ORS'!$D$4:$E$1557,2,FALSE)</f>
        <v>#N/A</v>
      </c>
      <c r="D575" s="562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2" t="e">
        <f>SUMIFS('[1]MAIN-101'!$Z$1:$Z$3000,'[1]MAIN-101'!$X$1:$X$3000,A575)</f>
        <v>#VALUE!</v>
      </c>
      <c r="I575" s="562" t="s">
        <v>2687</v>
      </c>
      <c r="J575" t="s">
        <v>2683</v>
      </c>
      <c r="K575" t="s">
        <v>2678</v>
      </c>
      <c r="L575" s="562" t="str">
        <f>VLOOKUP(A575,'Format for Import of DV'!$A$3:$S$1556,3,FALSE)</f>
        <v>327</v>
      </c>
      <c r="M575" s="562" t="e">
        <f>SUMIFS('Recon of ORS and DV'!D:D,'Recon of ORS and DV'!B:B,'DV List for import'!A575)</f>
        <v>#VALUE!</v>
      </c>
      <c r="N575" s="276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2" t="e">
        <f>VLOOKUP(L576,'Import Process ORS'!$D$4:$E$1557,2,FALSE)</f>
        <v>#N/A</v>
      </c>
      <c r="D576" s="562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2" t="e">
        <f>SUMIFS('[1]MAIN-101'!$Z$1:$Z$3000,'[1]MAIN-101'!$X$1:$X$3000,A576)</f>
        <v>#VALUE!</v>
      </c>
      <c r="I576" s="562" t="s">
        <v>2687</v>
      </c>
      <c r="J576" t="s">
        <v>2683</v>
      </c>
      <c r="K576" t="s">
        <v>2678</v>
      </c>
      <c r="L576" s="562" t="str">
        <f>VLOOKUP(A576,'Format for Import of DV'!$A$3:$S$1556,3,FALSE)</f>
        <v>328</v>
      </c>
      <c r="M576" s="562" t="e">
        <f>SUMIFS('Recon of ORS and DV'!D:D,'Recon of ORS and DV'!B:B,'DV List for import'!A576)</f>
        <v>#VALUE!</v>
      </c>
      <c r="N576" s="276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2" t="e">
        <f>VLOOKUP(L577,'Import Process ORS'!$D$4:$E$1557,2,FALSE)</f>
        <v>#N/A</v>
      </c>
      <c r="D577" s="562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2" t="e">
        <f>SUMIFS('[1]MAIN-101'!$Z$1:$Z$3000,'[1]MAIN-101'!$X$1:$X$3000,A577)</f>
        <v>#VALUE!</v>
      </c>
      <c r="I577" s="562" t="s">
        <v>2687</v>
      </c>
      <c r="J577" t="s">
        <v>2683</v>
      </c>
      <c r="K577" t="s">
        <v>2678</v>
      </c>
      <c r="L577" s="562" t="str">
        <f>VLOOKUP(A577,'Format for Import of DV'!$A$3:$S$1556,3,FALSE)</f>
        <v>329</v>
      </c>
      <c r="M577" s="562" t="e">
        <f>SUMIFS('Recon of ORS and DV'!D:D,'Recon of ORS and DV'!B:B,'DV List for import'!A577)</f>
        <v>#VALUE!</v>
      </c>
      <c r="N577" s="276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2" t="e">
        <f>VLOOKUP(L578,'Import Process ORS'!$D$4:$E$1557,2,FALSE)</f>
        <v>#N/A</v>
      </c>
      <c r="D578" s="562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2" t="e">
        <f>SUMIFS('[1]MAIN-101'!$Z$1:$Z$3000,'[1]MAIN-101'!$X$1:$X$3000,A578)</f>
        <v>#VALUE!</v>
      </c>
      <c r="I578" s="562" t="s">
        <v>2687</v>
      </c>
      <c r="J578" t="s">
        <v>2683</v>
      </c>
      <c r="K578" t="s">
        <v>2678</v>
      </c>
      <c r="L578" s="562" t="str">
        <f>VLOOKUP(A578,'Format for Import of DV'!$A$3:$S$1556,3,FALSE)</f>
        <v>330</v>
      </c>
      <c r="M578" s="562" t="e">
        <f>SUMIFS('Recon of ORS and DV'!D:D,'Recon of ORS and DV'!B:B,'DV List for import'!A578)</f>
        <v>#VALUE!</v>
      </c>
      <c r="N578" s="276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4" t="str">
        <f>L579</f>
        <v>0000-00-0000</v>
      </c>
      <c r="D579" s="562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2" t="e">
        <f>SUMIFS('[1]MAIN-101'!$Z$1:$Z$3000,'[1]MAIN-101'!$X$1:$X$3000,A579)</f>
        <v>#VALUE!</v>
      </c>
      <c r="I579" s="562" t="s">
        <v>392</v>
      </c>
      <c r="J579" t="s">
        <v>2681</v>
      </c>
      <c r="K579" t="s">
        <v>2679</v>
      </c>
      <c r="L579" s="564" t="s">
        <v>2666</v>
      </c>
      <c r="M579" s="562">
        <f>SUMIFS('Recon of ORS and DV'!D:D,'Recon of ORS and DV'!B:B,'DV List for import'!A579)</f>
        <v>0</v>
      </c>
      <c r="N579" s="276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4" t="str">
        <f>L580</f>
        <v>0000-00-0000</v>
      </c>
      <c r="D580" s="562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2" t="e">
        <f>SUMIFS('[1]MAIN-101'!$Z$1:$Z$3000,'[1]MAIN-101'!$X$1:$X$3000,A580)</f>
        <v>#VALUE!</v>
      </c>
      <c r="I580" s="562" t="s">
        <v>2662</v>
      </c>
      <c r="J580" t="s">
        <v>2053</v>
      </c>
      <c r="K580" t="s">
        <v>2680</v>
      </c>
      <c r="L580" s="564" t="s">
        <v>2666</v>
      </c>
      <c r="M580" s="562">
        <f>SUMIFS('Recon of ORS and DV'!D:D,'Recon of ORS and DV'!B:B,'DV List for import'!A580)</f>
        <v>0</v>
      </c>
      <c r="N580" s="276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2" t="e">
        <f>VLOOKUP(L581,'Import Process ORS'!$D$4:$E$1557,2,FALSE)</f>
        <v>#N/A</v>
      </c>
      <c r="D581" s="562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2" t="e">
        <f>SUMIFS('[1]MAIN-101'!$Z$1:$Z$3000,'[1]MAIN-101'!$X$1:$X$3000,A581)</f>
        <v>#VALUE!</v>
      </c>
      <c r="I581" s="562" t="s">
        <v>2687</v>
      </c>
      <c r="J581" t="s">
        <v>2683</v>
      </c>
      <c r="K581" t="s">
        <v>2678</v>
      </c>
      <c r="L581" s="562" t="str">
        <f>VLOOKUP(A581,'Format for Import of DV'!$A$3:$S$1556,3,FALSE)</f>
        <v>284</v>
      </c>
      <c r="M581" s="562" t="e">
        <f>SUMIFS('Recon of ORS and DV'!D:D,'Recon of ORS and DV'!B:B,'DV List for import'!A581)</f>
        <v>#VALUE!</v>
      </c>
      <c r="N581" s="276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4" t="str">
        <f>L582</f>
        <v>0000-00-0000</v>
      </c>
      <c r="D582" s="562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2" t="e">
        <f>SUMIFS('[1]MAIN-101'!$Z$1:$Z$3000,'[1]MAIN-101'!$X$1:$X$3000,A582)</f>
        <v>#VALUE!</v>
      </c>
      <c r="I582" s="562" t="s">
        <v>392</v>
      </c>
      <c r="J582" t="s">
        <v>2681</v>
      </c>
      <c r="K582" t="s">
        <v>2679</v>
      </c>
      <c r="L582" s="564" t="s">
        <v>2666</v>
      </c>
      <c r="M582" s="562">
        <f>SUMIFS('Recon of ORS and DV'!D:D,'Recon of ORS and DV'!B:B,'DV List for import'!A582)</f>
        <v>0</v>
      </c>
      <c r="N582" s="276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4" t="str">
        <f>L583</f>
        <v>0000-00-0000</v>
      </c>
      <c r="D583" s="562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2" t="e">
        <f>SUMIFS('[1]MAIN-101'!$Z$1:$Z$3000,'[1]MAIN-101'!$X$1:$X$3000,A583)</f>
        <v>#VALUE!</v>
      </c>
      <c r="I583" s="562" t="s">
        <v>392</v>
      </c>
      <c r="J583" t="s">
        <v>2681</v>
      </c>
      <c r="K583" t="s">
        <v>2679</v>
      </c>
      <c r="L583" s="564" t="s">
        <v>2666</v>
      </c>
      <c r="M583" s="562">
        <f>SUMIFS('Recon of ORS and DV'!D:D,'Recon of ORS and DV'!B:B,'DV List for import'!A583)</f>
        <v>0</v>
      </c>
      <c r="N583" s="276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4" t="str">
        <f>L584</f>
        <v>0000-00-0000</v>
      </c>
      <c r="D584" s="562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2" t="e">
        <f>SUMIFS('[1]MAIN-101'!$Z$1:$Z$3000,'[1]MAIN-101'!$X$1:$X$3000,A584)</f>
        <v>#VALUE!</v>
      </c>
      <c r="I584" s="562" t="s">
        <v>392</v>
      </c>
      <c r="J584" t="s">
        <v>2681</v>
      </c>
      <c r="K584" t="s">
        <v>2679</v>
      </c>
      <c r="L584" s="564" t="s">
        <v>2666</v>
      </c>
      <c r="M584" s="562">
        <f>SUMIFS('Recon of ORS and DV'!D:D,'Recon of ORS and DV'!B:B,'DV List for import'!A584)</f>
        <v>0</v>
      </c>
      <c r="N584" s="276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2" t="e">
        <f>VLOOKUP(L585,'Import Process ORS'!$D$4:$E$1557,2,FALSE)</f>
        <v>#N/A</v>
      </c>
      <c r="D585" s="562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2" t="e">
        <f>SUMIFS('[1]MAIN-101'!$Z$1:$Z$3000,'[1]MAIN-101'!$X$1:$X$3000,A585)</f>
        <v>#VALUE!</v>
      </c>
      <c r="I585" s="562" t="s">
        <v>2685</v>
      </c>
      <c r="J585" t="s">
        <v>2683</v>
      </c>
      <c r="K585" t="s">
        <v>2678</v>
      </c>
      <c r="L585" s="562" t="str">
        <f>VLOOKUP(A585,'Format for Import of DV'!$A$3:$S$1556,3,FALSE)</f>
        <v>338</v>
      </c>
      <c r="M585" s="562" t="e">
        <f>SUMIFS('Recon of ORS and DV'!D:D,'Recon of ORS and DV'!B:B,'DV List for import'!A585)</f>
        <v>#VALUE!</v>
      </c>
      <c r="N585" s="276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2" t="e">
        <f>VLOOKUP(L586,'Import Process ORS'!$D$4:$E$1557,2,FALSE)</f>
        <v>#N/A</v>
      </c>
      <c r="D586" s="562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2" t="e">
        <f>SUMIFS('[1]MAIN-101'!$Z$1:$Z$3000,'[1]MAIN-101'!$X$1:$X$3000,A586)</f>
        <v>#VALUE!</v>
      </c>
      <c r="I586" s="562" t="s">
        <v>2685</v>
      </c>
      <c r="J586" t="s">
        <v>2683</v>
      </c>
      <c r="K586" t="s">
        <v>2678</v>
      </c>
      <c r="L586" s="562" t="str">
        <f>VLOOKUP(A586,'Format for Import of DV'!$A$3:$S$1556,3,FALSE)</f>
        <v>339</v>
      </c>
      <c r="M586" s="562" t="e">
        <f>SUMIFS('Recon of ORS and DV'!D:D,'Recon of ORS and DV'!B:B,'DV List for import'!A586)</f>
        <v>#VALUE!</v>
      </c>
      <c r="N586" s="276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2" t="e">
        <f>VLOOKUP(L587,'Import Process ORS'!$D$4:$E$1557,2,FALSE)</f>
        <v>#N/A</v>
      </c>
      <c r="D587" s="562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2" t="e">
        <f>SUMIFS('[1]MAIN-101'!$Z$1:$Z$3000,'[1]MAIN-101'!$X$1:$X$3000,A587)</f>
        <v>#VALUE!</v>
      </c>
      <c r="I587" s="562" t="s">
        <v>2687</v>
      </c>
      <c r="J587" t="s">
        <v>2683</v>
      </c>
      <c r="K587" t="s">
        <v>2678</v>
      </c>
      <c r="L587" s="562" t="str">
        <f>VLOOKUP(A587,'Format for Import of DV'!$A$3:$S$1556,3,FALSE)</f>
        <v>337</v>
      </c>
      <c r="M587" s="562" t="e">
        <f>SUMIFS('Recon of ORS and DV'!D:D,'Recon of ORS and DV'!B:B,'DV List for import'!A587)</f>
        <v>#VALUE!</v>
      </c>
      <c r="N587" s="276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2" t="e">
        <f>VLOOKUP(L588,'Import Process ORS'!$D$4:$E$1557,2,FALSE)</f>
        <v>#N/A</v>
      </c>
      <c r="D588" s="562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2" t="e">
        <f>SUMIFS('[1]MAIN-101'!$Z$1:$Z$3000,'[1]MAIN-101'!$X$1:$X$3000,A588)</f>
        <v>#VALUE!</v>
      </c>
      <c r="I588" s="562" t="s">
        <v>2687</v>
      </c>
      <c r="J588" t="s">
        <v>2683</v>
      </c>
      <c r="K588" t="s">
        <v>2678</v>
      </c>
      <c r="L588" s="562" t="str">
        <f>VLOOKUP(A588,'Format for Import of DV'!$A$3:$S$1556,3,FALSE)</f>
        <v>312</v>
      </c>
      <c r="M588" s="562" t="e">
        <f>SUMIFS('Recon of ORS and DV'!D:D,'Recon of ORS and DV'!B:B,'DV List for import'!A588)</f>
        <v>#VALUE!</v>
      </c>
      <c r="N588" s="276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2" t="e">
        <f>VLOOKUP(L589,'Import Process ORS'!$D$4:$E$1557,2,FALSE)</f>
        <v>#N/A</v>
      </c>
      <c r="D589" s="562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2" t="e">
        <f>SUMIFS('[1]MAIN-101'!$Z$1:$Z$3000,'[1]MAIN-101'!$X$1:$X$3000,A589)</f>
        <v>#VALUE!</v>
      </c>
      <c r="I589" s="562" t="s">
        <v>2687</v>
      </c>
      <c r="J589" t="s">
        <v>2683</v>
      </c>
      <c r="K589" t="s">
        <v>2678</v>
      </c>
      <c r="L589" s="562" t="str">
        <f>VLOOKUP(A589,'Format for Import of DV'!$A$3:$S$1556,3,FALSE)</f>
        <v>313</v>
      </c>
      <c r="M589" s="562" t="e">
        <f>SUMIFS('Recon of ORS and DV'!D:D,'Recon of ORS and DV'!B:B,'DV List for import'!A589)</f>
        <v>#VALUE!</v>
      </c>
      <c r="N589" s="276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4" t="str">
        <f>L590</f>
        <v>0000-00-0000</v>
      </c>
      <c r="D590" s="562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2" t="e">
        <f>SUMIFS('[1]MAIN-101'!$Z$1:$Z$3000,'[1]MAIN-101'!$X$1:$X$3000,A590)</f>
        <v>#VALUE!</v>
      </c>
      <c r="I590" s="562" t="s">
        <v>2662</v>
      </c>
      <c r="J590" t="s">
        <v>2053</v>
      </c>
      <c r="K590" t="s">
        <v>2680</v>
      </c>
      <c r="L590" s="564" t="s">
        <v>2666</v>
      </c>
      <c r="M590" s="562">
        <f>SUMIFS('Recon of ORS and DV'!D:D,'Recon of ORS and DV'!B:B,'DV List for import'!A590)</f>
        <v>0</v>
      </c>
      <c r="N590" s="276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2" t="e">
        <f>VLOOKUP(L591,'Import Process ORS'!$D$4:$E$1557,2,FALSE)</f>
        <v>#N/A</v>
      </c>
      <c r="D591" s="562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2" t="e">
        <f>SUMIFS('[1]MAIN-101'!$Z$1:$Z$3000,'[1]MAIN-101'!$X$1:$X$3000,A591)</f>
        <v>#VALUE!</v>
      </c>
      <c r="I591" s="562" t="s">
        <v>2685</v>
      </c>
      <c r="J591" t="s">
        <v>2683</v>
      </c>
      <c r="K591" t="s">
        <v>2678</v>
      </c>
      <c r="L591" s="562" t="str">
        <f>VLOOKUP(A591,'Format for Import of DV'!$A$3:$S$1556,3,FALSE)</f>
        <v>340</v>
      </c>
      <c r="M591" s="562" t="e">
        <f>SUMIFS('Recon of ORS and DV'!D:D,'Recon of ORS and DV'!B:B,'DV List for import'!A591)</f>
        <v>#VALUE!</v>
      </c>
      <c r="N591" s="276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2" t="e">
        <f>VLOOKUP(L592,'Import Process ORS'!$D$4:$E$1557,2,FALSE)</f>
        <v>#N/A</v>
      </c>
      <c r="D592" s="562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2" t="e">
        <f>SUMIFS('[1]MAIN-101'!$Z$1:$Z$3000,'[1]MAIN-101'!$X$1:$X$3000,A592)</f>
        <v>#VALUE!</v>
      </c>
      <c r="I592" s="562" t="s">
        <v>2685</v>
      </c>
      <c r="J592" t="s">
        <v>2683</v>
      </c>
      <c r="K592" t="s">
        <v>2678</v>
      </c>
      <c r="L592" s="562" t="str">
        <f>VLOOKUP(A592,'Format for Import of DV'!$A$3:$S$1556,3,FALSE)</f>
        <v>341</v>
      </c>
      <c r="M592" s="562" t="e">
        <f>SUMIFS('Recon of ORS and DV'!D:D,'Recon of ORS and DV'!B:B,'DV List for import'!A592)</f>
        <v>#VALUE!</v>
      </c>
      <c r="N592" s="276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2" t="e">
        <f>VLOOKUP(L593,'Import Process ORS'!$D$4:$E$1557,2,FALSE)</f>
        <v>#N/A</v>
      </c>
      <c r="D593" s="562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2" t="e">
        <f>SUMIFS('[1]MAIN-101'!$Z$1:$Z$3000,'[1]MAIN-101'!$X$1:$X$3000,A593)</f>
        <v>#VALUE!</v>
      </c>
      <c r="I593" s="562" t="s">
        <v>2685</v>
      </c>
      <c r="J593" t="s">
        <v>2683</v>
      </c>
      <c r="K593" t="s">
        <v>2678</v>
      </c>
      <c r="L593" s="562" t="str">
        <f>VLOOKUP(A593,'Format for Import of DV'!$A$3:$S$1556,3,FALSE)</f>
        <v>342</v>
      </c>
      <c r="M593" s="562" t="e">
        <f>SUMIFS('Recon of ORS and DV'!D:D,'Recon of ORS and DV'!B:B,'DV List for import'!A593)</f>
        <v>#VALUE!</v>
      </c>
      <c r="N593" s="276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2" t="e">
        <f>VLOOKUP(L594,'Import Process ORS'!$D$4:$E$1557,2,FALSE)</f>
        <v>#N/A</v>
      </c>
      <c r="D594" s="562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2" t="e">
        <f>SUMIFS('[1]MAIN-101'!$Z$1:$Z$3000,'[1]MAIN-101'!$X$1:$X$3000,A594)</f>
        <v>#VALUE!</v>
      </c>
      <c r="I594" s="562" t="s">
        <v>2685</v>
      </c>
      <c r="J594" t="s">
        <v>2683</v>
      </c>
      <c r="K594" t="s">
        <v>2678</v>
      </c>
      <c r="L594" s="562" t="str">
        <f>VLOOKUP(A594,'Format for Import of DV'!$A$3:$S$1556,3,FALSE)</f>
        <v>343</v>
      </c>
      <c r="M594" s="562" t="e">
        <f>SUMIFS('Recon of ORS and DV'!D:D,'Recon of ORS and DV'!B:B,'DV List for import'!A594)</f>
        <v>#VALUE!</v>
      </c>
      <c r="N594" s="276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2" t="e">
        <f>VLOOKUP(L595,'Import Process ORS'!$D$4:$E$1557,2,FALSE)</f>
        <v>#N/A</v>
      </c>
      <c r="D595" s="562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2" t="e">
        <f>SUMIFS('[1]MAIN-101'!$Z$1:$Z$3000,'[1]MAIN-101'!$X$1:$X$3000,A595)</f>
        <v>#VALUE!</v>
      </c>
      <c r="I595" s="562" t="s">
        <v>2685</v>
      </c>
      <c r="J595" t="s">
        <v>2683</v>
      </c>
      <c r="K595" t="s">
        <v>2678</v>
      </c>
      <c r="L595" s="562" t="str">
        <f>VLOOKUP(A595,'Format for Import of DV'!$A$3:$S$1556,3,FALSE)</f>
        <v>344</v>
      </c>
      <c r="M595" s="562" t="e">
        <f>SUMIFS('Recon of ORS and DV'!D:D,'Recon of ORS and DV'!B:B,'DV List for import'!A595)</f>
        <v>#VALUE!</v>
      </c>
      <c r="N595" s="276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4" t="str">
        <f>L596</f>
        <v>0000-00-0000</v>
      </c>
      <c r="D596" s="562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2" t="e">
        <f>SUMIFS('[1]MAIN-101'!$Z$1:$Z$3000,'[1]MAIN-101'!$X$1:$X$3000,A596)</f>
        <v>#VALUE!</v>
      </c>
      <c r="I596" s="562" t="s">
        <v>2662</v>
      </c>
      <c r="J596" t="s">
        <v>2053</v>
      </c>
      <c r="K596" t="s">
        <v>2680</v>
      </c>
      <c r="L596" s="564" t="s">
        <v>2666</v>
      </c>
      <c r="M596" s="562">
        <f>SUMIFS('Recon of ORS and DV'!D:D,'Recon of ORS and DV'!B:B,'DV List for import'!A596)</f>
        <v>0</v>
      </c>
      <c r="N596" s="276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2" t="e">
        <f>VLOOKUP(L597,'Import Process ORS'!$D$4:$E$1557,2,FALSE)</f>
        <v>#N/A</v>
      </c>
      <c r="D597" s="562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2" t="e">
        <f>SUMIFS('[1]MAIN-101'!$Z$1:$Z$3000,'[1]MAIN-101'!$X$1:$X$3000,A597)</f>
        <v>#VALUE!</v>
      </c>
      <c r="I597" s="562" t="s">
        <v>2685</v>
      </c>
      <c r="J597" t="s">
        <v>2683</v>
      </c>
      <c r="K597" t="s">
        <v>2678</v>
      </c>
      <c r="L597" s="562" t="str">
        <f>VLOOKUP(A597,'Format for Import of DV'!$A$3:$S$1556,3,FALSE)</f>
        <v>345</v>
      </c>
      <c r="M597" s="562" t="e">
        <f>SUMIFS('Recon of ORS and DV'!D:D,'Recon of ORS and DV'!B:B,'DV List for import'!A597)</f>
        <v>#VALUE!</v>
      </c>
      <c r="N597" s="276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2" t="e">
        <f>VLOOKUP(L598,'Import Process ORS'!$D$4:$E$1557,2,FALSE)</f>
        <v>#N/A</v>
      </c>
      <c r="D598" s="562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2" t="e">
        <f>SUMIFS('[1]MAIN-101'!$Z$1:$Z$3000,'[1]MAIN-101'!$X$1:$X$3000,A598)</f>
        <v>#VALUE!</v>
      </c>
      <c r="I598" s="562" t="s">
        <v>2685</v>
      </c>
      <c r="J598" t="s">
        <v>2683</v>
      </c>
      <c r="K598" t="s">
        <v>2678</v>
      </c>
      <c r="L598" s="562" t="str">
        <f>VLOOKUP(A598,'Format for Import of DV'!$A$3:$S$1556,3,FALSE)</f>
        <v>346</v>
      </c>
      <c r="M598" s="562" t="e">
        <f>SUMIFS('Recon of ORS and DV'!D:D,'Recon of ORS and DV'!B:B,'DV List for import'!A598)</f>
        <v>#VALUE!</v>
      </c>
      <c r="N598" s="276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2" t="e">
        <f>VLOOKUP(L599,'Import Process ORS'!$D$4:$E$1557,2,FALSE)</f>
        <v>#N/A</v>
      </c>
      <c r="D599" s="562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2" t="e">
        <f>SUMIFS('[1]MAIN-101'!$Z$1:$Z$3000,'[1]MAIN-101'!$X$1:$X$3000,A599)</f>
        <v>#VALUE!</v>
      </c>
      <c r="I599" s="562" t="s">
        <v>2685</v>
      </c>
      <c r="J599" t="s">
        <v>2683</v>
      </c>
      <c r="K599" t="s">
        <v>2678</v>
      </c>
      <c r="L599" s="562" t="str">
        <f>VLOOKUP(A599,'Format for Import of DV'!$A$3:$S$1556,3,FALSE)</f>
        <v>347</v>
      </c>
      <c r="M599" s="562" t="e">
        <f>SUMIFS('Recon of ORS and DV'!D:D,'Recon of ORS and DV'!B:B,'DV List for import'!A599)</f>
        <v>#VALUE!</v>
      </c>
      <c r="N599" s="276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2" t="e">
        <f>VLOOKUP(L600,'Import Process ORS'!$D$4:$E$1557,2,FALSE)</f>
        <v>#N/A</v>
      </c>
      <c r="D600" s="562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2" t="e">
        <f>SUMIFS('[1]MAIN-101'!$Z$1:$Z$3000,'[1]MAIN-101'!$X$1:$X$3000,A600)</f>
        <v>#VALUE!</v>
      </c>
      <c r="I600" s="562" t="s">
        <v>2685</v>
      </c>
      <c r="J600" t="s">
        <v>2683</v>
      </c>
      <c r="K600" t="s">
        <v>2678</v>
      </c>
      <c r="L600" s="562" t="str">
        <f>VLOOKUP(A600,'Format for Import of DV'!$A$3:$S$1556,3,FALSE)</f>
        <v>348</v>
      </c>
      <c r="M600" s="562" t="e">
        <f>SUMIFS('Recon of ORS and DV'!D:D,'Recon of ORS and DV'!B:B,'DV List for import'!A600)</f>
        <v>#VALUE!</v>
      </c>
      <c r="N600" s="276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2" t="e">
        <f>VLOOKUP(L601,'Import Process ORS'!$D$4:$E$1557,2,FALSE)</f>
        <v>#N/A</v>
      </c>
      <c r="D601" s="562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2" t="e">
        <f>SUMIFS('[1]MAIN-101'!$Z$1:$Z$3000,'[1]MAIN-101'!$X$1:$X$3000,A601)</f>
        <v>#VALUE!</v>
      </c>
      <c r="I601" s="562" t="s">
        <v>2685</v>
      </c>
      <c r="J601" t="s">
        <v>2683</v>
      </c>
      <c r="K601" t="s">
        <v>2678</v>
      </c>
      <c r="L601" s="562" t="str">
        <f>VLOOKUP(A601,'Format for Import of DV'!$A$3:$S$1556,3,FALSE)</f>
        <v>349</v>
      </c>
      <c r="M601" s="562" t="e">
        <f>SUMIFS('Recon of ORS and DV'!D:D,'Recon of ORS and DV'!B:B,'DV List for import'!A601)</f>
        <v>#VALUE!</v>
      </c>
      <c r="N601" s="276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2" t="e">
        <f>VLOOKUP(L602,'Import Process ORS'!$D$4:$E$1557,2,FALSE)</f>
        <v>#N/A</v>
      </c>
      <c r="D602" s="562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2" t="e">
        <f>SUMIFS('[1]MAIN-101'!$Z$1:$Z$3000,'[1]MAIN-101'!$X$1:$X$3000,A602)</f>
        <v>#VALUE!</v>
      </c>
      <c r="I602" s="562" t="s">
        <v>2685</v>
      </c>
      <c r="J602" t="s">
        <v>2683</v>
      </c>
      <c r="K602" t="s">
        <v>2678</v>
      </c>
      <c r="L602" s="562" t="str">
        <f>VLOOKUP(A602,'Format for Import of DV'!$A$3:$S$1556,3,FALSE)</f>
        <v>350</v>
      </c>
      <c r="M602" s="562" t="e">
        <f>SUMIFS('Recon of ORS and DV'!D:D,'Recon of ORS and DV'!B:B,'DV List for import'!A602)</f>
        <v>#VALUE!</v>
      </c>
      <c r="N602" s="276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4" t="str">
        <f>L603</f>
        <v>0000-00-0000</v>
      </c>
      <c r="D603" s="562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2" t="e">
        <f>SUMIFS('[1]MAIN-101'!$Z$1:$Z$3000,'[1]MAIN-101'!$X$1:$X$3000,A603)</f>
        <v>#VALUE!</v>
      </c>
      <c r="I603" s="562" t="s">
        <v>392</v>
      </c>
      <c r="J603" t="s">
        <v>2681</v>
      </c>
      <c r="K603" t="s">
        <v>2679</v>
      </c>
      <c r="L603" s="564" t="s">
        <v>2666</v>
      </c>
      <c r="M603" s="562">
        <f>SUMIFS('Recon of ORS and DV'!D:D,'Recon of ORS and DV'!B:B,'DV List for import'!A603)</f>
        <v>0</v>
      </c>
      <c r="N603" s="276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4" t="str">
        <f>L604</f>
        <v>0000-00-0000</v>
      </c>
      <c r="D604" s="562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2" t="e">
        <f>SUMIFS('[1]MAIN-101'!$Z$1:$Z$3000,'[1]MAIN-101'!$X$1:$X$3000,A604)</f>
        <v>#VALUE!</v>
      </c>
      <c r="I604" s="562" t="s">
        <v>2662</v>
      </c>
      <c r="J604" t="s">
        <v>2053</v>
      </c>
      <c r="K604" t="s">
        <v>2680</v>
      </c>
      <c r="L604" s="564" t="s">
        <v>2666</v>
      </c>
      <c r="M604" s="562">
        <f>SUMIFS('Recon of ORS and DV'!D:D,'Recon of ORS and DV'!B:B,'DV List for import'!A604)</f>
        <v>0</v>
      </c>
      <c r="N604" s="276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2" t="e">
        <f>VLOOKUP(L605,'Import Process ORS'!$D$4:$E$1557,2,FALSE)</f>
        <v>#N/A</v>
      </c>
      <c r="D605" s="562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2" t="e">
        <f>SUMIFS('[1]MAIN-101'!$Z$1:$Z$3000,'[1]MAIN-101'!$X$1:$X$3000,A605)</f>
        <v>#VALUE!</v>
      </c>
      <c r="I605" s="562" t="s">
        <v>2687</v>
      </c>
      <c r="J605" t="s">
        <v>2683</v>
      </c>
      <c r="K605" t="s">
        <v>2678</v>
      </c>
      <c r="L605" s="562" t="str">
        <f>VLOOKUP(A605,'Format for Import of DV'!$A$3:$S$1556,3,FALSE)</f>
        <v>351</v>
      </c>
      <c r="M605" s="562" t="e">
        <f>SUMIFS('Recon of ORS and DV'!D:D,'Recon of ORS and DV'!B:B,'DV List for import'!A605)</f>
        <v>#VALUE!</v>
      </c>
      <c r="N605" s="276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2" t="e">
        <f>VLOOKUP(L606,'Import Process ORS'!$D$4:$E$1557,2,FALSE)</f>
        <v>#N/A</v>
      </c>
      <c r="D606" s="562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2" t="e">
        <f>SUMIFS('[1]MAIN-101'!$Z$1:$Z$3000,'[1]MAIN-101'!$X$1:$X$3000,A606)</f>
        <v>#VALUE!</v>
      </c>
      <c r="I606" s="562" t="s">
        <v>2687</v>
      </c>
      <c r="J606" t="s">
        <v>2683</v>
      </c>
      <c r="K606" t="s">
        <v>2678</v>
      </c>
      <c r="L606" s="562" t="str">
        <f>VLOOKUP(A606,'Format for Import of DV'!$A$3:$S$1556,3,FALSE)</f>
        <v>352</v>
      </c>
      <c r="M606" s="562" t="e">
        <f>SUMIFS('Recon of ORS and DV'!D:D,'Recon of ORS and DV'!B:B,'DV List for import'!A606)</f>
        <v>#VALUE!</v>
      </c>
      <c r="N606" s="276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2" t="e">
        <f>VLOOKUP(L607,'Import Process ORS'!$D$4:$E$1557,2,FALSE)</f>
        <v>#N/A</v>
      </c>
      <c r="D607" s="562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2" t="e">
        <f>SUMIFS('[1]MAIN-101'!$Z$1:$Z$3000,'[1]MAIN-101'!$X$1:$X$3000,A607)</f>
        <v>#VALUE!</v>
      </c>
      <c r="I607" s="562" t="s">
        <v>2687</v>
      </c>
      <c r="J607" t="s">
        <v>2683</v>
      </c>
      <c r="K607" t="s">
        <v>2678</v>
      </c>
      <c r="L607" s="562" t="str">
        <f>VLOOKUP(A607,'Format for Import of DV'!$A$3:$S$1556,3,FALSE)</f>
        <v>353</v>
      </c>
      <c r="M607" s="562" t="e">
        <f>SUMIFS('Recon of ORS and DV'!D:D,'Recon of ORS and DV'!B:B,'DV List for import'!A607)</f>
        <v>#VALUE!</v>
      </c>
      <c r="N607" s="276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1" customWidth="1"/>
    <col min="8" max="8" width="15.109375" style="281" customWidth="1"/>
    <col min="9" max="9" width="40.88671875" bestFit="1" customWidth="1"/>
    <col min="10" max="10" width="14.33203125" style="297" bestFit="1" customWidth="1"/>
    <col min="11" max="11" width="14.6640625" customWidth="1"/>
    <col min="12" max="12" width="14.33203125" bestFit="1" customWidth="1"/>
    <col min="13" max="13" width="10.88671875" style="281" customWidth="1"/>
    <col min="14" max="14" width="16.44140625" bestFit="1" customWidth="1"/>
    <col min="15" max="15" width="39.33203125" bestFit="1" customWidth="1"/>
  </cols>
  <sheetData>
    <row r="1" spans="1:15" ht="31.2">
      <c r="A1" s="295" t="s">
        <v>935</v>
      </c>
      <c r="K1" s="415">
        <f>SUBTOTAL(9,K4:K64)</f>
        <v>45075472.159999996</v>
      </c>
    </row>
    <row r="2" spans="1:15">
      <c r="A2" s="537">
        <v>1</v>
      </c>
      <c r="B2" s="536">
        <v>2</v>
      </c>
      <c r="C2" s="536">
        <v>3</v>
      </c>
      <c r="D2" s="536">
        <v>4</v>
      </c>
      <c r="E2" s="536">
        <v>5</v>
      </c>
      <c r="F2" s="536">
        <v>6</v>
      </c>
      <c r="G2" s="537">
        <v>7</v>
      </c>
      <c r="H2" s="536">
        <v>8</v>
      </c>
      <c r="I2" s="536">
        <v>9</v>
      </c>
      <c r="J2" s="536">
        <v>10</v>
      </c>
      <c r="K2" s="302">
        <v>11</v>
      </c>
      <c r="L2" s="302">
        <v>12</v>
      </c>
      <c r="M2" s="536">
        <v>13</v>
      </c>
      <c r="N2" s="536">
        <v>14</v>
      </c>
      <c r="O2" s="536">
        <v>15</v>
      </c>
    </row>
    <row r="3" spans="1:15" ht="31.5" customHeight="1">
      <c r="A3" s="294" t="s">
        <v>875</v>
      </c>
      <c r="B3" s="294" t="s">
        <v>873</v>
      </c>
      <c r="C3" s="294" t="s">
        <v>882</v>
      </c>
      <c r="D3" s="294" t="s">
        <v>886</v>
      </c>
      <c r="E3" s="294" t="s">
        <v>874</v>
      </c>
      <c r="F3" s="294" t="s">
        <v>875</v>
      </c>
      <c r="G3" s="294" t="s">
        <v>889</v>
      </c>
      <c r="H3" s="294" t="s">
        <v>879</v>
      </c>
      <c r="I3" s="294" t="s">
        <v>880</v>
      </c>
      <c r="J3" s="299" t="s">
        <v>876</v>
      </c>
      <c r="K3" s="294" t="s">
        <v>877</v>
      </c>
      <c r="L3" s="294" t="s">
        <v>878</v>
      </c>
      <c r="M3" s="294" t="s">
        <v>922</v>
      </c>
      <c r="N3" s="294" t="s">
        <v>885</v>
      </c>
      <c r="O3" s="294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6" t="s">
        <v>887</v>
      </c>
      <c r="F4" t="s">
        <v>888</v>
      </c>
      <c r="G4" s="281" t="s">
        <v>12</v>
      </c>
      <c r="H4" s="281">
        <v>5010000000</v>
      </c>
      <c r="I4" t="s">
        <v>890</v>
      </c>
      <c r="J4" s="297">
        <v>20425000</v>
      </c>
      <c r="K4" s="401">
        <f>SUMIFS('Revised RAO'!Q:Q,'Revised RAO'!H:H,'Fund Utilization Report'!A4)</f>
        <v>5749986.5999999996</v>
      </c>
      <c r="L4" s="298">
        <f>J4-K4</f>
        <v>14675013.4</v>
      </c>
      <c r="M4" s="281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6" t="s">
        <v>887</v>
      </c>
      <c r="F5" t="s">
        <v>888</v>
      </c>
      <c r="G5" s="281" t="s">
        <v>13</v>
      </c>
      <c r="H5" s="281">
        <v>5020000000</v>
      </c>
      <c r="I5" t="s">
        <v>891</v>
      </c>
      <c r="J5" s="297">
        <v>11251000</v>
      </c>
      <c r="K5" s="401">
        <f>SUMIFS('Revised RAO'!Q:Q,'Revised RAO'!H:H,'Fund Utilization Report'!A5)</f>
        <v>4945845.7000000011</v>
      </c>
      <c r="L5" s="298">
        <f>J5-K5</f>
        <v>6305154.2999999989</v>
      </c>
      <c r="M5" s="281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6" t="s">
        <v>887</v>
      </c>
      <c r="F6" t="s">
        <v>888</v>
      </c>
      <c r="G6" s="281" t="s">
        <v>928</v>
      </c>
      <c r="H6" s="281" t="s">
        <v>929</v>
      </c>
      <c r="I6" t="s">
        <v>528</v>
      </c>
      <c r="J6" s="297">
        <v>1872000</v>
      </c>
      <c r="K6" s="401">
        <f>SUMIFS('Revised RAO'!Q:Q,'Revised RAO'!H:H,'Fund Utilization Report'!A6)</f>
        <v>588593.15999999992</v>
      </c>
      <c r="L6" s="298">
        <f>J6-K6</f>
        <v>1283406.8400000001</v>
      </c>
      <c r="M6" s="281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6" t="s">
        <v>887</v>
      </c>
      <c r="F7" t="s">
        <v>888</v>
      </c>
      <c r="G7" s="281">
        <v>742</v>
      </c>
      <c r="H7" s="281">
        <v>5010403001</v>
      </c>
      <c r="I7" t="s">
        <v>547</v>
      </c>
      <c r="J7" s="297">
        <v>2043000</v>
      </c>
      <c r="K7" s="401">
        <f>SUMIFS('Revised RAO'!Q:Q,'Revised RAO'!H:H,'Fund Utilization Report'!A7)</f>
        <v>0</v>
      </c>
      <c r="L7" s="298">
        <f t="shared" ref="L7:L43" si="0">J7-K7</f>
        <v>2043000</v>
      </c>
      <c r="M7" s="281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6" t="s">
        <v>887</v>
      </c>
      <c r="F8" t="s">
        <v>888</v>
      </c>
      <c r="G8" s="281" t="s">
        <v>12</v>
      </c>
      <c r="H8" s="281">
        <v>5010000000</v>
      </c>
      <c r="I8" t="s">
        <v>890</v>
      </c>
      <c r="J8" s="297">
        <v>6704000</v>
      </c>
      <c r="K8" s="401">
        <f>SUMIFS('Revised RAO'!Q:Q,'Revised RAO'!H:H,'Fund Utilization Report'!A8)</f>
        <v>2317077.36</v>
      </c>
      <c r="L8" s="298">
        <f t="shared" si="0"/>
        <v>4386922.6400000006</v>
      </c>
      <c r="M8" s="281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6" t="s">
        <v>887</v>
      </c>
      <c r="F9" t="s">
        <v>888</v>
      </c>
      <c r="G9" s="281" t="s">
        <v>13</v>
      </c>
      <c r="H9" s="281">
        <v>5020000000</v>
      </c>
      <c r="I9" t="s">
        <v>891</v>
      </c>
      <c r="J9" s="297">
        <v>3219000</v>
      </c>
      <c r="K9" s="401">
        <f>SUMIFS('Revised RAO'!Q:Q,'Revised RAO'!H:H,'Fund Utilization Report'!A9)</f>
        <v>1053444.1599999999</v>
      </c>
      <c r="L9" s="298">
        <f t="shared" si="0"/>
        <v>2165555.84</v>
      </c>
      <c r="M9" s="281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6" t="s">
        <v>887</v>
      </c>
      <c r="F10" t="s">
        <v>888</v>
      </c>
      <c r="G10" s="281" t="s">
        <v>928</v>
      </c>
      <c r="H10" s="281" t="s">
        <v>929</v>
      </c>
      <c r="I10" t="s">
        <v>528</v>
      </c>
      <c r="J10" s="297">
        <v>638000</v>
      </c>
      <c r="K10" s="401">
        <f>SUMIFS('Revised RAO'!Q:Q,'Revised RAO'!H:H,'Fund Utilization Report'!A10)</f>
        <v>255629.4</v>
      </c>
      <c r="L10" s="298">
        <f t="shared" si="0"/>
        <v>382370.6</v>
      </c>
      <c r="M10" s="281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6" t="s">
        <v>887</v>
      </c>
      <c r="F11" t="s">
        <v>888</v>
      </c>
      <c r="G11" s="281" t="s">
        <v>12</v>
      </c>
      <c r="H11" s="281">
        <v>5010000000</v>
      </c>
      <c r="I11" t="s">
        <v>890</v>
      </c>
      <c r="J11" s="297">
        <v>8859000</v>
      </c>
      <c r="K11" s="401">
        <f>SUMIFS('Revised RAO'!Q:Q,'Revised RAO'!H:H,'Fund Utilization Report'!A11)</f>
        <v>1590983.5799999998</v>
      </c>
      <c r="L11" s="298">
        <f t="shared" si="0"/>
        <v>7268016.4199999999</v>
      </c>
      <c r="M11" s="281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6" t="s">
        <v>887</v>
      </c>
      <c r="F12" t="s">
        <v>888</v>
      </c>
      <c r="G12" s="281" t="s">
        <v>13</v>
      </c>
      <c r="H12" s="281">
        <v>5020000000</v>
      </c>
      <c r="I12" t="s">
        <v>891</v>
      </c>
      <c r="J12" s="297">
        <v>4712000</v>
      </c>
      <c r="K12" s="401">
        <f>SUMIFS('Revised RAO'!Q:Q,'Revised RAO'!H:H,'Fund Utilization Report'!A12)</f>
        <v>1569841.6</v>
      </c>
      <c r="L12" s="298">
        <f t="shared" si="0"/>
        <v>3142158.4</v>
      </c>
      <c r="M12" s="281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6" t="s">
        <v>887</v>
      </c>
      <c r="F13" t="s">
        <v>888</v>
      </c>
      <c r="G13" s="281" t="s">
        <v>928</v>
      </c>
      <c r="H13" s="281" t="s">
        <v>929</v>
      </c>
      <c r="I13" t="s">
        <v>528</v>
      </c>
      <c r="J13" s="297">
        <v>818000</v>
      </c>
      <c r="K13" s="401">
        <f>SUMIFS('Revised RAO'!Q:Q,'Revised RAO'!H:H,'Fund Utilization Report'!A13)</f>
        <v>166324.20000000004</v>
      </c>
      <c r="L13" s="298">
        <f t="shared" si="0"/>
        <v>651675.79999999993</v>
      </c>
      <c r="M13" s="281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6" t="s">
        <v>887</v>
      </c>
      <c r="F14" t="s">
        <v>888</v>
      </c>
      <c r="G14" s="281" t="s">
        <v>12</v>
      </c>
      <c r="H14" s="281">
        <v>5010000000</v>
      </c>
      <c r="I14" t="s">
        <v>890</v>
      </c>
      <c r="J14" s="297">
        <v>9805000</v>
      </c>
      <c r="K14" s="401">
        <f>SUMIFS('Revised RAO'!Q:Q,'Revised RAO'!H:H,'Fund Utilization Report'!A14)</f>
        <v>2846726.1799999997</v>
      </c>
      <c r="L14" s="298">
        <f t="shared" si="0"/>
        <v>6958273.8200000003</v>
      </c>
      <c r="M14" s="281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6" t="s">
        <v>887</v>
      </c>
      <c r="F15" t="s">
        <v>888</v>
      </c>
      <c r="G15" s="281" t="s">
        <v>13</v>
      </c>
      <c r="H15" s="281">
        <v>5020000000</v>
      </c>
      <c r="I15" t="s">
        <v>891</v>
      </c>
      <c r="J15" s="297">
        <v>8135000</v>
      </c>
      <c r="K15" s="401">
        <f>SUMIFS('Revised RAO'!Q:Q,'Revised RAO'!H:H,'Fund Utilization Report'!A15)</f>
        <v>3065667.3699999996</v>
      </c>
      <c r="L15" s="298">
        <f t="shared" si="0"/>
        <v>5069332.6300000008</v>
      </c>
      <c r="M15" s="281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6" t="s">
        <v>887</v>
      </c>
      <c r="F16" t="s">
        <v>888</v>
      </c>
      <c r="G16" s="281" t="s">
        <v>928</v>
      </c>
      <c r="H16" s="281" t="s">
        <v>929</v>
      </c>
      <c r="I16" t="s">
        <v>528</v>
      </c>
      <c r="J16" s="297">
        <v>918000</v>
      </c>
      <c r="K16" s="401">
        <f>SUMIFS('Revised RAO'!Q:Q,'Revised RAO'!H:H,'Fund Utilization Report'!A16)</f>
        <v>296208.93999999994</v>
      </c>
      <c r="L16" s="298">
        <f t="shared" si="0"/>
        <v>621791.06000000006</v>
      </c>
      <c r="M16" s="281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6" t="s">
        <v>887</v>
      </c>
      <c r="F17" t="s">
        <v>888</v>
      </c>
      <c r="G17" s="281" t="s">
        <v>12</v>
      </c>
      <c r="H17" s="281">
        <v>5010000000</v>
      </c>
      <c r="I17" t="s">
        <v>890</v>
      </c>
      <c r="J17" s="297">
        <v>7768000</v>
      </c>
      <c r="K17" s="401">
        <f>SUMIFS('Revised RAO'!Q:Q,'Revised RAO'!H:H,'Fund Utilization Report'!A17)</f>
        <v>1451315.3800000001</v>
      </c>
      <c r="L17" s="298">
        <f t="shared" ref="L17:L23" si="3">J17-K17</f>
        <v>6316684.6200000001</v>
      </c>
      <c r="M17" s="281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6" t="s">
        <v>887</v>
      </c>
      <c r="F18" t="s">
        <v>888</v>
      </c>
      <c r="G18" s="281" t="s">
        <v>13</v>
      </c>
      <c r="H18" s="281">
        <v>5020000000</v>
      </c>
      <c r="I18" t="s">
        <v>891</v>
      </c>
      <c r="J18" s="297">
        <v>1412000</v>
      </c>
      <c r="K18" s="401">
        <f>SUMIFS('Revised RAO'!Q:Q,'Revised RAO'!H:H,'Fund Utilization Report'!A18)</f>
        <v>287653.33999999997</v>
      </c>
      <c r="L18" s="298">
        <f t="shared" si="3"/>
        <v>1124346.6600000001</v>
      </c>
      <c r="M18" s="281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6" t="s">
        <v>887</v>
      </c>
      <c r="F19" t="s">
        <v>888</v>
      </c>
      <c r="G19" s="281" t="s">
        <v>928</v>
      </c>
      <c r="H19" s="281" t="s">
        <v>929</v>
      </c>
      <c r="I19" t="s">
        <v>528</v>
      </c>
      <c r="J19" s="297">
        <v>730000</v>
      </c>
      <c r="K19" s="401">
        <f>SUMIFS('Revised RAO'!Q:Q,'Revised RAO'!H:H,'Fund Utilization Report'!A19)</f>
        <v>150894</v>
      </c>
      <c r="L19" s="298">
        <f t="shared" si="3"/>
        <v>579106</v>
      </c>
      <c r="M19" s="281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6" t="s">
        <v>887</v>
      </c>
      <c r="F20" t="s">
        <v>888</v>
      </c>
      <c r="G20" s="281" t="s">
        <v>12</v>
      </c>
      <c r="H20" s="281">
        <v>5010000000</v>
      </c>
      <c r="I20" t="s">
        <v>890</v>
      </c>
      <c r="J20" s="297">
        <v>2643000</v>
      </c>
      <c r="K20" s="401">
        <f>SUMIFS('Revised RAO'!Q:Q,'Revised RAO'!H:H,'Fund Utilization Report'!A20)</f>
        <v>99072.44</v>
      </c>
      <c r="L20" s="298">
        <f t="shared" si="3"/>
        <v>2543927.56</v>
      </c>
      <c r="M20" s="281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6" t="s">
        <v>887</v>
      </c>
      <c r="F21" t="s">
        <v>888</v>
      </c>
      <c r="G21" s="281" t="s">
        <v>13</v>
      </c>
      <c r="H21" s="281">
        <v>5020000000</v>
      </c>
      <c r="I21" t="s">
        <v>891</v>
      </c>
      <c r="J21" s="297">
        <v>1679000</v>
      </c>
      <c r="K21" s="401">
        <f>SUMIFS('Revised RAO'!Q:Q,'Revised RAO'!H:H,'Fund Utilization Report'!A21)</f>
        <v>780540</v>
      </c>
      <c r="L21" s="298">
        <f t="shared" si="3"/>
        <v>898460</v>
      </c>
      <c r="M21" s="281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6" t="s">
        <v>887</v>
      </c>
      <c r="F22" t="s">
        <v>888</v>
      </c>
      <c r="G22" s="281" t="s">
        <v>928</v>
      </c>
      <c r="H22" s="281" t="s">
        <v>929</v>
      </c>
      <c r="I22" t="s">
        <v>528</v>
      </c>
      <c r="J22" s="297">
        <v>247000</v>
      </c>
      <c r="K22" s="401">
        <f>SUMIFS('Revised RAO'!Q:Q,'Revised RAO'!H:H,'Fund Utilization Report'!A22)</f>
        <v>10483.44</v>
      </c>
      <c r="L22" s="298">
        <f t="shared" si="3"/>
        <v>236516.56</v>
      </c>
      <c r="M22" s="281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6" t="s">
        <v>887</v>
      </c>
      <c r="F23" t="s">
        <v>888</v>
      </c>
      <c r="G23" s="281" t="s">
        <v>13</v>
      </c>
      <c r="H23" s="281">
        <v>5020000000</v>
      </c>
      <c r="I23" t="s">
        <v>891</v>
      </c>
      <c r="J23" s="297">
        <v>998000</v>
      </c>
      <c r="K23" s="401">
        <f>SUMIFS('Revised RAO'!Q:Q,'Revised RAO'!H:H,'Fund Utilization Report'!A23)</f>
        <v>379636.18</v>
      </c>
      <c r="L23" s="298">
        <f t="shared" si="3"/>
        <v>618363.82000000007</v>
      </c>
      <c r="M23" s="281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6" t="s">
        <v>887</v>
      </c>
      <c r="F24" t="s">
        <v>888</v>
      </c>
      <c r="G24" s="281" t="s">
        <v>13</v>
      </c>
      <c r="H24" s="281">
        <v>5020000000</v>
      </c>
      <c r="I24" t="s">
        <v>891</v>
      </c>
      <c r="J24" s="297">
        <v>28602000</v>
      </c>
      <c r="K24" s="401">
        <f>SUMIFS('Revised RAO'!Q:Q,'Revised RAO'!H:H,'Fund Utilization Report'!A24)</f>
        <v>5782900.6699999999</v>
      </c>
      <c r="L24" s="298">
        <f t="shared" si="0"/>
        <v>22819099.329999998</v>
      </c>
      <c r="M24" s="281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6" t="s">
        <v>887</v>
      </c>
      <c r="F25" t="s">
        <v>888</v>
      </c>
      <c r="G25" s="281" t="s">
        <v>145</v>
      </c>
      <c r="H25" s="281">
        <v>5060000000</v>
      </c>
      <c r="I25" t="s">
        <v>898</v>
      </c>
      <c r="J25" s="297">
        <v>5150000</v>
      </c>
      <c r="K25" s="401">
        <f>SUMIFS('Revised RAO'!Q:Q,'Revised RAO'!H:H,'Fund Utilization Report'!A25)</f>
        <v>2076000</v>
      </c>
      <c r="L25" s="298">
        <f t="shared" si="0"/>
        <v>3074000</v>
      </c>
      <c r="M25" s="281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6" t="s">
        <v>887</v>
      </c>
      <c r="F26" t="s">
        <v>888</v>
      </c>
      <c r="G26" s="281" t="s">
        <v>13</v>
      </c>
      <c r="H26" s="281">
        <v>5020000000</v>
      </c>
      <c r="I26" t="s">
        <v>891</v>
      </c>
      <c r="J26" s="297">
        <v>6894000</v>
      </c>
      <c r="K26" s="401">
        <f>SUMIFS('Revised RAO'!Q:Q,'Revised RAO'!H:H,'Fund Utilization Report'!A26)</f>
        <v>1116784.19</v>
      </c>
      <c r="L26" s="298">
        <f t="shared" si="0"/>
        <v>5777215.8100000005</v>
      </c>
      <c r="M26" s="281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6" t="s">
        <v>887</v>
      </c>
      <c r="F27" t="s">
        <v>888</v>
      </c>
      <c r="G27" s="281" t="s">
        <v>13</v>
      </c>
      <c r="H27" s="281">
        <v>5020000000</v>
      </c>
      <c r="I27" t="s">
        <v>891</v>
      </c>
      <c r="J27" s="297">
        <v>4416000</v>
      </c>
      <c r="K27" s="401">
        <f>SUMIFS('Revised RAO'!Q:Q,'Revised RAO'!H:H,'Fund Utilization Report'!A27)</f>
        <v>1934716.9</v>
      </c>
      <c r="L27" s="298">
        <f t="shared" si="0"/>
        <v>2481283.1</v>
      </c>
      <c r="M27" s="281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6" t="s">
        <v>887</v>
      </c>
      <c r="F28" t="s">
        <v>888</v>
      </c>
      <c r="G28" s="281" t="s">
        <v>145</v>
      </c>
      <c r="H28" s="281">
        <v>5060000000</v>
      </c>
      <c r="I28" t="s">
        <v>898</v>
      </c>
      <c r="J28" s="297">
        <v>97350000</v>
      </c>
      <c r="K28" s="401">
        <f>SUMIFS('Revised RAO'!Q:Q,'Revised RAO'!H:H,'Fund Utilization Report'!A28)</f>
        <v>59500</v>
      </c>
      <c r="L28" s="298">
        <f t="shared" si="0"/>
        <v>97290500</v>
      </c>
      <c r="M28" s="281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6" t="s">
        <v>887</v>
      </c>
      <c r="F29" t="s">
        <v>888</v>
      </c>
      <c r="G29" s="281" t="s">
        <v>13</v>
      </c>
      <c r="H29" s="281">
        <v>5020000000</v>
      </c>
      <c r="I29" t="s">
        <v>891</v>
      </c>
      <c r="J29" s="297">
        <v>8628000</v>
      </c>
      <c r="K29" s="401">
        <f>SUMIFS('Revised RAO'!Q:Q,'Revised RAO'!H:H,'Fund Utilization Report'!A29)</f>
        <v>3850177.64</v>
      </c>
      <c r="L29" s="298">
        <f t="shared" si="0"/>
        <v>4777822.3599999994</v>
      </c>
      <c r="M29" s="281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6" t="s">
        <v>887</v>
      </c>
      <c r="F30" t="s">
        <v>888</v>
      </c>
      <c r="G30" s="281">
        <v>751</v>
      </c>
      <c r="H30" s="281" t="s">
        <v>554</v>
      </c>
      <c r="I30" t="s">
        <v>555</v>
      </c>
      <c r="J30" s="297">
        <v>213400</v>
      </c>
      <c r="K30" s="401">
        <f>SUMIFS('Revised RAO'!Q:Q,'Revised RAO'!H:H,'Fund Utilization Report'!A30)</f>
        <v>115500</v>
      </c>
      <c r="L30" s="298">
        <f t="shared" si="0"/>
        <v>97900</v>
      </c>
      <c r="M30" s="281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6" t="s">
        <v>887</v>
      </c>
      <c r="F31" t="s">
        <v>888</v>
      </c>
      <c r="G31" s="281">
        <v>753</v>
      </c>
      <c r="H31" s="281" t="s">
        <v>559</v>
      </c>
      <c r="I31" t="s">
        <v>560</v>
      </c>
      <c r="J31" s="297">
        <v>450261.72</v>
      </c>
      <c r="K31" s="401">
        <f>SUMIFS('Revised RAO'!Q:Q,'Revised RAO'!H:H,'Fund Utilization Report'!A31)</f>
        <v>225649</v>
      </c>
      <c r="L31" s="298">
        <f t="shared" si="0"/>
        <v>224612.71999999997</v>
      </c>
      <c r="M31" s="281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6" t="s">
        <v>887</v>
      </c>
      <c r="F32" t="s">
        <v>888</v>
      </c>
      <c r="G32" s="281">
        <v>755</v>
      </c>
      <c r="H32" s="281" t="s">
        <v>564</v>
      </c>
      <c r="I32" t="s">
        <v>565</v>
      </c>
      <c r="J32" s="297">
        <v>20004</v>
      </c>
      <c r="K32" s="401">
        <f>SUMIFS('Revised RAO'!Q:Q,'Revised RAO'!H:H,'Fund Utilization Report'!A32)</f>
        <v>12506</v>
      </c>
      <c r="L32" s="298">
        <f t="shared" si="0"/>
        <v>7498</v>
      </c>
      <c r="M32" s="281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6" t="s">
        <v>887</v>
      </c>
      <c r="F33" t="s">
        <v>888</v>
      </c>
      <c r="G33" s="281">
        <v>761</v>
      </c>
      <c r="H33" s="281" t="s">
        <v>580</v>
      </c>
      <c r="I33" t="s">
        <v>581</v>
      </c>
      <c r="J33" s="297">
        <v>1000</v>
      </c>
      <c r="K33" s="401">
        <f>SUMIFS('Revised RAO'!Q:Q,'Revised RAO'!H:H,'Fund Utilization Report'!A33)</f>
        <v>0</v>
      </c>
      <c r="L33" s="298">
        <f t="shared" si="0"/>
        <v>1000</v>
      </c>
      <c r="M33" s="281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6" t="s">
        <v>887</v>
      </c>
      <c r="F34" t="s">
        <v>888</v>
      </c>
      <c r="G34" s="281">
        <v>771</v>
      </c>
      <c r="H34" s="281" t="s">
        <v>600</v>
      </c>
      <c r="I34" t="s">
        <v>601</v>
      </c>
      <c r="J34" s="297">
        <v>533.28</v>
      </c>
      <c r="K34" s="401">
        <f>SUMIFS('Revised RAO'!Q:Q,'Revised RAO'!H:H,'Fund Utilization Report'!A34)</f>
        <v>0</v>
      </c>
      <c r="L34" s="298">
        <f t="shared" si="0"/>
        <v>533.28</v>
      </c>
      <c r="M34" s="281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6" t="s">
        <v>887</v>
      </c>
      <c r="F35" t="s">
        <v>888</v>
      </c>
      <c r="G35" s="281">
        <v>773</v>
      </c>
      <c r="H35" s="281" t="s">
        <v>602</v>
      </c>
      <c r="I35" t="s">
        <v>603</v>
      </c>
      <c r="J35" s="297">
        <v>7900</v>
      </c>
      <c r="K35" s="401">
        <f>SUMIFS('Revised RAO'!Q:Q,'Revised RAO'!H:H,'Fund Utilization Report'!A35)</f>
        <v>4425</v>
      </c>
      <c r="L35" s="298">
        <f t="shared" si="0"/>
        <v>3475</v>
      </c>
      <c r="M35" s="281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6" t="s">
        <v>887</v>
      </c>
      <c r="F36" t="s">
        <v>888</v>
      </c>
      <c r="G36" s="281">
        <v>793</v>
      </c>
      <c r="H36" s="281" t="s">
        <v>630</v>
      </c>
      <c r="I36" t="s">
        <v>631</v>
      </c>
      <c r="J36" s="297">
        <v>1600</v>
      </c>
      <c r="K36" s="401">
        <f>SUMIFS('Revised RAO'!Q:Q,'Revised RAO'!H:H,'Fund Utilization Report'!A36)</f>
        <v>400</v>
      </c>
      <c r="L36" s="298">
        <f t="shared" si="0"/>
        <v>1200</v>
      </c>
      <c r="M36" s="281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6" t="s">
        <v>887</v>
      </c>
      <c r="F37" t="s">
        <v>888</v>
      </c>
      <c r="G37" s="281">
        <v>799</v>
      </c>
      <c r="H37" s="281" t="s">
        <v>632</v>
      </c>
      <c r="I37" t="s">
        <v>633</v>
      </c>
      <c r="J37" s="297">
        <v>384982.5</v>
      </c>
      <c r="K37" s="401">
        <f>SUMIFS('Revised RAO'!Q:Q,'Revised RAO'!H:H,'Fund Utilization Report'!A37)</f>
        <v>150376</v>
      </c>
      <c r="L37" s="298">
        <f t="shared" si="0"/>
        <v>234606.5</v>
      </c>
      <c r="M37" s="281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6" t="s">
        <v>887</v>
      </c>
      <c r="F38" t="s">
        <v>888</v>
      </c>
      <c r="G38" s="281">
        <v>795</v>
      </c>
      <c r="H38" s="281" t="s">
        <v>641</v>
      </c>
      <c r="I38" t="s">
        <v>642</v>
      </c>
      <c r="J38" s="297">
        <v>6000</v>
      </c>
      <c r="K38" s="401">
        <f>SUMIFS('Revised RAO'!Q:Q,'Revised RAO'!H:H,'Fund Utilization Report'!A38)</f>
        <v>102699</v>
      </c>
      <c r="L38" s="298">
        <f t="shared" si="0"/>
        <v>-96699</v>
      </c>
      <c r="M38" s="281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6" t="s">
        <v>887</v>
      </c>
      <c r="F39" t="s">
        <v>888</v>
      </c>
      <c r="G39" s="281">
        <v>781</v>
      </c>
      <c r="H39" s="281" t="s">
        <v>675</v>
      </c>
      <c r="I39" t="s">
        <v>676</v>
      </c>
      <c r="J39" s="297">
        <v>937.5</v>
      </c>
      <c r="K39" s="401">
        <f>SUMIFS('Revised RAO'!Q:Q,'Revised RAO'!H:H,'Fund Utilization Report'!A39)</f>
        <v>0</v>
      </c>
      <c r="L39" s="298">
        <f t="shared" si="0"/>
        <v>937.5</v>
      </c>
      <c r="M39" s="281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6" t="s">
        <v>887</v>
      </c>
      <c r="F40" t="s">
        <v>888</v>
      </c>
      <c r="G40" s="281">
        <v>783</v>
      </c>
      <c r="H40" s="281" t="s">
        <v>677</v>
      </c>
      <c r="I40" t="s">
        <v>678</v>
      </c>
      <c r="J40" s="297">
        <v>2500</v>
      </c>
      <c r="K40" s="401">
        <f>SUMIFS('Revised RAO'!Q:Q,'Revised RAO'!H:H,'Fund Utilization Report'!A40)</f>
        <v>0</v>
      </c>
      <c r="L40" s="298">
        <f t="shared" si="0"/>
        <v>2500</v>
      </c>
      <c r="M40" s="281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6" t="s">
        <v>887</v>
      </c>
      <c r="F41" t="s">
        <v>888</v>
      </c>
      <c r="G41" s="281">
        <v>784</v>
      </c>
      <c r="H41" s="281" t="s">
        <v>679</v>
      </c>
      <c r="I41" t="s">
        <v>680</v>
      </c>
      <c r="J41" s="297">
        <v>500</v>
      </c>
      <c r="K41" s="401">
        <f>SUMIFS('Revised RAO'!Q:Q,'Revised RAO'!H:H,'Fund Utilization Report'!A41)</f>
        <v>0</v>
      </c>
      <c r="L41" s="298">
        <f t="shared" si="0"/>
        <v>500</v>
      </c>
      <c r="M41" s="281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6" t="s">
        <v>887</v>
      </c>
      <c r="F42" t="s">
        <v>888</v>
      </c>
      <c r="G42" s="281">
        <v>969</v>
      </c>
      <c r="H42" s="281" t="s">
        <v>700</v>
      </c>
      <c r="I42" t="s">
        <v>672</v>
      </c>
      <c r="J42" s="297">
        <v>2000</v>
      </c>
      <c r="K42" s="401">
        <f>SUMIFS('Revised RAO'!Q:Q,'Revised RAO'!H:H,'Fund Utilization Report'!A42)</f>
        <v>0</v>
      </c>
      <c r="L42" s="298">
        <f t="shared" si="0"/>
        <v>2000</v>
      </c>
      <c r="M42" s="281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6" t="s">
        <v>887</v>
      </c>
      <c r="F43" t="s">
        <v>888</v>
      </c>
      <c r="G43" s="281">
        <v>706</v>
      </c>
      <c r="H43" s="281" t="s">
        <v>500</v>
      </c>
      <c r="I43" t="s">
        <v>501</v>
      </c>
      <c r="J43" s="297">
        <v>5017266.7</v>
      </c>
      <c r="K43" s="401">
        <f>SUMIFS('Revised RAO'!Q:Q,'Revised RAO'!H:H,'Fund Utilization Report'!A43)</f>
        <v>1118615.9099999999</v>
      </c>
      <c r="L43" s="298">
        <f t="shared" si="0"/>
        <v>3898650.79</v>
      </c>
      <c r="M43" s="281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6" t="s">
        <v>887</v>
      </c>
      <c r="F47" t="s">
        <v>888</v>
      </c>
      <c r="G47" s="281">
        <v>799</v>
      </c>
      <c r="H47" s="281">
        <v>5021199000</v>
      </c>
      <c r="I47" t="s">
        <v>633</v>
      </c>
      <c r="J47" s="297">
        <v>3562690.92</v>
      </c>
      <c r="K47" s="415">
        <f>SUMIFS('Revised RAO'!Q:Q,'Revised RAO'!H:H,'Fund Utilization Report'!A47)</f>
        <v>919298.82</v>
      </c>
      <c r="L47" s="298">
        <f>J47-K47</f>
        <v>2643392.1</v>
      </c>
      <c r="M47" s="281" t="s">
        <v>13</v>
      </c>
      <c r="N47" s="296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1"/>
    <col min="7" max="7" width="31.5546875" customWidth="1"/>
    <col min="8" max="8" width="14.109375" customWidth="1"/>
    <col min="9" max="9" width="14.88671875" customWidth="1"/>
    <col min="10" max="10" width="15.44140625" style="560" customWidth="1"/>
    <col min="11" max="12" width="12.88671875" style="560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2" t="e">
        <f>SUBTOTAL(9,M3:M1556)</f>
        <v>#VALUE!</v>
      </c>
      <c r="N1" s="562"/>
    </row>
    <row r="2" spans="1:19" ht="27.6">
      <c r="A2" s="561" t="s">
        <v>2052</v>
      </c>
      <c r="B2" s="554" t="s">
        <v>146</v>
      </c>
      <c r="C2" s="559" t="s">
        <v>2045</v>
      </c>
      <c r="D2" s="559" t="s">
        <v>2044</v>
      </c>
      <c r="E2" s="327" t="s">
        <v>939</v>
      </c>
      <c r="F2" s="327" t="s">
        <v>880</v>
      </c>
      <c r="G2" s="333" t="s">
        <v>155</v>
      </c>
      <c r="H2" s="333" t="s">
        <v>156</v>
      </c>
      <c r="I2" s="336" t="s">
        <v>879</v>
      </c>
      <c r="J2" s="551" t="s">
        <v>936</v>
      </c>
      <c r="K2" s="551"/>
      <c r="L2" s="551"/>
      <c r="M2" s="551" t="s">
        <v>2048</v>
      </c>
      <c r="N2" s="551"/>
      <c r="O2" s="551" t="s">
        <v>2053</v>
      </c>
      <c r="P2" s="551" t="s">
        <v>2049</v>
      </c>
      <c r="Q2" s="551" t="s">
        <v>2050</v>
      </c>
      <c r="R2" s="551" t="s">
        <v>2051</v>
      </c>
      <c r="S2" s="561" t="s">
        <v>2052</v>
      </c>
    </row>
    <row r="3" spans="1:19">
      <c r="B3" s="553">
        <v>44209</v>
      </c>
      <c r="C3" t="s">
        <v>11</v>
      </c>
      <c r="D3" s="28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0">
        <v>45000</v>
      </c>
      <c r="K3" s="560">
        <f>COUNTIFS($C$3:$C$1556,C3)</f>
        <v>8</v>
      </c>
      <c r="L3" s="560">
        <f>COUNTIFS(C3:C1556,C3)</f>
        <v>8</v>
      </c>
      <c r="N3" s="276"/>
    </row>
    <row r="4" spans="1:19">
      <c r="B4" s="553">
        <v>44209</v>
      </c>
      <c r="C4" t="s">
        <v>11</v>
      </c>
      <c r="D4" s="28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0">
        <v>45000</v>
      </c>
      <c r="K4" s="560">
        <f t="shared" ref="K4:K67" si="0">COUNTIFS($C$3:$C$1556,C4)</f>
        <v>8</v>
      </c>
      <c r="L4" s="560">
        <f t="shared" ref="L4:L14" si="1">COUNTIFS(C4:C1557,C4)</f>
        <v>7</v>
      </c>
      <c r="N4" s="276"/>
    </row>
    <row r="5" spans="1:19">
      <c r="B5" s="553">
        <v>44209</v>
      </c>
      <c r="C5" t="s">
        <v>11</v>
      </c>
      <c r="D5" s="28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0">
        <v>15000</v>
      </c>
      <c r="K5" s="560">
        <f t="shared" si="0"/>
        <v>8</v>
      </c>
      <c r="L5" s="560">
        <f t="shared" si="1"/>
        <v>6</v>
      </c>
      <c r="N5" s="276"/>
    </row>
    <row r="6" spans="1:19">
      <c r="B6" s="553">
        <v>44209</v>
      </c>
      <c r="C6" t="s">
        <v>11</v>
      </c>
      <c r="D6" s="28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0">
        <v>15000</v>
      </c>
      <c r="K6" s="560">
        <f t="shared" si="0"/>
        <v>8</v>
      </c>
      <c r="L6" s="560">
        <f t="shared" si="1"/>
        <v>5</v>
      </c>
      <c r="N6" s="276"/>
    </row>
    <row r="7" spans="1:19">
      <c r="B7" s="553">
        <v>44209</v>
      </c>
      <c r="C7" t="s">
        <v>11</v>
      </c>
      <c r="D7" s="28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0">
        <v>5000</v>
      </c>
      <c r="K7" s="560">
        <f t="shared" si="0"/>
        <v>8</v>
      </c>
      <c r="L7" s="560">
        <f t="shared" si="1"/>
        <v>4</v>
      </c>
      <c r="N7" s="276"/>
    </row>
    <row r="8" spans="1:19">
      <c r="B8" s="553">
        <v>44209</v>
      </c>
      <c r="C8" t="s">
        <v>11</v>
      </c>
      <c r="D8" s="28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0">
        <v>5000</v>
      </c>
      <c r="K8" s="560">
        <f t="shared" si="0"/>
        <v>8</v>
      </c>
      <c r="L8" s="560">
        <f t="shared" si="1"/>
        <v>3</v>
      </c>
      <c r="N8" s="276"/>
    </row>
    <row r="9" spans="1:19">
      <c r="B9" s="553">
        <v>44209</v>
      </c>
      <c r="C9" t="s">
        <v>11</v>
      </c>
      <c r="D9" s="28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0">
        <v>10000</v>
      </c>
      <c r="K9" s="560">
        <f t="shared" si="0"/>
        <v>8</v>
      </c>
      <c r="L9" s="560">
        <f t="shared" si="1"/>
        <v>2</v>
      </c>
      <c r="N9" s="276"/>
    </row>
    <row r="10" spans="1:19">
      <c r="A10" t="s">
        <v>2054</v>
      </c>
      <c r="B10" s="553">
        <v>44209</v>
      </c>
      <c r="C10" t="s">
        <v>11</v>
      </c>
      <c r="D10" s="28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0">
        <v>10000</v>
      </c>
      <c r="K10" s="560">
        <f t="shared" si="0"/>
        <v>8</v>
      </c>
      <c r="L10" s="560">
        <f t="shared" si="1"/>
        <v>1</v>
      </c>
      <c r="M10" s="560" t="e">
        <f>SUMIFS('[1]MAIN-101'!$Z$1:$Z$3000,'[1]MAIN-101'!$X$1:$X$3000,S10)</f>
        <v>#VALUE!</v>
      </c>
      <c r="N10" s="560"/>
      <c r="O10" s="560"/>
      <c r="S10" t="str">
        <f>VLOOKUP(C10,'Recon of ORS and DV'!$A$4:$B$358,2,FALSE)</f>
        <v>0001</v>
      </c>
    </row>
    <row r="11" spans="1:19">
      <c r="A11" t="s">
        <v>2055</v>
      </c>
      <c r="B11" s="553">
        <v>44209</v>
      </c>
      <c r="C11" t="s">
        <v>8</v>
      </c>
      <c r="D11" s="28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0">
        <v>10000</v>
      </c>
      <c r="K11" s="560">
        <f t="shared" si="0"/>
        <v>1</v>
      </c>
      <c r="L11" s="560">
        <f t="shared" si="1"/>
        <v>1</v>
      </c>
      <c r="M11" s="560" t="e">
        <f>SUMIFS('[1]MAIN-101'!$Z$1:$Z$3000,'[1]MAIN-101'!$X$1:$X$3000,S11)</f>
        <v>#VALUE!</v>
      </c>
      <c r="N11" s="560"/>
      <c r="O11" s="560"/>
      <c r="S11" t="str">
        <f>VLOOKUP(C11,'Recon of ORS and DV'!$A$4:$B$358,2,FALSE)</f>
        <v>0002</v>
      </c>
    </row>
    <row r="12" spans="1:19">
      <c r="B12" s="553">
        <v>44210</v>
      </c>
      <c r="C12" t="s">
        <v>4</v>
      </c>
      <c r="D12" s="28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0">
        <v>1634515</v>
      </c>
      <c r="K12" s="560">
        <f t="shared" si="0"/>
        <v>6</v>
      </c>
      <c r="L12" s="560">
        <f t="shared" si="1"/>
        <v>6</v>
      </c>
    </row>
    <row r="13" spans="1:19">
      <c r="B13" s="553">
        <v>44210</v>
      </c>
      <c r="C13" t="s">
        <v>4</v>
      </c>
      <c r="D13" s="28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0">
        <v>76000</v>
      </c>
      <c r="K13" s="560">
        <f t="shared" si="0"/>
        <v>6</v>
      </c>
      <c r="L13" s="560">
        <f t="shared" si="1"/>
        <v>5</v>
      </c>
    </row>
    <row r="14" spans="1:19">
      <c r="B14" s="553">
        <v>44210</v>
      </c>
      <c r="C14" t="s">
        <v>4</v>
      </c>
      <c r="D14" s="28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0">
        <v>196141.8</v>
      </c>
      <c r="K14" s="560">
        <f t="shared" si="0"/>
        <v>6</v>
      </c>
      <c r="L14" s="560">
        <f t="shared" si="1"/>
        <v>4</v>
      </c>
    </row>
    <row r="15" spans="1:19">
      <c r="B15" s="553">
        <v>44210</v>
      </c>
      <c r="C15" t="s">
        <v>4</v>
      </c>
      <c r="D15" s="28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0">
        <v>3800</v>
      </c>
      <c r="K15" s="560">
        <f t="shared" si="0"/>
        <v>6</v>
      </c>
      <c r="L15" s="560">
        <f t="shared" ref="L15:L78" si="2">COUNTIFS(C15:C1568,C15)</f>
        <v>3</v>
      </c>
    </row>
    <row r="16" spans="1:19">
      <c r="B16" s="553">
        <v>44210</v>
      </c>
      <c r="C16" t="s">
        <v>4</v>
      </c>
      <c r="D16" s="28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0">
        <v>21044.43</v>
      </c>
      <c r="K16" s="560">
        <f t="shared" si="0"/>
        <v>6</v>
      </c>
      <c r="L16" s="560">
        <f t="shared" si="2"/>
        <v>2</v>
      </c>
    </row>
    <row r="17" spans="1:19">
      <c r="A17" t="s">
        <v>2056</v>
      </c>
      <c r="B17" s="553">
        <v>44210</v>
      </c>
      <c r="C17" t="s">
        <v>4</v>
      </c>
      <c r="D17" s="28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0">
        <v>3800</v>
      </c>
      <c r="K17" s="560">
        <f t="shared" si="0"/>
        <v>6</v>
      </c>
      <c r="L17" s="560">
        <f t="shared" si="2"/>
        <v>1</v>
      </c>
      <c r="M17" s="560" t="e">
        <f>SUMIFS('[1]MAIN-101'!$Z$1:$Z$3000,'[1]MAIN-101'!$X$1:$X$3000,S17)</f>
        <v>#VALUE!</v>
      </c>
      <c r="N17" s="560"/>
      <c r="O17" s="560"/>
      <c r="S17" t="str">
        <f>VLOOKUP(C17,'Recon of ORS and DV'!$A$4:$B$358,2,FALSE)</f>
        <v>0005</v>
      </c>
    </row>
    <row r="18" spans="1:19">
      <c r="B18" s="553">
        <v>44211</v>
      </c>
      <c r="C18" t="s">
        <v>763</v>
      </c>
      <c r="D18" s="28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0">
        <v>377575</v>
      </c>
      <c r="K18" s="560">
        <f t="shared" si="0"/>
        <v>6</v>
      </c>
      <c r="L18" s="560">
        <f t="shared" si="2"/>
        <v>6</v>
      </c>
    </row>
    <row r="19" spans="1:19">
      <c r="B19" s="553">
        <v>44211</v>
      </c>
      <c r="C19" t="s">
        <v>763</v>
      </c>
      <c r="D19" s="28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0">
        <v>22000</v>
      </c>
      <c r="K19" s="560">
        <f t="shared" si="0"/>
        <v>6</v>
      </c>
      <c r="L19" s="560">
        <f t="shared" si="2"/>
        <v>5</v>
      </c>
    </row>
    <row r="20" spans="1:19">
      <c r="B20" s="553">
        <v>44211</v>
      </c>
      <c r="C20" t="s">
        <v>763</v>
      </c>
      <c r="D20" s="28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0">
        <v>45309</v>
      </c>
      <c r="K20" s="560">
        <f t="shared" si="0"/>
        <v>6</v>
      </c>
      <c r="L20" s="560">
        <f t="shared" si="2"/>
        <v>4</v>
      </c>
    </row>
    <row r="21" spans="1:19">
      <c r="B21" s="553">
        <v>44211</v>
      </c>
      <c r="C21" t="s">
        <v>763</v>
      </c>
      <c r="D21" s="28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0">
        <v>1100</v>
      </c>
      <c r="K21" s="560">
        <f t="shared" si="0"/>
        <v>6</v>
      </c>
      <c r="L21" s="560">
        <f t="shared" si="2"/>
        <v>3</v>
      </c>
    </row>
    <row r="22" spans="1:19">
      <c r="B22" s="553">
        <v>44211</v>
      </c>
      <c r="C22" t="s">
        <v>763</v>
      </c>
      <c r="D22" s="28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0">
        <v>5560.64</v>
      </c>
      <c r="K22" s="560">
        <f t="shared" si="0"/>
        <v>6</v>
      </c>
      <c r="L22" s="560">
        <f t="shared" si="2"/>
        <v>2</v>
      </c>
    </row>
    <row r="23" spans="1:19">
      <c r="A23" t="s">
        <v>2057</v>
      </c>
      <c r="B23" s="553">
        <v>44211</v>
      </c>
      <c r="C23" t="s">
        <v>763</v>
      </c>
      <c r="D23" s="28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0">
        <v>1100</v>
      </c>
      <c r="K23" s="560">
        <f t="shared" si="0"/>
        <v>6</v>
      </c>
      <c r="L23" s="560">
        <f t="shared" si="2"/>
        <v>1</v>
      </c>
      <c r="M23" s="560" t="e">
        <f>SUMIFS('[1]MAIN-101'!$Z$1:$Z$3000,'[1]MAIN-101'!$X$1:$X$3000,S23)</f>
        <v>#VALUE!</v>
      </c>
      <c r="N23" s="560"/>
      <c r="O23" s="560"/>
      <c r="S23" t="str">
        <f>VLOOKUP(C23,'Recon of ORS and DV'!$A$4:$B$358,2,FALSE)</f>
        <v>0007</v>
      </c>
    </row>
    <row r="24" spans="1:19">
      <c r="B24" s="553">
        <v>44211</v>
      </c>
      <c r="C24" t="s">
        <v>766</v>
      </c>
      <c r="D24" s="28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0">
        <v>273461</v>
      </c>
      <c r="K24" s="560">
        <f t="shared" si="0"/>
        <v>6</v>
      </c>
      <c r="L24" s="560">
        <f t="shared" si="2"/>
        <v>6</v>
      </c>
    </row>
    <row r="25" spans="1:19">
      <c r="B25" s="553">
        <v>44211</v>
      </c>
      <c r="C25" t="s">
        <v>766</v>
      </c>
      <c r="D25" s="28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0">
        <v>14000</v>
      </c>
      <c r="K25" s="560">
        <f t="shared" si="0"/>
        <v>6</v>
      </c>
      <c r="L25" s="560">
        <f t="shared" si="2"/>
        <v>5</v>
      </c>
    </row>
    <row r="26" spans="1:19">
      <c r="B26" s="553">
        <v>44211</v>
      </c>
      <c r="C26" t="s">
        <v>766</v>
      </c>
      <c r="D26" s="28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0">
        <v>32815.32</v>
      </c>
      <c r="K26" s="560">
        <f t="shared" si="0"/>
        <v>6</v>
      </c>
      <c r="L26" s="560">
        <f t="shared" si="2"/>
        <v>4</v>
      </c>
    </row>
    <row r="27" spans="1:19">
      <c r="B27" s="553">
        <v>44211</v>
      </c>
      <c r="C27" t="s">
        <v>766</v>
      </c>
      <c r="D27" s="28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0">
        <v>700</v>
      </c>
      <c r="K27" s="560">
        <f t="shared" si="0"/>
        <v>6</v>
      </c>
      <c r="L27" s="560">
        <f t="shared" si="2"/>
        <v>3</v>
      </c>
    </row>
    <row r="28" spans="1:19">
      <c r="B28" s="553">
        <v>44211</v>
      </c>
      <c r="C28" t="s">
        <v>766</v>
      </c>
      <c r="D28" s="28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0">
        <v>3358.03</v>
      </c>
      <c r="K28" s="560">
        <f t="shared" si="0"/>
        <v>6</v>
      </c>
      <c r="L28" s="560">
        <f t="shared" si="2"/>
        <v>2</v>
      </c>
    </row>
    <row r="29" spans="1:19">
      <c r="A29" t="s">
        <v>2058</v>
      </c>
      <c r="B29" s="553">
        <v>44211</v>
      </c>
      <c r="C29" t="s">
        <v>766</v>
      </c>
      <c r="D29" s="28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0">
        <v>700</v>
      </c>
      <c r="K29" s="560">
        <f t="shared" si="0"/>
        <v>6</v>
      </c>
      <c r="L29" s="560">
        <f t="shared" si="2"/>
        <v>1</v>
      </c>
      <c r="M29" s="560" t="e">
        <f>SUMIFS('[1]MAIN-101'!$Z$1:$Z$3000,'[1]MAIN-101'!$X$1:$X$3000,S29)</f>
        <v>#VALUE!</v>
      </c>
      <c r="N29" s="560"/>
      <c r="O29" s="560"/>
      <c r="S29" t="str">
        <f>VLOOKUP(C29,'Recon of ORS and DV'!$A$4:$B$358,2,FALSE)</f>
        <v>0010</v>
      </c>
    </row>
    <row r="30" spans="1:19">
      <c r="B30" s="553">
        <v>44211</v>
      </c>
      <c r="C30" t="s">
        <v>767</v>
      </c>
      <c r="D30" s="28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0">
        <v>565193</v>
      </c>
      <c r="K30" s="560">
        <f t="shared" si="0"/>
        <v>6</v>
      </c>
      <c r="L30" s="560">
        <f t="shared" si="2"/>
        <v>6</v>
      </c>
    </row>
    <row r="31" spans="1:19">
      <c r="B31" s="553">
        <v>44211</v>
      </c>
      <c r="C31" t="s">
        <v>767</v>
      </c>
      <c r="D31" s="28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0">
        <v>24000</v>
      </c>
      <c r="K31" s="560">
        <f t="shared" si="0"/>
        <v>6</v>
      </c>
      <c r="L31" s="560">
        <f t="shared" si="2"/>
        <v>5</v>
      </c>
    </row>
    <row r="32" spans="1:19">
      <c r="B32" s="553">
        <v>44211</v>
      </c>
      <c r="C32" t="s">
        <v>767</v>
      </c>
      <c r="D32" s="28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0">
        <v>67823.16</v>
      </c>
      <c r="K32" s="560">
        <f t="shared" si="0"/>
        <v>6</v>
      </c>
      <c r="L32" s="560">
        <f t="shared" si="2"/>
        <v>4</v>
      </c>
    </row>
    <row r="33" spans="1:19">
      <c r="B33" s="553">
        <v>44211</v>
      </c>
      <c r="C33" t="s">
        <v>767</v>
      </c>
      <c r="D33" s="28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0">
        <v>1200</v>
      </c>
      <c r="K33" s="560">
        <f t="shared" si="0"/>
        <v>6</v>
      </c>
      <c r="L33" s="560">
        <f t="shared" si="2"/>
        <v>3</v>
      </c>
    </row>
    <row r="34" spans="1:19">
      <c r="B34" s="553">
        <v>44211</v>
      </c>
      <c r="C34" t="s">
        <v>767</v>
      </c>
      <c r="D34" s="28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0">
        <v>7357.93</v>
      </c>
      <c r="K34" s="560">
        <f t="shared" si="0"/>
        <v>6</v>
      </c>
      <c r="L34" s="560">
        <f t="shared" si="2"/>
        <v>2</v>
      </c>
    </row>
    <row r="35" spans="1:19">
      <c r="A35" t="s">
        <v>2059</v>
      </c>
      <c r="B35" s="553">
        <v>44211</v>
      </c>
      <c r="C35" t="s">
        <v>767</v>
      </c>
      <c r="D35" s="28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0">
        <v>1200</v>
      </c>
      <c r="K35" s="560">
        <f t="shared" si="0"/>
        <v>6</v>
      </c>
      <c r="L35" s="560">
        <f t="shared" si="2"/>
        <v>1</v>
      </c>
      <c r="M35" s="560" t="e">
        <f>SUMIFS('[1]MAIN-101'!$Z$1:$Z$3000,'[1]MAIN-101'!$X$1:$X$3000,S35)</f>
        <v>#VALUE!</v>
      </c>
      <c r="N35" s="560"/>
      <c r="O35" s="560"/>
      <c r="S35" t="str">
        <f>VLOOKUP(C35,'Recon of ORS and DV'!$A$4:$B$358,2,FALSE)</f>
        <v>0009</v>
      </c>
    </row>
    <row r="36" spans="1:19">
      <c r="B36" s="553">
        <v>44214</v>
      </c>
      <c r="C36" t="s">
        <v>772</v>
      </c>
      <c r="D36" s="28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0">
        <v>1000</v>
      </c>
      <c r="K36" s="560">
        <f t="shared" si="0"/>
        <v>6</v>
      </c>
      <c r="L36" s="560">
        <f t="shared" si="2"/>
        <v>6</v>
      </c>
    </row>
    <row r="37" spans="1:19">
      <c r="B37" s="553">
        <v>44214</v>
      </c>
      <c r="C37" t="s">
        <v>772</v>
      </c>
      <c r="D37" s="28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0">
        <v>600</v>
      </c>
      <c r="K37" s="560">
        <f t="shared" si="0"/>
        <v>6</v>
      </c>
      <c r="L37" s="560">
        <f t="shared" si="2"/>
        <v>5</v>
      </c>
    </row>
    <row r="38" spans="1:19">
      <c r="B38" s="553">
        <v>44214</v>
      </c>
      <c r="C38" t="s">
        <v>772</v>
      </c>
      <c r="D38" s="28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0">
        <v>300</v>
      </c>
      <c r="K38" s="560">
        <f t="shared" si="0"/>
        <v>6</v>
      </c>
      <c r="L38" s="560">
        <f t="shared" si="2"/>
        <v>4</v>
      </c>
    </row>
    <row r="39" spans="1:19">
      <c r="B39" s="553">
        <v>44214</v>
      </c>
      <c r="C39" t="s">
        <v>772</v>
      </c>
      <c r="D39" s="28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0">
        <v>1500</v>
      </c>
      <c r="K39" s="560">
        <f t="shared" si="0"/>
        <v>6</v>
      </c>
      <c r="L39" s="560">
        <f t="shared" si="2"/>
        <v>3</v>
      </c>
    </row>
    <row r="40" spans="1:19">
      <c r="B40" s="553">
        <v>44214</v>
      </c>
      <c r="C40" t="s">
        <v>772</v>
      </c>
      <c r="D40" s="28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0">
        <v>1000</v>
      </c>
      <c r="K40" s="560">
        <f t="shared" si="0"/>
        <v>6</v>
      </c>
      <c r="L40" s="560">
        <f t="shared" si="2"/>
        <v>2</v>
      </c>
    </row>
    <row r="41" spans="1:19">
      <c r="A41" t="s">
        <v>2060</v>
      </c>
      <c r="B41" s="553">
        <v>44214</v>
      </c>
      <c r="C41" t="s">
        <v>772</v>
      </c>
      <c r="D41" s="28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0">
        <v>600</v>
      </c>
      <c r="K41" s="560">
        <f t="shared" si="0"/>
        <v>6</v>
      </c>
      <c r="L41" s="560">
        <f t="shared" si="2"/>
        <v>1</v>
      </c>
      <c r="M41" s="560" t="e">
        <f>SUMIFS('[1]MAIN-101'!$Z$1:$Z$3000,'[1]MAIN-101'!$X$1:$X$3000,S41)</f>
        <v>#VALUE!</v>
      </c>
      <c r="N41" s="560"/>
      <c r="O41" s="560"/>
      <c r="S41" t="str">
        <f>VLOOKUP(C41,'Recon of ORS and DV'!$A$4:$B$358,2,FALSE)</f>
        <v>0008</v>
      </c>
    </row>
    <row r="42" spans="1:19">
      <c r="B42" s="553">
        <v>44214</v>
      </c>
      <c r="C42" t="s">
        <v>775</v>
      </c>
      <c r="D42" s="28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0">
        <v>377147</v>
      </c>
      <c r="K42" s="560">
        <f t="shared" si="0"/>
        <v>6</v>
      </c>
      <c r="L42" s="560">
        <f t="shared" si="2"/>
        <v>6</v>
      </c>
    </row>
    <row r="43" spans="1:19">
      <c r="B43" s="553">
        <v>44214</v>
      </c>
      <c r="C43" t="s">
        <v>775</v>
      </c>
      <c r="D43" s="28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0">
        <v>22000</v>
      </c>
      <c r="K43" s="560">
        <f t="shared" si="0"/>
        <v>6</v>
      </c>
      <c r="L43" s="560">
        <f t="shared" si="2"/>
        <v>5</v>
      </c>
    </row>
    <row r="44" spans="1:19">
      <c r="B44" s="553">
        <v>44214</v>
      </c>
      <c r="C44" t="s">
        <v>775</v>
      </c>
      <c r="D44" s="28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0">
        <v>45257.64</v>
      </c>
      <c r="K44" s="560">
        <f t="shared" si="0"/>
        <v>6</v>
      </c>
      <c r="L44" s="560">
        <f t="shared" si="2"/>
        <v>4</v>
      </c>
    </row>
    <row r="45" spans="1:19">
      <c r="B45" s="553">
        <v>44214</v>
      </c>
      <c r="C45" t="s">
        <v>775</v>
      </c>
      <c r="D45" s="28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0">
        <v>1100</v>
      </c>
      <c r="K45" s="560">
        <f t="shared" si="0"/>
        <v>6</v>
      </c>
      <c r="L45" s="560">
        <f t="shared" si="2"/>
        <v>3</v>
      </c>
    </row>
    <row r="46" spans="1:19">
      <c r="B46" s="553">
        <v>44214</v>
      </c>
      <c r="C46" t="s">
        <v>775</v>
      </c>
      <c r="D46" s="28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0">
        <v>5521.98</v>
      </c>
      <c r="K46" s="560">
        <f t="shared" si="0"/>
        <v>6</v>
      </c>
      <c r="L46" s="560">
        <f t="shared" si="2"/>
        <v>2</v>
      </c>
    </row>
    <row r="47" spans="1:19">
      <c r="A47" t="s">
        <v>2061</v>
      </c>
      <c r="B47" s="553">
        <v>44214</v>
      </c>
      <c r="C47" t="s">
        <v>775</v>
      </c>
      <c r="D47" s="28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0">
        <v>1100</v>
      </c>
      <c r="K47" s="560">
        <f t="shared" si="0"/>
        <v>6</v>
      </c>
      <c r="L47" s="560">
        <f t="shared" si="2"/>
        <v>1</v>
      </c>
      <c r="M47" s="560" t="e">
        <f>SUMIFS('[1]MAIN-101'!$Z$1:$Z$3000,'[1]MAIN-101'!$X$1:$X$3000,S47)</f>
        <v>#VALUE!</v>
      </c>
      <c r="N47" s="560"/>
      <c r="O47" s="560"/>
      <c r="S47" t="str">
        <f>VLOOKUP(C47,'Recon of ORS and DV'!$A$4:$B$358,2,FALSE)</f>
        <v>0012</v>
      </c>
    </row>
    <row r="48" spans="1:19">
      <c r="A48" t="s">
        <v>2062</v>
      </c>
      <c r="B48" s="553">
        <v>44214</v>
      </c>
      <c r="C48" t="s">
        <v>778</v>
      </c>
      <c r="D48" s="28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0">
        <v>160190.04</v>
      </c>
      <c r="K48" s="560">
        <f t="shared" si="0"/>
        <v>1</v>
      </c>
      <c r="L48" s="560">
        <f t="shared" si="2"/>
        <v>1</v>
      </c>
      <c r="M48" s="560" t="e">
        <f>SUMIFS('[1]MAIN-101'!$Z$1:$Z$3000,'[1]MAIN-101'!$X$1:$X$3000,S48)</f>
        <v>#VALUE!</v>
      </c>
      <c r="N48" s="560"/>
      <c r="O48" s="560"/>
      <c r="S48" t="str">
        <f>VLOOKUP(C48,'Recon of ORS and DV'!$A$4:$B$358,2,FALSE)</f>
        <v>0063</v>
      </c>
    </row>
    <row r="49" spans="1:19">
      <c r="A49" t="s">
        <v>2063</v>
      </c>
      <c r="B49" s="553">
        <v>44214</v>
      </c>
      <c r="C49" t="s">
        <v>849</v>
      </c>
      <c r="D49" s="28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0">
        <v>10311.43</v>
      </c>
      <c r="K49" s="560">
        <f t="shared" si="0"/>
        <v>1</v>
      </c>
      <c r="L49" s="560">
        <f t="shared" si="2"/>
        <v>1</v>
      </c>
      <c r="M49" s="560" t="e">
        <f>SUMIFS('[1]MAIN-101'!$Z$1:$Z$3000,'[1]MAIN-101'!$X$1:$X$3000,S49)</f>
        <v>#VALUE!</v>
      </c>
      <c r="N49" s="560"/>
      <c r="O49" s="560"/>
      <c r="S49" t="str">
        <f>VLOOKUP(C49,'Recon of ORS and DV'!$A$4:$B$358,2,FALSE)</f>
        <v>0064</v>
      </c>
    </row>
    <row r="50" spans="1:19">
      <c r="A50" t="s">
        <v>2064</v>
      </c>
      <c r="B50" s="553">
        <v>44215</v>
      </c>
      <c r="C50" t="s">
        <v>781</v>
      </c>
      <c r="D50" s="28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0">
        <v>11250</v>
      </c>
      <c r="K50" s="560">
        <f t="shared" si="0"/>
        <v>1</v>
      </c>
      <c r="L50" s="560">
        <f t="shared" si="2"/>
        <v>1</v>
      </c>
      <c r="M50" s="560" t="e">
        <f>SUMIFS('[1]MAIN-101'!$Z$1:$Z$3000,'[1]MAIN-101'!$X$1:$X$3000,S50)</f>
        <v>#VALUE!</v>
      </c>
      <c r="N50" s="560"/>
      <c r="O50" s="560"/>
      <c r="S50" t="str">
        <f>VLOOKUP(C50,'Recon of ORS and DV'!$A$4:$B$358,2,FALSE)</f>
        <v>0026</v>
      </c>
    </row>
    <row r="51" spans="1:19">
      <c r="B51" s="553">
        <v>44215</v>
      </c>
      <c r="C51" t="s">
        <v>787</v>
      </c>
      <c r="D51" s="28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0">
        <v>487450</v>
      </c>
      <c r="K51" s="560">
        <f t="shared" si="0"/>
        <v>6</v>
      </c>
      <c r="L51" s="560">
        <f t="shared" si="2"/>
        <v>6</v>
      </c>
    </row>
    <row r="52" spans="1:19">
      <c r="B52" s="553">
        <v>44215</v>
      </c>
      <c r="C52" t="s">
        <v>787</v>
      </c>
      <c r="D52" s="28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0">
        <v>20000</v>
      </c>
      <c r="K52" s="560">
        <f t="shared" si="0"/>
        <v>6</v>
      </c>
      <c r="L52" s="560">
        <f t="shared" si="2"/>
        <v>5</v>
      </c>
    </row>
    <row r="53" spans="1:19">
      <c r="B53" s="553">
        <v>44215</v>
      </c>
      <c r="C53" t="s">
        <v>787</v>
      </c>
      <c r="D53" s="28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0">
        <v>58494</v>
      </c>
      <c r="K53" s="560">
        <f t="shared" si="0"/>
        <v>6</v>
      </c>
      <c r="L53" s="560">
        <f t="shared" si="2"/>
        <v>4</v>
      </c>
    </row>
    <row r="54" spans="1:19">
      <c r="B54" s="553">
        <v>44215</v>
      </c>
      <c r="C54" t="s">
        <v>787</v>
      </c>
      <c r="D54" s="28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0">
        <v>1000</v>
      </c>
      <c r="K54" s="560">
        <f t="shared" si="0"/>
        <v>6</v>
      </c>
      <c r="L54" s="560">
        <f t="shared" si="2"/>
        <v>3</v>
      </c>
    </row>
    <row r="55" spans="1:19">
      <c r="B55" s="553">
        <v>44215</v>
      </c>
      <c r="C55" t="s">
        <v>787</v>
      </c>
      <c r="D55" s="28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0">
        <v>6170.95</v>
      </c>
      <c r="K55" s="560">
        <f t="shared" si="0"/>
        <v>6</v>
      </c>
      <c r="L55" s="560">
        <f t="shared" si="2"/>
        <v>2</v>
      </c>
    </row>
    <row r="56" spans="1:19">
      <c r="A56" t="s">
        <v>2065</v>
      </c>
      <c r="B56" s="553">
        <v>44215</v>
      </c>
      <c r="C56" t="s">
        <v>787</v>
      </c>
      <c r="D56" s="28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0">
        <v>1000</v>
      </c>
      <c r="K56" s="560">
        <f t="shared" si="0"/>
        <v>6</v>
      </c>
      <c r="L56" s="560">
        <f t="shared" si="2"/>
        <v>1</v>
      </c>
      <c r="M56" s="560" t="e">
        <f>SUMIFS('[1]MAIN-101'!$Z$1:$Z$3000,'[1]MAIN-101'!$X$1:$X$3000,S56)</f>
        <v>#VALUE!</v>
      </c>
      <c r="N56" s="560"/>
      <c r="O56" s="560"/>
      <c r="S56" t="str">
        <f>VLOOKUP(C56,'Recon of ORS and DV'!$A$4:$B$358,2,FALSE)</f>
        <v>0027</v>
      </c>
    </row>
    <row r="57" spans="1:19">
      <c r="A57" t="s">
        <v>2066</v>
      </c>
      <c r="B57" s="553">
        <v>44215</v>
      </c>
      <c r="C57" t="s">
        <v>790</v>
      </c>
      <c r="D57" s="28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0">
        <v>2500</v>
      </c>
      <c r="K57" s="560">
        <f t="shared" si="0"/>
        <v>1</v>
      </c>
      <c r="L57" s="560">
        <f t="shared" si="2"/>
        <v>1</v>
      </c>
      <c r="M57" s="560" t="e">
        <f>SUMIFS('[1]MAIN-101'!$Z$1:$Z$3000,'[1]MAIN-101'!$X$1:$X$3000,S57)</f>
        <v>#VALUE!</v>
      </c>
      <c r="N57" s="560"/>
      <c r="O57" s="560"/>
      <c r="S57" t="str">
        <f>VLOOKUP(C57,'Recon of ORS and DV'!$A$4:$B$358,2,FALSE)</f>
        <v>0028</v>
      </c>
    </row>
    <row r="58" spans="1:19">
      <c r="A58" t="s">
        <v>2067</v>
      </c>
      <c r="B58" s="553">
        <v>44215</v>
      </c>
      <c r="C58" t="s">
        <v>793</v>
      </c>
      <c r="D58" s="28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0">
        <v>0</v>
      </c>
      <c r="K58" s="560">
        <f t="shared" si="0"/>
        <v>1</v>
      </c>
      <c r="L58" s="560">
        <f t="shared" si="2"/>
        <v>1</v>
      </c>
      <c r="M58" s="560" t="e">
        <f>SUMIFS('[1]MAIN-101'!$Z$1:$Z$3000,'[1]MAIN-101'!$X$1:$X$3000,S58)</f>
        <v>#VALUE!</v>
      </c>
      <c r="N58" s="560"/>
      <c r="O58" s="560"/>
      <c r="S58" t="str">
        <f>VLOOKUP(C58,'Recon of ORS and DV'!$A$4:$B$358,2,FALSE)</f>
        <v>0029</v>
      </c>
    </row>
    <row r="59" spans="1:19">
      <c r="B59" s="553">
        <v>44217</v>
      </c>
      <c r="C59" t="s">
        <v>807</v>
      </c>
      <c r="D59" s="28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0">
        <v>1834.25</v>
      </c>
      <c r="K59" s="560">
        <f t="shared" si="0"/>
        <v>4</v>
      </c>
      <c r="L59" s="560">
        <f t="shared" si="2"/>
        <v>4</v>
      </c>
    </row>
    <row r="60" spans="1:19">
      <c r="B60" s="553">
        <v>44217</v>
      </c>
      <c r="C60" t="s">
        <v>807</v>
      </c>
      <c r="D60" s="28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0">
        <v>219</v>
      </c>
      <c r="K60" s="560">
        <f t="shared" si="0"/>
        <v>4</v>
      </c>
      <c r="L60" s="560">
        <f t="shared" si="2"/>
        <v>3</v>
      </c>
    </row>
    <row r="61" spans="1:19">
      <c r="B61" s="553">
        <v>44217</v>
      </c>
      <c r="C61" t="s">
        <v>807</v>
      </c>
      <c r="D61" s="28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0">
        <v>1960</v>
      </c>
      <c r="K61" s="560">
        <f t="shared" si="0"/>
        <v>4</v>
      </c>
      <c r="L61" s="560">
        <f t="shared" si="2"/>
        <v>2</v>
      </c>
    </row>
    <row r="62" spans="1:19">
      <c r="A62" t="s">
        <v>2419</v>
      </c>
      <c r="B62" s="553">
        <v>44217</v>
      </c>
      <c r="C62" t="s">
        <v>807</v>
      </c>
      <c r="D62" s="28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0">
        <v>300</v>
      </c>
      <c r="K62" s="560">
        <f t="shared" si="0"/>
        <v>4</v>
      </c>
      <c r="L62" s="560">
        <f t="shared" si="2"/>
        <v>1</v>
      </c>
      <c r="M62" s="560" t="e">
        <f>SUMIFS('[1]MAIN-101'!$Z$1:$Z$3000,'[1]MAIN-101'!$X$1:$X$3000,S62)</f>
        <v>#VALUE!</v>
      </c>
      <c r="N62" s="560"/>
      <c r="O62" s="560"/>
      <c r="S62" t="str">
        <f>VLOOKUP(C62,'Recon of ORS and DV'!$A$4:$B$358,2,FALSE)</f>
        <v>0060</v>
      </c>
    </row>
    <row r="63" spans="1:19">
      <c r="A63" t="s">
        <v>2068</v>
      </c>
      <c r="B63" s="553">
        <v>44218</v>
      </c>
      <c r="C63" t="s">
        <v>809</v>
      </c>
      <c r="D63" s="28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0">
        <v>22550.49</v>
      </c>
      <c r="K63" s="560">
        <f t="shared" si="0"/>
        <v>1</v>
      </c>
      <c r="L63" s="560">
        <f t="shared" si="2"/>
        <v>1</v>
      </c>
      <c r="M63" s="560" t="e">
        <f>SUMIFS('[1]MAIN-101'!$Z$1:$Z$3000,'[1]MAIN-101'!$X$1:$X$3000,S63)</f>
        <v>#VALUE!</v>
      </c>
      <c r="N63" s="560"/>
      <c r="O63" s="560"/>
      <c r="S63" t="str">
        <f>VLOOKUP(C63,'Recon of ORS and DV'!$A$4:$B$358,2,FALSE)</f>
        <v>0048</v>
      </c>
    </row>
    <row r="64" spans="1:19">
      <c r="A64" t="s">
        <v>2073</v>
      </c>
      <c r="B64" s="553">
        <v>44221</v>
      </c>
      <c r="C64" t="s">
        <v>817</v>
      </c>
      <c r="D64" s="28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0">
        <v>7800</v>
      </c>
      <c r="K64" s="560">
        <f t="shared" si="0"/>
        <v>1</v>
      </c>
      <c r="L64" s="560">
        <f t="shared" si="2"/>
        <v>1</v>
      </c>
      <c r="M64" s="560" t="e">
        <f>SUMIFS('[1]MAIN-101'!$Z$1:$Z$3000,'[1]MAIN-101'!$X$1:$X$3000,S64)</f>
        <v>#VALUE!</v>
      </c>
      <c r="N64" s="560"/>
      <c r="O64" s="560"/>
      <c r="S64" t="str">
        <f>VLOOKUP(C64,'Recon of ORS and DV'!$A$4:$B$358,2,FALSE)</f>
        <v>0053</v>
      </c>
    </row>
    <row r="65" spans="1:19">
      <c r="A65" t="s">
        <v>2069</v>
      </c>
      <c r="B65" s="553">
        <v>44221</v>
      </c>
      <c r="C65" t="s">
        <v>824</v>
      </c>
      <c r="D65" s="28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0">
        <v>7800</v>
      </c>
      <c r="K65" s="560">
        <f t="shared" si="0"/>
        <v>1</v>
      </c>
      <c r="L65" s="560">
        <f t="shared" si="2"/>
        <v>1</v>
      </c>
      <c r="M65" s="560" t="e">
        <f>SUMIFS('[1]MAIN-101'!$Z$1:$Z$3000,'[1]MAIN-101'!$X$1:$X$3000,S65)</f>
        <v>#VALUE!</v>
      </c>
      <c r="N65" s="560"/>
      <c r="O65" s="560"/>
      <c r="S65" t="str">
        <f>VLOOKUP(C65,'Recon of ORS and DV'!$A$4:$B$358,2,FALSE)</f>
        <v>0049</v>
      </c>
    </row>
    <row r="66" spans="1:19">
      <c r="A66" t="s">
        <v>2070</v>
      </c>
      <c r="B66" s="553">
        <v>44221</v>
      </c>
      <c r="C66" t="s">
        <v>825</v>
      </c>
      <c r="D66" s="28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0">
        <v>7800</v>
      </c>
      <c r="K66" s="560">
        <f t="shared" si="0"/>
        <v>1</v>
      </c>
      <c r="L66" s="560">
        <f t="shared" si="2"/>
        <v>1</v>
      </c>
      <c r="M66" s="560" t="e">
        <f>SUMIFS('[1]MAIN-101'!$Z$1:$Z$3000,'[1]MAIN-101'!$X$1:$X$3000,S66)</f>
        <v>#VALUE!</v>
      </c>
      <c r="N66" s="560"/>
      <c r="O66" s="560"/>
      <c r="S66" t="str">
        <f>VLOOKUP(C66,'Recon of ORS and DV'!$A$4:$B$358,2,FALSE)</f>
        <v>0050</v>
      </c>
    </row>
    <row r="67" spans="1:19">
      <c r="A67" t="s">
        <v>2071</v>
      </c>
      <c r="B67" s="553">
        <v>44221</v>
      </c>
      <c r="C67" t="s">
        <v>826</v>
      </c>
      <c r="D67" s="28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0">
        <v>7800</v>
      </c>
      <c r="K67" s="560">
        <f t="shared" si="0"/>
        <v>1</v>
      </c>
      <c r="L67" s="560">
        <f t="shared" si="2"/>
        <v>1</v>
      </c>
      <c r="M67" s="560" t="e">
        <f>SUMIFS('[1]MAIN-101'!$Z$1:$Z$3000,'[1]MAIN-101'!$X$1:$X$3000,S67)</f>
        <v>#VALUE!</v>
      </c>
      <c r="N67" s="560"/>
      <c r="O67" s="560"/>
      <c r="S67" t="str">
        <f>VLOOKUP(C67,'Recon of ORS and DV'!$A$4:$B$358,2,FALSE)</f>
        <v>0051</v>
      </c>
    </row>
    <row r="68" spans="1:19">
      <c r="A68" t="s">
        <v>2072</v>
      </c>
      <c r="B68" s="553">
        <v>44221</v>
      </c>
      <c r="C68" t="s">
        <v>827</v>
      </c>
      <c r="D68" s="28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0">
        <v>7800</v>
      </c>
      <c r="K68" s="560">
        <f t="shared" ref="K68:K131" si="3">COUNTIFS($C$3:$C$1556,C68)</f>
        <v>1</v>
      </c>
      <c r="L68" s="560">
        <f t="shared" si="2"/>
        <v>1</v>
      </c>
      <c r="M68" s="560" t="e">
        <f>SUMIFS('[1]MAIN-101'!$Z$1:$Z$3000,'[1]MAIN-101'!$X$1:$X$3000,S68)</f>
        <v>#VALUE!</v>
      </c>
      <c r="N68" s="560"/>
      <c r="O68" s="560"/>
      <c r="S68" t="str">
        <f>VLOOKUP(C68,'Recon of ORS and DV'!$A$4:$B$358,2,FALSE)</f>
        <v>0052</v>
      </c>
    </row>
    <row r="69" spans="1:19">
      <c r="A69" t="s">
        <v>2425</v>
      </c>
      <c r="B69" s="553">
        <v>44222</v>
      </c>
      <c r="C69" t="s">
        <v>829</v>
      </c>
      <c r="D69" s="28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0">
        <v>59500</v>
      </c>
      <c r="K69" s="560">
        <f t="shared" si="3"/>
        <v>1</v>
      </c>
      <c r="L69" s="560">
        <f t="shared" si="2"/>
        <v>1</v>
      </c>
      <c r="M69" s="560" t="e">
        <f>SUMIFS('[1]MAIN-101'!$Z$1:$Z$3000,'[1]MAIN-101'!$X$1:$X$3000,S69)</f>
        <v>#VALUE!</v>
      </c>
      <c r="N69" s="560"/>
      <c r="O69" s="560"/>
      <c r="S69" t="str">
        <f>VLOOKUP(C69,'Recon of ORS and DV'!$A$4:$B$358,2,FALSE)</f>
        <v>0068</v>
      </c>
    </row>
    <row r="70" spans="1:19">
      <c r="B70" s="553">
        <v>44222</v>
      </c>
      <c r="C70" t="s">
        <v>832</v>
      </c>
      <c r="D70" s="28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0">
        <v>14112.73</v>
      </c>
      <c r="K70" s="560">
        <f t="shared" si="3"/>
        <v>6</v>
      </c>
      <c r="L70" s="560">
        <f t="shared" si="2"/>
        <v>6</v>
      </c>
    </row>
    <row r="71" spans="1:19">
      <c r="B71" s="553">
        <v>44222</v>
      </c>
      <c r="C71" t="s">
        <v>832</v>
      </c>
      <c r="D71" s="28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0">
        <v>1818.18</v>
      </c>
      <c r="K71" s="560">
        <f t="shared" si="3"/>
        <v>6</v>
      </c>
      <c r="L71" s="560">
        <f t="shared" si="2"/>
        <v>5</v>
      </c>
    </row>
    <row r="72" spans="1:19">
      <c r="B72" s="553">
        <v>44222</v>
      </c>
      <c r="C72" t="s">
        <v>832</v>
      </c>
      <c r="D72" s="28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0">
        <v>1682.6</v>
      </c>
      <c r="K72" s="560">
        <f t="shared" si="3"/>
        <v>6</v>
      </c>
      <c r="L72" s="560">
        <f t="shared" si="2"/>
        <v>4</v>
      </c>
    </row>
    <row r="73" spans="1:19">
      <c r="B73" s="553">
        <v>44222</v>
      </c>
      <c r="C73" t="s">
        <v>832</v>
      </c>
      <c r="D73" s="28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0">
        <v>100</v>
      </c>
      <c r="K73" s="560">
        <f t="shared" si="3"/>
        <v>6</v>
      </c>
      <c r="L73" s="560">
        <f t="shared" si="2"/>
        <v>3</v>
      </c>
    </row>
    <row r="74" spans="1:19">
      <c r="B74" s="553">
        <v>44222</v>
      </c>
      <c r="C74" t="s">
        <v>832</v>
      </c>
      <c r="D74" s="28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0">
        <v>232.86</v>
      </c>
      <c r="K74" s="560">
        <f t="shared" si="3"/>
        <v>6</v>
      </c>
      <c r="L74" s="560">
        <f t="shared" si="2"/>
        <v>2</v>
      </c>
    </row>
    <row r="75" spans="1:19">
      <c r="A75" t="s">
        <v>2074</v>
      </c>
      <c r="B75" s="553">
        <v>44222</v>
      </c>
      <c r="C75" t="s">
        <v>832</v>
      </c>
      <c r="D75" s="28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0">
        <v>100</v>
      </c>
      <c r="K75" s="560">
        <f t="shared" si="3"/>
        <v>6</v>
      </c>
      <c r="L75" s="560">
        <f t="shared" si="2"/>
        <v>1</v>
      </c>
      <c r="M75" s="560" t="e">
        <f>SUMIFS('[1]MAIN-101'!$Z$1:$Z$3000,'[1]MAIN-101'!$X$1:$X$3000,S75)</f>
        <v>#VALUE!</v>
      </c>
      <c r="N75" s="560"/>
      <c r="O75" s="560"/>
      <c r="S75" t="str">
        <f>VLOOKUP(C75,'Recon of ORS and DV'!$A$4:$B$358,2,FALSE)</f>
        <v>0069</v>
      </c>
    </row>
    <row r="76" spans="1:19">
      <c r="A76" t="s">
        <v>2075</v>
      </c>
      <c r="B76" s="553">
        <v>44223</v>
      </c>
      <c r="C76" t="s">
        <v>835</v>
      </c>
      <c r="D76" s="28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0">
        <v>3675</v>
      </c>
      <c r="K76" s="560">
        <f t="shared" si="3"/>
        <v>1</v>
      </c>
      <c r="L76" s="560">
        <f t="shared" si="2"/>
        <v>1</v>
      </c>
      <c r="M76" s="560" t="e">
        <f>SUMIFS('[1]MAIN-101'!$Z$1:$Z$3000,'[1]MAIN-101'!$X$1:$X$3000,S76)</f>
        <v>#VALUE!</v>
      </c>
      <c r="N76" s="560"/>
      <c r="O76" s="560"/>
      <c r="S76" t="str">
        <f>VLOOKUP(C76,'Recon of ORS and DV'!$A$4:$B$358,2,FALSE)</f>
        <v>0091</v>
      </c>
    </row>
    <row r="77" spans="1:19">
      <c r="A77" t="s">
        <v>2076</v>
      </c>
      <c r="B77" s="553">
        <v>44223</v>
      </c>
      <c r="C77" t="s">
        <v>838</v>
      </c>
      <c r="D77" s="28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0">
        <v>10895.41</v>
      </c>
      <c r="K77" s="560">
        <f t="shared" si="3"/>
        <v>1</v>
      </c>
      <c r="L77" s="560">
        <f t="shared" si="2"/>
        <v>1</v>
      </c>
      <c r="M77" s="560" t="e">
        <f>SUMIFS('[1]MAIN-101'!$Z$1:$Z$3000,'[1]MAIN-101'!$X$1:$X$3000,S77)</f>
        <v>#VALUE!</v>
      </c>
      <c r="N77" s="560"/>
      <c r="O77" s="560"/>
      <c r="S77" t="str">
        <f>VLOOKUP(C77,'Recon of ORS and DV'!$A$4:$B$358,2,FALSE)</f>
        <v>0090</v>
      </c>
    </row>
    <row r="78" spans="1:19">
      <c r="B78" s="553">
        <v>44223</v>
      </c>
      <c r="C78" t="s">
        <v>841</v>
      </c>
      <c r="D78" s="28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0">
        <v>2480</v>
      </c>
      <c r="K78" s="560">
        <f t="shared" si="3"/>
        <v>3</v>
      </c>
      <c r="L78" s="560">
        <f t="shared" si="2"/>
        <v>3</v>
      </c>
    </row>
    <row r="79" spans="1:19">
      <c r="B79" s="553">
        <v>44223</v>
      </c>
      <c r="C79" t="s">
        <v>841</v>
      </c>
      <c r="D79" s="28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0">
        <v>7600</v>
      </c>
      <c r="K79" s="560">
        <f t="shared" si="3"/>
        <v>3</v>
      </c>
      <c r="L79" s="560">
        <f t="shared" ref="L79:L142" si="4">COUNTIFS(C79:C1632,C79)</f>
        <v>2</v>
      </c>
    </row>
    <row r="80" spans="1:19">
      <c r="A80" t="s">
        <v>2077</v>
      </c>
      <c r="B80" s="553">
        <v>44223</v>
      </c>
      <c r="C80" t="s">
        <v>841</v>
      </c>
      <c r="D80" s="28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0">
        <v>4000</v>
      </c>
      <c r="K80" s="560">
        <f t="shared" si="3"/>
        <v>3</v>
      </c>
      <c r="L80" s="560">
        <f t="shared" si="4"/>
        <v>1</v>
      </c>
      <c r="M80" s="560" t="e">
        <f>SUMIFS('[1]MAIN-101'!$Z$1:$Z$3000,'[1]MAIN-101'!$X$1:$X$3000,S80)</f>
        <v>#VALUE!</v>
      </c>
      <c r="N80" s="560"/>
      <c r="O80" s="560"/>
      <c r="S80" t="str">
        <f>VLOOKUP(C80,'Recon of ORS and DV'!$A$4:$B$358,2,FALSE)</f>
        <v>0087</v>
      </c>
    </row>
    <row r="81" spans="1:19">
      <c r="A81" t="s">
        <v>2078</v>
      </c>
      <c r="B81" s="553">
        <v>44223</v>
      </c>
      <c r="C81" t="s">
        <v>846</v>
      </c>
      <c r="D81" s="28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0">
        <v>1880</v>
      </c>
      <c r="K81" s="560">
        <f t="shared" si="3"/>
        <v>1</v>
      </c>
      <c r="L81" s="560">
        <f t="shared" si="4"/>
        <v>1</v>
      </c>
      <c r="M81" s="560" t="e">
        <f>SUMIFS('[1]MAIN-101'!$Z$1:$Z$3000,'[1]MAIN-101'!$X$1:$X$3000,S81)</f>
        <v>#VALUE!</v>
      </c>
      <c r="N81" s="560"/>
      <c r="O81" s="560"/>
      <c r="S81" t="str">
        <f>VLOOKUP(C81,'Recon of ORS and DV'!$A$4:$B$358,2,FALSE)</f>
        <v>0092</v>
      </c>
    </row>
    <row r="82" spans="1:19">
      <c r="A82" t="s">
        <v>2079</v>
      </c>
      <c r="B82" s="553">
        <v>44224</v>
      </c>
      <c r="C82" t="s">
        <v>851</v>
      </c>
      <c r="D82" s="28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0">
        <v>0</v>
      </c>
      <c r="K82" s="560">
        <f t="shared" si="3"/>
        <v>1</v>
      </c>
      <c r="L82" s="560">
        <f t="shared" si="4"/>
        <v>1</v>
      </c>
      <c r="M82" s="560" t="e">
        <f>SUMIFS('[1]MAIN-101'!$Z$1:$Z$3000,'[1]MAIN-101'!$X$1:$X$3000,S82)</f>
        <v>#VALUE!</v>
      </c>
      <c r="N82" s="560"/>
      <c r="O82" s="560"/>
      <c r="S82" t="str">
        <f>VLOOKUP(C82,'Recon of ORS and DV'!$A$4:$B$358,2,FALSE)</f>
        <v>0089</v>
      </c>
    </row>
    <row r="83" spans="1:19">
      <c r="B83" s="553">
        <v>44224</v>
      </c>
      <c r="C83" t="s">
        <v>854</v>
      </c>
      <c r="D83" s="28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0">
        <v>5534</v>
      </c>
      <c r="K83" s="560">
        <f t="shared" si="3"/>
        <v>3</v>
      </c>
      <c r="L83" s="560">
        <f t="shared" si="4"/>
        <v>3</v>
      </c>
    </row>
    <row r="84" spans="1:19">
      <c r="B84" s="553">
        <v>44224</v>
      </c>
      <c r="C84" t="s">
        <v>854</v>
      </c>
      <c r="D84" s="28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0">
        <v>4527.82</v>
      </c>
      <c r="K84" s="560">
        <f t="shared" si="3"/>
        <v>3</v>
      </c>
      <c r="L84" s="560">
        <f t="shared" si="4"/>
        <v>2</v>
      </c>
    </row>
    <row r="85" spans="1:19">
      <c r="A85" t="s">
        <v>2080</v>
      </c>
      <c r="B85" s="553">
        <v>44224</v>
      </c>
      <c r="C85" t="s">
        <v>854</v>
      </c>
      <c r="D85" s="28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0">
        <v>10000</v>
      </c>
      <c r="K85" s="560">
        <f t="shared" si="3"/>
        <v>3</v>
      </c>
      <c r="L85" s="560">
        <f t="shared" si="4"/>
        <v>1</v>
      </c>
      <c r="M85" s="560" t="e">
        <f>SUMIFS('[1]MAIN-101'!$Z$1:$Z$3000,'[1]MAIN-101'!$X$1:$X$3000,S85)</f>
        <v>#VALUE!</v>
      </c>
      <c r="N85" s="560"/>
      <c r="O85" s="560"/>
      <c r="S85" t="str">
        <f>VLOOKUP(C85,'Recon of ORS and DV'!$A$4:$B$358,2,FALSE)</f>
        <v>0085</v>
      </c>
    </row>
    <row r="86" spans="1:19">
      <c r="B86" s="553">
        <v>44224</v>
      </c>
      <c r="C86" t="s">
        <v>856</v>
      </c>
      <c r="D86" s="28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0">
        <v>11158</v>
      </c>
      <c r="K86" s="560">
        <f t="shared" si="3"/>
        <v>3</v>
      </c>
      <c r="L86" s="560">
        <f t="shared" si="4"/>
        <v>3</v>
      </c>
    </row>
    <row r="87" spans="1:19">
      <c r="B87" s="553">
        <v>44224</v>
      </c>
      <c r="C87" t="s">
        <v>856</v>
      </c>
      <c r="D87" s="28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0">
        <v>11158</v>
      </c>
      <c r="K87" s="560">
        <f t="shared" si="3"/>
        <v>3</v>
      </c>
      <c r="L87" s="560">
        <f t="shared" si="4"/>
        <v>2</v>
      </c>
    </row>
    <row r="88" spans="1:19">
      <c r="A88" t="s">
        <v>2081</v>
      </c>
      <c r="B88" s="553">
        <v>44224</v>
      </c>
      <c r="C88" t="s">
        <v>856</v>
      </c>
      <c r="D88" s="28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0">
        <v>11158</v>
      </c>
      <c r="K88" s="560">
        <f t="shared" si="3"/>
        <v>3</v>
      </c>
      <c r="L88" s="560">
        <f t="shared" si="4"/>
        <v>1</v>
      </c>
      <c r="M88" s="560" t="e">
        <f>SUMIFS('[1]MAIN-101'!$Z$1:$Z$3000,'[1]MAIN-101'!$X$1:$X$3000,S88)</f>
        <v>#VALUE!</v>
      </c>
      <c r="N88" s="560"/>
      <c r="O88" s="560"/>
      <c r="S88" t="str">
        <f>VLOOKUP(C88,'Recon of ORS and DV'!$A$4:$B$358,2,FALSE)</f>
        <v>0086</v>
      </c>
    </row>
    <row r="89" spans="1:19">
      <c r="A89">
        <v>0</v>
      </c>
      <c r="B89" s="553">
        <v>44224</v>
      </c>
      <c r="C89" t="s">
        <v>858</v>
      </c>
      <c r="D89" s="28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0">
        <v>0</v>
      </c>
      <c r="K89" s="560">
        <f t="shared" si="3"/>
        <v>1</v>
      </c>
      <c r="L89" s="560">
        <f t="shared" si="4"/>
        <v>1</v>
      </c>
      <c r="M89" s="560" t="e">
        <f>SUMIFS('[1]MAIN-101'!$Z$1:$Z$3000,'[1]MAIN-101'!$X$1:$X$3000,S89)</f>
        <v>#VALUE!</v>
      </c>
      <c r="N89" s="560"/>
      <c r="O89" s="560"/>
      <c r="S89">
        <f>VLOOKUP(C89,'Recon of ORS and DV'!$A$4:$B$358,2,FALSE)</f>
        <v>0</v>
      </c>
    </row>
    <row r="90" spans="1:19">
      <c r="B90" s="553">
        <v>44224</v>
      </c>
      <c r="C90" t="s">
        <v>861</v>
      </c>
      <c r="D90" s="28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0">
        <v>43681</v>
      </c>
      <c r="K90" s="560">
        <f t="shared" si="3"/>
        <v>6</v>
      </c>
      <c r="L90" s="560">
        <f t="shared" si="4"/>
        <v>6</v>
      </c>
    </row>
    <row r="91" spans="1:19">
      <c r="B91" s="553">
        <v>44224</v>
      </c>
      <c r="C91" t="s">
        <v>861</v>
      </c>
      <c r="D91" s="28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0">
        <v>2000</v>
      </c>
      <c r="K91" s="560">
        <f t="shared" si="3"/>
        <v>6</v>
      </c>
      <c r="L91" s="560">
        <f t="shared" si="4"/>
        <v>5</v>
      </c>
    </row>
    <row r="92" spans="1:19">
      <c r="B92" s="553">
        <v>44224</v>
      </c>
      <c r="C92" t="s">
        <v>861</v>
      </c>
      <c r="D92" s="28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0">
        <v>5241.72</v>
      </c>
      <c r="K92" s="560">
        <f t="shared" si="3"/>
        <v>6</v>
      </c>
      <c r="L92" s="560">
        <f t="shared" si="4"/>
        <v>4</v>
      </c>
    </row>
    <row r="93" spans="1:19">
      <c r="B93" s="553">
        <v>44224</v>
      </c>
      <c r="C93" t="s">
        <v>861</v>
      </c>
      <c r="D93" s="28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0">
        <v>100</v>
      </c>
      <c r="K93" s="560">
        <f t="shared" si="3"/>
        <v>6</v>
      </c>
      <c r="L93" s="560">
        <f t="shared" si="4"/>
        <v>3</v>
      </c>
    </row>
    <row r="94" spans="1:19">
      <c r="B94" s="553">
        <v>44224</v>
      </c>
      <c r="C94" t="s">
        <v>861</v>
      </c>
      <c r="D94" s="28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0">
        <v>655.22</v>
      </c>
      <c r="K94" s="560">
        <f t="shared" si="3"/>
        <v>6</v>
      </c>
      <c r="L94" s="560">
        <f t="shared" si="4"/>
        <v>2</v>
      </c>
    </row>
    <row r="95" spans="1:19">
      <c r="A95" t="s">
        <v>2082</v>
      </c>
      <c r="B95" s="553">
        <v>44224</v>
      </c>
      <c r="C95" t="s">
        <v>861</v>
      </c>
      <c r="D95" s="28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0">
        <v>100</v>
      </c>
      <c r="K95" s="560">
        <f t="shared" si="3"/>
        <v>6</v>
      </c>
      <c r="L95" s="560">
        <f t="shared" si="4"/>
        <v>1</v>
      </c>
      <c r="M95" s="560" t="e">
        <f>SUMIFS('[1]MAIN-101'!$Z$1:$Z$3000,'[1]MAIN-101'!$X$1:$X$3000,S95)</f>
        <v>#VALUE!</v>
      </c>
      <c r="N95" s="560"/>
      <c r="O95" s="560"/>
      <c r="S95" t="str">
        <f>VLOOKUP(C95,'Recon of ORS and DV'!$A$4:$B$358,2,FALSE)</f>
        <v>0104</v>
      </c>
    </row>
    <row r="96" spans="1:19">
      <c r="B96" s="553">
        <v>44224</v>
      </c>
      <c r="C96" t="s">
        <v>865</v>
      </c>
      <c r="D96" s="28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0">
        <v>77256</v>
      </c>
      <c r="K96" s="560">
        <f t="shared" si="3"/>
        <v>6</v>
      </c>
      <c r="L96" s="560">
        <f t="shared" si="4"/>
        <v>6</v>
      </c>
    </row>
    <row r="97" spans="1:19">
      <c r="B97" s="553">
        <v>44224</v>
      </c>
      <c r="C97" t="s">
        <v>865</v>
      </c>
      <c r="D97" s="28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0">
        <v>4000</v>
      </c>
      <c r="K97" s="560">
        <f t="shared" si="3"/>
        <v>6</v>
      </c>
      <c r="L97" s="560">
        <f t="shared" si="4"/>
        <v>5</v>
      </c>
    </row>
    <row r="98" spans="1:19">
      <c r="B98" s="553">
        <v>44224</v>
      </c>
      <c r="C98" t="s">
        <v>865</v>
      </c>
      <c r="D98" s="28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0">
        <v>9270.7199999999993</v>
      </c>
      <c r="K98" s="560">
        <f t="shared" si="3"/>
        <v>6</v>
      </c>
      <c r="L98" s="560">
        <f t="shared" si="4"/>
        <v>4</v>
      </c>
    </row>
    <row r="99" spans="1:19">
      <c r="B99" s="553">
        <v>44224</v>
      </c>
      <c r="C99" t="s">
        <v>865</v>
      </c>
      <c r="D99" s="28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0">
        <v>200</v>
      </c>
      <c r="K99" s="560">
        <f t="shared" si="3"/>
        <v>6</v>
      </c>
      <c r="L99" s="560">
        <f t="shared" si="4"/>
        <v>3</v>
      </c>
    </row>
    <row r="100" spans="1:19">
      <c r="B100" s="553">
        <v>44224</v>
      </c>
      <c r="C100" t="s">
        <v>865</v>
      </c>
      <c r="D100" s="28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0">
        <v>1158.8499999999999</v>
      </c>
      <c r="K100" s="560">
        <f t="shared" si="3"/>
        <v>6</v>
      </c>
      <c r="L100" s="560">
        <f t="shared" si="4"/>
        <v>2</v>
      </c>
    </row>
    <row r="101" spans="1:19">
      <c r="A101" t="s">
        <v>2083</v>
      </c>
      <c r="B101" s="553">
        <v>44224</v>
      </c>
      <c r="C101" t="s">
        <v>865</v>
      </c>
      <c r="D101" s="28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0">
        <v>200</v>
      </c>
      <c r="K101" s="560">
        <f t="shared" si="3"/>
        <v>6</v>
      </c>
      <c r="L101" s="560">
        <f t="shared" si="4"/>
        <v>1</v>
      </c>
      <c r="M101" s="560" t="e">
        <f>SUMIFS('[1]MAIN-101'!$Z$1:$Z$3000,'[1]MAIN-101'!$X$1:$X$3000,S101)</f>
        <v>#VALUE!</v>
      </c>
      <c r="N101" s="560"/>
      <c r="O101" s="560"/>
      <c r="S101" t="str">
        <f>VLOOKUP(C101,'Recon of ORS and DV'!$A$4:$B$358,2,FALSE)</f>
        <v>0105</v>
      </c>
    </row>
    <row r="102" spans="1:19">
      <c r="B102" s="553">
        <v>44224</v>
      </c>
      <c r="C102" t="s">
        <v>866</v>
      </c>
      <c r="D102" s="28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0">
        <v>33575</v>
      </c>
      <c r="K102" s="560">
        <f t="shared" si="3"/>
        <v>6</v>
      </c>
      <c r="L102" s="560">
        <f t="shared" si="4"/>
        <v>6</v>
      </c>
    </row>
    <row r="103" spans="1:19">
      <c r="B103" s="553">
        <v>44224</v>
      </c>
      <c r="C103" t="s">
        <v>866</v>
      </c>
      <c r="D103" s="28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0">
        <v>2000</v>
      </c>
      <c r="K103" s="560">
        <f t="shared" si="3"/>
        <v>6</v>
      </c>
      <c r="L103" s="560">
        <f t="shared" si="4"/>
        <v>5</v>
      </c>
    </row>
    <row r="104" spans="1:19">
      <c r="B104" s="553">
        <v>44224</v>
      </c>
      <c r="C104" t="s">
        <v>866</v>
      </c>
      <c r="D104" s="28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0">
        <v>4029</v>
      </c>
      <c r="K104" s="560">
        <f t="shared" si="3"/>
        <v>6</v>
      </c>
      <c r="L104" s="560">
        <f t="shared" si="4"/>
        <v>4</v>
      </c>
    </row>
    <row r="105" spans="1:19">
      <c r="B105" s="553">
        <v>44224</v>
      </c>
      <c r="C105" t="s">
        <v>866</v>
      </c>
      <c r="D105" s="28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0">
        <v>100</v>
      </c>
      <c r="K105" s="560">
        <f t="shared" si="3"/>
        <v>6</v>
      </c>
      <c r="L105" s="560">
        <f t="shared" si="4"/>
        <v>3</v>
      </c>
    </row>
    <row r="106" spans="1:19">
      <c r="B106" s="553">
        <v>44224</v>
      </c>
      <c r="C106" t="s">
        <v>866</v>
      </c>
      <c r="D106" s="28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0">
        <v>503.63</v>
      </c>
      <c r="K106" s="560">
        <f t="shared" si="3"/>
        <v>6</v>
      </c>
      <c r="L106" s="560">
        <f t="shared" si="4"/>
        <v>2</v>
      </c>
    </row>
    <row r="107" spans="1:19">
      <c r="A107" t="s">
        <v>2084</v>
      </c>
      <c r="B107" s="553">
        <v>44224</v>
      </c>
      <c r="C107" t="s">
        <v>866</v>
      </c>
      <c r="D107" s="28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0">
        <v>100</v>
      </c>
      <c r="K107" s="560">
        <f t="shared" si="3"/>
        <v>6</v>
      </c>
      <c r="L107" s="560">
        <f t="shared" si="4"/>
        <v>1</v>
      </c>
      <c r="M107" s="560" t="e">
        <f>SUMIFS('[1]MAIN-101'!$Z$1:$Z$3000,'[1]MAIN-101'!$X$1:$X$3000,S107)</f>
        <v>#VALUE!</v>
      </c>
      <c r="N107" s="560"/>
      <c r="O107" s="560"/>
      <c r="S107" t="str">
        <f>VLOOKUP(C107,'Recon of ORS and DV'!$A$4:$B$358,2,FALSE)</f>
        <v>0106</v>
      </c>
    </row>
    <row r="108" spans="1:19">
      <c r="B108" s="553">
        <v>44224</v>
      </c>
      <c r="C108" t="s">
        <v>868</v>
      </c>
      <c r="D108" s="28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0">
        <v>33575</v>
      </c>
      <c r="K108" s="560">
        <f t="shared" si="3"/>
        <v>6</v>
      </c>
      <c r="L108" s="560">
        <f t="shared" si="4"/>
        <v>6</v>
      </c>
    </row>
    <row r="109" spans="1:19">
      <c r="B109" s="553">
        <v>44224</v>
      </c>
      <c r="C109" t="s">
        <v>868</v>
      </c>
      <c r="D109" s="28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0">
        <v>2000</v>
      </c>
      <c r="K109" s="560">
        <f t="shared" si="3"/>
        <v>6</v>
      </c>
      <c r="L109" s="560">
        <f t="shared" si="4"/>
        <v>5</v>
      </c>
    </row>
    <row r="110" spans="1:19">
      <c r="B110" s="553">
        <v>44224</v>
      </c>
      <c r="C110" t="s">
        <v>868</v>
      </c>
      <c r="D110" s="28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0">
        <v>4029</v>
      </c>
      <c r="K110" s="560">
        <f t="shared" si="3"/>
        <v>6</v>
      </c>
      <c r="L110" s="560">
        <f t="shared" si="4"/>
        <v>4</v>
      </c>
    </row>
    <row r="111" spans="1:19">
      <c r="B111" s="553">
        <v>44224</v>
      </c>
      <c r="C111" t="s">
        <v>868</v>
      </c>
      <c r="D111" s="28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0">
        <v>100</v>
      </c>
      <c r="K111" s="560">
        <f t="shared" si="3"/>
        <v>6</v>
      </c>
      <c r="L111" s="560">
        <f t="shared" si="4"/>
        <v>3</v>
      </c>
    </row>
    <row r="112" spans="1:19">
      <c r="B112" s="553">
        <v>44224</v>
      </c>
      <c r="C112" t="s">
        <v>868</v>
      </c>
      <c r="D112" s="28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0">
        <v>503.63</v>
      </c>
      <c r="K112" s="560">
        <f t="shared" si="3"/>
        <v>6</v>
      </c>
      <c r="L112" s="560">
        <f t="shared" si="4"/>
        <v>2</v>
      </c>
    </row>
    <row r="113" spans="1:19">
      <c r="A113" t="s">
        <v>2085</v>
      </c>
      <c r="B113" s="553">
        <v>44224</v>
      </c>
      <c r="C113" t="s">
        <v>868</v>
      </c>
      <c r="D113" s="28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0">
        <v>100</v>
      </c>
      <c r="K113" s="560">
        <f t="shared" si="3"/>
        <v>6</v>
      </c>
      <c r="L113" s="560">
        <f t="shared" si="4"/>
        <v>1</v>
      </c>
      <c r="M113" s="560" t="e">
        <f>SUMIFS('[1]MAIN-101'!$Z$1:$Z$3000,'[1]MAIN-101'!$X$1:$X$3000,S113)</f>
        <v>#VALUE!</v>
      </c>
      <c r="N113" s="560"/>
      <c r="O113" s="560"/>
      <c r="S113" t="str">
        <f>VLOOKUP(C113,'Recon of ORS and DV'!$A$4:$B$358,2,FALSE)</f>
        <v>0107</v>
      </c>
    </row>
    <row r="114" spans="1:19">
      <c r="B114" s="553">
        <v>44224</v>
      </c>
      <c r="C114" t="s">
        <v>870</v>
      </c>
      <c r="D114" s="28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0">
        <v>77256</v>
      </c>
      <c r="K114" s="560">
        <f t="shared" si="3"/>
        <v>6</v>
      </c>
      <c r="L114" s="560">
        <f t="shared" si="4"/>
        <v>6</v>
      </c>
    </row>
    <row r="115" spans="1:19">
      <c r="B115" s="553">
        <v>44224</v>
      </c>
      <c r="C115" t="s">
        <v>870</v>
      </c>
      <c r="D115" s="28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0">
        <v>4000</v>
      </c>
      <c r="K115" s="560">
        <f t="shared" si="3"/>
        <v>6</v>
      </c>
      <c r="L115" s="560">
        <f t="shared" si="4"/>
        <v>5</v>
      </c>
    </row>
    <row r="116" spans="1:19">
      <c r="B116" s="553">
        <v>44224</v>
      </c>
      <c r="C116" t="s">
        <v>870</v>
      </c>
      <c r="D116" s="28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0">
        <v>9270.7199999999993</v>
      </c>
      <c r="K116" s="560">
        <f t="shared" si="3"/>
        <v>6</v>
      </c>
      <c r="L116" s="560">
        <f t="shared" si="4"/>
        <v>4</v>
      </c>
    </row>
    <row r="117" spans="1:19">
      <c r="B117" s="553">
        <v>44224</v>
      </c>
      <c r="C117" t="s">
        <v>870</v>
      </c>
      <c r="D117" s="28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0">
        <v>200</v>
      </c>
      <c r="K117" s="560">
        <f t="shared" si="3"/>
        <v>6</v>
      </c>
      <c r="L117" s="560">
        <f t="shared" si="4"/>
        <v>3</v>
      </c>
    </row>
    <row r="118" spans="1:19">
      <c r="B118" s="553">
        <v>44224</v>
      </c>
      <c r="C118" t="s">
        <v>870</v>
      </c>
      <c r="D118" s="28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0">
        <v>1158.8499999999999</v>
      </c>
      <c r="K118" s="560">
        <f t="shared" si="3"/>
        <v>6</v>
      </c>
      <c r="L118" s="560">
        <f t="shared" si="4"/>
        <v>2</v>
      </c>
    </row>
    <row r="119" spans="1:19">
      <c r="A119" t="s">
        <v>2086</v>
      </c>
      <c r="B119" s="553">
        <v>44224</v>
      </c>
      <c r="C119" t="s">
        <v>870</v>
      </c>
      <c r="D119" s="28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0">
        <v>200</v>
      </c>
      <c r="K119" s="560">
        <f t="shared" si="3"/>
        <v>6</v>
      </c>
      <c r="L119" s="560">
        <f t="shared" si="4"/>
        <v>1</v>
      </c>
      <c r="M119" s="560" t="e">
        <f>SUMIFS('[1]MAIN-101'!$Z$1:$Z$3000,'[1]MAIN-101'!$X$1:$X$3000,S119)</f>
        <v>#VALUE!</v>
      </c>
      <c r="N119" s="560"/>
      <c r="O119" s="560"/>
      <c r="S119" t="str">
        <f>VLOOKUP(C119,'Recon of ORS and DV'!$A$4:$B$358,2,FALSE)</f>
        <v>0108</v>
      </c>
    </row>
    <row r="120" spans="1:19">
      <c r="B120" s="553">
        <v>44224</v>
      </c>
      <c r="C120" t="s">
        <v>871</v>
      </c>
      <c r="D120" s="28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0">
        <v>33575</v>
      </c>
      <c r="K120" s="560">
        <f t="shared" si="3"/>
        <v>6</v>
      </c>
      <c r="L120" s="560">
        <f t="shared" si="4"/>
        <v>6</v>
      </c>
    </row>
    <row r="121" spans="1:19">
      <c r="B121" s="553">
        <v>44224</v>
      </c>
      <c r="C121" t="s">
        <v>871</v>
      </c>
      <c r="D121" s="28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0">
        <v>2000</v>
      </c>
      <c r="K121" s="560">
        <f t="shared" si="3"/>
        <v>6</v>
      </c>
      <c r="L121" s="560">
        <f t="shared" si="4"/>
        <v>5</v>
      </c>
    </row>
    <row r="122" spans="1:19">
      <c r="B122" s="553">
        <v>44224</v>
      </c>
      <c r="C122" t="s">
        <v>871</v>
      </c>
      <c r="D122" s="28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0">
        <v>4029</v>
      </c>
      <c r="K122" s="560">
        <f t="shared" si="3"/>
        <v>6</v>
      </c>
      <c r="L122" s="560">
        <f t="shared" si="4"/>
        <v>4</v>
      </c>
    </row>
    <row r="123" spans="1:19">
      <c r="B123" s="553">
        <v>44224</v>
      </c>
      <c r="C123" t="s">
        <v>871</v>
      </c>
      <c r="D123" s="28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0">
        <v>100</v>
      </c>
      <c r="K123" s="560">
        <f t="shared" si="3"/>
        <v>6</v>
      </c>
      <c r="L123" s="560">
        <f t="shared" si="4"/>
        <v>3</v>
      </c>
    </row>
    <row r="124" spans="1:19">
      <c r="B124" s="553">
        <v>44224</v>
      </c>
      <c r="C124" t="s">
        <v>871</v>
      </c>
      <c r="D124" s="28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0">
        <v>503.63</v>
      </c>
      <c r="K124" s="560">
        <f t="shared" si="3"/>
        <v>6</v>
      </c>
      <c r="L124" s="560">
        <f t="shared" si="4"/>
        <v>2</v>
      </c>
    </row>
    <row r="125" spans="1:19">
      <c r="A125" t="s">
        <v>2087</v>
      </c>
      <c r="B125" s="553">
        <v>44224</v>
      </c>
      <c r="C125" t="s">
        <v>871</v>
      </c>
      <c r="D125" s="28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0">
        <v>100</v>
      </c>
      <c r="K125" s="560">
        <f t="shared" si="3"/>
        <v>6</v>
      </c>
      <c r="L125" s="560">
        <f t="shared" si="4"/>
        <v>1</v>
      </c>
      <c r="M125" s="560" t="e">
        <f>SUMIFS('[1]MAIN-101'!$Z$1:$Z$3000,'[1]MAIN-101'!$X$1:$X$3000,S125)</f>
        <v>#VALUE!</v>
      </c>
      <c r="N125" s="560"/>
      <c r="O125" s="560"/>
      <c r="S125" t="str">
        <f>VLOOKUP(C125,'Recon of ORS and DV'!$A$4:$B$358,2,FALSE)</f>
        <v>0109</v>
      </c>
    </row>
    <row r="126" spans="1:19">
      <c r="B126" s="553">
        <v>44229</v>
      </c>
      <c r="C126" t="s">
        <v>1029</v>
      </c>
      <c r="D126" s="28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0">
        <v>45000</v>
      </c>
      <c r="K126" s="560">
        <f t="shared" si="3"/>
        <v>10</v>
      </c>
      <c r="L126" s="560">
        <f t="shared" si="4"/>
        <v>10</v>
      </c>
    </row>
    <row r="127" spans="1:19">
      <c r="B127" s="553">
        <v>44229</v>
      </c>
      <c r="C127" t="s">
        <v>1029</v>
      </c>
      <c r="D127" s="28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0">
        <v>45000</v>
      </c>
      <c r="K127" s="560">
        <f t="shared" si="3"/>
        <v>10</v>
      </c>
      <c r="L127" s="560">
        <f t="shared" si="4"/>
        <v>9</v>
      </c>
    </row>
    <row r="128" spans="1:19">
      <c r="B128" s="553">
        <v>44229</v>
      </c>
      <c r="C128" t="s">
        <v>1029</v>
      </c>
      <c r="D128" s="28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0">
        <v>5000</v>
      </c>
      <c r="K128" s="560">
        <f t="shared" si="3"/>
        <v>10</v>
      </c>
      <c r="L128" s="560">
        <f t="shared" si="4"/>
        <v>8</v>
      </c>
    </row>
    <row r="129" spans="1:19">
      <c r="B129" s="553">
        <v>44229</v>
      </c>
      <c r="C129" t="s">
        <v>1029</v>
      </c>
      <c r="D129" s="28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0">
        <v>5000</v>
      </c>
      <c r="K129" s="560">
        <f t="shared" si="3"/>
        <v>10</v>
      </c>
      <c r="L129" s="560">
        <f t="shared" si="4"/>
        <v>7</v>
      </c>
    </row>
    <row r="130" spans="1:19">
      <c r="B130" s="553">
        <v>44229</v>
      </c>
      <c r="C130" t="s">
        <v>1029</v>
      </c>
      <c r="D130" s="28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0">
        <v>10000</v>
      </c>
      <c r="K130" s="560">
        <f t="shared" si="3"/>
        <v>10</v>
      </c>
      <c r="L130" s="560">
        <f t="shared" si="4"/>
        <v>6</v>
      </c>
    </row>
    <row r="131" spans="1:19">
      <c r="B131" s="553">
        <v>44229</v>
      </c>
      <c r="C131" t="s">
        <v>1029</v>
      </c>
      <c r="D131" s="28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0">
        <v>10000</v>
      </c>
      <c r="K131" s="560">
        <f t="shared" si="3"/>
        <v>10</v>
      </c>
      <c r="L131" s="560">
        <f t="shared" si="4"/>
        <v>5</v>
      </c>
    </row>
    <row r="132" spans="1:19">
      <c r="B132" s="553">
        <v>44229</v>
      </c>
      <c r="C132" t="s">
        <v>1029</v>
      </c>
      <c r="D132" s="28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0">
        <v>10000</v>
      </c>
      <c r="K132" s="560">
        <f t="shared" ref="K132:K195" si="5">COUNTIFS($C$3:$C$1556,C132)</f>
        <v>10</v>
      </c>
      <c r="L132" s="560">
        <f t="shared" si="4"/>
        <v>4</v>
      </c>
    </row>
    <row r="133" spans="1:19">
      <c r="B133" s="553">
        <v>44229</v>
      </c>
      <c r="C133" t="s">
        <v>1029</v>
      </c>
      <c r="D133" s="28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0">
        <v>10000</v>
      </c>
      <c r="K133" s="560">
        <f t="shared" si="5"/>
        <v>10</v>
      </c>
      <c r="L133" s="560">
        <f t="shared" si="4"/>
        <v>3</v>
      </c>
    </row>
    <row r="134" spans="1:19">
      <c r="B134" s="553">
        <v>44229</v>
      </c>
      <c r="C134" t="s">
        <v>1029</v>
      </c>
      <c r="D134" s="28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0">
        <v>5000</v>
      </c>
      <c r="K134" s="560">
        <f t="shared" si="5"/>
        <v>10</v>
      </c>
      <c r="L134" s="560">
        <f t="shared" si="4"/>
        <v>2</v>
      </c>
    </row>
    <row r="135" spans="1:19">
      <c r="A135" t="s">
        <v>2088</v>
      </c>
      <c r="B135" s="553">
        <v>44229</v>
      </c>
      <c r="C135" t="s">
        <v>1029</v>
      </c>
      <c r="D135" s="28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0">
        <v>5000</v>
      </c>
      <c r="K135" s="560">
        <f t="shared" si="5"/>
        <v>10</v>
      </c>
      <c r="L135" s="560">
        <f t="shared" si="4"/>
        <v>1</v>
      </c>
      <c r="M135" s="560" t="e">
        <f>SUMIFS('[1]MAIN-101'!$Z$1:$Z$3000,'[1]MAIN-101'!$X$1:$X$3000,S135)</f>
        <v>#VALUE!</v>
      </c>
      <c r="N135" s="560"/>
      <c r="O135" s="560"/>
      <c r="S135" t="str">
        <f>VLOOKUP(C135,'Recon of ORS and DV'!$A$4:$B$358,2,FALSE)</f>
        <v>0133</v>
      </c>
    </row>
    <row r="136" spans="1:19">
      <c r="A136" t="s">
        <v>2089</v>
      </c>
      <c r="B136" s="553">
        <v>44229</v>
      </c>
      <c r="C136" t="s">
        <v>1032</v>
      </c>
      <c r="D136" s="28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0">
        <v>10000</v>
      </c>
      <c r="K136" s="560">
        <f t="shared" si="5"/>
        <v>1</v>
      </c>
      <c r="L136" s="560">
        <f t="shared" si="4"/>
        <v>1</v>
      </c>
      <c r="M136" s="560" t="e">
        <f>SUMIFS('[1]MAIN-101'!$Z$1:$Z$3000,'[1]MAIN-101'!$X$1:$X$3000,S136)</f>
        <v>#VALUE!</v>
      </c>
      <c r="N136" s="560"/>
      <c r="O136" s="560"/>
      <c r="S136" t="str">
        <f>VLOOKUP(C136,'Recon of ORS and DV'!$A$4:$B$358,2,FALSE)</f>
        <v>0157</v>
      </c>
    </row>
    <row r="137" spans="1:19">
      <c r="B137" s="553">
        <v>44229</v>
      </c>
      <c r="C137" t="s">
        <v>1034</v>
      </c>
      <c r="D137" s="28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0">
        <v>15000</v>
      </c>
      <c r="K137" s="560">
        <f t="shared" si="5"/>
        <v>2</v>
      </c>
      <c r="L137" s="560">
        <f t="shared" si="4"/>
        <v>2</v>
      </c>
    </row>
    <row r="138" spans="1:19">
      <c r="A138" t="s">
        <v>2090</v>
      </c>
      <c r="B138" s="553">
        <v>44229</v>
      </c>
      <c r="C138" t="s">
        <v>1034</v>
      </c>
      <c r="D138" s="28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0">
        <v>13636.36</v>
      </c>
      <c r="K138" s="560">
        <f t="shared" si="5"/>
        <v>2</v>
      </c>
      <c r="L138" s="560">
        <f t="shared" si="4"/>
        <v>1</v>
      </c>
      <c r="M138" s="560" t="e">
        <f>SUMIFS('[1]MAIN-101'!$Z$1:$Z$3000,'[1]MAIN-101'!$X$1:$X$3000,S138)</f>
        <v>#VALUE!</v>
      </c>
      <c r="N138" s="560"/>
      <c r="O138" s="560"/>
      <c r="S138" t="str">
        <f>VLOOKUP(C138,'Recon of ORS and DV'!$A$4:$B$358,2,FALSE)</f>
        <v>0158</v>
      </c>
    </row>
    <row r="139" spans="1:19">
      <c r="A139" t="s">
        <v>2091</v>
      </c>
      <c r="B139" s="553">
        <v>44230</v>
      </c>
      <c r="C139" t="s">
        <v>1046</v>
      </c>
      <c r="D139" s="28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0">
        <v>2073.09</v>
      </c>
      <c r="K139" s="560">
        <f t="shared" si="5"/>
        <v>1</v>
      </c>
      <c r="L139" s="560">
        <f t="shared" si="4"/>
        <v>1</v>
      </c>
      <c r="M139" s="560" t="e">
        <f>SUMIFS('[1]MAIN-101'!$Z$1:$Z$3000,'[1]MAIN-101'!$X$1:$X$3000,S139)</f>
        <v>#VALUE!</v>
      </c>
      <c r="N139" s="560"/>
      <c r="O139" s="560"/>
      <c r="S139" t="str">
        <f>VLOOKUP(C139,'Recon of ORS and DV'!$A$4:$B$358,2,FALSE)</f>
        <v>0170</v>
      </c>
    </row>
    <row r="140" spans="1:19">
      <c r="A140" t="s">
        <v>2092</v>
      </c>
      <c r="B140" s="553">
        <v>44230</v>
      </c>
      <c r="C140" t="s">
        <v>1047</v>
      </c>
      <c r="D140" s="28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0">
        <v>0</v>
      </c>
      <c r="K140" s="560">
        <f t="shared" si="5"/>
        <v>1</v>
      </c>
      <c r="L140" s="560">
        <f t="shared" si="4"/>
        <v>1</v>
      </c>
      <c r="M140" s="560" t="e">
        <f>SUMIFS('[1]MAIN-101'!$Z$1:$Z$3000,'[1]MAIN-101'!$X$1:$X$3000,S140)</f>
        <v>#VALUE!</v>
      </c>
      <c r="N140" s="560"/>
      <c r="O140" s="560"/>
      <c r="S140" t="str">
        <f>VLOOKUP(C140,'Recon of ORS and DV'!$A$4:$B$358,2,FALSE)</f>
        <v>0171</v>
      </c>
    </row>
    <row r="141" spans="1:19">
      <c r="A141" t="s">
        <v>2457</v>
      </c>
      <c r="B141" s="553">
        <v>44230</v>
      </c>
      <c r="C141" t="s">
        <v>1264</v>
      </c>
      <c r="D141" s="28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0">
        <v>17600</v>
      </c>
      <c r="K141" s="560">
        <f t="shared" si="5"/>
        <v>1</v>
      </c>
      <c r="L141" s="560">
        <f t="shared" si="4"/>
        <v>1</v>
      </c>
      <c r="M141" s="560" t="e">
        <f>SUMIFS('[1]MAIN-101'!$Z$1:$Z$3000,'[1]MAIN-101'!$X$1:$X$3000,S141)</f>
        <v>#VALUE!</v>
      </c>
      <c r="N141" s="560"/>
      <c r="O141" s="560"/>
      <c r="S141" t="str">
        <f>VLOOKUP(C141,'Recon of ORS and DV'!$A$4:$B$358,2,FALSE)</f>
        <v>0113A</v>
      </c>
    </row>
    <row r="142" spans="1:19">
      <c r="B142" s="553">
        <v>44230</v>
      </c>
      <c r="C142" t="s">
        <v>1048</v>
      </c>
      <c r="D142" s="28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0">
        <v>50000</v>
      </c>
      <c r="K142" s="560">
        <f t="shared" si="5"/>
        <v>2</v>
      </c>
      <c r="L142" s="560">
        <f t="shared" si="4"/>
        <v>2</v>
      </c>
    </row>
    <row r="143" spans="1:19">
      <c r="A143" t="s">
        <v>2093</v>
      </c>
      <c r="B143" s="553">
        <v>44230</v>
      </c>
      <c r="C143" t="s">
        <v>1048</v>
      </c>
      <c r="D143" s="28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0">
        <v>30000</v>
      </c>
      <c r="K143" s="560">
        <f t="shared" si="5"/>
        <v>2</v>
      </c>
      <c r="L143" s="560">
        <f t="shared" ref="L143:L206" si="6">COUNTIFS(C143:C1696,C143)</f>
        <v>1</v>
      </c>
      <c r="M143" s="560" t="e">
        <f>SUMIFS('[1]MAIN-101'!$Z$1:$Z$3000,'[1]MAIN-101'!$X$1:$X$3000,S143)</f>
        <v>#VALUE!</v>
      </c>
      <c r="N143" s="560"/>
      <c r="O143" s="560"/>
      <c r="S143" t="str">
        <f>VLOOKUP(C143,'Recon of ORS and DV'!$A$4:$B$358,2,FALSE)</f>
        <v>0135</v>
      </c>
    </row>
    <row r="144" spans="1:19">
      <c r="A144" t="s">
        <v>2094</v>
      </c>
      <c r="B144" s="553">
        <v>44230</v>
      </c>
      <c r="C144" t="s">
        <v>1049</v>
      </c>
      <c r="D144" s="28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0">
        <v>750</v>
      </c>
      <c r="K144" s="560">
        <f t="shared" si="5"/>
        <v>1</v>
      </c>
      <c r="L144" s="560">
        <f t="shared" si="6"/>
        <v>1</v>
      </c>
      <c r="M144" s="560" t="e">
        <f>SUMIFS('[1]MAIN-101'!$Z$1:$Z$3000,'[1]MAIN-101'!$X$1:$X$3000,S144)</f>
        <v>#VALUE!</v>
      </c>
      <c r="N144" s="560"/>
      <c r="O144" s="560"/>
      <c r="S144" t="str">
        <f>VLOOKUP(C144,'Recon of ORS and DV'!$A$4:$B$358,2,FALSE)</f>
        <v>0162</v>
      </c>
    </row>
    <row r="145" spans="1:19">
      <c r="A145" t="s">
        <v>2095</v>
      </c>
      <c r="B145" s="553">
        <v>44230</v>
      </c>
      <c r="C145" t="s">
        <v>1050</v>
      </c>
      <c r="D145" s="28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0">
        <v>750</v>
      </c>
      <c r="K145" s="560">
        <f t="shared" si="5"/>
        <v>1</v>
      </c>
      <c r="L145" s="560">
        <f t="shared" si="6"/>
        <v>1</v>
      </c>
      <c r="M145" s="560" t="e">
        <f>SUMIFS('[1]MAIN-101'!$Z$1:$Z$3000,'[1]MAIN-101'!$X$1:$X$3000,S145)</f>
        <v>#VALUE!</v>
      </c>
      <c r="N145" s="560"/>
      <c r="O145" s="560"/>
      <c r="S145" t="str">
        <f>VLOOKUP(C145,'Recon of ORS and DV'!$A$4:$B$358,2,FALSE)</f>
        <v>0163</v>
      </c>
    </row>
    <row r="146" spans="1:19">
      <c r="A146" t="s">
        <v>2096</v>
      </c>
      <c r="B146" s="553">
        <v>44230</v>
      </c>
      <c r="C146" t="s">
        <v>1051</v>
      </c>
      <c r="D146" s="28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0">
        <v>750</v>
      </c>
      <c r="K146" s="560">
        <f t="shared" si="5"/>
        <v>1</v>
      </c>
      <c r="L146" s="560">
        <f t="shared" si="6"/>
        <v>1</v>
      </c>
      <c r="M146" s="560" t="e">
        <f>SUMIFS('[1]MAIN-101'!$Z$1:$Z$3000,'[1]MAIN-101'!$X$1:$X$3000,S146)</f>
        <v>#VALUE!</v>
      </c>
      <c r="N146" s="560"/>
      <c r="O146" s="560"/>
      <c r="S146" t="str">
        <f>VLOOKUP(C146,'Recon of ORS and DV'!$A$4:$B$358,2,FALSE)</f>
        <v>0164</v>
      </c>
    </row>
    <row r="147" spans="1:19">
      <c r="B147" s="553">
        <v>44230</v>
      </c>
      <c r="C147" t="s">
        <v>1052</v>
      </c>
      <c r="D147" s="28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0">
        <v>15000</v>
      </c>
      <c r="K147" s="560">
        <f t="shared" si="5"/>
        <v>3</v>
      </c>
      <c r="L147" s="560">
        <f t="shared" si="6"/>
        <v>3</v>
      </c>
    </row>
    <row r="148" spans="1:19">
      <c r="B148" s="553">
        <v>44230</v>
      </c>
      <c r="C148" t="s">
        <v>1052</v>
      </c>
      <c r="D148" s="28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0">
        <v>13000</v>
      </c>
      <c r="K148" s="560">
        <f t="shared" si="5"/>
        <v>3</v>
      </c>
      <c r="L148" s="560">
        <f t="shared" si="6"/>
        <v>2</v>
      </c>
    </row>
    <row r="149" spans="1:19">
      <c r="A149" t="s">
        <v>2097</v>
      </c>
      <c r="B149" s="553">
        <v>44230</v>
      </c>
      <c r="C149" t="s">
        <v>1052</v>
      </c>
      <c r="D149" s="28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0">
        <v>69200</v>
      </c>
      <c r="K149" s="560">
        <f t="shared" si="5"/>
        <v>3</v>
      </c>
      <c r="L149" s="560">
        <f t="shared" si="6"/>
        <v>1</v>
      </c>
      <c r="M149" s="560" t="e">
        <f>SUMIFS('[1]MAIN-101'!$Z$1:$Z$3000,'[1]MAIN-101'!$X$1:$X$3000,S149)</f>
        <v>#VALUE!</v>
      </c>
      <c r="N149" s="560"/>
      <c r="O149" s="560"/>
      <c r="S149" t="str">
        <f>VLOOKUP(C149,'Recon of ORS and DV'!$A$4:$B$358,2,FALSE)</f>
        <v>0136</v>
      </c>
    </row>
    <row r="150" spans="1:19">
      <c r="B150" s="553">
        <v>44230</v>
      </c>
      <c r="C150" t="s">
        <v>1053</v>
      </c>
      <c r="D150" s="28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0">
        <v>15000</v>
      </c>
      <c r="K150" s="560">
        <f t="shared" si="5"/>
        <v>3</v>
      </c>
      <c r="L150" s="560">
        <f t="shared" si="6"/>
        <v>3</v>
      </c>
    </row>
    <row r="151" spans="1:19">
      <c r="B151" s="553">
        <v>44230</v>
      </c>
      <c r="C151" t="s">
        <v>1053</v>
      </c>
      <c r="D151" s="28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0">
        <v>13000</v>
      </c>
      <c r="K151" s="560">
        <f t="shared" si="5"/>
        <v>3</v>
      </c>
      <c r="L151" s="560">
        <f t="shared" si="6"/>
        <v>2</v>
      </c>
    </row>
    <row r="152" spans="1:19">
      <c r="A152" t="s">
        <v>2098</v>
      </c>
      <c r="B152" s="553">
        <v>44230</v>
      </c>
      <c r="C152" t="s">
        <v>1053</v>
      </c>
      <c r="D152" s="28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0">
        <v>69200</v>
      </c>
      <c r="K152" s="560">
        <f t="shared" si="5"/>
        <v>3</v>
      </c>
      <c r="L152" s="560">
        <f t="shared" si="6"/>
        <v>1</v>
      </c>
      <c r="M152" s="560" t="e">
        <f>SUMIFS('[1]MAIN-101'!$Z$1:$Z$3000,'[1]MAIN-101'!$X$1:$X$3000,S152)</f>
        <v>#VALUE!</v>
      </c>
      <c r="N152" s="560"/>
      <c r="O152" s="560"/>
      <c r="S152" t="str">
        <f>VLOOKUP(C152,'Recon of ORS and DV'!$A$4:$B$358,2,FALSE)</f>
        <v>0137</v>
      </c>
    </row>
    <row r="153" spans="1:19">
      <c r="B153" s="553">
        <v>44230</v>
      </c>
      <c r="C153" t="s">
        <v>1054</v>
      </c>
      <c r="D153" s="28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0">
        <v>15000</v>
      </c>
      <c r="K153" s="560">
        <f t="shared" si="5"/>
        <v>3</v>
      </c>
      <c r="L153" s="560">
        <f t="shared" si="6"/>
        <v>3</v>
      </c>
    </row>
    <row r="154" spans="1:19">
      <c r="B154" s="553">
        <v>44230</v>
      </c>
      <c r="C154" t="s">
        <v>1054</v>
      </c>
      <c r="D154" s="28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0">
        <v>13000</v>
      </c>
      <c r="K154" s="560">
        <f t="shared" si="5"/>
        <v>3</v>
      </c>
      <c r="L154" s="560">
        <f t="shared" si="6"/>
        <v>2</v>
      </c>
    </row>
    <row r="155" spans="1:19">
      <c r="A155" t="s">
        <v>2099</v>
      </c>
      <c r="B155" s="553">
        <v>44230</v>
      </c>
      <c r="C155" t="s">
        <v>1054</v>
      </c>
      <c r="D155" s="28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0">
        <v>69200</v>
      </c>
      <c r="K155" s="560">
        <f t="shared" si="5"/>
        <v>3</v>
      </c>
      <c r="L155" s="560">
        <f t="shared" si="6"/>
        <v>1</v>
      </c>
      <c r="M155" s="560" t="e">
        <f>SUMIFS('[1]MAIN-101'!$Z$1:$Z$3000,'[1]MAIN-101'!$X$1:$X$3000,S155)</f>
        <v>#VALUE!</v>
      </c>
      <c r="N155" s="560"/>
      <c r="O155" s="560"/>
      <c r="S155" t="str">
        <f>VLOOKUP(C155,'Recon of ORS and DV'!$A$4:$B$358,2,FALSE)</f>
        <v>0138</v>
      </c>
    </row>
    <row r="156" spans="1:19">
      <c r="B156" s="553">
        <v>44230</v>
      </c>
      <c r="C156" t="s">
        <v>1055</v>
      </c>
      <c r="D156" s="28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0">
        <v>15000</v>
      </c>
      <c r="K156" s="560">
        <f t="shared" si="5"/>
        <v>3</v>
      </c>
      <c r="L156" s="560">
        <f t="shared" si="6"/>
        <v>3</v>
      </c>
    </row>
    <row r="157" spans="1:19">
      <c r="B157" s="553">
        <v>44230</v>
      </c>
      <c r="C157" t="s">
        <v>1055</v>
      </c>
      <c r="D157" s="28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0">
        <v>13000</v>
      </c>
      <c r="K157" s="560">
        <f t="shared" si="5"/>
        <v>3</v>
      </c>
      <c r="L157" s="560">
        <f t="shared" si="6"/>
        <v>2</v>
      </c>
    </row>
    <row r="158" spans="1:19">
      <c r="A158" t="s">
        <v>2100</v>
      </c>
      <c r="B158" s="553">
        <v>44230</v>
      </c>
      <c r="C158" t="s">
        <v>1055</v>
      </c>
      <c r="D158" s="28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0">
        <v>69200</v>
      </c>
      <c r="K158" s="560">
        <f t="shared" si="5"/>
        <v>3</v>
      </c>
      <c r="L158" s="560">
        <f t="shared" si="6"/>
        <v>1</v>
      </c>
      <c r="M158" s="560" t="e">
        <f>SUMIFS('[1]MAIN-101'!$Z$1:$Z$3000,'[1]MAIN-101'!$X$1:$X$3000,S158)</f>
        <v>#VALUE!</v>
      </c>
      <c r="N158" s="560"/>
      <c r="O158" s="560"/>
      <c r="S158" t="str">
        <f>VLOOKUP(C158,'Recon of ORS and DV'!$A$4:$B$358,2,FALSE)</f>
        <v>0139</v>
      </c>
    </row>
    <row r="159" spans="1:19">
      <c r="B159" s="553">
        <v>44230</v>
      </c>
      <c r="C159" t="s">
        <v>1056</v>
      </c>
      <c r="D159" s="28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0">
        <v>15000</v>
      </c>
      <c r="K159" s="560">
        <f t="shared" si="5"/>
        <v>3</v>
      </c>
      <c r="L159" s="560">
        <f t="shared" si="6"/>
        <v>3</v>
      </c>
    </row>
    <row r="160" spans="1:19">
      <c r="B160" s="553">
        <v>44230</v>
      </c>
      <c r="C160" t="s">
        <v>1056</v>
      </c>
      <c r="D160" s="28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0">
        <v>13000</v>
      </c>
      <c r="K160" s="560">
        <f t="shared" si="5"/>
        <v>3</v>
      </c>
      <c r="L160" s="560">
        <f t="shared" si="6"/>
        <v>2</v>
      </c>
    </row>
    <row r="161" spans="1:19">
      <c r="A161" t="s">
        <v>2101</v>
      </c>
      <c r="B161" s="553">
        <v>44230</v>
      </c>
      <c r="C161" t="s">
        <v>1056</v>
      </c>
      <c r="D161" s="28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0">
        <v>69200</v>
      </c>
      <c r="K161" s="560">
        <f t="shared" si="5"/>
        <v>3</v>
      </c>
      <c r="L161" s="560">
        <f t="shared" si="6"/>
        <v>1</v>
      </c>
      <c r="M161" s="560" t="e">
        <f>SUMIFS('[1]MAIN-101'!$Z$1:$Z$3000,'[1]MAIN-101'!$X$1:$X$3000,S161)</f>
        <v>#VALUE!</v>
      </c>
      <c r="N161" s="560"/>
      <c r="O161" s="560"/>
      <c r="S161" t="str">
        <f>VLOOKUP(C161,'Recon of ORS and DV'!$A$4:$B$358,2,FALSE)</f>
        <v>0140</v>
      </c>
    </row>
    <row r="162" spans="1:19">
      <c r="B162" s="553">
        <v>44230</v>
      </c>
      <c r="C162" t="s">
        <v>1057</v>
      </c>
      <c r="D162" s="28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0">
        <v>20000</v>
      </c>
      <c r="K162" s="560">
        <f t="shared" si="5"/>
        <v>4</v>
      </c>
      <c r="L162" s="560">
        <f t="shared" si="6"/>
        <v>4</v>
      </c>
    </row>
    <row r="163" spans="1:19">
      <c r="B163" s="553">
        <v>44230</v>
      </c>
      <c r="C163" t="s">
        <v>1057</v>
      </c>
      <c r="D163" s="28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0">
        <v>5000</v>
      </c>
      <c r="K163" s="560">
        <f t="shared" si="5"/>
        <v>4</v>
      </c>
      <c r="L163" s="560">
        <f t="shared" si="6"/>
        <v>3</v>
      </c>
    </row>
    <row r="164" spans="1:19">
      <c r="B164" s="553">
        <v>44230</v>
      </c>
      <c r="C164" t="s">
        <v>1057</v>
      </c>
      <c r="D164" s="28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0">
        <v>32500</v>
      </c>
      <c r="K164" s="560">
        <f t="shared" si="5"/>
        <v>4</v>
      </c>
      <c r="L164" s="560">
        <f t="shared" si="6"/>
        <v>2</v>
      </c>
    </row>
    <row r="165" spans="1:19">
      <c r="A165" t="s">
        <v>2102</v>
      </c>
      <c r="B165" s="553">
        <v>44230</v>
      </c>
      <c r="C165" t="s">
        <v>1057</v>
      </c>
      <c r="D165" s="28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0">
        <v>5000</v>
      </c>
      <c r="K165" s="560">
        <f t="shared" si="5"/>
        <v>4</v>
      </c>
      <c r="L165" s="560">
        <f t="shared" si="6"/>
        <v>1</v>
      </c>
      <c r="M165" s="560" t="e">
        <f>SUMIFS('[1]MAIN-101'!$Z$1:$Z$3000,'[1]MAIN-101'!$X$1:$X$3000,S165)</f>
        <v>#VALUE!</v>
      </c>
      <c r="N165" s="560"/>
      <c r="O165" s="560"/>
      <c r="S165" t="str">
        <f>VLOOKUP(C165,'Recon of ORS and DV'!$A$4:$B$358,2,FALSE)</f>
        <v>0141</v>
      </c>
    </row>
    <row r="166" spans="1:19">
      <c r="B166" s="553">
        <v>44230</v>
      </c>
      <c r="C166" t="s">
        <v>1058</v>
      </c>
      <c r="D166" s="28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0">
        <v>20000</v>
      </c>
      <c r="K166" s="560">
        <f t="shared" si="5"/>
        <v>4</v>
      </c>
      <c r="L166" s="560">
        <f t="shared" si="6"/>
        <v>4</v>
      </c>
    </row>
    <row r="167" spans="1:19">
      <c r="B167" s="553">
        <v>44230</v>
      </c>
      <c r="C167" t="s">
        <v>1058</v>
      </c>
      <c r="D167" s="28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0">
        <v>5000</v>
      </c>
      <c r="K167" s="560">
        <f t="shared" si="5"/>
        <v>4</v>
      </c>
      <c r="L167" s="560">
        <f t="shared" si="6"/>
        <v>3</v>
      </c>
    </row>
    <row r="168" spans="1:19">
      <c r="B168" s="553">
        <v>44230</v>
      </c>
      <c r="C168" t="s">
        <v>1058</v>
      </c>
      <c r="D168" s="28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0">
        <v>20000</v>
      </c>
      <c r="K168" s="560">
        <f t="shared" si="5"/>
        <v>4</v>
      </c>
      <c r="L168" s="560">
        <f t="shared" si="6"/>
        <v>2</v>
      </c>
    </row>
    <row r="169" spans="1:19">
      <c r="A169" t="s">
        <v>2103</v>
      </c>
      <c r="B169" s="553">
        <v>44230</v>
      </c>
      <c r="C169" t="s">
        <v>1058</v>
      </c>
      <c r="D169" s="28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0">
        <v>5000</v>
      </c>
      <c r="K169" s="560">
        <f t="shared" si="5"/>
        <v>4</v>
      </c>
      <c r="L169" s="560">
        <f t="shared" si="6"/>
        <v>1</v>
      </c>
      <c r="M169" s="560" t="e">
        <f>SUMIFS('[1]MAIN-101'!$Z$1:$Z$3000,'[1]MAIN-101'!$X$1:$X$3000,S169)</f>
        <v>#VALUE!</v>
      </c>
      <c r="N169" s="560"/>
      <c r="O169" s="560"/>
      <c r="S169" t="str">
        <f>VLOOKUP(C169,'Recon of ORS and DV'!$A$4:$B$358,2,FALSE)</f>
        <v>0142</v>
      </c>
    </row>
    <row r="170" spans="1:19">
      <c r="B170" s="553">
        <v>44230</v>
      </c>
      <c r="C170" t="s">
        <v>1059</v>
      </c>
      <c r="D170" s="28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0">
        <v>20000</v>
      </c>
      <c r="K170" s="560">
        <f t="shared" si="5"/>
        <v>4</v>
      </c>
      <c r="L170" s="560">
        <f t="shared" si="6"/>
        <v>4</v>
      </c>
    </row>
    <row r="171" spans="1:19">
      <c r="B171" s="553">
        <v>44230</v>
      </c>
      <c r="C171" t="s">
        <v>1059</v>
      </c>
      <c r="D171" s="28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0">
        <v>5000</v>
      </c>
      <c r="K171" s="560">
        <f t="shared" si="5"/>
        <v>4</v>
      </c>
      <c r="L171" s="560">
        <f t="shared" si="6"/>
        <v>3</v>
      </c>
    </row>
    <row r="172" spans="1:19">
      <c r="B172" s="553">
        <v>44230</v>
      </c>
      <c r="C172" t="s">
        <v>1059</v>
      </c>
      <c r="D172" s="28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0">
        <v>20000</v>
      </c>
      <c r="K172" s="560">
        <f t="shared" si="5"/>
        <v>4</v>
      </c>
      <c r="L172" s="560">
        <f t="shared" si="6"/>
        <v>2</v>
      </c>
    </row>
    <row r="173" spans="1:19">
      <c r="A173" t="s">
        <v>2104</v>
      </c>
      <c r="B173" s="553">
        <v>44230</v>
      </c>
      <c r="C173" t="s">
        <v>1059</v>
      </c>
      <c r="D173" s="28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0">
        <v>5000</v>
      </c>
      <c r="K173" s="560">
        <f t="shared" si="5"/>
        <v>4</v>
      </c>
      <c r="L173" s="560">
        <f t="shared" si="6"/>
        <v>1</v>
      </c>
      <c r="M173" s="560" t="e">
        <f>SUMIFS('[1]MAIN-101'!$Z$1:$Z$3000,'[1]MAIN-101'!$X$1:$X$3000,S173)</f>
        <v>#VALUE!</v>
      </c>
      <c r="N173" s="560"/>
      <c r="O173" s="560"/>
      <c r="S173" t="str">
        <f>VLOOKUP(C173,'Recon of ORS and DV'!$A$4:$B$358,2,FALSE)</f>
        <v>0143</v>
      </c>
    </row>
    <row r="174" spans="1:19">
      <c r="B174" s="553">
        <v>44230</v>
      </c>
      <c r="C174" t="s">
        <v>1060</v>
      </c>
      <c r="D174" s="28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0">
        <v>20000</v>
      </c>
      <c r="K174" s="560">
        <f t="shared" si="5"/>
        <v>4</v>
      </c>
      <c r="L174" s="560">
        <f t="shared" si="6"/>
        <v>4</v>
      </c>
    </row>
    <row r="175" spans="1:19">
      <c r="B175" s="553">
        <v>44230</v>
      </c>
      <c r="C175" t="s">
        <v>1060</v>
      </c>
      <c r="D175" s="28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0">
        <v>5000</v>
      </c>
      <c r="K175" s="560">
        <f t="shared" si="5"/>
        <v>4</v>
      </c>
      <c r="L175" s="560">
        <f t="shared" si="6"/>
        <v>3</v>
      </c>
    </row>
    <row r="176" spans="1:19">
      <c r="B176" s="553">
        <v>44230</v>
      </c>
      <c r="C176" t="s">
        <v>1060</v>
      </c>
      <c r="D176" s="28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0">
        <v>20000</v>
      </c>
      <c r="K176" s="560">
        <f t="shared" si="5"/>
        <v>4</v>
      </c>
      <c r="L176" s="560">
        <f t="shared" si="6"/>
        <v>2</v>
      </c>
    </row>
    <row r="177" spans="1:19">
      <c r="A177" t="s">
        <v>2105</v>
      </c>
      <c r="B177" s="553">
        <v>44230</v>
      </c>
      <c r="C177" t="s">
        <v>1060</v>
      </c>
      <c r="D177" s="28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0">
        <v>5000</v>
      </c>
      <c r="K177" s="560">
        <f t="shared" si="5"/>
        <v>4</v>
      </c>
      <c r="L177" s="560">
        <f t="shared" si="6"/>
        <v>1</v>
      </c>
      <c r="M177" s="560" t="e">
        <f>SUMIFS('[1]MAIN-101'!$Z$1:$Z$3000,'[1]MAIN-101'!$X$1:$X$3000,S177)</f>
        <v>#VALUE!</v>
      </c>
      <c r="N177" s="560"/>
      <c r="O177" s="560"/>
      <c r="S177" t="str">
        <f>VLOOKUP(C177,'Recon of ORS and DV'!$A$4:$B$358,2,FALSE)</f>
        <v>0144</v>
      </c>
    </row>
    <row r="178" spans="1:19">
      <c r="B178" s="553">
        <v>44230</v>
      </c>
      <c r="C178" t="s">
        <v>1061</v>
      </c>
      <c r="D178" s="28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0">
        <v>20000</v>
      </c>
      <c r="K178" s="560">
        <f t="shared" si="5"/>
        <v>4</v>
      </c>
      <c r="L178" s="560">
        <f t="shared" si="6"/>
        <v>4</v>
      </c>
    </row>
    <row r="179" spans="1:19">
      <c r="B179" s="553">
        <v>44230</v>
      </c>
      <c r="C179" t="s">
        <v>1061</v>
      </c>
      <c r="D179" s="28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0">
        <v>5000</v>
      </c>
      <c r="K179" s="560">
        <f t="shared" si="5"/>
        <v>4</v>
      </c>
      <c r="L179" s="560">
        <f t="shared" si="6"/>
        <v>3</v>
      </c>
    </row>
    <row r="180" spans="1:19">
      <c r="B180" s="553">
        <v>44230</v>
      </c>
      <c r="C180" t="s">
        <v>1061</v>
      </c>
      <c r="D180" s="28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0">
        <v>20000</v>
      </c>
      <c r="K180" s="560">
        <f t="shared" si="5"/>
        <v>4</v>
      </c>
      <c r="L180" s="560">
        <f t="shared" si="6"/>
        <v>2</v>
      </c>
    </row>
    <row r="181" spans="1:19">
      <c r="A181" t="s">
        <v>2106</v>
      </c>
      <c r="B181" s="553">
        <v>44230</v>
      </c>
      <c r="C181" t="s">
        <v>1061</v>
      </c>
      <c r="D181" s="28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0">
        <v>5000</v>
      </c>
      <c r="K181" s="560">
        <f t="shared" si="5"/>
        <v>4</v>
      </c>
      <c r="L181" s="560">
        <f t="shared" si="6"/>
        <v>1</v>
      </c>
      <c r="M181" s="560" t="e">
        <f>SUMIFS('[1]MAIN-101'!$Z$1:$Z$3000,'[1]MAIN-101'!$X$1:$X$3000,S181)</f>
        <v>#VALUE!</v>
      </c>
      <c r="N181" s="560"/>
      <c r="O181" s="560"/>
      <c r="S181" t="str">
        <f>VLOOKUP(C181,'Recon of ORS and DV'!$A$4:$B$358,2,FALSE)</f>
        <v>0145</v>
      </c>
    </row>
    <row r="182" spans="1:19">
      <c r="B182" s="553">
        <v>44230</v>
      </c>
      <c r="C182" t="s">
        <v>1063</v>
      </c>
      <c r="D182" s="28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0">
        <v>1074.25</v>
      </c>
      <c r="K182" s="560">
        <f t="shared" si="5"/>
        <v>3</v>
      </c>
      <c r="L182" s="560">
        <f t="shared" si="6"/>
        <v>3</v>
      </c>
    </row>
    <row r="183" spans="1:19">
      <c r="B183" s="553">
        <v>44230</v>
      </c>
      <c r="C183" t="s">
        <v>1063</v>
      </c>
      <c r="D183" s="28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0">
        <v>960</v>
      </c>
      <c r="K183" s="560">
        <f t="shared" si="5"/>
        <v>3</v>
      </c>
      <c r="L183" s="560">
        <f t="shared" si="6"/>
        <v>2</v>
      </c>
    </row>
    <row r="184" spans="1:19">
      <c r="A184" t="s">
        <v>2107</v>
      </c>
      <c r="B184" s="553">
        <v>44230</v>
      </c>
      <c r="C184" t="s">
        <v>1063</v>
      </c>
      <c r="D184" s="28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0">
        <v>2700</v>
      </c>
      <c r="K184" s="560">
        <f t="shared" si="5"/>
        <v>3</v>
      </c>
      <c r="L184" s="560">
        <f t="shared" si="6"/>
        <v>1</v>
      </c>
      <c r="M184" s="560" t="e">
        <f>SUMIFS('[1]MAIN-101'!$Z$1:$Z$3000,'[1]MAIN-101'!$X$1:$X$3000,S184)</f>
        <v>#VALUE!</v>
      </c>
      <c r="N184" s="560"/>
      <c r="O184" s="560"/>
      <c r="S184" t="str">
        <f>VLOOKUP(C184,'Recon of ORS and DV'!$A$4:$B$358,2,FALSE)</f>
        <v>0160</v>
      </c>
    </row>
    <row r="185" spans="1:19">
      <c r="A185" t="s">
        <v>2108</v>
      </c>
      <c r="B185" s="553">
        <v>44230</v>
      </c>
      <c r="C185" t="s">
        <v>1077</v>
      </c>
      <c r="D185" s="28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0">
        <v>1350</v>
      </c>
      <c r="K185" s="560">
        <f t="shared" si="5"/>
        <v>1</v>
      </c>
      <c r="L185" s="560">
        <f t="shared" si="6"/>
        <v>1</v>
      </c>
      <c r="M185" s="560" t="e">
        <f>SUMIFS('[1]MAIN-101'!$Z$1:$Z$3000,'[1]MAIN-101'!$X$1:$X$3000,S185)</f>
        <v>#VALUE!</v>
      </c>
      <c r="N185" s="560"/>
      <c r="O185" s="560"/>
      <c r="S185" t="str">
        <f>VLOOKUP(C185,'Recon of ORS and DV'!$A$4:$B$358,2,FALSE)</f>
        <v>0161</v>
      </c>
    </row>
    <row r="186" spans="1:19">
      <c r="B186" s="553">
        <v>44230</v>
      </c>
      <c r="C186" t="s">
        <v>1078</v>
      </c>
      <c r="D186" s="28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0">
        <v>1660</v>
      </c>
      <c r="K186" s="560">
        <f t="shared" si="5"/>
        <v>26</v>
      </c>
      <c r="L186" s="560">
        <f t="shared" si="6"/>
        <v>26</v>
      </c>
    </row>
    <row r="187" spans="1:19">
      <c r="B187" s="553">
        <v>44230</v>
      </c>
      <c r="C187" t="s">
        <v>1078</v>
      </c>
      <c r="D187" s="28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0">
        <v>10790</v>
      </c>
      <c r="K187" s="560">
        <f t="shared" si="5"/>
        <v>26</v>
      </c>
      <c r="L187" s="560">
        <f t="shared" si="6"/>
        <v>25</v>
      </c>
    </row>
    <row r="188" spans="1:19">
      <c r="B188" s="553">
        <v>44230</v>
      </c>
      <c r="C188" t="s">
        <v>1078</v>
      </c>
      <c r="D188" s="28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0">
        <v>8509.99</v>
      </c>
      <c r="K188" s="560">
        <f t="shared" si="5"/>
        <v>26</v>
      </c>
      <c r="L188" s="560">
        <f t="shared" si="6"/>
        <v>24</v>
      </c>
    </row>
    <row r="189" spans="1:19">
      <c r="B189" s="553">
        <v>44230</v>
      </c>
      <c r="C189" t="s">
        <v>1078</v>
      </c>
      <c r="D189" s="28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0">
        <v>4731</v>
      </c>
      <c r="K189" s="560">
        <f t="shared" si="5"/>
        <v>26</v>
      </c>
      <c r="L189" s="560">
        <f t="shared" si="6"/>
        <v>23</v>
      </c>
    </row>
    <row r="190" spans="1:19">
      <c r="B190" s="553">
        <v>44230</v>
      </c>
      <c r="C190" t="s">
        <v>1078</v>
      </c>
      <c r="D190" s="28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0">
        <v>42745</v>
      </c>
      <c r="K190" s="560">
        <f t="shared" si="5"/>
        <v>26</v>
      </c>
      <c r="L190" s="560">
        <f t="shared" si="6"/>
        <v>22</v>
      </c>
    </row>
    <row r="191" spans="1:19">
      <c r="B191" s="553">
        <v>44230</v>
      </c>
      <c r="C191" t="s">
        <v>1078</v>
      </c>
      <c r="D191" s="28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0">
        <v>2075</v>
      </c>
      <c r="K191" s="560">
        <f t="shared" si="5"/>
        <v>26</v>
      </c>
      <c r="L191" s="560">
        <f t="shared" si="6"/>
        <v>21</v>
      </c>
    </row>
    <row r="192" spans="1:19">
      <c r="B192" s="553">
        <v>44230</v>
      </c>
      <c r="C192" t="s">
        <v>1078</v>
      </c>
      <c r="D192" s="28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0">
        <v>762.27</v>
      </c>
      <c r="K192" s="560">
        <f t="shared" si="5"/>
        <v>26</v>
      </c>
      <c r="L192" s="560">
        <f t="shared" si="6"/>
        <v>20</v>
      </c>
    </row>
    <row r="193" spans="2:12">
      <c r="B193" s="553">
        <v>44230</v>
      </c>
      <c r="C193" t="s">
        <v>1078</v>
      </c>
      <c r="D193" s="28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0">
        <v>6972</v>
      </c>
      <c r="K193" s="560">
        <f t="shared" si="5"/>
        <v>26</v>
      </c>
      <c r="L193" s="560">
        <f t="shared" si="6"/>
        <v>19</v>
      </c>
    </row>
    <row r="194" spans="2:12">
      <c r="B194" s="553">
        <v>44230</v>
      </c>
      <c r="C194" t="s">
        <v>1078</v>
      </c>
      <c r="D194" s="28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0">
        <v>539.5</v>
      </c>
      <c r="K194" s="560">
        <f t="shared" si="5"/>
        <v>26</v>
      </c>
      <c r="L194" s="560">
        <f t="shared" si="6"/>
        <v>18</v>
      </c>
    </row>
    <row r="195" spans="2:12">
      <c r="B195" s="553">
        <v>44230</v>
      </c>
      <c r="C195" t="s">
        <v>1078</v>
      </c>
      <c r="D195" s="28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0">
        <v>498</v>
      </c>
      <c r="K195" s="560">
        <f t="shared" si="5"/>
        <v>26</v>
      </c>
      <c r="L195" s="560">
        <f t="shared" si="6"/>
        <v>17</v>
      </c>
    </row>
    <row r="196" spans="2:12">
      <c r="B196" s="553">
        <v>44230</v>
      </c>
      <c r="C196" t="s">
        <v>1078</v>
      </c>
      <c r="D196" s="28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0">
        <v>169498.73</v>
      </c>
      <c r="K196" s="560">
        <f t="shared" ref="K196:K259" si="7">COUNTIFS($C$3:$C$1556,C196)</f>
        <v>26</v>
      </c>
      <c r="L196" s="560">
        <f t="shared" si="6"/>
        <v>16</v>
      </c>
    </row>
    <row r="197" spans="2:12">
      <c r="B197" s="553">
        <v>44230</v>
      </c>
      <c r="C197" t="s">
        <v>1078</v>
      </c>
      <c r="D197" s="28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0">
        <v>2766.67</v>
      </c>
      <c r="K197" s="560">
        <f t="shared" si="7"/>
        <v>26</v>
      </c>
      <c r="L197" s="560">
        <f t="shared" si="6"/>
        <v>15</v>
      </c>
    </row>
    <row r="198" spans="2:12">
      <c r="B198" s="553">
        <v>44230</v>
      </c>
      <c r="C198" t="s">
        <v>1078</v>
      </c>
      <c r="D198" s="28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0">
        <v>2766.67</v>
      </c>
      <c r="K198" s="560">
        <f t="shared" si="7"/>
        <v>26</v>
      </c>
      <c r="L198" s="560">
        <f t="shared" si="6"/>
        <v>14</v>
      </c>
    </row>
    <row r="199" spans="2:12">
      <c r="B199" s="553">
        <v>44230</v>
      </c>
      <c r="C199" t="s">
        <v>1078</v>
      </c>
      <c r="D199" s="28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0">
        <v>1383.33</v>
      </c>
      <c r="K199" s="560">
        <f t="shared" si="7"/>
        <v>26</v>
      </c>
      <c r="L199" s="560">
        <f t="shared" si="6"/>
        <v>13</v>
      </c>
    </row>
    <row r="200" spans="2:12">
      <c r="B200" s="553">
        <v>44230</v>
      </c>
      <c r="C200" t="s">
        <v>1078</v>
      </c>
      <c r="D200" s="28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0">
        <v>13833.33</v>
      </c>
      <c r="K200" s="560">
        <f t="shared" si="7"/>
        <v>26</v>
      </c>
      <c r="L200" s="560">
        <f t="shared" si="6"/>
        <v>12</v>
      </c>
    </row>
    <row r="201" spans="2:12">
      <c r="B201" s="553">
        <v>44230</v>
      </c>
      <c r="C201" t="s">
        <v>1078</v>
      </c>
      <c r="D201" s="28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0">
        <v>691.67</v>
      </c>
      <c r="K201" s="560">
        <f t="shared" si="7"/>
        <v>26</v>
      </c>
      <c r="L201" s="560">
        <f t="shared" si="6"/>
        <v>11</v>
      </c>
    </row>
    <row r="202" spans="2:12">
      <c r="B202" s="553">
        <v>44230</v>
      </c>
      <c r="C202" t="s">
        <v>1078</v>
      </c>
      <c r="D202" s="28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0">
        <v>1909.52</v>
      </c>
      <c r="K202" s="560">
        <f t="shared" si="7"/>
        <v>26</v>
      </c>
      <c r="L202" s="560">
        <f t="shared" si="6"/>
        <v>10</v>
      </c>
    </row>
    <row r="203" spans="2:12">
      <c r="B203" s="553">
        <v>44230</v>
      </c>
      <c r="C203" t="s">
        <v>1078</v>
      </c>
      <c r="D203" s="28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0">
        <v>4810.3100000000004</v>
      </c>
      <c r="K203" s="560">
        <f t="shared" si="7"/>
        <v>26</v>
      </c>
      <c r="L203" s="560">
        <f t="shared" si="6"/>
        <v>9</v>
      </c>
    </row>
    <row r="204" spans="2:12">
      <c r="B204" s="553">
        <v>44230</v>
      </c>
      <c r="C204" t="s">
        <v>1078</v>
      </c>
      <c r="D204" s="28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0">
        <v>220858.58</v>
      </c>
      <c r="K204" s="560">
        <f t="shared" si="7"/>
        <v>26</v>
      </c>
      <c r="L204" s="560">
        <f t="shared" si="6"/>
        <v>8</v>
      </c>
    </row>
    <row r="205" spans="2:12">
      <c r="B205" s="553">
        <v>44230</v>
      </c>
      <c r="C205" t="s">
        <v>1078</v>
      </c>
      <c r="D205" s="28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0">
        <v>1521.67</v>
      </c>
      <c r="K205" s="560">
        <f t="shared" si="7"/>
        <v>26</v>
      </c>
      <c r="L205" s="560">
        <f t="shared" si="6"/>
        <v>7</v>
      </c>
    </row>
    <row r="206" spans="2:12">
      <c r="B206" s="553">
        <v>44230</v>
      </c>
      <c r="C206" t="s">
        <v>1078</v>
      </c>
      <c r="D206" s="28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0">
        <v>1383.33</v>
      </c>
      <c r="K206" s="560">
        <f t="shared" si="7"/>
        <v>26</v>
      </c>
      <c r="L206" s="560">
        <f t="shared" si="6"/>
        <v>6</v>
      </c>
    </row>
    <row r="207" spans="2:12">
      <c r="B207" s="553">
        <v>44230</v>
      </c>
      <c r="C207" t="s">
        <v>1078</v>
      </c>
      <c r="D207" s="28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0">
        <v>6916.67</v>
      </c>
      <c r="K207" s="560">
        <f t="shared" si="7"/>
        <v>26</v>
      </c>
      <c r="L207" s="560">
        <f t="shared" ref="L207:L270" si="8">COUNTIFS(C207:C1760,C207)</f>
        <v>5</v>
      </c>
    </row>
    <row r="208" spans="2:12">
      <c r="B208" s="553">
        <v>44230</v>
      </c>
      <c r="C208" t="s">
        <v>1078</v>
      </c>
      <c r="D208" s="28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0">
        <v>4980</v>
      </c>
      <c r="K208" s="560">
        <f t="shared" si="7"/>
        <v>26</v>
      </c>
      <c r="L208" s="560">
        <f t="shared" si="8"/>
        <v>4</v>
      </c>
    </row>
    <row r="209" spans="1:19">
      <c r="B209" s="553">
        <v>44230</v>
      </c>
      <c r="C209" t="s">
        <v>1078</v>
      </c>
      <c r="D209" s="28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0">
        <v>3541.33</v>
      </c>
      <c r="K209" s="560">
        <f t="shared" si="7"/>
        <v>26</v>
      </c>
      <c r="L209" s="560">
        <f t="shared" si="8"/>
        <v>3</v>
      </c>
    </row>
    <row r="210" spans="1:19">
      <c r="B210" s="553">
        <v>44230</v>
      </c>
      <c r="C210" t="s">
        <v>1078</v>
      </c>
      <c r="D210" s="28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0">
        <v>3320</v>
      </c>
      <c r="K210" s="560">
        <f t="shared" si="7"/>
        <v>26</v>
      </c>
      <c r="L210" s="560">
        <f t="shared" si="8"/>
        <v>2</v>
      </c>
    </row>
    <row r="211" spans="1:19">
      <c r="A211" t="s">
        <v>2109</v>
      </c>
      <c r="B211" s="553">
        <v>44230</v>
      </c>
      <c r="C211" t="s">
        <v>1078</v>
      </c>
      <c r="D211" s="28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0">
        <v>9376.91</v>
      </c>
      <c r="K211" s="560">
        <f t="shared" si="7"/>
        <v>26</v>
      </c>
      <c r="L211" s="560">
        <f t="shared" si="8"/>
        <v>1</v>
      </c>
      <c r="M211" s="560" t="e">
        <f>SUMIFS('[1]MAIN-101'!$Z$1:$Z$3000,'[1]MAIN-101'!$X$1:$X$3000,S211)</f>
        <v>#VALUE!</v>
      </c>
      <c r="N211" s="560"/>
      <c r="O211" s="560"/>
      <c r="S211" t="str">
        <f>VLOOKUP(C211,'Recon of ORS and DV'!$A$4:$B$358,2,FALSE)</f>
        <v>0146</v>
      </c>
    </row>
    <row r="212" spans="1:19">
      <c r="B212" s="553">
        <v>44230</v>
      </c>
      <c r="C212" t="s">
        <v>1079</v>
      </c>
      <c r="D212" s="28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0">
        <v>1660</v>
      </c>
      <c r="K212" s="560">
        <f t="shared" si="7"/>
        <v>25</v>
      </c>
      <c r="L212" s="560">
        <f t="shared" si="8"/>
        <v>25</v>
      </c>
    </row>
    <row r="213" spans="1:19">
      <c r="B213" s="553">
        <v>44230</v>
      </c>
      <c r="C213" t="s">
        <v>1079</v>
      </c>
      <c r="D213" s="28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0">
        <v>9960</v>
      </c>
      <c r="K213" s="560">
        <f t="shared" si="7"/>
        <v>25</v>
      </c>
      <c r="L213" s="560">
        <f t="shared" si="8"/>
        <v>24</v>
      </c>
    </row>
    <row r="214" spans="1:19">
      <c r="B214" s="553">
        <v>44230</v>
      </c>
      <c r="C214" t="s">
        <v>1079</v>
      </c>
      <c r="D214" s="28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0">
        <v>11066.67</v>
      </c>
      <c r="K214" s="560">
        <f t="shared" si="7"/>
        <v>25</v>
      </c>
      <c r="L214" s="560">
        <f t="shared" si="8"/>
        <v>23</v>
      </c>
    </row>
    <row r="215" spans="1:19">
      <c r="B215" s="553">
        <v>44230</v>
      </c>
      <c r="C215" t="s">
        <v>1079</v>
      </c>
      <c r="D215" s="28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0">
        <v>2158</v>
      </c>
      <c r="K215" s="560">
        <f t="shared" si="7"/>
        <v>25</v>
      </c>
      <c r="L215" s="560">
        <f t="shared" si="8"/>
        <v>22</v>
      </c>
    </row>
    <row r="216" spans="1:19">
      <c r="B216" s="553">
        <v>44230</v>
      </c>
      <c r="C216" t="s">
        <v>1079</v>
      </c>
      <c r="D216" s="28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0">
        <v>38180</v>
      </c>
      <c r="K216" s="560">
        <f t="shared" si="7"/>
        <v>25</v>
      </c>
      <c r="L216" s="560">
        <f t="shared" si="8"/>
        <v>21</v>
      </c>
    </row>
    <row r="217" spans="1:19">
      <c r="B217" s="553">
        <v>44230</v>
      </c>
      <c r="C217" t="s">
        <v>1079</v>
      </c>
      <c r="D217" s="28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0">
        <v>4150</v>
      </c>
      <c r="K217" s="560">
        <f t="shared" si="7"/>
        <v>25</v>
      </c>
      <c r="L217" s="560">
        <f t="shared" si="8"/>
        <v>20</v>
      </c>
    </row>
    <row r="218" spans="1:19">
      <c r="B218" s="553">
        <v>44230</v>
      </c>
      <c r="C218" t="s">
        <v>1079</v>
      </c>
      <c r="D218" s="28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0">
        <v>2988</v>
      </c>
      <c r="K218" s="560">
        <f t="shared" si="7"/>
        <v>25</v>
      </c>
      <c r="L218" s="560">
        <f t="shared" si="8"/>
        <v>19</v>
      </c>
    </row>
    <row r="219" spans="1:19">
      <c r="B219" s="553">
        <v>44230</v>
      </c>
      <c r="C219" t="s">
        <v>1079</v>
      </c>
      <c r="D219" s="28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0">
        <v>830</v>
      </c>
      <c r="K219" s="560">
        <f t="shared" si="7"/>
        <v>25</v>
      </c>
      <c r="L219" s="560">
        <f t="shared" si="8"/>
        <v>18</v>
      </c>
    </row>
    <row r="220" spans="1:19">
      <c r="B220" s="553">
        <v>44230</v>
      </c>
      <c r="C220" t="s">
        <v>1079</v>
      </c>
      <c r="D220" s="28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0">
        <v>498</v>
      </c>
      <c r="K220" s="560">
        <f t="shared" si="7"/>
        <v>25</v>
      </c>
      <c r="L220" s="560">
        <f t="shared" si="8"/>
        <v>17</v>
      </c>
    </row>
    <row r="221" spans="1:19">
      <c r="B221" s="553">
        <v>44230</v>
      </c>
      <c r="C221" t="s">
        <v>1079</v>
      </c>
      <c r="D221" s="28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0">
        <v>13847.17</v>
      </c>
      <c r="K221" s="560">
        <f t="shared" si="7"/>
        <v>25</v>
      </c>
      <c r="L221" s="560">
        <f t="shared" si="8"/>
        <v>16</v>
      </c>
    </row>
    <row r="222" spans="1:19">
      <c r="B222" s="553">
        <v>44230</v>
      </c>
      <c r="C222" t="s">
        <v>1079</v>
      </c>
      <c r="D222" s="28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0">
        <v>66782.91</v>
      </c>
      <c r="K222" s="560">
        <f t="shared" si="7"/>
        <v>25</v>
      </c>
      <c r="L222" s="560">
        <f t="shared" si="8"/>
        <v>15</v>
      </c>
    </row>
    <row r="223" spans="1:19">
      <c r="B223" s="553">
        <v>44230</v>
      </c>
      <c r="C223" t="s">
        <v>1079</v>
      </c>
      <c r="D223" s="28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0">
        <v>39807.910000000003</v>
      </c>
      <c r="K223" s="560">
        <f t="shared" si="7"/>
        <v>25</v>
      </c>
      <c r="L223" s="560">
        <f t="shared" si="8"/>
        <v>14</v>
      </c>
    </row>
    <row r="224" spans="1:19">
      <c r="B224" s="553">
        <v>44230</v>
      </c>
      <c r="C224" t="s">
        <v>1079</v>
      </c>
      <c r="D224" s="28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0">
        <v>2766.67</v>
      </c>
      <c r="K224" s="560">
        <f t="shared" si="7"/>
        <v>25</v>
      </c>
      <c r="L224" s="560">
        <f t="shared" si="8"/>
        <v>13</v>
      </c>
    </row>
    <row r="225" spans="1:19">
      <c r="B225" s="553">
        <v>44230</v>
      </c>
      <c r="C225" t="s">
        <v>1079</v>
      </c>
      <c r="D225" s="28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0">
        <v>2766.67</v>
      </c>
      <c r="K225" s="560">
        <f t="shared" si="7"/>
        <v>25</v>
      </c>
      <c r="L225" s="560">
        <f t="shared" si="8"/>
        <v>12</v>
      </c>
    </row>
    <row r="226" spans="1:19">
      <c r="B226" s="553">
        <v>44230</v>
      </c>
      <c r="C226" t="s">
        <v>1079</v>
      </c>
      <c r="D226" s="28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0">
        <v>1383.33</v>
      </c>
      <c r="K226" s="560">
        <f t="shared" si="7"/>
        <v>25</v>
      </c>
      <c r="L226" s="560">
        <f t="shared" si="8"/>
        <v>11</v>
      </c>
    </row>
    <row r="227" spans="1:19">
      <c r="B227" s="553">
        <v>44230</v>
      </c>
      <c r="C227" t="s">
        <v>1079</v>
      </c>
      <c r="D227" s="28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0">
        <v>13833.33</v>
      </c>
      <c r="K227" s="560">
        <f t="shared" si="7"/>
        <v>25</v>
      </c>
      <c r="L227" s="560">
        <f t="shared" si="8"/>
        <v>10</v>
      </c>
    </row>
    <row r="228" spans="1:19">
      <c r="B228" s="553">
        <v>44230</v>
      </c>
      <c r="C228" t="s">
        <v>1079</v>
      </c>
      <c r="D228" s="28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0">
        <v>691.67</v>
      </c>
      <c r="K228" s="560">
        <f t="shared" si="7"/>
        <v>25</v>
      </c>
      <c r="L228" s="560">
        <f t="shared" si="8"/>
        <v>9</v>
      </c>
    </row>
    <row r="229" spans="1:19">
      <c r="B229" s="553">
        <v>44230</v>
      </c>
      <c r="C229" t="s">
        <v>1079</v>
      </c>
      <c r="D229" s="28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0">
        <v>1798.33</v>
      </c>
      <c r="K229" s="560">
        <f t="shared" si="7"/>
        <v>25</v>
      </c>
      <c r="L229" s="560">
        <f t="shared" si="8"/>
        <v>8</v>
      </c>
    </row>
    <row r="230" spans="1:19">
      <c r="B230" s="553">
        <v>44230</v>
      </c>
      <c r="C230" t="s">
        <v>1079</v>
      </c>
      <c r="D230" s="28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0">
        <v>3609.82</v>
      </c>
      <c r="K230" s="560">
        <f t="shared" si="7"/>
        <v>25</v>
      </c>
      <c r="L230" s="560">
        <f t="shared" si="8"/>
        <v>7</v>
      </c>
    </row>
    <row r="231" spans="1:19">
      <c r="B231" s="553">
        <v>44230</v>
      </c>
      <c r="C231" t="s">
        <v>1079</v>
      </c>
      <c r="D231" s="28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0">
        <v>1383.33</v>
      </c>
      <c r="K231" s="560">
        <f t="shared" si="7"/>
        <v>25</v>
      </c>
      <c r="L231" s="560">
        <f t="shared" si="8"/>
        <v>6</v>
      </c>
    </row>
    <row r="232" spans="1:19">
      <c r="B232" s="553">
        <v>44230</v>
      </c>
      <c r="C232" t="s">
        <v>1079</v>
      </c>
      <c r="D232" s="28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0">
        <v>6916.67</v>
      </c>
      <c r="K232" s="560">
        <f t="shared" si="7"/>
        <v>25</v>
      </c>
      <c r="L232" s="560">
        <f t="shared" si="8"/>
        <v>5</v>
      </c>
    </row>
    <row r="233" spans="1:19">
      <c r="B233" s="553">
        <v>44230</v>
      </c>
      <c r="C233" t="s">
        <v>1079</v>
      </c>
      <c r="D233" s="28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0">
        <v>2075</v>
      </c>
      <c r="K233" s="560">
        <f t="shared" si="7"/>
        <v>25</v>
      </c>
      <c r="L233" s="560">
        <f t="shared" si="8"/>
        <v>4</v>
      </c>
    </row>
    <row r="234" spans="1:19">
      <c r="B234" s="553">
        <v>44230</v>
      </c>
      <c r="C234" t="s">
        <v>1079</v>
      </c>
      <c r="D234" s="28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0">
        <v>3375.33</v>
      </c>
      <c r="K234" s="560">
        <f t="shared" si="7"/>
        <v>25</v>
      </c>
      <c r="L234" s="560">
        <f t="shared" si="8"/>
        <v>3</v>
      </c>
    </row>
    <row r="235" spans="1:19">
      <c r="B235" s="553">
        <v>44230</v>
      </c>
      <c r="C235" t="s">
        <v>1079</v>
      </c>
      <c r="D235" s="28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0">
        <v>691.67</v>
      </c>
      <c r="K235" s="560">
        <f t="shared" si="7"/>
        <v>25</v>
      </c>
      <c r="L235" s="560">
        <f t="shared" si="8"/>
        <v>2</v>
      </c>
    </row>
    <row r="236" spans="1:19">
      <c r="A236" t="s">
        <v>2110</v>
      </c>
      <c r="B236" s="553">
        <v>44230</v>
      </c>
      <c r="C236" t="s">
        <v>1079</v>
      </c>
      <c r="D236" s="28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0">
        <v>8308.2099999999991</v>
      </c>
      <c r="K236" s="560">
        <f t="shared" si="7"/>
        <v>25</v>
      </c>
      <c r="L236" s="560">
        <f t="shared" si="8"/>
        <v>1</v>
      </c>
      <c r="M236" s="560" t="e">
        <f>SUMIFS('[1]MAIN-101'!$Z$1:$Z$3000,'[1]MAIN-101'!$X$1:$X$3000,S236)</f>
        <v>#VALUE!</v>
      </c>
      <c r="N236" s="560"/>
      <c r="O236" s="560"/>
      <c r="S236" t="str">
        <f>VLOOKUP(C236,'Recon of ORS and DV'!$A$4:$B$358,2,FALSE)</f>
        <v>0147</v>
      </c>
    </row>
    <row r="237" spans="1:19">
      <c r="B237" s="553">
        <v>44230</v>
      </c>
      <c r="C237" t="s">
        <v>1080</v>
      </c>
      <c r="D237" s="28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0">
        <v>1245</v>
      </c>
      <c r="K237" s="560">
        <f t="shared" si="7"/>
        <v>27</v>
      </c>
      <c r="L237" s="560">
        <f t="shared" si="8"/>
        <v>27</v>
      </c>
    </row>
    <row r="238" spans="1:19">
      <c r="B238" s="553">
        <v>44230</v>
      </c>
      <c r="C238" t="s">
        <v>1080</v>
      </c>
      <c r="D238" s="28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0">
        <v>9960</v>
      </c>
      <c r="K238" s="560">
        <f t="shared" si="7"/>
        <v>27</v>
      </c>
      <c r="L238" s="560">
        <f t="shared" si="8"/>
        <v>26</v>
      </c>
    </row>
    <row r="239" spans="1:19">
      <c r="B239" s="553">
        <v>44230</v>
      </c>
      <c r="C239" t="s">
        <v>1080</v>
      </c>
      <c r="D239" s="28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0">
        <v>7211.11</v>
      </c>
      <c r="K239" s="560">
        <f t="shared" si="7"/>
        <v>27</v>
      </c>
      <c r="L239" s="560">
        <f t="shared" si="8"/>
        <v>25</v>
      </c>
    </row>
    <row r="240" spans="1:19">
      <c r="B240" s="553">
        <v>44230</v>
      </c>
      <c r="C240" t="s">
        <v>1080</v>
      </c>
      <c r="D240" s="28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0">
        <v>1412.1</v>
      </c>
      <c r="K240" s="560">
        <f t="shared" si="7"/>
        <v>27</v>
      </c>
      <c r="L240" s="560">
        <f t="shared" si="8"/>
        <v>24</v>
      </c>
    </row>
    <row r="241" spans="2:12">
      <c r="B241" s="553">
        <v>44230</v>
      </c>
      <c r="C241" t="s">
        <v>1080</v>
      </c>
      <c r="D241" s="28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0">
        <v>31391.81</v>
      </c>
      <c r="K241" s="560">
        <f t="shared" si="7"/>
        <v>27</v>
      </c>
      <c r="L241" s="560">
        <f t="shared" si="8"/>
        <v>23</v>
      </c>
    </row>
    <row r="242" spans="2:12">
      <c r="B242" s="553">
        <v>44230</v>
      </c>
      <c r="C242" t="s">
        <v>1080</v>
      </c>
      <c r="D242" s="28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0">
        <v>830</v>
      </c>
      <c r="K242" s="560">
        <f t="shared" si="7"/>
        <v>27</v>
      </c>
      <c r="L242" s="560">
        <f t="shared" si="8"/>
        <v>22</v>
      </c>
    </row>
    <row r="243" spans="2:12">
      <c r="B243" s="553">
        <v>44230</v>
      </c>
      <c r="C243" t="s">
        <v>1080</v>
      </c>
      <c r="D243" s="28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0">
        <v>5057.87</v>
      </c>
      <c r="K243" s="560">
        <f t="shared" si="7"/>
        <v>27</v>
      </c>
      <c r="L243" s="560">
        <f t="shared" si="8"/>
        <v>21</v>
      </c>
    </row>
    <row r="244" spans="2:12">
      <c r="B244" s="553">
        <v>44230</v>
      </c>
      <c r="C244" t="s">
        <v>1080</v>
      </c>
      <c r="D244" s="28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0">
        <v>2988</v>
      </c>
      <c r="K244" s="560">
        <f t="shared" si="7"/>
        <v>27</v>
      </c>
      <c r="L244" s="560">
        <f t="shared" si="8"/>
        <v>20</v>
      </c>
    </row>
    <row r="245" spans="2:12">
      <c r="B245" s="553">
        <v>44230</v>
      </c>
      <c r="C245" t="s">
        <v>1080</v>
      </c>
      <c r="D245" s="28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0">
        <v>581</v>
      </c>
      <c r="K245" s="560">
        <f t="shared" si="7"/>
        <v>27</v>
      </c>
      <c r="L245" s="560">
        <f t="shared" si="8"/>
        <v>19</v>
      </c>
    </row>
    <row r="246" spans="2:12">
      <c r="B246" s="553">
        <v>44230</v>
      </c>
      <c r="C246" t="s">
        <v>1080</v>
      </c>
      <c r="D246" s="28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0">
        <v>498</v>
      </c>
      <c r="K246" s="560">
        <f t="shared" si="7"/>
        <v>27</v>
      </c>
      <c r="L246" s="560">
        <f t="shared" si="8"/>
        <v>18</v>
      </c>
    </row>
    <row r="247" spans="2:12">
      <c r="B247" s="553">
        <v>44230</v>
      </c>
      <c r="C247" t="s">
        <v>1080</v>
      </c>
      <c r="D247" s="28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0">
        <v>14386.67</v>
      </c>
      <c r="K247" s="560">
        <f t="shared" si="7"/>
        <v>27</v>
      </c>
      <c r="L247" s="560">
        <f t="shared" si="8"/>
        <v>17</v>
      </c>
    </row>
    <row r="248" spans="2:12">
      <c r="B248" s="553">
        <v>44230</v>
      </c>
      <c r="C248" t="s">
        <v>1080</v>
      </c>
      <c r="D248" s="28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0">
        <v>109583.24</v>
      </c>
      <c r="K248" s="560">
        <f t="shared" si="7"/>
        <v>27</v>
      </c>
      <c r="L248" s="560">
        <f t="shared" si="8"/>
        <v>16</v>
      </c>
    </row>
    <row r="249" spans="2:12">
      <c r="B249" s="553">
        <v>44230</v>
      </c>
      <c r="C249" t="s">
        <v>1080</v>
      </c>
      <c r="D249" s="28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0">
        <v>16600</v>
      </c>
      <c r="K249" s="560">
        <f t="shared" si="7"/>
        <v>27</v>
      </c>
      <c r="L249" s="560">
        <f t="shared" si="8"/>
        <v>15</v>
      </c>
    </row>
    <row r="250" spans="2:12">
      <c r="B250" s="553">
        <v>44230</v>
      </c>
      <c r="C250" t="s">
        <v>1080</v>
      </c>
      <c r="D250" s="28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0">
        <v>2766.67</v>
      </c>
      <c r="K250" s="560">
        <f t="shared" si="7"/>
        <v>27</v>
      </c>
      <c r="L250" s="560">
        <f t="shared" si="8"/>
        <v>14</v>
      </c>
    </row>
    <row r="251" spans="2:12">
      <c r="B251" s="553">
        <v>44230</v>
      </c>
      <c r="C251" t="s">
        <v>1080</v>
      </c>
      <c r="D251" s="28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0">
        <v>2766.67</v>
      </c>
      <c r="K251" s="560">
        <f t="shared" si="7"/>
        <v>27</v>
      </c>
      <c r="L251" s="560">
        <f t="shared" si="8"/>
        <v>13</v>
      </c>
    </row>
    <row r="252" spans="2:12">
      <c r="B252" s="553">
        <v>44230</v>
      </c>
      <c r="C252" t="s">
        <v>1080</v>
      </c>
      <c r="D252" s="28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0">
        <v>1383.33</v>
      </c>
      <c r="K252" s="560">
        <f t="shared" si="7"/>
        <v>27</v>
      </c>
      <c r="L252" s="560">
        <f t="shared" si="8"/>
        <v>12</v>
      </c>
    </row>
    <row r="253" spans="2:12">
      <c r="B253" s="553">
        <v>44230</v>
      </c>
      <c r="C253" t="s">
        <v>1080</v>
      </c>
      <c r="D253" s="28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0">
        <v>13833.33</v>
      </c>
      <c r="K253" s="560">
        <f t="shared" si="7"/>
        <v>27</v>
      </c>
      <c r="L253" s="560">
        <f t="shared" si="8"/>
        <v>11</v>
      </c>
    </row>
    <row r="254" spans="2:12">
      <c r="B254" s="553">
        <v>44230</v>
      </c>
      <c r="C254" t="s">
        <v>1080</v>
      </c>
      <c r="D254" s="28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0">
        <v>1037.5</v>
      </c>
      <c r="K254" s="560">
        <f t="shared" si="7"/>
        <v>27</v>
      </c>
      <c r="L254" s="560">
        <f t="shared" si="8"/>
        <v>10</v>
      </c>
    </row>
    <row r="255" spans="2:12">
      <c r="B255" s="553">
        <v>44230</v>
      </c>
      <c r="C255" t="s">
        <v>1080</v>
      </c>
      <c r="D255" s="28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0">
        <v>1390.25</v>
      </c>
      <c r="K255" s="560">
        <f t="shared" si="7"/>
        <v>27</v>
      </c>
      <c r="L255" s="560">
        <f t="shared" si="8"/>
        <v>9</v>
      </c>
    </row>
    <row r="256" spans="2:12">
      <c r="B256" s="553">
        <v>44230</v>
      </c>
      <c r="C256" t="s">
        <v>1080</v>
      </c>
      <c r="D256" s="28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0">
        <v>3043.33</v>
      </c>
      <c r="K256" s="560">
        <f t="shared" si="7"/>
        <v>27</v>
      </c>
      <c r="L256" s="560">
        <f t="shared" si="8"/>
        <v>8</v>
      </c>
    </row>
    <row r="257" spans="1:19">
      <c r="B257" s="553">
        <v>44230</v>
      </c>
      <c r="C257" t="s">
        <v>1080</v>
      </c>
      <c r="D257" s="28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0">
        <v>85490</v>
      </c>
      <c r="K257" s="560">
        <f t="shared" si="7"/>
        <v>27</v>
      </c>
      <c r="L257" s="560">
        <f t="shared" si="8"/>
        <v>7</v>
      </c>
    </row>
    <row r="258" spans="1:19">
      <c r="B258" s="553">
        <v>44230</v>
      </c>
      <c r="C258" t="s">
        <v>1080</v>
      </c>
      <c r="D258" s="28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0">
        <v>1383.33</v>
      </c>
      <c r="K258" s="560">
        <f t="shared" si="7"/>
        <v>27</v>
      </c>
      <c r="L258" s="560">
        <f t="shared" si="8"/>
        <v>6</v>
      </c>
    </row>
    <row r="259" spans="1:19">
      <c r="B259" s="553">
        <v>44230</v>
      </c>
      <c r="C259" t="s">
        <v>1080</v>
      </c>
      <c r="D259" s="28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0">
        <v>6916.67</v>
      </c>
      <c r="K259" s="560">
        <f t="shared" si="7"/>
        <v>27</v>
      </c>
      <c r="L259" s="560">
        <f t="shared" si="8"/>
        <v>5</v>
      </c>
    </row>
    <row r="260" spans="1:19">
      <c r="B260" s="553">
        <v>44230</v>
      </c>
      <c r="C260" t="s">
        <v>1080</v>
      </c>
      <c r="D260" s="28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0">
        <v>691.67</v>
      </c>
      <c r="K260" s="560">
        <f t="shared" ref="K260:K323" si="9">COUNTIFS($C$3:$C$1556,C260)</f>
        <v>27</v>
      </c>
      <c r="L260" s="560">
        <f t="shared" si="8"/>
        <v>4</v>
      </c>
    </row>
    <row r="261" spans="1:19">
      <c r="B261" s="553">
        <v>44230</v>
      </c>
      <c r="C261" t="s">
        <v>1080</v>
      </c>
      <c r="D261" s="28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0">
        <v>3375.33</v>
      </c>
      <c r="K261" s="560">
        <f t="shared" si="9"/>
        <v>27</v>
      </c>
      <c r="L261" s="560">
        <f t="shared" si="8"/>
        <v>3</v>
      </c>
    </row>
    <row r="262" spans="1:19">
      <c r="B262" s="553">
        <v>44230</v>
      </c>
      <c r="C262" t="s">
        <v>1080</v>
      </c>
      <c r="D262" s="28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0">
        <v>3320</v>
      </c>
      <c r="K262" s="560">
        <f t="shared" si="9"/>
        <v>27</v>
      </c>
      <c r="L262" s="560">
        <f t="shared" si="8"/>
        <v>2</v>
      </c>
    </row>
    <row r="263" spans="1:19">
      <c r="A263" t="s">
        <v>2111</v>
      </c>
      <c r="B263" s="553">
        <v>44230</v>
      </c>
      <c r="C263" t="s">
        <v>1080</v>
      </c>
      <c r="D263" s="28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0">
        <v>8443.52</v>
      </c>
      <c r="K263" s="560">
        <f t="shared" si="9"/>
        <v>27</v>
      </c>
      <c r="L263" s="560">
        <f t="shared" si="8"/>
        <v>1</v>
      </c>
      <c r="M263" s="560" t="e">
        <f>SUMIFS('[1]MAIN-101'!$Z$1:$Z$3000,'[1]MAIN-101'!$X$1:$X$3000,S263)</f>
        <v>#VALUE!</v>
      </c>
      <c r="N263" s="560"/>
      <c r="O263" s="560"/>
      <c r="S263" t="str">
        <f>VLOOKUP(C263,'Recon of ORS and DV'!$A$4:$B$358,2,FALSE)</f>
        <v>0148</v>
      </c>
    </row>
    <row r="264" spans="1:19">
      <c r="B264" s="553">
        <v>44230</v>
      </c>
      <c r="C264" t="s">
        <v>1081</v>
      </c>
      <c r="D264" s="28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0">
        <v>1660</v>
      </c>
      <c r="K264" s="560">
        <f t="shared" si="9"/>
        <v>27</v>
      </c>
      <c r="L264" s="560">
        <f t="shared" si="8"/>
        <v>27</v>
      </c>
    </row>
    <row r="265" spans="1:19">
      <c r="B265" s="553">
        <v>44230</v>
      </c>
      <c r="C265" t="s">
        <v>1081</v>
      </c>
      <c r="D265" s="28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0">
        <v>9960</v>
      </c>
      <c r="K265" s="560">
        <f t="shared" si="9"/>
        <v>27</v>
      </c>
      <c r="L265" s="560">
        <f t="shared" si="8"/>
        <v>26</v>
      </c>
    </row>
    <row r="266" spans="1:19">
      <c r="B266" s="553">
        <v>44230</v>
      </c>
      <c r="C266" t="s">
        <v>1081</v>
      </c>
      <c r="D266" s="28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0">
        <v>4980</v>
      </c>
      <c r="K266" s="560">
        <f t="shared" si="9"/>
        <v>27</v>
      </c>
      <c r="L266" s="560">
        <f t="shared" si="8"/>
        <v>25</v>
      </c>
    </row>
    <row r="267" spans="1:19">
      <c r="B267" s="553">
        <v>44230</v>
      </c>
      <c r="C267" t="s">
        <v>1081</v>
      </c>
      <c r="D267" s="28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0">
        <v>1328</v>
      </c>
      <c r="K267" s="560">
        <f t="shared" si="9"/>
        <v>27</v>
      </c>
      <c r="L267" s="560">
        <f t="shared" si="8"/>
        <v>24</v>
      </c>
    </row>
    <row r="268" spans="1:19">
      <c r="B268" s="553">
        <v>44230</v>
      </c>
      <c r="C268" t="s">
        <v>1081</v>
      </c>
      <c r="D268" s="28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0">
        <v>48416.67</v>
      </c>
      <c r="K268" s="560">
        <f t="shared" si="9"/>
        <v>27</v>
      </c>
      <c r="L268" s="560">
        <f t="shared" si="8"/>
        <v>23</v>
      </c>
    </row>
    <row r="269" spans="1:19">
      <c r="B269" s="553">
        <v>44230</v>
      </c>
      <c r="C269" t="s">
        <v>1081</v>
      </c>
      <c r="D269" s="28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0">
        <v>8300</v>
      </c>
      <c r="K269" s="560">
        <f t="shared" si="9"/>
        <v>27</v>
      </c>
      <c r="L269" s="560">
        <f t="shared" si="8"/>
        <v>22</v>
      </c>
    </row>
    <row r="270" spans="1:19">
      <c r="B270" s="553">
        <v>44230</v>
      </c>
      <c r="C270" t="s">
        <v>1081</v>
      </c>
      <c r="D270" s="28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0">
        <v>2490</v>
      </c>
      <c r="K270" s="560">
        <f t="shared" si="9"/>
        <v>27</v>
      </c>
      <c r="L270" s="560">
        <f t="shared" si="8"/>
        <v>21</v>
      </c>
    </row>
    <row r="271" spans="1:19">
      <c r="B271" s="553">
        <v>44230</v>
      </c>
      <c r="C271" t="s">
        <v>1081</v>
      </c>
      <c r="D271" s="28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0">
        <v>4980</v>
      </c>
      <c r="K271" s="560">
        <f t="shared" si="9"/>
        <v>27</v>
      </c>
      <c r="L271" s="560">
        <f t="shared" ref="L271:L334" si="10">COUNTIFS(C271:C1824,C271)</f>
        <v>20</v>
      </c>
    </row>
    <row r="272" spans="1:19">
      <c r="B272" s="553">
        <v>44230</v>
      </c>
      <c r="C272" t="s">
        <v>1081</v>
      </c>
      <c r="D272" s="28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0">
        <v>1668.3</v>
      </c>
      <c r="K272" s="560">
        <f t="shared" si="9"/>
        <v>27</v>
      </c>
      <c r="L272" s="560">
        <f t="shared" si="10"/>
        <v>19</v>
      </c>
    </row>
    <row r="273" spans="2:12">
      <c r="B273" s="553">
        <v>44230</v>
      </c>
      <c r="C273" t="s">
        <v>1081</v>
      </c>
      <c r="D273" s="28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0">
        <v>332</v>
      </c>
      <c r="K273" s="560">
        <f t="shared" si="9"/>
        <v>27</v>
      </c>
      <c r="L273" s="560">
        <f t="shared" si="10"/>
        <v>18</v>
      </c>
    </row>
    <row r="274" spans="2:12">
      <c r="B274" s="553">
        <v>44230</v>
      </c>
      <c r="C274" t="s">
        <v>1081</v>
      </c>
      <c r="D274" s="28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0">
        <v>27694.33</v>
      </c>
      <c r="K274" s="560">
        <f t="shared" si="9"/>
        <v>27</v>
      </c>
      <c r="L274" s="560">
        <f t="shared" si="10"/>
        <v>17</v>
      </c>
    </row>
    <row r="275" spans="2:12">
      <c r="B275" s="553">
        <v>44230</v>
      </c>
      <c r="C275" t="s">
        <v>1081</v>
      </c>
      <c r="D275" s="28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0">
        <v>111561.41</v>
      </c>
      <c r="K275" s="560">
        <f t="shared" si="9"/>
        <v>27</v>
      </c>
      <c r="L275" s="560">
        <f t="shared" si="10"/>
        <v>16</v>
      </c>
    </row>
    <row r="276" spans="2:12">
      <c r="B276" s="553">
        <v>44230</v>
      </c>
      <c r="C276" t="s">
        <v>1081</v>
      </c>
      <c r="D276" s="28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0">
        <v>2766.67</v>
      </c>
      <c r="K276" s="560">
        <f t="shared" si="9"/>
        <v>27</v>
      </c>
      <c r="L276" s="560">
        <f t="shared" si="10"/>
        <v>15</v>
      </c>
    </row>
    <row r="277" spans="2:12">
      <c r="B277" s="553">
        <v>44230</v>
      </c>
      <c r="C277" t="s">
        <v>1081</v>
      </c>
      <c r="D277" s="28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0">
        <v>2766.67</v>
      </c>
      <c r="K277" s="560">
        <f t="shared" si="9"/>
        <v>27</v>
      </c>
      <c r="L277" s="560">
        <f t="shared" si="10"/>
        <v>14</v>
      </c>
    </row>
    <row r="278" spans="2:12">
      <c r="B278" s="553">
        <v>44230</v>
      </c>
      <c r="C278" t="s">
        <v>1081</v>
      </c>
      <c r="D278" s="28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0">
        <v>1383.33</v>
      </c>
      <c r="K278" s="560">
        <f t="shared" si="9"/>
        <v>27</v>
      </c>
      <c r="L278" s="560">
        <f t="shared" si="10"/>
        <v>13</v>
      </c>
    </row>
    <row r="279" spans="2:12">
      <c r="B279" s="553">
        <v>44230</v>
      </c>
      <c r="C279" t="s">
        <v>1081</v>
      </c>
      <c r="D279" s="28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0">
        <v>11066.67</v>
      </c>
      <c r="K279" s="560">
        <f t="shared" si="9"/>
        <v>27</v>
      </c>
      <c r="L279" s="560">
        <f t="shared" si="10"/>
        <v>12</v>
      </c>
    </row>
    <row r="280" spans="2:12">
      <c r="B280" s="553">
        <v>44230</v>
      </c>
      <c r="C280" t="s">
        <v>1081</v>
      </c>
      <c r="D280" s="28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0">
        <v>691.67</v>
      </c>
      <c r="K280" s="560">
        <f t="shared" si="9"/>
        <v>27</v>
      </c>
      <c r="L280" s="560">
        <f t="shared" si="10"/>
        <v>11</v>
      </c>
    </row>
    <row r="281" spans="2:12">
      <c r="B281" s="553">
        <v>44230</v>
      </c>
      <c r="C281" t="s">
        <v>1081</v>
      </c>
      <c r="D281" s="28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0">
        <v>1383.33</v>
      </c>
      <c r="K281" s="560">
        <f t="shared" si="9"/>
        <v>27</v>
      </c>
      <c r="L281" s="560">
        <f t="shared" si="10"/>
        <v>10</v>
      </c>
    </row>
    <row r="282" spans="2:12">
      <c r="B282" s="553">
        <v>44230</v>
      </c>
      <c r="C282" t="s">
        <v>1081</v>
      </c>
      <c r="D282" s="28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0">
        <v>3043.33</v>
      </c>
      <c r="K282" s="560">
        <f t="shared" si="9"/>
        <v>27</v>
      </c>
      <c r="L282" s="560">
        <f t="shared" si="10"/>
        <v>9</v>
      </c>
    </row>
    <row r="283" spans="2:12">
      <c r="B283" s="553">
        <v>44230</v>
      </c>
      <c r="C283" t="s">
        <v>1081</v>
      </c>
      <c r="D283" s="28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0">
        <v>82446.67</v>
      </c>
      <c r="K283" s="560">
        <f t="shared" si="9"/>
        <v>27</v>
      </c>
      <c r="L283" s="560">
        <f t="shared" si="10"/>
        <v>8</v>
      </c>
    </row>
    <row r="284" spans="2:12">
      <c r="B284" s="553">
        <v>44230</v>
      </c>
      <c r="C284" t="s">
        <v>1081</v>
      </c>
      <c r="D284" s="28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0">
        <v>1660</v>
      </c>
      <c r="K284" s="560">
        <f t="shared" si="9"/>
        <v>27</v>
      </c>
      <c r="L284" s="560">
        <f t="shared" si="10"/>
        <v>7</v>
      </c>
    </row>
    <row r="285" spans="2:12">
      <c r="B285" s="553">
        <v>44230</v>
      </c>
      <c r="C285" t="s">
        <v>1081</v>
      </c>
      <c r="D285" s="28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0">
        <v>1383.33</v>
      </c>
      <c r="K285" s="560">
        <f t="shared" si="9"/>
        <v>27</v>
      </c>
      <c r="L285" s="560">
        <f t="shared" si="10"/>
        <v>6</v>
      </c>
    </row>
    <row r="286" spans="2:12">
      <c r="B286" s="553">
        <v>44230</v>
      </c>
      <c r="C286" t="s">
        <v>1081</v>
      </c>
      <c r="D286" s="28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0">
        <v>6916.67</v>
      </c>
      <c r="K286" s="560">
        <f t="shared" si="9"/>
        <v>27</v>
      </c>
      <c r="L286" s="560">
        <f t="shared" si="10"/>
        <v>5</v>
      </c>
    </row>
    <row r="287" spans="2:12">
      <c r="B287" s="553">
        <v>44230</v>
      </c>
      <c r="C287" t="s">
        <v>1081</v>
      </c>
      <c r="D287" s="28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0">
        <v>1383.33</v>
      </c>
      <c r="K287" s="560">
        <f t="shared" si="9"/>
        <v>27</v>
      </c>
      <c r="L287" s="560">
        <f t="shared" si="10"/>
        <v>4</v>
      </c>
    </row>
    <row r="288" spans="2:12">
      <c r="B288" s="553">
        <v>44230</v>
      </c>
      <c r="C288" t="s">
        <v>1081</v>
      </c>
      <c r="D288" s="28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0">
        <v>3375.33</v>
      </c>
      <c r="K288" s="560">
        <f t="shared" si="9"/>
        <v>27</v>
      </c>
      <c r="L288" s="560">
        <f t="shared" si="10"/>
        <v>3</v>
      </c>
    </row>
    <row r="289" spans="1:19">
      <c r="B289" s="553">
        <v>44230</v>
      </c>
      <c r="C289" t="s">
        <v>1081</v>
      </c>
      <c r="D289" s="28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0">
        <v>3320</v>
      </c>
      <c r="K289" s="560">
        <f t="shared" si="9"/>
        <v>27</v>
      </c>
      <c r="L289" s="560">
        <f t="shared" si="10"/>
        <v>2</v>
      </c>
    </row>
    <row r="290" spans="1:19">
      <c r="A290" t="s">
        <v>2112</v>
      </c>
      <c r="B290" s="553">
        <v>44230</v>
      </c>
      <c r="C290" t="s">
        <v>1081</v>
      </c>
      <c r="D290" s="28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0">
        <v>8468.65</v>
      </c>
      <c r="K290" s="560">
        <f t="shared" si="9"/>
        <v>27</v>
      </c>
      <c r="L290" s="560">
        <f t="shared" si="10"/>
        <v>1</v>
      </c>
      <c r="M290" s="560" t="e">
        <f>SUMIFS('[1]MAIN-101'!$Z$1:$Z$3000,'[1]MAIN-101'!$X$1:$X$3000,S290)</f>
        <v>#VALUE!</v>
      </c>
      <c r="N290" s="560"/>
      <c r="O290" s="560"/>
      <c r="S290" t="str">
        <f>VLOOKUP(C290,'Recon of ORS and DV'!$A$4:$B$358,2,FALSE)</f>
        <v>0149</v>
      </c>
    </row>
    <row r="291" spans="1:19">
      <c r="B291" s="553">
        <v>44230</v>
      </c>
      <c r="C291" t="s">
        <v>1082</v>
      </c>
      <c r="D291" s="28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0">
        <v>996</v>
      </c>
      <c r="K291" s="560">
        <f t="shared" si="9"/>
        <v>26</v>
      </c>
      <c r="L291" s="560">
        <f t="shared" si="10"/>
        <v>26</v>
      </c>
    </row>
    <row r="292" spans="1:19">
      <c r="B292" s="553">
        <v>44230</v>
      </c>
      <c r="C292" t="s">
        <v>1082</v>
      </c>
      <c r="D292" s="28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0">
        <v>7470</v>
      </c>
      <c r="K292" s="560">
        <f t="shared" si="9"/>
        <v>26</v>
      </c>
      <c r="L292" s="560">
        <f t="shared" si="10"/>
        <v>25</v>
      </c>
    </row>
    <row r="293" spans="1:19">
      <c r="B293" s="553">
        <v>44230</v>
      </c>
      <c r="C293" t="s">
        <v>1082</v>
      </c>
      <c r="D293" s="28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0">
        <v>4150</v>
      </c>
      <c r="K293" s="560">
        <f t="shared" si="9"/>
        <v>26</v>
      </c>
      <c r="L293" s="560">
        <f t="shared" si="10"/>
        <v>24</v>
      </c>
    </row>
    <row r="294" spans="1:19">
      <c r="B294" s="553">
        <v>44230</v>
      </c>
      <c r="C294" t="s">
        <v>1082</v>
      </c>
      <c r="D294" s="28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0">
        <v>1660</v>
      </c>
      <c r="K294" s="560">
        <f t="shared" si="9"/>
        <v>26</v>
      </c>
      <c r="L294" s="560">
        <f t="shared" si="10"/>
        <v>23</v>
      </c>
    </row>
    <row r="295" spans="1:19">
      <c r="B295" s="553">
        <v>44230</v>
      </c>
      <c r="C295" t="s">
        <v>1082</v>
      </c>
      <c r="D295" s="28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0">
        <v>6640</v>
      </c>
      <c r="K295" s="560">
        <f t="shared" si="9"/>
        <v>26</v>
      </c>
      <c r="L295" s="560">
        <f t="shared" si="10"/>
        <v>22</v>
      </c>
    </row>
    <row r="296" spans="1:19">
      <c r="B296" s="553">
        <v>44230</v>
      </c>
      <c r="C296" t="s">
        <v>1082</v>
      </c>
      <c r="D296" s="28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0">
        <v>3320</v>
      </c>
      <c r="K296" s="560">
        <f t="shared" si="9"/>
        <v>26</v>
      </c>
      <c r="L296" s="560">
        <f t="shared" si="10"/>
        <v>21</v>
      </c>
    </row>
    <row r="297" spans="1:19">
      <c r="B297" s="553">
        <v>44230</v>
      </c>
      <c r="C297" t="s">
        <v>1082</v>
      </c>
      <c r="D297" s="28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0">
        <v>1660</v>
      </c>
      <c r="K297" s="560">
        <f t="shared" si="9"/>
        <v>26</v>
      </c>
      <c r="L297" s="560">
        <f t="shared" si="10"/>
        <v>20</v>
      </c>
    </row>
    <row r="298" spans="1:19">
      <c r="B298" s="553">
        <v>44230</v>
      </c>
      <c r="C298" t="s">
        <v>1082</v>
      </c>
      <c r="D298" s="28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0">
        <v>2988</v>
      </c>
      <c r="K298" s="560">
        <f t="shared" si="9"/>
        <v>26</v>
      </c>
      <c r="L298" s="560">
        <f t="shared" si="10"/>
        <v>19</v>
      </c>
    </row>
    <row r="299" spans="1:19">
      <c r="B299" s="553">
        <v>44230</v>
      </c>
      <c r="C299" t="s">
        <v>1082</v>
      </c>
      <c r="D299" s="28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0">
        <v>581</v>
      </c>
      <c r="K299" s="560">
        <f t="shared" si="9"/>
        <v>26</v>
      </c>
      <c r="L299" s="560">
        <f t="shared" si="10"/>
        <v>18</v>
      </c>
    </row>
    <row r="300" spans="1:19">
      <c r="B300" s="553">
        <v>44230</v>
      </c>
      <c r="C300" t="s">
        <v>1082</v>
      </c>
      <c r="D300" s="28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0">
        <v>1590.83</v>
      </c>
      <c r="K300" s="560">
        <f t="shared" si="9"/>
        <v>26</v>
      </c>
      <c r="L300" s="560">
        <f t="shared" si="10"/>
        <v>17</v>
      </c>
    </row>
    <row r="301" spans="1:19">
      <c r="B301" s="553">
        <v>44230</v>
      </c>
      <c r="C301" t="s">
        <v>1082</v>
      </c>
      <c r="D301" s="28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0">
        <v>15825.33</v>
      </c>
      <c r="K301" s="560">
        <f t="shared" si="9"/>
        <v>26</v>
      </c>
      <c r="L301" s="560">
        <f t="shared" si="10"/>
        <v>16</v>
      </c>
    </row>
    <row r="302" spans="1:19">
      <c r="B302" s="553">
        <v>44230</v>
      </c>
      <c r="C302" t="s">
        <v>1082</v>
      </c>
      <c r="D302" s="28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0">
        <v>86564.57</v>
      </c>
      <c r="K302" s="560">
        <f t="shared" si="9"/>
        <v>26</v>
      </c>
      <c r="L302" s="560">
        <f t="shared" si="10"/>
        <v>15</v>
      </c>
    </row>
    <row r="303" spans="1:19">
      <c r="B303" s="553">
        <v>44230</v>
      </c>
      <c r="C303" t="s">
        <v>1082</v>
      </c>
      <c r="D303" s="28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0">
        <v>6916.67</v>
      </c>
      <c r="K303" s="560">
        <f t="shared" si="9"/>
        <v>26</v>
      </c>
      <c r="L303" s="560">
        <f t="shared" si="10"/>
        <v>14</v>
      </c>
    </row>
    <row r="304" spans="1:19">
      <c r="B304" s="553">
        <v>44230</v>
      </c>
      <c r="C304" t="s">
        <v>1082</v>
      </c>
      <c r="D304" s="28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0">
        <v>2766.67</v>
      </c>
      <c r="K304" s="560">
        <f t="shared" si="9"/>
        <v>26</v>
      </c>
      <c r="L304" s="560">
        <f t="shared" si="10"/>
        <v>13</v>
      </c>
    </row>
    <row r="305" spans="1:19">
      <c r="B305" s="553">
        <v>44230</v>
      </c>
      <c r="C305" t="s">
        <v>1082</v>
      </c>
      <c r="D305" s="28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0">
        <v>1383.33</v>
      </c>
      <c r="K305" s="560">
        <f t="shared" si="9"/>
        <v>26</v>
      </c>
      <c r="L305" s="560">
        <f t="shared" si="10"/>
        <v>12</v>
      </c>
    </row>
    <row r="306" spans="1:19">
      <c r="B306" s="553">
        <v>44230</v>
      </c>
      <c r="C306" t="s">
        <v>1082</v>
      </c>
      <c r="D306" s="28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0">
        <v>20750</v>
      </c>
      <c r="K306" s="560">
        <f t="shared" si="9"/>
        <v>26</v>
      </c>
      <c r="L306" s="560">
        <f t="shared" si="10"/>
        <v>11</v>
      </c>
    </row>
    <row r="307" spans="1:19">
      <c r="B307" s="553">
        <v>44230</v>
      </c>
      <c r="C307" t="s">
        <v>1082</v>
      </c>
      <c r="D307" s="28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0">
        <v>691.67</v>
      </c>
      <c r="K307" s="560">
        <f t="shared" si="9"/>
        <v>26</v>
      </c>
      <c r="L307" s="560">
        <f t="shared" si="10"/>
        <v>10</v>
      </c>
    </row>
    <row r="308" spans="1:19">
      <c r="B308" s="553">
        <v>44230</v>
      </c>
      <c r="C308" t="s">
        <v>1082</v>
      </c>
      <c r="D308" s="28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0">
        <v>1746.46</v>
      </c>
      <c r="K308" s="560">
        <f t="shared" si="9"/>
        <v>26</v>
      </c>
      <c r="L308" s="560">
        <f t="shared" si="10"/>
        <v>9</v>
      </c>
    </row>
    <row r="309" spans="1:19">
      <c r="B309" s="553">
        <v>44230</v>
      </c>
      <c r="C309" t="s">
        <v>1082</v>
      </c>
      <c r="D309" s="28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0">
        <v>3043.33</v>
      </c>
      <c r="K309" s="560">
        <f t="shared" si="9"/>
        <v>26</v>
      </c>
      <c r="L309" s="560">
        <f t="shared" si="10"/>
        <v>8</v>
      </c>
    </row>
    <row r="310" spans="1:19">
      <c r="B310" s="553">
        <v>44230</v>
      </c>
      <c r="C310" t="s">
        <v>1082</v>
      </c>
      <c r="D310" s="28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0">
        <v>36520</v>
      </c>
      <c r="K310" s="560">
        <f t="shared" si="9"/>
        <v>26</v>
      </c>
      <c r="L310" s="560">
        <f t="shared" si="10"/>
        <v>7</v>
      </c>
    </row>
    <row r="311" spans="1:19">
      <c r="B311" s="553">
        <v>44230</v>
      </c>
      <c r="C311" t="s">
        <v>1082</v>
      </c>
      <c r="D311" s="28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0">
        <v>1383.33</v>
      </c>
      <c r="K311" s="560">
        <f t="shared" si="9"/>
        <v>26</v>
      </c>
      <c r="L311" s="560">
        <f t="shared" si="10"/>
        <v>6</v>
      </c>
    </row>
    <row r="312" spans="1:19">
      <c r="B312" s="553">
        <v>44230</v>
      </c>
      <c r="C312" t="s">
        <v>1082</v>
      </c>
      <c r="D312" s="28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0">
        <v>6916.67</v>
      </c>
      <c r="K312" s="560">
        <f t="shared" si="9"/>
        <v>26</v>
      </c>
      <c r="L312" s="560">
        <f t="shared" si="10"/>
        <v>5</v>
      </c>
    </row>
    <row r="313" spans="1:19">
      <c r="B313" s="553">
        <v>44230</v>
      </c>
      <c r="C313" t="s">
        <v>1082</v>
      </c>
      <c r="D313" s="28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0">
        <v>691.67</v>
      </c>
      <c r="K313" s="560">
        <f t="shared" si="9"/>
        <v>26</v>
      </c>
      <c r="L313" s="560">
        <f t="shared" si="10"/>
        <v>4</v>
      </c>
    </row>
    <row r="314" spans="1:19">
      <c r="B314" s="553">
        <v>44230</v>
      </c>
      <c r="C314" t="s">
        <v>1082</v>
      </c>
      <c r="D314" s="28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0">
        <v>2877.33</v>
      </c>
      <c r="K314" s="560">
        <f t="shared" si="9"/>
        <v>26</v>
      </c>
      <c r="L314" s="560">
        <f t="shared" si="10"/>
        <v>3</v>
      </c>
    </row>
    <row r="315" spans="1:19">
      <c r="B315" s="553">
        <v>44230</v>
      </c>
      <c r="C315" t="s">
        <v>1082</v>
      </c>
      <c r="D315" s="28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0">
        <v>5533.33</v>
      </c>
      <c r="K315" s="560">
        <f t="shared" si="9"/>
        <v>26</v>
      </c>
      <c r="L315" s="560">
        <f t="shared" si="10"/>
        <v>2</v>
      </c>
    </row>
    <row r="316" spans="1:19">
      <c r="A316" t="s">
        <v>2113</v>
      </c>
      <c r="B316" s="553">
        <v>44230</v>
      </c>
      <c r="C316" t="s">
        <v>1082</v>
      </c>
      <c r="D316" s="28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0">
        <v>6301.33</v>
      </c>
      <c r="K316" s="560">
        <f t="shared" si="9"/>
        <v>26</v>
      </c>
      <c r="L316" s="560">
        <f t="shared" si="10"/>
        <v>1</v>
      </c>
      <c r="M316" s="560" t="e">
        <f>SUMIFS('[1]MAIN-101'!$Z$1:$Z$3000,'[1]MAIN-101'!$X$1:$X$3000,S316)</f>
        <v>#VALUE!</v>
      </c>
      <c r="N316" s="560"/>
      <c r="O316" s="560"/>
      <c r="S316" t="str">
        <f>VLOOKUP(C316,'Recon of ORS and DV'!$A$4:$B$358,2,FALSE)</f>
        <v>0150</v>
      </c>
    </row>
    <row r="317" spans="1:19">
      <c r="B317" s="553">
        <v>44230</v>
      </c>
      <c r="C317" t="s">
        <v>1083</v>
      </c>
      <c r="D317" s="28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0">
        <v>33384</v>
      </c>
      <c r="K317" s="560">
        <f t="shared" si="9"/>
        <v>4</v>
      </c>
      <c r="L317" s="560">
        <f t="shared" si="10"/>
        <v>4</v>
      </c>
    </row>
    <row r="318" spans="1:19">
      <c r="B318" s="553">
        <v>44230</v>
      </c>
      <c r="C318" t="s">
        <v>1083</v>
      </c>
      <c r="D318" s="28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0">
        <v>20564.91</v>
      </c>
      <c r="K318" s="560">
        <f t="shared" si="9"/>
        <v>4</v>
      </c>
      <c r="L318" s="560">
        <f t="shared" si="10"/>
        <v>3</v>
      </c>
    </row>
    <row r="319" spans="1:19">
      <c r="B319" s="553">
        <v>44230</v>
      </c>
      <c r="C319" t="s">
        <v>1083</v>
      </c>
      <c r="D319" s="28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0">
        <v>5534</v>
      </c>
      <c r="K319" s="560">
        <f t="shared" si="9"/>
        <v>4</v>
      </c>
      <c r="L319" s="560">
        <f t="shared" si="10"/>
        <v>2</v>
      </c>
    </row>
    <row r="320" spans="1:19">
      <c r="A320" t="s">
        <v>2114</v>
      </c>
      <c r="B320" s="553">
        <v>44230</v>
      </c>
      <c r="C320" t="s">
        <v>1083</v>
      </c>
      <c r="D320" s="28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0">
        <v>5534</v>
      </c>
      <c r="K320" s="560">
        <f t="shared" si="9"/>
        <v>4</v>
      </c>
      <c r="L320" s="560">
        <f t="shared" si="10"/>
        <v>1</v>
      </c>
      <c r="M320" s="560" t="e">
        <f>SUMIFS('[1]MAIN-101'!$Z$1:$Z$3000,'[1]MAIN-101'!$X$1:$X$3000,S320)</f>
        <v>#VALUE!</v>
      </c>
      <c r="N320" s="560"/>
      <c r="O320" s="560"/>
      <c r="S320" t="str">
        <f>VLOOKUP(C320,'Recon of ORS and DV'!$A$4:$B$358,2,FALSE)</f>
        <v>0151</v>
      </c>
    </row>
    <row r="321" spans="1:19">
      <c r="B321" s="553">
        <v>44230</v>
      </c>
      <c r="C321" t="s">
        <v>1084</v>
      </c>
      <c r="D321" s="28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0">
        <v>5000</v>
      </c>
      <c r="K321" s="560">
        <f t="shared" si="9"/>
        <v>3</v>
      </c>
      <c r="L321" s="560">
        <f t="shared" si="10"/>
        <v>3</v>
      </c>
    </row>
    <row r="322" spans="1:19">
      <c r="B322" s="553">
        <v>44230</v>
      </c>
      <c r="C322" t="s">
        <v>1084</v>
      </c>
      <c r="D322" s="28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0">
        <v>6281.33</v>
      </c>
      <c r="K322" s="560">
        <f t="shared" si="9"/>
        <v>3</v>
      </c>
      <c r="L322" s="560">
        <f t="shared" si="10"/>
        <v>2</v>
      </c>
    </row>
    <row r="323" spans="1:19">
      <c r="A323" t="s">
        <v>2115</v>
      </c>
      <c r="B323" s="553">
        <v>44230</v>
      </c>
      <c r="C323" t="s">
        <v>1084</v>
      </c>
      <c r="D323" s="28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0">
        <v>5600</v>
      </c>
      <c r="K323" s="560">
        <f t="shared" si="9"/>
        <v>3</v>
      </c>
      <c r="L323" s="560">
        <f t="shared" si="10"/>
        <v>1</v>
      </c>
      <c r="M323" s="560" t="e">
        <f>SUMIFS('[1]MAIN-101'!$Z$1:$Z$3000,'[1]MAIN-101'!$X$1:$X$3000,S323)</f>
        <v>#VALUE!</v>
      </c>
      <c r="N323" s="560"/>
      <c r="O323" s="560"/>
      <c r="S323" t="str">
        <f>VLOOKUP(C323,'Recon of ORS and DV'!$A$4:$B$358,2,FALSE)</f>
        <v>0152</v>
      </c>
    </row>
    <row r="324" spans="1:19">
      <c r="B324" s="553">
        <v>44231</v>
      </c>
      <c r="C324" t="s">
        <v>1085</v>
      </c>
      <c r="D324" s="28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0">
        <v>3952.09</v>
      </c>
      <c r="K324" s="560">
        <f t="shared" ref="K324:K387" si="11">COUNTIFS($C$3:$C$1556,C324)</f>
        <v>2</v>
      </c>
      <c r="L324" s="560">
        <f t="shared" si="10"/>
        <v>2</v>
      </c>
    </row>
    <row r="325" spans="1:19">
      <c r="A325" t="s">
        <v>2116</v>
      </c>
      <c r="B325" s="553">
        <v>44231</v>
      </c>
      <c r="C325" t="s">
        <v>1085</v>
      </c>
      <c r="D325" s="28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0">
        <v>242.64</v>
      </c>
      <c r="K325" s="560">
        <f t="shared" si="11"/>
        <v>2</v>
      </c>
      <c r="L325" s="560">
        <f t="shared" si="10"/>
        <v>1</v>
      </c>
      <c r="M325" s="560" t="e">
        <f>SUMIFS('[1]MAIN-101'!$Z$1:$Z$3000,'[1]MAIN-101'!$X$1:$X$3000,S325)</f>
        <v>#VALUE!</v>
      </c>
      <c r="N325" s="560"/>
      <c r="O325" s="560"/>
      <c r="S325" t="str">
        <f>VLOOKUP(C325,'Recon of ORS and DV'!$A$4:$B$358,2,FALSE)</f>
        <v>0172</v>
      </c>
    </row>
    <row r="326" spans="1:19">
      <c r="B326" s="553">
        <v>44231</v>
      </c>
      <c r="C326" t="s">
        <v>1087</v>
      </c>
      <c r="D326" s="28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0">
        <v>11158</v>
      </c>
      <c r="K326" s="560">
        <f t="shared" si="11"/>
        <v>3</v>
      </c>
      <c r="L326" s="560">
        <f t="shared" si="10"/>
        <v>3</v>
      </c>
    </row>
    <row r="327" spans="1:19">
      <c r="B327" s="553">
        <v>44231</v>
      </c>
      <c r="C327" t="s">
        <v>1087</v>
      </c>
      <c r="D327" s="28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0">
        <v>10000</v>
      </c>
      <c r="K327" s="560">
        <f t="shared" si="11"/>
        <v>3</v>
      </c>
      <c r="L327" s="560">
        <f t="shared" si="10"/>
        <v>2</v>
      </c>
    </row>
    <row r="328" spans="1:19">
      <c r="A328" t="s">
        <v>2117</v>
      </c>
      <c r="B328" s="553">
        <v>44231</v>
      </c>
      <c r="C328" t="s">
        <v>1087</v>
      </c>
      <c r="D328" s="28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0">
        <v>15000</v>
      </c>
      <c r="K328" s="560">
        <f t="shared" si="11"/>
        <v>3</v>
      </c>
      <c r="L328" s="560">
        <f t="shared" si="10"/>
        <v>1</v>
      </c>
      <c r="M328" s="560" t="e">
        <f>SUMIFS('[1]MAIN-101'!$Z$1:$Z$3000,'[1]MAIN-101'!$X$1:$X$3000,S328)</f>
        <v>#VALUE!</v>
      </c>
      <c r="N328" s="560"/>
      <c r="O328" s="560"/>
      <c r="S328" t="str">
        <f>VLOOKUP(C328,'Recon of ORS and DV'!$A$4:$B$358,2,FALSE)</f>
        <v>0176</v>
      </c>
    </row>
    <row r="329" spans="1:19">
      <c r="B329" s="553">
        <v>44231</v>
      </c>
      <c r="C329" t="s">
        <v>1088</v>
      </c>
      <c r="D329" s="28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0">
        <v>546300</v>
      </c>
      <c r="K329" s="560">
        <f t="shared" si="11"/>
        <v>2</v>
      </c>
      <c r="L329" s="560">
        <f t="shared" si="10"/>
        <v>2</v>
      </c>
    </row>
    <row r="330" spans="1:19">
      <c r="A330" t="s">
        <v>2118</v>
      </c>
      <c r="B330" s="553">
        <v>44231</v>
      </c>
      <c r="C330" t="s">
        <v>1088</v>
      </c>
      <c r="D330" s="28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0">
        <v>500000</v>
      </c>
      <c r="K330" s="560">
        <f t="shared" si="11"/>
        <v>2</v>
      </c>
      <c r="L330" s="560">
        <f t="shared" si="10"/>
        <v>1</v>
      </c>
      <c r="M330" s="560" t="e">
        <f>SUMIFS('[1]MAIN-101'!$Z$1:$Z$3000,'[1]MAIN-101'!$X$1:$X$3000,S330)</f>
        <v>#VALUE!</v>
      </c>
      <c r="N330" s="560"/>
      <c r="O330" s="560"/>
      <c r="S330" t="str">
        <f>VLOOKUP(C330,'Recon of ORS and DV'!$A$4:$B$358,2,FALSE)</f>
        <v>0177</v>
      </c>
    </row>
    <row r="331" spans="1:19">
      <c r="A331" t="s">
        <v>2119</v>
      </c>
      <c r="B331" s="553">
        <v>44231</v>
      </c>
      <c r="C331" t="s">
        <v>1090</v>
      </c>
      <c r="D331" s="28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0">
        <v>535050</v>
      </c>
      <c r="K331" s="560">
        <f t="shared" si="11"/>
        <v>1</v>
      </c>
      <c r="L331" s="560">
        <f t="shared" si="10"/>
        <v>1</v>
      </c>
      <c r="M331" s="560" t="e">
        <f>SUMIFS('[1]MAIN-101'!$Z$1:$Z$3000,'[1]MAIN-101'!$X$1:$X$3000,S331)</f>
        <v>#VALUE!</v>
      </c>
      <c r="N331" s="560"/>
      <c r="O331" s="560"/>
      <c r="S331" t="str">
        <f>VLOOKUP(C331,'Recon of ORS and DV'!$A$4:$B$358,2,FALSE)</f>
        <v>0178</v>
      </c>
    </row>
    <row r="332" spans="1:19">
      <c r="B332" s="553">
        <v>44231</v>
      </c>
      <c r="C332" t="s">
        <v>1091</v>
      </c>
      <c r="D332" s="28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0">
        <v>463500</v>
      </c>
      <c r="K332" s="560">
        <f t="shared" si="11"/>
        <v>2</v>
      </c>
      <c r="L332" s="560">
        <f t="shared" si="10"/>
        <v>2</v>
      </c>
    </row>
    <row r="333" spans="1:19">
      <c r="A333" t="s">
        <v>2120</v>
      </c>
      <c r="B333" s="553">
        <v>44231</v>
      </c>
      <c r="C333" t="s">
        <v>1091</v>
      </c>
      <c r="D333" s="28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0">
        <v>500000</v>
      </c>
      <c r="K333" s="560">
        <f t="shared" si="11"/>
        <v>2</v>
      </c>
      <c r="L333" s="560">
        <f t="shared" si="10"/>
        <v>1</v>
      </c>
      <c r="M333" s="560" t="e">
        <f>SUMIFS('[1]MAIN-101'!$Z$1:$Z$3000,'[1]MAIN-101'!$X$1:$X$3000,S333)</f>
        <v>#VALUE!</v>
      </c>
      <c r="N333" s="560"/>
      <c r="O333" s="560"/>
      <c r="S333" t="str">
        <f>VLOOKUP(C333,'Recon of ORS and DV'!$A$4:$B$358,2,FALSE)</f>
        <v>0179</v>
      </c>
    </row>
    <row r="334" spans="1:19">
      <c r="B334" s="553">
        <v>44231</v>
      </c>
      <c r="C334" t="s">
        <v>1092</v>
      </c>
      <c r="D334" s="28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0">
        <v>370350</v>
      </c>
      <c r="K334" s="560">
        <f t="shared" si="11"/>
        <v>2</v>
      </c>
      <c r="L334" s="560">
        <f t="shared" si="10"/>
        <v>2</v>
      </c>
    </row>
    <row r="335" spans="1:19">
      <c r="A335" t="s">
        <v>2121</v>
      </c>
      <c r="B335" s="553">
        <v>44231</v>
      </c>
      <c r="C335" t="s">
        <v>1092</v>
      </c>
      <c r="D335" s="28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0">
        <v>500000</v>
      </c>
      <c r="K335" s="560">
        <f t="shared" si="11"/>
        <v>2</v>
      </c>
      <c r="L335" s="560">
        <f t="shared" ref="L335:L398" si="12">COUNTIFS(C335:C1888,C335)</f>
        <v>1</v>
      </c>
      <c r="M335" s="560" t="e">
        <f>SUMIFS('[1]MAIN-101'!$Z$1:$Z$3000,'[1]MAIN-101'!$X$1:$X$3000,S335)</f>
        <v>#VALUE!</v>
      </c>
      <c r="N335" s="560"/>
      <c r="O335" s="560"/>
      <c r="S335" t="str">
        <f>VLOOKUP(C335,'Recon of ORS and DV'!$A$4:$B$358,2,FALSE)</f>
        <v>0180</v>
      </c>
    </row>
    <row r="336" spans="1:19">
      <c r="B336" s="553">
        <v>44231</v>
      </c>
      <c r="C336" t="s">
        <v>1093</v>
      </c>
      <c r="D336" s="28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0">
        <v>315900</v>
      </c>
      <c r="K336" s="560">
        <f t="shared" si="11"/>
        <v>2</v>
      </c>
      <c r="L336" s="560">
        <f t="shared" si="12"/>
        <v>2</v>
      </c>
    </row>
    <row r="337" spans="1:19">
      <c r="A337" t="s">
        <v>2122</v>
      </c>
      <c r="B337" s="553">
        <v>44231</v>
      </c>
      <c r="C337" t="s">
        <v>1093</v>
      </c>
      <c r="D337" s="28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0">
        <v>500000</v>
      </c>
      <c r="K337" s="560">
        <f t="shared" si="11"/>
        <v>2</v>
      </c>
      <c r="L337" s="560">
        <f t="shared" si="12"/>
        <v>1</v>
      </c>
      <c r="M337" s="560" t="e">
        <f>SUMIFS('[1]MAIN-101'!$Z$1:$Z$3000,'[1]MAIN-101'!$X$1:$X$3000,S337)</f>
        <v>#VALUE!</v>
      </c>
      <c r="N337" s="560"/>
      <c r="O337" s="560"/>
      <c r="S337" t="str">
        <f>VLOOKUP(C337,'Recon of ORS and DV'!$A$4:$B$358,2,FALSE)</f>
        <v>0181</v>
      </c>
    </row>
    <row r="338" spans="1:19">
      <c r="B338" s="553">
        <v>44235</v>
      </c>
      <c r="C338" t="s">
        <v>1094</v>
      </c>
      <c r="D338" s="28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0">
        <v>54795</v>
      </c>
      <c r="K338" s="560">
        <f t="shared" si="11"/>
        <v>3</v>
      </c>
      <c r="L338" s="560">
        <f t="shared" si="12"/>
        <v>3</v>
      </c>
    </row>
    <row r="339" spans="1:19">
      <c r="B339" s="553">
        <v>44235</v>
      </c>
      <c r="C339" t="s">
        <v>1094</v>
      </c>
      <c r="D339" s="28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0">
        <v>6575.4</v>
      </c>
      <c r="K339" s="560">
        <f t="shared" si="11"/>
        <v>3</v>
      </c>
      <c r="L339" s="560">
        <f t="shared" si="12"/>
        <v>2</v>
      </c>
    </row>
    <row r="340" spans="1:19">
      <c r="A340" t="s">
        <v>2123</v>
      </c>
      <c r="B340" s="553">
        <v>44235</v>
      </c>
      <c r="C340" t="s">
        <v>1094</v>
      </c>
      <c r="D340" s="28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0">
        <v>643.82000000000005</v>
      </c>
      <c r="K340" s="560">
        <f t="shared" si="11"/>
        <v>3</v>
      </c>
      <c r="L340" s="560">
        <f t="shared" si="12"/>
        <v>1</v>
      </c>
      <c r="M340" s="560" t="e">
        <f>SUMIFS('[1]MAIN-101'!$Z$1:$Z$3000,'[1]MAIN-101'!$X$1:$X$3000,S340)</f>
        <v>#VALUE!</v>
      </c>
      <c r="N340" s="560"/>
      <c r="O340" s="560"/>
      <c r="S340" t="str">
        <f>VLOOKUP(C340,'Recon of ORS and DV'!$A$4:$B$358,2,FALSE)</f>
        <v>0185</v>
      </c>
    </row>
    <row r="341" spans="1:19">
      <c r="B341" s="553">
        <v>44235</v>
      </c>
      <c r="C341" t="s">
        <v>1096</v>
      </c>
      <c r="D341" s="28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0">
        <v>15120</v>
      </c>
      <c r="K341" s="560">
        <f t="shared" si="11"/>
        <v>3</v>
      </c>
      <c r="L341" s="560">
        <f t="shared" si="12"/>
        <v>3</v>
      </c>
    </row>
    <row r="342" spans="1:19">
      <c r="B342" s="553">
        <v>44235</v>
      </c>
      <c r="C342" t="s">
        <v>1096</v>
      </c>
      <c r="D342" s="28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0">
        <v>1878.6</v>
      </c>
      <c r="K342" s="560">
        <f t="shared" si="11"/>
        <v>3</v>
      </c>
      <c r="L342" s="560">
        <f t="shared" si="12"/>
        <v>2</v>
      </c>
    </row>
    <row r="343" spans="1:19">
      <c r="A343" t="s">
        <v>2124</v>
      </c>
      <c r="B343" s="553">
        <v>44235</v>
      </c>
      <c r="C343" t="s">
        <v>1096</v>
      </c>
      <c r="D343" s="28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0">
        <v>169.13</v>
      </c>
      <c r="K343" s="560">
        <f t="shared" si="11"/>
        <v>3</v>
      </c>
      <c r="L343" s="560">
        <f t="shared" si="12"/>
        <v>1</v>
      </c>
      <c r="M343" s="560" t="e">
        <f>SUMIFS('[1]MAIN-101'!$Z$1:$Z$3000,'[1]MAIN-101'!$X$1:$X$3000,S343)</f>
        <v>#VALUE!</v>
      </c>
      <c r="N343" s="560"/>
      <c r="O343" s="560"/>
      <c r="S343" t="str">
        <f>VLOOKUP(C343,'Recon of ORS and DV'!$A$4:$B$358,2,FALSE)</f>
        <v>0186</v>
      </c>
    </row>
    <row r="344" spans="1:19">
      <c r="B344" s="553">
        <v>44235</v>
      </c>
      <c r="C344" t="s">
        <v>1097</v>
      </c>
      <c r="D344" s="28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0">
        <v>15614</v>
      </c>
      <c r="K344" s="560">
        <f t="shared" si="11"/>
        <v>3</v>
      </c>
      <c r="L344" s="560">
        <f t="shared" si="12"/>
        <v>3</v>
      </c>
    </row>
    <row r="345" spans="1:19">
      <c r="B345" s="553">
        <v>44235</v>
      </c>
      <c r="C345" t="s">
        <v>1097</v>
      </c>
      <c r="D345" s="28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0">
        <v>1873.68</v>
      </c>
      <c r="K345" s="560">
        <f t="shared" si="11"/>
        <v>3</v>
      </c>
      <c r="L345" s="560">
        <f t="shared" si="12"/>
        <v>2</v>
      </c>
    </row>
    <row r="346" spans="1:19">
      <c r="A346" t="s">
        <v>2125</v>
      </c>
      <c r="B346" s="553">
        <v>44235</v>
      </c>
      <c r="C346" t="s">
        <v>1097</v>
      </c>
      <c r="D346" s="28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0">
        <v>211</v>
      </c>
      <c r="K346" s="560">
        <f t="shared" si="11"/>
        <v>3</v>
      </c>
      <c r="L346" s="560">
        <f t="shared" si="12"/>
        <v>1</v>
      </c>
      <c r="M346" s="560" t="e">
        <f>SUMIFS('[1]MAIN-101'!$Z$1:$Z$3000,'[1]MAIN-101'!$X$1:$X$3000,S346)</f>
        <v>#VALUE!</v>
      </c>
      <c r="N346" s="560"/>
      <c r="O346" s="560"/>
      <c r="S346" t="str">
        <f>VLOOKUP(C346,'Recon of ORS and DV'!$A$4:$B$358,2,FALSE)</f>
        <v>0187</v>
      </c>
    </row>
    <row r="347" spans="1:19">
      <c r="B347" s="553">
        <v>44235</v>
      </c>
      <c r="C347" t="s">
        <v>1098</v>
      </c>
      <c r="D347" s="28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0">
        <v>16027</v>
      </c>
      <c r="K347" s="560">
        <f t="shared" si="11"/>
        <v>3</v>
      </c>
      <c r="L347" s="560">
        <f t="shared" si="12"/>
        <v>3</v>
      </c>
    </row>
    <row r="348" spans="1:19">
      <c r="B348" s="553">
        <v>44235</v>
      </c>
      <c r="C348" t="s">
        <v>1098</v>
      </c>
      <c r="D348" s="28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0">
        <v>1923.24</v>
      </c>
      <c r="K348" s="560">
        <f t="shared" si="11"/>
        <v>3</v>
      </c>
      <c r="L348" s="560">
        <f t="shared" si="12"/>
        <v>2</v>
      </c>
    </row>
    <row r="349" spans="1:19">
      <c r="A349" t="s">
        <v>2126</v>
      </c>
      <c r="B349" s="553">
        <v>44235</v>
      </c>
      <c r="C349" t="s">
        <v>1098</v>
      </c>
      <c r="D349" s="28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0">
        <v>217.2</v>
      </c>
      <c r="K349" s="560">
        <f t="shared" si="11"/>
        <v>3</v>
      </c>
      <c r="L349" s="560">
        <f t="shared" si="12"/>
        <v>1</v>
      </c>
      <c r="M349" s="560" t="e">
        <f>SUMIFS('[1]MAIN-101'!$Z$1:$Z$3000,'[1]MAIN-101'!$X$1:$X$3000,S349)</f>
        <v>#VALUE!</v>
      </c>
      <c r="N349" s="560"/>
      <c r="O349" s="560"/>
      <c r="S349" t="str">
        <f>VLOOKUP(C349,'Recon of ORS and DV'!$A$4:$B$358,2,FALSE)</f>
        <v>0188</v>
      </c>
    </row>
    <row r="350" spans="1:19">
      <c r="B350" s="553">
        <v>44235</v>
      </c>
      <c r="C350" t="s">
        <v>1099</v>
      </c>
      <c r="D350" s="28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0">
        <v>19076</v>
      </c>
      <c r="K350" s="560">
        <f t="shared" si="11"/>
        <v>3</v>
      </c>
      <c r="L350" s="560">
        <f t="shared" si="12"/>
        <v>3</v>
      </c>
    </row>
    <row r="351" spans="1:19">
      <c r="B351" s="553">
        <v>44235</v>
      </c>
      <c r="C351" t="s">
        <v>1099</v>
      </c>
      <c r="D351" s="28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0">
        <v>2289.12</v>
      </c>
      <c r="K351" s="560">
        <f t="shared" si="11"/>
        <v>3</v>
      </c>
      <c r="L351" s="560">
        <f t="shared" si="12"/>
        <v>2</v>
      </c>
    </row>
    <row r="352" spans="1:19">
      <c r="A352" t="s">
        <v>2127</v>
      </c>
      <c r="B352" s="553">
        <v>44235</v>
      </c>
      <c r="C352" t="s">
        <v>1099</v>
      </c>
      <c r="D352" s="28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0">
        <v>228.89</v>
      </c>
      <c r="K352" s="560">
        <f t="shared" si="11"/>
        <v>3</v>
      </c>
      <c r="L352" s="560">
        <f t="shared" si="12"/>
        <v>1</v>
      </c>
      <c r="M352" s="560" t="e">
        <f>SUMIFS('[1]MAIN-101'!$Z$1:$Z$3000,'[1]MAIN-101'!$X$1:$X$3000,S352)</f>
        <v>#VALUE!</v>
      </c>
      <c r="N352" s="560"/>
      <c r="O352" s="560"/>
      <c r="S352" t="str">
        <f>VLOOKUP(C352,'Recon of ORS and DV'!$A$4:$B$358,2,FALSE)</f>
        <v>0189</v>
      </c>
    </row>
    <row r="353" spans="1:19">
      <c r="B353" s="553">
        <v>44235</v>
      </c>
      <c r="C353" t="s">
        <v>1100</v>
      </c>
      <c r="D353" s="28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0">
        <v>11398</v>
      </c>
      <c r="K353" s="560">
        <f t="shared" si="11"/>
        <v>3</v>
      </c>
      <c r="L353" s="560">
        <f t="shared" si="12"/>
        <v>3</v>
      </c>
    </row>
    <row r="354" spans="1:19">
      <c r="B354" s="553">
        <v>44235</v>
      </c>
      <c r="C354" t="s">
        <v>1100</v>
      </c>
      <c r="D354" s="28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0">
        <v>1367.76</v>
      </c>
      <c r="K354" s="560">
        <f t="shared" si="11"/>
        <v>3</v>
      </c>
      <c r="L354" s="560">
        <f t="shared" si="12"/>
        <v>2</v>
      </c>
    </row>
    <row r="355" spans="1:19">
      <c r="A355" t="s">
        <v>2128</v>
      </c>
      <c r="B355" s="553">
        <v>44235</v>
      </c>
      <c r="C355" t="s">
        <v>1100</v>
      </c>
      <c r="D355" s="28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0">
        <v>138.75</v>
      </c>
      <c r="K355" s="560">
        <f t="shared" si="11"/>
        <v>3</v>
      </c>
      <c r="L355" s="560">
        <f t="shared" si="12"/>
        <v>1</v>
      </c>
      <c r="M355" s="560" t="e">
        <f>SUMIFS('[1]MAIN-101'!$Z$1:$Z$3000,'[1]MAIN-101'!$X$1:$X$3000,S355)</f>
        <v>#VALUE!</v>
      </c>
      <c r="N355" s="560"/>
      <c r="O355" s="560"/>
      <c r="S355" t="str">
        <f>VLOOKUP(C355,'Recon of ORS and DV'!$A$4:$B$358,2,FALSE)</f>
        <v>0190</v>
      </c>
    </row>
    <row r="356" spans="1:19">
      <c r="A356" t="s">
        <v>2129</v>
      </c>
      <c r="B356" s="553">
        <v>44235</v>
      </c>
      <c r="C356" t="s">
        <v>1101</v>
      </c>
      <c r="D356" s="28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0">
        <v>1200</v>
      </c>
      <c r="K356" s="560">
        <f t="shared" si="11"/>
        <v>1</v>
      </c>
      <c r="L356" s="560">
        <f t="shared" si="12"/>
        <v>1</v>
      </c>
      <c r="M356" s="560" t="e">
        <f>SUMIFS('[1]MAIN-101'!$Z$1:$Z$3000,'[1]MAIN-101'!$X$1:$X$3000,S356)</f>
        <v>#VALUE!</v>
      </c>
      <c r="N356" s="560"/>
      <c r="O356" s="560"/>
      <c r="S356" t="str">
        <f>VLOOKUP(C356,'Recon of ORS and DV'!$A$4:$B$358,2,FALSE)</f>
        <v>0191</v>
      </c>
    </row>
    <row r="357" spans="1:19">
      <c r="A357" t="s">
        <v>2130</v>
      </c>
      <c r="B357" s="553">
        <v>44235</v>
      </c>
      <c r="C357" t="s">
        <v>1104</v>
      </c>
      <c r="D357" s="28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0">
        <v>8885.08</v>
      </c>
      <c r="K357" s="560">
        <f t="shared" si="11"/>
        <v>1</v>
      </c>
      <c r="L357" s="560">
        <f t="shared" si="12"/>
        <v>1</v>
      </c>
      <c r="M357" s="560" t="e">
        <f>SUMIFS('[1]MAIN-101'!$Z$1:$Z$3000,'[1]MAIN-101'!$X$1:$X$3000,S357)</f>
        <v>#VALUE!</v>
      </c>
      <c r="N357" s="560"/>
      <c r="O357" s="560"/>
      <c r="S357" t="str">
        <f>VLOOKUP(C357,'Recon of ORS and DV'!$A$4:$B$358,2,FALSE)</f>
        <v>0192</v>
      </c>
    </row>
    <row r="358" spans="1:19">
      <c r="A358" t="s">
        <v>2131</v>
      </c>
      <c r="B358" s="553">
        <v>44235</v>
      </c>
      <c r="C358" t="s">
        <v>1107</v>
      </c>
      <c r="D358" s="28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0">
        <v>10600</v>
      </c>
      <c r="K358" s="560">
        <f t="shared" si="11"/>
        <v>1</v>
      </c>
      <c r="L358" s="560">
        <f t="shared" si="12"/>
        <v>1</v>
      </c>
      <c r="M358" s="560" t="e">
        <f>SUMIFS('[1]MAIN-101'!$Z$1:$Z$3000,'[1]MAIN-101'!$X$1:$X$3000,S358)</f>
        <v>#VALUE!</v>
      </c>
      <c r="N358" s="560"/>
      <c r="O358" s="560"/>
      <c r="S358" t="str">
        <f>VLOOKUP(C358,'Recon of ORS and DV'!$A$4:$B$358,2,FALSE)</f>
        <v>0194</v>
      </c>
    </row>
    <row r="359" spans="1:19">
      <c r="A359" t="s">
        <v>2132</v>
      </c>
      <c r="B359" s="553">
        <v>44235</v>
      </c>
      <c r="C359" t="s">
        <v>1110</v>
      </c>
      <c r="D359" s="28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0">
        <v>2400</v>
      </c>
      <c r="K359" s="560">
        <f t="shared" si="11"/>
        <v>1</v>
      </c>
      <c r="L359" s="560">
        <f t="shared" si="12"/>
        <v>1</v>
      </c>
      <c r="M359" s="560" t="e">
        <f>SUMIFS('[1]MAIN-101'!$Z$1:$Z$3000,'[1]MAIN-101'!$X$1:$X$3000,S359)</f>
        <v>#VALUE!</v>
      </c>
      <c r="N359" s="560"/>
      <c r="O359" s="560"/>
      <c r="S359" t="str">
        <f>VLOOKUP(C359,'Recon of ORS and DV'!$A$4:$B$358,2,FALSE)</f>
        <v>0193</v>
      </c>
    </row>
    <row r="360" spans="1:19">
      <c r="B360" s="553">
        <v>44237</v>
      </c>
      <c r="C360" t="s">
        <v>1112</v>
      </c>
      <c r="D360" s="28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0">
        <v>1057756</v>
      </c>
      <c r="K360" s="560">
        <f t="shared" si="11"/>
        <v>30</v>
      </c>
      <c r="L360" s="560">
        <f t="shared" si="12"/>
        <v>30</v>
      </c>
    </row>
    <row r="361" spans="1:19">
      <c r="B361" s="553">
        <v>44237</v>
      </c>
      <c r="C361" t="s">
        <v>1112</v>
      </c>
      <c r="D361" s="28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0">
        <v>44000</v>
      </c>
      <c r="K361" s="560">
        <f t="shared" si="11"/>
        <v>30</v>
      </c>
      <c r="L361" s="560">
        <f t="shared" si="12"/>
        <v>29</v>
      </c>
    </row>
    <row r="362" spans="1:19">
      <c r="B362" s="553">
        <v>44237</v>
      </c>
      <c r="C362" t="s">
        <v>1112</v>
      </c>
      <c r="D362" s="28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0">
        <v>126930.72</v>
      </c>
      <c r="K362" s="560">
        <f t="shared" si="11"/>
        <v>30</v>
      </c>
      <c r="L362" s="560">
        <f t="shared" si="12"/>
        <v>28</v>
      </c>
    </row>
    <row r="363" spans="1:19">
      <c r="B363" s="553">
        <v>44237</v>
      </c>
      <c r="C363" t="s">
        <v>1112</v>
      </c>
      <c r="D363" s="28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0">
        <v>2200</v>
      </c>
      <c r="K363" s="560">
        <f t="shared" si="11"/>
        <v>30</v>
      </c>
      <c r="L363" s="560">
        <f t="shared" si="12"/>
        <v>27</v>
      </c>
    </row>
    <row r="364" spans="1:19">
      <c r="B364" s="553">
        <v>44237</v>
      </c>
      <c r="C364" t="s">
        <v>1112</v>
      </c>
      <c r="D364" s="28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0">
        <v>12310.77</v>
      </c>
      <c r="K364" s="560">
        <f t="shared" si="11"/>
        <v>30</v>
      </c>
      <c r="L364" s="560">
        <f t="shared" si="12"/>
        <v>26</v>
      </c>
    </row>
    <row r="365" spans="1:19">
      <c r="B365" s="553">
        <v>44237</v>
      </c>
      <c r="C365" t="s">
        <v>1112</v>
      </c>
      <c r="D365" s="28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0">
        <v>2200</v>
      </c>
      <c r="K365" s="560">
        <f t="shared" si="11"/>
        <v>30</v>
      </c>
      <c r="L365" s="560">
        <f t="shared" si="12"/>
        <v>25</v>
      </c>
    </row>
    <row r="366" spans="1:19">
      <c r="B366" s="553">
        <v>44237</v>
      </c>
      <c r="C366" t="s">
        <v>1112</v>
      </c>
      <c r="D366" s="28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0">
        <v>80214</v>
      </c>
      <c r="K366" s="560">
        <f t="shared" si="11"/>
        <v>30</v>
      </c>
      <c r="L366" s="560">
        <f t="shared" si="12"/>
        <v>24</v>
      </c>
    </row>
    <row r="367" spans="1:19">
      <c r="B367" s="553">
        <v>44237</v>
      </c>
      <c r="C367" t="s">
        <v>1112</v>
      </c>
      <c r="D367" s="28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0">
        <v>4000</v>
      </c>
      <c r="K367" s="560">
        <f t="shared" si="11"/>
        <v>30</v>
      </c>
      <c r="L367" s="560">
        <f t="shared" si="12"/>
        <v>23</v>
      </c>
    </row>
    <row r="368" spans="1:19">
      <c r="B368" s="553">
        <v>44237</v>
      </c>
      <c r="C368" t="s">
        <v>1112</v>
      </c>
      <c r="D368" s="28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0">
        <v>9625.68</v>
      </c>
      <c r="K368" s="560">
        <f t="shared" si="11"/>
        <v>30</v>
      </c>
      <c r="L368" s="560">
        <f t="shared" si="12"/>
        <v>22</v>
      </c>
    </row>
    <row r="369" spans="2:12">
      <c r="B369" s="553">
        <v>44237</v>
      </c>
      <c r="C369" t="s">
        <v>1112</v>
      </c>
      <c r="D369" s="28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0">
        <v>200</v>
      </c>
      <c r="K369" s="560">
        <f t="shared" si="11"/>
        <v>30</v>
      </c>
      <c r="L369" s="560">
        <f t="shared" si="12"/>
        <v>21</v>
      </c>
    </row>
    <row r="370" spans="2:12">
      <c r="B370" s="553">
        <v>44237</v>
      </c>
      <c r="C370" t="s">
        <v>1112</v>
      </c>
      <c r="D370" s="28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0">
        <v>1203.22</v>
      </c>
      <c r="K370" s="560">
        <f t="shared" si="11"/>
        <v>30</v>
      </c>
      <c r="L370" s="560">
        <f t="shared" si="12"/>
        <v>20</v>
      </c>
    </row>
    <row r="371" spans="2:12">
      <c r="B371" s="553">
        <v>44237</v>
      </c>
      <c r="C371" t="s">
        <v>1112</v>
      </c>
      <c r="D371" s="28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0">
        <v>200</v>
      </c>
      <c r="K371" s="560">
        <f t="shared" si="11"/>
        <v>30</v>
      </c>
      <c r="L371" s="560">
        <f t="shared" si="12"/>
        <v>19</v>
      </c>
    </row>
    <row r="372" spans="2:12">
      <c r="B372" s="553">
        <v>44237</v>
      </c>
      <c r="C372" t="s">
        <v>1112</v>
      </c>
      <c r="D372" s="28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0">
        <v>199631</v>
      </c>
      <c r="K372" s="560">
        <f t="shared" si="11"/>
        <v>30</v>
      </c>
      <c r="L372" s="560">
        <f t="shared" si="12"/>
        <v>18</v>
      </c>
    </row>
    <row r="373" spans="2:12">
      <c r="B373" s="553">
        <v>44237</v>
      </c>
      <c r="C373" t="s">
        <v>1112</v>
      </c>
      <c r="D373" s="28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0">
        <v>10000</v>
      </c>
      <c r="K373" s="560">
        <f t="shared" si="11"/>
        <v>30</v>
      </c>
      <c r="L373" s="560">
        <f t="shared" si="12"/>
        <v>17</v>
      </c>
    </row>
    <row r="374" spans="2:12">
      <c r="B374" s="553">
        <v>44237</v>
      </c>
      <c r="C374" t="s">
        <v>1112</v>
      </c>
      <c r="D374" s="28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0">
        <v>23955.72</v>
      </c>
      <c r="K374" s="560">
        <f t="shared" si="11"/>
        <v>30</v>
      </c>
      <c r="L374" s="560">
        <f t="shared" si="12"/>
        <v>16</v>
      </c>
    </row>
    <row r="375" spans="2:12">
      <c r="B375" s="553">
        <v>44237</v>
      </c>
      <c r="C375" t="s">
        <v>1112</v>
      </c>
      <c r="D375" s="28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0">
        <v>500</v>
      </c>
      <c r="K375" s="560">
        <f t="shared" si="11"/>
        <v>30</v>
      </c>
      <c r="L375" s="560">
        <f t="shared" si="12"/>
        <v>15</v>
      </c>
    </row>
    <row r="376" spans="2:12">
      <c r="B376" s="553">
        <v>44237</v>
      </c>
      <c r="C376" t="s">
        <v>1112</v>
      </c>
      <c r="D376" s="28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0">
        <v>2593.35</v>
      </c>
      <c r="K376" s="560">
        <f t="shared" si="11"/>
        <v>30</v>
      </c>
      <c r="L376" s="560">
        <f t="shared" si="12"/>
        <v>14</v>
      </c>
    </row>
    <row r="377" spans="2:12">
      <c r="B377" s="553">
        <v>44237</v>
      </c>
      <c r="C377" t="s">
        <v>1112</v>
      </c>
      <c r="D377" s="28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0">
        <v>500</v>
      </c>
      <c r="K377" s="560">
        <f t="shared" si="11"/>
        <v>30</v>
      </c>
      <c r="L377" s="560">
        <f t="shared" si="12"/>
        <v>13</v>
      </c>
    </row>
    <row r="378" spans="2:12">
      <c r="B378" s="553">
        <v>44237</v>
      </c>
      <c r="C378" t="s">
        <v>1112</v>
      </c>
      <c r="D378" s="28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0">
        <v>190370</v>
      </c>
      <c r="K378" s="560">
        <f t="shared" si="11"/>
        <v>30</v>
      </c>
      <c r="L378" s="560">
        <f t="shared" si="12"/>
        <v>12</v>
      </c>
    </row>
    <row r="379" spans="2:12">
      <c r="B379" s="553">
        <v>44237</v>
      </c>
      <c r="C379" t="s">
        <v>1112</v>
      </c>
      <c r="D379" s="28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0">
        <v>10000</v>
      </c>
      <c r="K379" s="560">
        <f t="shared" si="11"/>
        <v>30</v>
      </c>
      <c r="L379" s="560">
        <f t="shared" si="12"/>
        <v>11</v>
      </c>
    </row>
    <row r="380" spans="2:12">
      <c r="B380" s="553">
        <v>44237</v>
      </c>
      <c r="C380" t="s">
        <v>1112</v>
      </c>
      <c r="D380" s="28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0">
        <v>22844.400000000001</v>
      </c>
      <c r="K380" s="560">
        <f t="shared" si="11"/>
        <v>30</v>
      </c>
      <c r="L380" s="560">
        <f t="shared" si="12"/>
        <v>10</v>
      </c>
    </row>
    <row r="381" spans="2:12">
      <c r="B381" s="553">
        <v>44237</v>
      </c>
      <c r="C381" t="s">
        <v>1112</v>
      </c>
      <c r="D381" s="28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0">
        <v>500</v>
      </c>
      <c r="K381" s="560">
        <f t="shared" si="11"/>
        <v>30</v>
      </c>
      <c r="L381" s="560">
        <f t="shared" si="12"/>
        <v>9</v>
      </c>
    </row>
    <row r="382" spans="2:12">
      <c r="B382" s="553">
        <v>44237</v>
      </c>
      <c r="C382" t="s">
        <v>1112</v>
      </c>
      <c r="D382" s="28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0">
        <v>2855.56</v>
      </c>
      <c r="K382" s="560">
        <f t="shared" si="11"/>
        <v>30</v>
      </c>
      <c r="L382" s="560">
        <f t="shared" si="12"/>
        <v>8</v>
      </c>
    </row>
    <row r="383" spans="2:12">
      <c r="B383" s="553">
        <v>44237</v>
      </c>
      <c r="C383" t="s">
        <v>1112</v>
      </c>
      <c r="D383" s="28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0">
        <v>500</v>
      </c>
      <c r="K383" s="560">
        <f t="shared" si="11"/>
        <v>30</v>
      </c>
      <c r="L383" s="560">
        <f t="shared" si="12"/>
        <v>7</v>
      </c>
    </row>
    <row r="384" spans="2:12">
      <c r="B384" s="553">
        <v>44237</v>
      </c>
      <c r="C384" t="s">
        <v>1112</v>
      </c>
      <c r="D384" s="28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0">
        <v>206068</v>
      </c>
      <c r="K384" s="560">
        <f t="shared" si="11"/>
        <v>30</v>
      </c>
      <c r="L384" s="560">
        <f t="shared" si="12"/>
        <v>6</v>
      </c>
    </row>
    <row r="385" spans="1:19">
      <c r="B385" s="553">
        <v>44237</v>
      </c>
      <c r="C385" t="s">
        <v>1112</v>
      </c>
      <c r="D385" s="28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0">
        <v>10000</v>
      </c>
      <c r="K385" s="560">
        <f t="shared" si="11"/>
        <v>30</v>
      </c>
      <c r="L385" s="560">
        <f t="shared" si="12"/>
        <v>5</v>
      </c>
    </row>
    <row r="386" spans="1:19">
      <c r="B386" s="553">
        <v>44237</v>
      </c>
      <c r="C386" t="s">
        <v>1112</v>
      </c>
      <c r="D386" s="28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0">
        <v>24728.16</v>
      </c>
      <c r="K386" s="560">
        <f t="shared" si="11"/>
        <v>30</v>
      </c>
      <c r="L386" s="560">
        <f t="shared" si="12"/>
        <v>4</v>
      </c>
    </row>
    <row r="387" spans="1:19">
      <c r="B387" s="553">
        <v>44237</v>
      </c>
      <c r="C387" t="s">
        <v>1112</v>
      </c>
      <c r="D387" s="28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0">
        <v>500</v>
      </c>
      <c r="K387" s="560">
        <f t="shared" si="11"/>
        <v>30</v>
      </c>
      <c r="L387" s="560">
        <f t="shared" si="12"/>
        <v>3</v>
      </c>
    </row>
    <row r="388" spans="1:19">
      <c r="B388" s="553">
        <v>44237</v>
      </c>
      <c r="C388" t="s">
        <v>1112</v>
      </c>
      <c r="D388" s="28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0">
        <v>3077.52</v>
      </c>
      <c r="K388" s="560">
        <f t="shared" ref="K388:K451" si="13">COUNTIFS($C$3:$C$1556,C388)</f>
        <v>30</v>
      </c>
      <c r="L388" s="560">
        <f t="shared" si="12"/>
        <v>2</v>
      </c>
    </row>
    <row r="389" spans="1:19">
      <c r="A389" t="s">
        <v>2133</v>
      </c>
      <c r="B389" s="553">
        <v>44237</v>
      </c>
      <c r="C389" t="s">
        <v>1112</v>
      </c>
      <c r="D389" s="28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0">
        <v>500</v>
      </c>
      <c r="K389" s="560">
        <f t="shared" si="13"/>
        <v>30</v>
      </c>
      <c r="L389" s="560">
        <f t="shared" si="12"/>
        <v>1</v>
      </c>
      <c r="M389" s="560" t="e">
        <f>SUMIFS('[1]MAIN-101'!$Z$1:$Z$3000,'[1]MAIN-101'!$X$1:$X$3000,S389)</f>
        <v>#VALUE!</v>
      </c>
      <c r="N389" s="560"/>
      <c r="O389" s="560"/>
      <c r="S389" t="str">
        <f>VLOOKUP(C389,'Recon of ORS and DV'!$A$4:$B$358,2,FALSE)</f>
        <v>0195</v>
      </c>
    </row>
    <row r="390" spans="1:19">
      <c r="B390" s="553">
        <v>44237</v>
      </c>
      <c r="C390" t="s">
        <v>1114</v>
      </c>
      <c r="D390" s="28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0">
        <v>97270</v>
      </c>
      <c r="K390" s="560">
        <f t="shared" si="13"/>
        <v>24</v>
      </c>
      <c r="L390" s="560">
        <f t="shared" si="12"/>
        <v>24</v>
      </c>
    </row>
    <row r="391" spans="1:19">
      <c r="B391" s="553">
        <v>44237</v>
      </c>
      <c r="C391" t="s">
        <v>1114</v>
      </c>
      <c r="D391" s="28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0">
        <v>8000</v>
      </c>
      <c r="K391" s="560">
        <f t="shared" si="13"/>
        <v>24</v>
      </c>
      <c r="L391" s="560">
        <f t="shared" si="12"/>
        <v>23</v>
      </c>
    </row>
    <row r="392" spans="1:19">
      <c r="B392" s="553">
        <v>44237</v>
      </c>
      <c r="C392" t="s">
        <v>1114</v>
      </c>
      <c r="D392" s="28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0">
        <v>11672.4</v>
      </c>
      <c r="K392" s="560">
        <f t="shared" si="13"/>
        <v>24</v>
      </c>
      <c r="L392" s="560">
        <f t="shared" si="12"/>
        <v>22</v>
      </c>
    </row>
    <row r="393" spans="1:19">
      <c r="B393" s="553">
        <v>44237</v>
      </c>
      <c r="C393" t="s">
        <v>1114</v>
      </c>
      <c r="D393" s="28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0">
        <v>400</v>
      </c>
      <c r="K393" s="560">
        <f t="shared" si="13"/>
        <v>24</v>
      </c>
      <c r="L393" s="560">
        <f t="shared" si="12"/>
        <v>21</v>
      </c>
    </row>
    <row r="394" spans="1:19">
      <c r="B394" s="553">
        <v>44237</v>
      </c>
      <c r="C394" t="s">
        <v>1114</v>
      </c>
      <c r="D394" s="28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0">
        <v>1450.46</v>
      </c>
      <c r="K394" s="560">
        <f t="shared" si="13"/>
        <v>24</v>
      </c>
      <c r="L394" s="560">
        <f t="shared" si="12"/>
        <v>20</v>
      </c>
    </row>
    <row r="395" spans="1:19">
      <c r="B395" s="553">
        <v>44237</v>
      </c>
      <c r="C395" t="s">
        <v>1114</v>
      </c>
      <c r="D395" s="28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0">
        <v>400</v>
      </c>
      <c r="K395" s="560">
        <f t="shared" si="13"/>
        <v>24</v>
      </c>
      <c r="L395" s="560">
        <f t="shared" si="12"/>
        <v>19</v>
      </c>
    </row>
    <row r="396" spans="1:19">
      <c r="B396" s="553">
        <v>44237</v>
      </c>
      <c r="C396" t="s">
        <v>1114</v>
      </c>
      <c r="D396" s="28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0">
        <v>44184</v>
      </c>
      <c r="K396" s="560">
        <f t="shared" si="13"/>
        <v>24</v>
      </c>
      <c r="L396" s="560">
        <f t="shared" si="12"/>
        <v>18</v>
      </c>
    </row>
    <row r="397" spans="1:19">
      <c r="B397" s="553">
        <v>44237</v>
      </c>
      <c r="C397" t="s">
        <v>1114</v>
      </c>
      <c r="D397" s="28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0">
        <v>2000</v>
      </c>
      <c r="K397" s="560">
        <f t="shared" si="13"/>
        <v>24</v>
      </c>
      <c r="L397" s="560">
        <f t="shared" si="12"/>
        <v>17</v>
      </c>
    </row>
    <row r="398" spans="1:19">
      <c r="B398" s="553">
        <v>44237</v>
      </c>
      <c r="C398" t="s">
        <v>1114</v>
      </c>
      <c r="D398" s="28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0">
        <v>5302.08</v>
      </c>
      <c r="K398" s="560">
        <f t="shared" si="13"/>
        <v>24</v>
      </c>
      <c r="L398" s="560">
        <f t="shared" si="12"/>
        <v>16</v>
      </c>
    </row>
    <row r="399" spans="1:19">
      <c r="B399" s="553">
        <v>44237</v>
      </c>
      <c r="C399" t="s">
        <v>1114</v>
      </c>
      <c r="D399" s="28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0">
        <v>100</v>
      </c>
      <c r="K399" s="560">
        <f t="shared" si="13"/>
        <v>24</v>
      </c>
      <c r="L399" s="560">
        <f t="shared" ref="L399:L462" si="14">COUNTIFS(C399:C1952,C399)</f>
        <v>15</v>
      </c>
    </row>
    <row r="400" spans="1:19">
      <c r="B400" s="553">
        <v>44237</v>
      </c>
      <c r="C400" t="s">
        <v>1114</v>
      </c>
      <c r="D400" s="28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0">
        <v>662.76</v>
      </c>
      <c r="K400" s="560">
        <f t="shared" si="13"/>
        <v>24</v>
      </c>
      <c r="L400" s="560">
        <f t="shared" si="14"/>
        <v>14</v>
      </c>
    </row>
    <row r="401" spans="1:19">
      <c r="B401" s="553">
        <v>44237</v>
      </c>
      <c r="C401" t="s">
        <v>1114</v>
      </c>
      <c r="D401" s="28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0">
        <v>100</v>
      </c>
      <c r="K401" s="560">
        <f t="shared" si="13"/>
        <v>24</v>
      </c>
      <c r="L401" s="560">
        <f t="shared" si="14"/>
        <v>13</v>
      </c>
    </row>
    <row r="402" spans="1:19">
      <c r="B402" s="553">
        <v>44237</v>
      </c>
      <c r="C402" t="s">
        <v>1114</v>
      </c>
      <c r="D402" s="28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0">
        <v>67911</v>
      </c>
      <c r="K402" s="560">
        <f t="shared" si="13"/>
        <v>24</v>
      </c>
      <c r="L402" s="560">
        <f t="shared" si="14"/>
        <v>12</v>
      </c>
    </row>
    <row r="403" spans="1:19">
      <c r="B403" s="553">
        <v>44237</v>
      </c>
      <c r="C403" t="s">
        <v>1114</v>
      </c>
      <c r="D403" s="28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0">
        <v>4000</v>
      </c>
      <c r="K403" s="560">
        <f t="shared" si="13"/>
        <v>24</v>
      </c>
      <c r="L403" s="560">
        <f t="shared" si="14"/>
        <v>11</v>
      </c>
    </row>
    <row r="404" spans="1:19">
      <c r="B404" s="553">
        <v>44237</v>
      </c>
      <c r="C404" t="s">
        <v>1114</v>
      </c>
      <c r="D404" s="28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0">
        <v>8149.32</v>
      </c>
      <c r="K404" s="560">
        <f t="shared" si="13"/>
        <v>24</v>
      </c>
      <c r="L404" s="560">
        <f t="shared" si="14"/>
        <v>10</v>
      </c>
    </row>
    <row r="405" spans="1:19">
      <c r="B405" s="553">
        <v>44237</v>
      </c>
      <c r="C405" t="s">
        <v>1114</v>
      </c>
      <c r="D405" s="28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0">
        <v>200</v>
      </c>
      <c r="K405" s="560">
        <f t="shared" si="13"/>
        <v>24</v>
      </c>
      <c r="L405" s="560">
        <f t="shared" si="14"/>
        <v>9</v>
      </c>
    </row>
    <row r="406" spans="1:19">
      <c r="B406" s="553">
        <v>44237</v>
      </c>
      <c r="C406" t="s">
        <v>1114</v>
      </c>
      <c r="D406" s="28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0">
        <v>1018.67</v>
      </c>
      <c r="K406" s="560">
        <f t="shared" si="13"/>
        <v>24</v>
      </c>
      <c r="L406" s="560">
        <f t="shared" si="14"/>
        <v>8</v>
      </c>
    </row>
    <row r="407" spans="1:19">
      <c r="B407" s="553">
        <v>44237</v>
      </c>
      <c r="C407" t="s">
        <v>1114</v>
      </c>
      <c r="D407" s="28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0">
        <v>200</v>
      </c>
      <c r="K407" s="560">
        <f t="shared" si="13"/>
        <v>24</v>
      </c>
      <c r="L407" s="560">
        <f t="shared" si="14"/>
        <v>7</v>
      </c>
    </row>
    <row r="408" spans="1:19">
      <c r="B408" s="553">
        <v>44237</v>
      </c>
      <c r="C408" t="s">
        <v>1114</v>
      </c>
      <c r="D408" s="28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0">
        <v>149727</v>
      </c>
      <c r="K408" s="560">
        <f t="shared" si="13"/>
        <v>24</v>
      </c>
      <c r="L408" s="560">
        <f t="shared" si="14"/>
        <v>6</v>
      </c>
    </row>
    <row r="409" spans="1:19">
      <c r="B409" s="553">
        <v>44237</v>
      </c>
      <c r="C409" t="s">
        <v>1114</v>
      </c>
      <c r="D409" s="28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0">
        <v>6000</v>
      </c>
      <c r="K409" s="560">
        <f t="shared" si="13"/>
        <v>24</v>
      </c>
      <c r="L409" s="560">
        <f t="shared" si="14"/>
        <v>5</v>
      </c>
    </row>
    <row r="410" spans="1:19">
      <c r="B410" s="553">
        <v>44237</v>
      </c>
      <c r="C410" t="s">
        <v>1114</v>
      </c>
      <c r="D410" s="28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0">
        <v>17967.240000000002</v>
      </c>
      <c r="K410" s="560">
        <f t="shared" si="13"/>
        <v>24</v>
      </c>
      <c r="L410" s="560">
        <f t="shared" si="14"/>
        <v>4</v>
      </c>
    </row>
    <row r="411" spans="1:19">
      <c r="B411" s="553">
        <v>44237</v>
      </c>
      <c r="C411" t="s">
        <v>1114</v>
      </c>
      <c r="D411" s="28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0">
        <v>300</v>
      </c>
      <c r="K411" s="560">
        <f t="shared" si="13"/>
        <v>24</v>
      </c>
      <c r="L411" s="560">
        <f t="shared" si="14"/>
        <v>3</v>
      </c>
    </row>
    <row r="412" spans="1:19">
      <c r="B412" s="553">
        <v>44237</v>
      </c>
      <c r="C412" t="s">
        <v>1114</v>
      </c>
      <c r="D412" s="28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0">
        <v>2087.44</v>
      </c>
      <c r="K412" s="560">
        <f t="shared" si="13"/>
        <v>24</v>
      </c>
      <c r="L412" s="560">
        <f t="shared" si="14"/>
        <v>2</v>
      </c>
    </row>
    <row r="413" spans="1:19">
      <c r="A413" t="s">
        <v>2134</v>
      </c>
      <c r="B413" s="553">
        <v>44237</v>
      </c>
      <c r="C413" t="s">
        <v>1114</v>
      </c>
      <c r="D413" s="28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0">
        <v>300</v>
      </c>
      <c r="K413" s="560">
        <f t="shared" si="13"/>
        <v>24</v>
      </c>
      <c r="L413" s="560">
        <f t="shared" si="14"/>
        <v>1</v>
      </c>
      <c r="M413" s="560" t="e">
        <f>SUMIFS('[1]MAIN-101'!$Z$1:$Z$3000,'[1]MAIN-101'!$X$1:$X$3000,S413)</f>
        <v>#VALUE!</v>
      </c>
      <c r="N413" s="560"/>
      <c r="O413" s="560"/>
      <c r="S413" t="str">
        <f>VLOOKUP(C413,'Recon of ORS and DV'!$A$4:$B$358,2,FALSE)</f>
        <v>0196</v>
      </c>
    </row>
    <row r="414" spans="1:19">
      <c r="B414" s="553">
        <v>44237</v>
      </c>
      <c r="C414" t="s">
        <v>1115</v>
      </c>
      <c r="D414" s="28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0">
        <v>57452</v>
      </c>
      <c r="K414" s="560">
        <f t="shared" si="13"/>
        <v>24</v>
      </c>
      <c r="L414" s="560">
        <f t="shared" si="14"/>
        <v>24</v>
      </c>
    </row>
    <row r="415" spans="1:19">
      <c r="B415" s="553">
        <v>44237</v>
      </c>
      <c r="C415" t="s">
        <v>1115</v>
      </c>
      <c r="D415" s="28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0">
        <v>4000</v>
      </c>
      <c r="K415" s="560">
        <f t="shared" si="13"/>
        <v>24</v>
      </c>
      <c r="L415" s="560">
        <f t="shared" si="14"/>
        <v>23</v>
      </c>
    </row>
    <row r="416" spans="1:19">
      <c r="B416" s="553">
        <v>44237</v>
      </c>
      <c r="C416" t="s">
        <v>1115</v>
      </c>
      <c r="D416" s="28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0">
        <v>6894.24</v>
      </c>
      <c r="K416" s="560">
        <f t="shared" si="13"/>
        <v>24</v>
      </c>
      <c r="L416" s="560">
        <f t="shared" si="14"/>
        <v>22</v>
      </c>
    </row>
    <row r="417" spans="2:12">
      <c r="B417" s="553">
        <v>44237</v>
      </c>
      <c r="C417" t="s">
        <v>1115</v>
      </c>
      <c r="D417" s="28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0">
        <v>200</v>
      </c>
      <c r="K417" s="560">
        <f t="shared" si="13"/>
        <v>24</v>
      </c>
      <c r="L417" s="560">
        <f t="shared" si="14"/>
        <v>21</v>
      </c>
    </row>
    <row r="418" spans="2:12">
      <c r="B418" s="553">
        <v>44237</v>
      </c>
      <c r="C418" t="s">
        <v>1115</v>
      </c>
      <c r="D418" s="28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0">
        <v>861.79</v>
      </c>
      <c r="K418" s="560">
        <f t="shared" si="13"/>
        <v>24</v>
      </c>
      <c r="L418" s="560">
        <f t="shared" si="14"/>
        <v>20</v>
      </c>
    </row>
    <row r="419" spans="2:12">
      <c r="B419" s="553">
        <v>44237</v>
      </c>
      <c r="C419" t="s">
        <v>1115</v>
      </c>
      <c r="D419" s="28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0">
        <v>200</v>
      </c>
      <c r="K419" s="560">
        <f t="shared" si="13"/>
        <v>24</v>
      </c>
      <c r="L419" s="560">
        <f t="shared" si="14"/>
        <v>19</v>
      </c>
    </row>
    <row r="420" spans="2:12">
      <c r="B420" s="553">
        <v>44237</v>
      </c>
      <c r="C420" t="s">
        <v>1115</v>
      </c>
      <c r="D420" s="28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0">
        <v>111742</v>
      </c>
      <c r="K420" s="560">
        <f t="shared" si="13"/>
        <v>24</v>
      </c>
      <c r="L420" s="560">
        <f t="shared" si="14"/>
        <v>18</v>
      </c>
    </row>
    <row r="421" spans="2:12">
      <c r="B421" s="553">
        <v>44237</v>
      </c>
      <c r="C421" t="s">
        <v>1115</v>
      </c>
      <c r="D421" s="28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0">
        <v>2000</v>
      </c>
      <c r="K421" s="560">
        <f t="shared" si="13"/>
        <v>24</v>
      </c>
      <c r="L421" s="560">
        <f t="shared" si="14"/>
        <v>17</v>
      </c>
    </row>
    <row r="422" spans="2:12">
      <c r="B422" s="553">
        <v>44237</v>
      </c>
      <c r="C422" t="s">
        <v>1115</v>
      </c>
      <c r="D422" s="28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0">
        <v>13409.04</v>
      </c>
      <c r="K422" s="560">
        <f t="shared" si="13"/>
        <v>24</v>
      </c>
      <c r="L422" s="560">
        <f t="shared" si="14"/>
        <v>16</v>
      </c>
    </row>
    <row r="423" spans="2:12">
      <c r="B423" s="553">
        <v>44237</v>
      </c>
      <c r="C423" t="s">
        <v>1115</v>
      </c>
      <c r="D423" s="28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0">
        <v>100</v>
      </c>
      <c r="K423" s="560">
        <f t="shared" si="13"/>
        <v>24</v>
      </c>
      <c r="L423" s="560">
        <f t="shared" si="14"/>
        <v>15</v>
      </c>
    </row>
    <row r="424" spans="2:12">
      <c r="B424" s="553">
        <v>44237</v>
      </c>
      <c r="C424" t="s">
        <v>1115</v>
      </c>
      <c r="D424" s="28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0">
        <v>900</v>
      </c>
      <c r="K424" s="560">
        <f t="shared" si="13"/>
        <v>24</v>
      </c>
      <c r="L424" s="560">
        <f t="shared" si="14"/>
        <v>14</v>
      </c>
    </row>
    <row r="425" spans="2:12">
      <c r="B425" s="553">
        <v>44237</v>
      </c>
      <c r="C425" t="s">
        <v>1115</v>
      </c>
      <c r="D425" s="28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0">
        <v>100</v>
      </c>
      <c r="K425" s="560">
        <f t="shared" si="13"/>
        <v>24</v>
      </c>
      <c r="L425" s="560">
        <f t="shared" si="14"/>
        <v>13</v>
      </c>
    </row>
    <row r="426" spans="2:12">
      <c r="B426" s="553">
        <v>44237</v>
      </c>
      <c r="C426" t="s">
        <v>1115</v>
      </c>
      <c r="D426" s="28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0">
        <v>81329</v>
      </c>
      <c r="K426" s="560">
        <f t="shared" si="13"/>
        <v>24</v>
      </c>
      <c r="L426" s="560">
        <f t="shared" si="14"/>
        <v>12</v>
      </c>
    </row>
    <row r="427" spans="2:12">
      <c r="B427" s="553">
        <v>44237</v>
      </c>
      <c r="C427" t="s">
        <v>1115</v>
      </c>
      <c r="D427" s="28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0">
        <v>6000</v>
      </c>
      <c r="K427" s="560">
        <f t="shared" si="13"/>
        <v>24</v>
      </c>
      <c r="L427" s="560">
        <f t="shared" si="14"/>
        <v>11</v>
      </c>
    </row>
    <row r="428" spans="2:12">
      <c r="B428" s="553">
        <v>44237</v>
      </c>
      <c r="C428" t="s">
        <v>1115</v>
      </c>
      <c r="D428" s="28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0">
        <v>9759.48</v>
      </c>
      <c r="K428" s="560">
        <f t="shared" si="13"/>
        <v>24</v>
      </c>
      <c r="L428" s="560">
        <f t="shared" si="14"/>
        <v>10</v>
      </c>
    </row>
    <row r="429" spans="2:12">
      <c r="B429" s="553">
        <v>44237</v>
      </c>
      <c r="C429" t="s">
        <v>1115</v>
      </c>
      <c r="D429" s="28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0">
        <v>300</v>
      </c>
      <c r="K429" s="560">
        <f t="shared" si="13"/>
        <v>24</v>
      </c>
      <c r="L429" s="560">
        <f t="shared" si="14"/>
        <v>9</v>
      </c>
    </row>
    <row r="430" spans="2:12">
      <c r="B430" s="553">
        <v>44237</v>
      </c>
      <c r="C430" t="s">
        <v>1115</v>
      </c>
      <c r="D430" s="28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0">
        <v>1219.95</v>
      </c>
      <c r="K430" s="560">
        <f t="shared" si="13"/>
        <v>24</v>
      </c>
      <c r="L430" s="560">
        <f t="shared" si="14"/>
        <v>8</v>
      </c>
    </row>
    <row r="431" spans="2:12">
      <c r="B431" s="553">
        <v>44237</v>
      </c>
      <c r="C431" t="s">
        <v>1115</v>
      </c>
      <c r="D431" s="28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0">
        <v>300</v>
      </c>
      <c r="K431" s="560">
        <f t="shared" si="13"/>
        <v>24</v>
      </c>
      <c r="L431" s="560">
        <f t="shared" si="14"/>
        <v>7</v>
      </c>
    </row>
    <row r="432" spans="2:12">
      <c r="B432" s="553">
        <v>44237</v>
      </c>
      <c r="C432" t="s">
        <v>1115</v>
      </c>
      <c r="D432" s="28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0">
        <v>78017</v>
      </c>
      <c r="K432" s="560">
        <f t="shared" si="13"/>
        <v>24</v>
      </c>
      <c r="L432" s="560">
        <f t="shared" si="14"/>
        <v>6</v>
      </c>
    </row>
    <row r="433" spans="1:19">
      <c r="B433" s="553">
        <v>44237</v>
      </c>
      <c r="C433" t="s">
        <v>1115</v>
      </c>
      <c r="D433" s="28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0">
        <v>4000</v>
      </c>
      <c r="K433" s="560">
        <f t="shared" si="13"/>
        <v>24</v>
      </c>
      <c r="L433" s="560">
        <f t="shared" si="14"/>
        <v>5</v>
      </c>
    </row>
    <row r="434" spans="1:19">
      <c r="B434" s="553">
        <v>44237</v>
      </c>
      <c r="C434" t="s">
        <v>1115</v>
      </c>
      <c r="D434" s="28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0">
        <v>9362.0400000000009</v>
      </c>
      <c r="K434" s="560">
        <f t="shared" si="13"/>
        <v>24</v>
      </c>
      <c r="L434" s="560">
        <f t="shared" si="14"/>
        <v>4</v>
      </c>
    </row>
    <row r="435" spans="1:19">
      <c r="B435" s="553">
        <v>44237</v>
      </c>
      <c r="C435" t="s">
        <v>1115</v>
      </c>
      <c r="D435" s="28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0">
        <v>200</v>
      </c>
      <c r="K435" s="560">
        <f t="shared" si="13"/>
        <v>24</v>
      </c>
      <c r="L435" s="560">
        <f t="shared" si="14"/>
        <v>3</v>
      </c>
    </row>
    <row r="436" spans="1:19">
      <c r="B436" s="553">
        <v>44237</v>
      </c>
      <c r="C436" t="s">
        <v>1115</v>
      </c>
      <c r="D436" s="28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0">
        <v>1170.26</v>
      </c>
      <c r="K436" s="560">
        <f t="shared" si="13"/>
        <v>24</v>
      </c>
      <c r="L436" s="560">
        <f t="shared" si="14"/>
        <v>2</v>
      </c>
    </row>
    <row r="437" spans="1:19">
      <c r="A437" t="s">
        <v>2135</v>
      </c>
      <c r="B437" s="553">
        <v>44237</v>
      </c>
      <c r="C437" t="s">
        <v>1115</v>
      </c>
      <c r="D437" s="28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0">
        <v>200</v>
      </c>
      <c r="K437" s="560">
        <f t="shared" si="13"/>
        <v>24</v>
      </c>
      <c r="L437" s="560">
        <f t="shared" si="14"/>
        <v>1</v>
      </c>
      <c r="M437" s="560" t="e">
        <f>SUMIFS('[1]MAIN-101'!$Z$1:$Z$3000,'[1]MAIN-101'!$X$1:$X$3000,S437)</f>
        <v>#VALUE!</v>
      </c>
      <c r="N437" s="560"/>
      <c r="O437" s="560"/>
      <c r="S437" t="str">
        <f>VLOOKUP(C437,'Recon of ORS and DV'!$A$4:$B$358,2,FALSE)</f>
        <v>0197</v>
      </c>
    </row>
    <row r="438" spans="1:19">
      <c r="B438" s="553">
        <v>44237</v>
      </c>
      <c r="C438" t="s">
        <v>1116</v>
      </c>
      <c r="D438" s="28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0">
        <v>457.27</v>
      </c>
      <c r="K438" s="560">
        <f t="shared" si="13"/>
        <v>2</v>
      </c>
      <c r="L438" s="560">
        <f t="shared" si="14"/>
        <v>2</v>
      </c>
    </row>
    <row r="439" spans="1:19">
      <c r="A439" t="s">
        <v>2136</v>
      </c>
      <c r="B439" s="553">
        <v>44237</v>
      </c>
      <c r="C439" t="s">
        <v>1116</v>
      </c>
      <c r="D439" s="28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0">
        <v>0</v>
      </c>
      <c r="K439" s="560">
        <f t="shared" si="13"/>
        <v>2</v>
      </c>
      <c r="L439" s="560">
        <f t="shared" si="14"/>
        <v>1</v>
      </c>
      <c r="M439" s="560" t="e">
        <f>SUMIFS('[1]MAIN-101'!$Z$1:$Z$3000,'[1]MAIN-101'!$X$1:$X$3000,S439)</f>
        <v>#VALUE!</v>
      </c>
      <c r="N439" s="560"/>
      <c r="O439" s="560"/>
      <c r="S439" t="str">
        <f>VLOOKUP(C439,'Recon of ORS and DV'!$A$4:$B$358,2,FALSE)</f>
        <v>0198</v>
      </c>
    </row>
    <row r="440" spans="1:19">
      <c r="B440" s="553">
        <v>44237</v>
      </c>
      <c r="C440" t="s">
        <v>1118</v>
      </c>
      <c r="D440" s="28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0">
        <v>258.18</v>
      </c>
      <c r="K440" s="560">
        <f t="shared" si="13"/>
        <v>2</v>
      </c>
      <c r="L440" s="560">
        <f t="shared" si="14"/>
        <v>2</v>
      </c>
    </row>
    <row r="441" spans="1:19">
      <c r="A441" t="s">
        <v>2137</v>
      </c>
      <c r="B441" s="553">
        <v>44237</v>
      </c>
      <c r="C441" t="s">
        <v>1118</v>
      </c>
      <c r="D441" s="28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0">
        <v>0</v>
      </c>
      <c r="K441" s="560">
        <f t="shared" si="13"/>
        <v>2</v>
      </c>
      <c r="L441" s="560">
        <f t="shared" si="14"/>
        <v>1</v>
      </c>
      <c r="M441" s="560" t="e">
        <f>SUMIFS('[1]MAIN-101'!$Z$1:$Z$3000,'[1]MAIN-101'!$X$1:$X$3000,S441)</f>
        <v>#VALUE!</v>
      </c>
      <c r="N441" s="560"/>
      <c r="O441" s="560"/>
      <c r="S441" t="str">
        <f>VLOOKUP(C441,'Recon of ORS and DV'!$A$4:$B$358,2,FALSE)</f>
        <v>0199</v>
      </c>
    </row>
    <row r="442" spans="1:19">
      <c r="B442" s="553">
        <v>44237</v>
      </c>
      <c r="C442" t="s">
        <v>1120</v>
      </c>
      <c r="D442" s="28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0">
        <v>614.54999999999995</v>
      </c>
      <c r="K442" s="560">
        <f t="shared" si="13"/>
        <v>2</v>
      </c>
      <c r="L442" s="560">
        <f t="shared" si="14"/>
        <v>2</v>
      </c>
    </row>
    <row r="443" spans="1:19">
      <c r="A443" t="s">
        <v>2138</v>
      </c>
      <c r="B443" s="553">
        <v>44237</v>
      </c>
      <c r="C443" t="s">
        <v>1120</v>
      </c>
      <c r="D443" s="28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0">
        <v>0</v>
      </c>
      <c r="K443" s="560">
        <f t="shared" si="13"/>
        <v>2</v>
      </c>
      <c r="L443" s="560">
        <f t="shared" si="14"/>
        <v>1</v>
      </c>
      <c r="M443" s="560" t="e">
        <f>SUMIFS('[1]MAIN-101'!$Z$1:$Z$3000,'[1]MAIN-101'!$X$1:$X$3000,S443)</f>
        <v>#VALUE!</v>
      </c>
      <c r="N443" s="560"/>
      <c r="O443" s="560"/>
      <c r="S443" t="str">
        <f>VLOOKUP(C443,'Recon of ORS and DV'!$A$4:$B$358,2,FALSE)</f>
        <v>0200</v>
      </c>
    </row>
    <row r="444" spans="1:19">
      <c r="B444" s="553">
        <v>44237</v>
      </c>
      <c r="C444" t="s">
        <v>1122</v>
      </c>
      <c r="D444" s="28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0">
        <v>93091.81</v>
      </c>
      <c r="K444" s="560">
        <f t="shared" si="13"/>
        <v>3</v>
      </c>
      <c r="L444" s="560">
        <f t="shared" si="14"/>
        <v>3</v>
      </c>
    </row>
    <row r="445" spans="1:19">
      <c r="B445" s="553">
        <v>44237</v>
      </c>
      <c r="C445" t="s">
        <v>1122</v>
      </c>
      <c r="D445" s="28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0">
        <v>11098.96</v>
      </c>
      <c r="K445" s="560">
        <f t="shared" si="13"/>
        <v>3</v>
      </c>
      <c r="L445" s="560">
        <f t="shared" si="14"/>
        <v>2</v>
      </c>
    </row>
    <row r="446" spans="1:19">
      <c r="A446" t="s">
        <v>2139</v>
      </c>
      <c r="B446" s="553">
        <v>44237</v>
      </c>
      <c r="C446" t="s">
        <v>1122</v>
      </c>
      <c r="D446" s="28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0">
        <v>858.77</v>
      </c>
      <c r="K446" s="560">
        <f t="shared" si="13"/>
        <v>3</v>
      </c>
      <c r="L446" s="560">
        <f t="shared" si="14"/>
        <v>1</v>
      </c>
      <c r="M446" s="560" t="e">
        <f>SUMIFS('[1]MAIN-101'!$Z$1:$Z$3000,'[1]MAIN-101'!$X$1:$X$3000,S446)</f>
        <v>#VALUE!</v>
      </c>
      <c r="N446" s="560"/>
      <c r="O446" s="560"/>
      <c r="S446" t="str">
        <f>VLOOKUP(C446,'Recon of ORS and DV'!$A$4:$B$358,2,FALSE)</f>
        <v>0201</v>
      </c>
    </row>
    <row r="447" spans="1:19">
      <c r="B447" s="553">
        <v>44237</v>
      </c>
      <c r="C447" t="s">
        <v>1124</v>
      </c>
      <c r="D447" s="28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0">
        <v>33575</v>
      </c>
      <c r="K447" s="560">
        <f t="shared" si="13"/>
        <v>6</v>
      </c>
      <c r="L447" s="560">
        <f t="shared" si="14"/>
        <v>6</v>
      </c>
    </row>
    <row r="448" spans="1:19">
      <c r="B448" s="553">
        <v>44237</v>
      </c>
      <c r="C448" t="s">
        <v>1124</v>
      </c>
      <c r="D448" s="28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0">
        <v>2000</v>
      </c>
      <c r="K448" s="560">
        <f t="shared" si="13"/>
        <v>6</v>
      </c>
      <c r="L448" s="560">
        <f t="shared" si="14"/>
        <v>5</v>
      </c>
    </row>
    <row r="449" spans="1:19">
      <c r="B449" s="553">
        <v>44237</v>
      </c>
      <c r="C449" t="s">
        <v>1124</v>
      </c>
      <c r="D449" s="28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0">
        <v>4029</v>
      </c>
      <c r="K449" s="560">
        <f t="shared" si="13"/>
        <v>6</v>
      </c>
      <c r="L449" s="560">
        <f t="shared" si="14"/>
        <v>4</v>
      </c>
    </row>
    <row r="450" spans="1:19">
      <c r="B450" s="553">
        <v>44237</v>
      </c>
      <c r="C450" t="s">
        <v>1124</v>
      </c>
      <c r="D450" s="28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0">
        <v>100</v>
      </c>
      <c r="K450" s="560">
        <f t="shared" si="13"/>
        <v>6</v>
      </c>
      <c r="L450" s="560">
        <f t="shared" si="14"/>
        <v>3</v>
      </c>
    </row>
    <row r="451" spans="1:19">
      <c r="B451" s="553">
        <v>44237</v>
      </c>
      <c r="C451" t="s">
        <v>1124</v>
      </c>
      <c r="D451" s="28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0">
        <v>503.63</v>
      </c>
      <c r="K451" s="560">
        <f t="shared" si="13"/>
        <v>6</v>
      </c>
      <c r="L451" s="560">
        <f t="shared" si="14"/>
        <v>2</v>
      </c>
    </row>
    <row r="452" spans="1:19">
      <c r="A452" t="s">
        <v>2140</v>
      </c>
      <c r="B452" s="553">
        <v>44237</v>
      </c>
      <c r="C452" t="s">
        <v>1124</v>
      </c>
      <c r="D452" s="28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0">
        <v>100</v>
      </c>
      <c r="K452" s="560">
        <f t="shared" ref="K452:K515" si="15">COUNTIFS($C$3:$C$1556,C452)</f>
        <v>6</v>
      </c>
      <c r="L452" s="560">
        <f t="shared" si="14"/>
        <v>1</v>
      </c>
      <c r="M452" s="560" t="e">
        <f>SUMIFS('[1]MAIN-101'!$Z$1:$Z$3000,'[1]MAIN-101'!$X$1:$X$3000,S452)</f>
        <v>#VALUE!</v>
      </c>
      <c r="N452" s="560"/>
      <c r="O452" s="560"/>
      <c r="S452" t="str">
        <f>VLOOKUP(C452,'Recon of ORS and DV'!$A$4:$B$358,2,FALSE)</f>
        <v>0202</v>
      </c>
    </row>
    <row r="453" spans="1:19">
      <c r="B453" s="553">
        <v>44237</v>
      </c>
      <c r="C453" t="s">
        <v>1126</v>
      </c>
      <c r="D453" s="28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0">
        <v>43681</v>
      </c>
      <c r="K453" s="560">
        <f t="shared" si="15"/>
        <v>6</v>
      </c>
      <c r="L453" s="560">
        <f t="shared" si="14"/>
        <v>6</v>
      </c>
    </row>
    <row r="454" spans="1:19">
      <c r="B454" s="553">
        <v>44237</v>
      </c>
      <c r="C454" t="s">
        <v>1126</v>
      </c>
      <c r="D454" s="28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0">
        <v>2000</v>
      </c>
      <c r="K454" s="560">
        <f t="shared" si="15"/>
        <v>6</v>
      </c>
      <c r="L454" s="560">
        <f t="shared" si="14"/>
        <v>5</v>
      </c>
    </row>
    <row r="455" spans="1:19">
      <c r="B455" s="553">
        <v>44237</v>
      </c>
      <c r="C455" t="s">
        <v>1126</v>
      </c>
      <c r="D455" s="28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0">
        <v>5241.72</v>
      </c>
      <c r="K455" s="560">
        <f t="shared" si="15"/>
        <v>6</v>
      </c>
      <c r="L455" s="560">
        <f t="shared" si="14"/>
        <v>4</v>
      </c>
    </row>
    <row r="456" spans="1:19">
      <c r="B456" s="553">
        <v>44237</v>
      </c>
      <c r="C456" t="s">
        <v>1126</v>
      </c>
      <c r="D456" s="28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0">
        <v>100</v>
      </c>
      <c r="K456" s="560">
        <f t="shared" si="15"/>
        <v>6</v>
      </c>
      <c r="L456" s="560">
        <f t="shared" si="14"/>
        <v>3</v>
      </c>
    </row>
    <row r="457" spans="1:19">
      <c r="B457" s="553">
        <v>44237</v>
      </c>
      <c r="C457" t="s">
        <v>1126</v>
      </c>
      <c r="D457" s="28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0">
        <v>655.21</v>
      </c>
      <c r="K457" s="560">
        <f t="shared" si="15"/>
        <v>6</v>
      </c>
      <c r="L457" s="560">
        <f t="shared" si="14"/>
        <v>2</v>
      </c>
    </row>
    <row r="458" spans="1:19">
      <c r="A458" t="s">
        <v>2141</v>
      </c>
      <c r="B458" s="553">
        <v>44237</v>
      </c>
      <c r="C458" t="s">
        <v>1126</v>
      </c>
      <c r="D458" s="28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0">
        <v>100</v>
      </c>
      <c r="K458" s="560">
        <f t="shared" si="15"/>
        <v>6</v>
      </c>
      <c r="L458" s="560">
        <f t="shared" si="14"/>
        <v>1</v>
      </c>
      <c r="M458" s="560" t="e">
        <f>SUMIFS('[1]MAIN-101'!$Z$1:$Z$3000,'[1]MAIN-101'!$X$1:$X$3000,S458)</f>
        <v>#VALUE!</v>
      </c>
      <c r="N458" s="560"/>
      <c r="O458" s="560"/>
      <c r="S458" t="str">
        <f>VLOOKUP(C458,'Recon of ORS and DV'!$A$4:$B$358,2,FALSE)</f>
        <v>0203</v>
      </c>
    </row>
    <row r="459" spans="1:19">
      <c r="A459">
        <v>0</v>
      </c>
      <c r="B459" s="553">
        <v>44237</v>
      </c>
      <c r="C459" t="s">
        <v>1127</v>
      </c>
      <c r="D459" s="28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0">
        <v>0</v>
      </c>
      <c r="K459" s="560">
        <f t="shared" si="15"/>
        <v>1</v>
      </c>
      <c r="L459" s="560">
        <f t="shared" si="14"/>
        <v>1</v>
      </c>
      <c r="M459" s="560" t="e">
        <f>SUMIFS('[1]MAIN-101'!$Z$1:$Z$3000,'[1]MAIN-101'!$X$1:$X$3000,S459)</f>
        <v>#VALUE!</v>
      </c>
      <c r="N459" s="560"/>
      <c r="O459" s="560"/>
      <c r="S459">
        <f>VLOOKUP(C459,'Recon of ORS and DV'!$A$4:$B$358,2,FALSE)</f>
        <v>0</v>
      </c>
    </row>
    <row r="460" spans="1:19">
      <c r="A460" t="s">
        <v>2142</v>
      </c>
      <c r="B460" s="553">
        <v>44237</v>
      </c>
      <c r="C460" t="s">
        <v>1130</v>
      </c>
      <c r="D460" s="28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0">
        <v>25000</v>
      </c>
      <c r="K460" s="560">
        <f t="shared" si="15"/>
        <v>1</v>
      </c>
      <c r="L460" s="560">
        <f t="shared" si="14"/>
        <v>1</v>
      </c>
      <c r="M460" s="560" t="e">
        <f>SUMIFS('[1]MAIN-101'!$Z$1:$Z$3000,'[1]MAIN-101'!$X$1:$X$3000,S460)</f>
        <v>#VALUE!</v>
      </c>
      <c r="N460" s="560"/>
      <c r="O460" s="560"/>
      <c r="S460" t="str">
        <f>VLOOKUP(C460,'Recon of ORS and DV'!$A$4:$B$358,2,FALSE)</f>
        <v>0238</v>
      </c>
    </row>
    <row r="461" spans="1:19">
      <c r="A461" t="s">
        <v>2143</v>
      </c>
      <c r="B461" s="553">
        <v>44237</v>
      </c>
      <c r="C461" t="s">
        <v>1133</v>
      </c>
      <c r="D461" s="28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0">
        <v>1990</v>
      </c>
      <c r="K461" s="560">
        <f t="shared" si="15"/>
        <v>1</v>
      </c>
      <c r="L461" s="560">
        <f t="shared" si="14"/>
        <v>1</v>
      </c>
      <c r="M461" s="560" t="e">
        <f>SUMIFS('[1]MAIN-101'!$Z$1:$Z$3000,'[1]MAIN-101'!$X$1:$X$3000,S461)</f>
        <v>#VALUE!</v>
      </c>
      <c r="N461" s="560"/>
      <c r="O461" s="560"/>
      <c r="S461" t="str">
        <f>VLOOKUP(C461,'Recon of ORS and DV'!$A$4:$B$358,2,FALSE)</f>
        <v>0239</v>
      </c>
    </row>
    <row r="462" spans="1:19">
      <c r="A462" t="s">
        <v>2144</v>
      </c>
      <c r="B462" s="553">
        <v>44237</v>
      </c>
      <c r="C462" t="s">
        <v>1136</v>
      </c>
      <c r="D462" s="28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0">
        <v>170501.47</v>
      </c>
      <c r="K462" s="560">
        <f t="shared" si="15"/>
        <v>1</v>
      </c>
      <c r="L462" s="560">
        <f t="shared" si="14"/>
        <v>1</v>
      </c>
      <c r="M462" s="560" t="e">
        <f>SUMIFS('[1]MAIN-101'!$Z$1:$Z$3000,'[1]MAIN-101'!$X$1:$X$3000,S462)</f>
        <v>#VALUE!</v>
      </c>
      <c r="N462" s="560"/>
      <c r="O462" s="560"/>
      <c r="S462" t="str">
        <f>VLOOKUP(C462,'Recon of ORS and DV'!$A$4:$B$358,2,FALSE)</f>
        <v>0224</v>
      </c>
    </row>
    <row r="463" spans="1:19">
      <c r="B463" s="553">
        <v>44237</v>
      </c>
      <c r="C463" t="s">
        <v>1138</v>
      </c>
      <c r="D463" s="28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0">
        <v>0</v>
      </c>
      <c r="K463" s="560">
        <f t="shared" si="15"/>
        <v>4</v>
      </c>
      <c r="L463" s="560">
        <f t="shared" ref="L463:L526" si="16">COUNTIFS(C463:C2016,C463)</f>
        <v>4</v>
      </c>
    </row>
    <row r="464" spans="1:19">
      <c r="B464" s="553">
        <v>44237</v>
      </c>
      <c r="C464" t="s">
        <v>1138</v>
      </c>
      <c r="D464" s="28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0">
        <v>0</v>
      </c>
      <c r="K464" s="560">
        <f t="shared" si="15"/>
        <v>4</v>
      </c>
      <c r="L464" s="560">
        <f t="shared" si="16"/>
        <v>3</v>
      </c>
    </row>
    <row r="465" spans="1:19">
      <c r="B465" s="553">
        <v>44237</v>
      </c>
      <c r="C465" t="s">
        <v>1138</v>
      </c>
      <c r="D465" s="28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0">
        <v>0</v>
      </c>
      <c r="K465" s="560">
        <f t="shared" si="15"/>
        <v>4</v>
      </c>
      <c r="L465" s="560">
        <f t="shared" si="16"/>
        <v>2</v>
      </c>
    </row>
    <row r="466" spans="1:19">
      <c r="A466" t="s">
        <v>2145</v>
      </c>
      <c r="B466" s="553">
        <v>44237</v>
      </c>
      <c r="C466" t="s">
        <v>1138</v>
      </c>
      <c r="D466" s="28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0">
        <v>0</v>
      </c>
      <c r="K466" s="560">
        <f t="shared" si="15"/>
        <v>4</v>
      </c>
      <c r="L466" s="560">
        <f t="shared" si="16"/>
        <v>1</v>
      </c>
      <c r="M466" s="560" t="e">
        <f>SUMIFS('[1]MAIN-101'!$Z$1:$Z$3000,'[1]MAIN-101'!$X$1:$X$3000,S466)</f>
        <v>#VALUE!</v>
      </c>
      <c r="N466" s="560"/>
      <c r="O466" s="560"/>
      <c r="S466" t="str">
        <f>VLOOKUP(C466,'Recon of ORS and DV'!$A$4:$B$358,2,FALSE)</f>
        <v>0218</v>
      </c>
    </row>
    <row r="467" spans="1:19">
      <c r="B467" s="553">
        <v>44237</v>
      </c>
      <c r="C467" t="s">
        <v>1140</v>
      </c>
      <c r="D467" s="28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0">
        <v>57498</v>
      </c>
      <c r="K467" s="560">
        <f t="shared" si="15"/>
        <v>4</v>
      </c>
      <c r="L467" s="560">
        <f t="shared" si="16"/>
        <v>4</v>
      </c>
    </row>
    <row r="468" spans="1:19">
      <c r="B468" s="553">
        <v>44237</v>
      </c>
      <c r="C468" t="s">
        <v>1140</v>
      </c>
      <c r="D468" s="28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0">
        <v>525004</v>
      </c>
      <c r="K468" s="560">
        <f t="shared" si="15"/>
        <v>4</v>
      </c>
      <c r="L468" s="560">
        <f t="shared" si="16"/>
        <v>3</v>
      </c>
    </row>
    <row r="469" spans="1:19">
      <c r="B469" s="553">
        <v>44237</v>
      </c>
      <c r="C469" t="s">
        <v>1140</v>
      </c>
      <c r="D469" s="28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0">
        <v>19166</v>
      </c>
      <c r="K469" s="560">
        <f t="shared" si="15"/>
        <v>4</v>
      </c>
      <c r="L469" s="560">
        <f t="shared" si="16"/>
        <v>2</v>
      </c>
    </row>
    <row r="470" spans="1:19">
      <c r="A470" t="s">
        <v>2146</v>
      </c>
      <c r="B470" s="553">
        <v>44237</v>
      </c>
      <c r="C470" t="s">
        <v>1140</v>
      </c>
      <c r="D470" s="28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0">
        <v>38332</v>
      </c>
      <c r="K470" s="560">
        <f t="shared" si="15"/>
        <v>4</v>
      </c>
      <c r="L470" s="560">
        <f t="shared" si="16"/>
        <v>1</v>
      </c>
      <c r="M470" s="560" t="e">
        <f>SUMIFS('[1]MAIN-101'!$Z$1:$Z$3000,'[1]MAIN-101'!$X$1:$X$3000,S470)</f>
        <v>#VALUE!</v>
      </c>
      <c r="N470" s="560"/>
      <c r="O470" s="560"/>
      <c r="S470" t="str">
        <f>VLOOKUP(C470,'Recon of ORS and DV'!$A$4:$B$358,2,FALSE)</f>
        <v>0219</v>
      </c>
    </row>
    <row r="471" spans="1:19">
      <c r="B471" s="553">
        <v>44237</v>
      </c>
      <c r="C471" t="s">
        <v>1141</v>
      </c>
      <c r="D471" s="28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0">
        <v>0</v>
      </c>
      <c r="K471" s="560">
        <f t="shared" si="15"/>
        <v>4</v>
      </c>
      <c r="L471" s="560">
        <f t="shared" si="16"/>
        <v>4</v>
      </c>
    </row>
    <row r="472" spans="1:19">
      <c r="B472" s="553">
        <v>44237</v>
      </c>
      <c r="C472" t="s">
        <v>1141</v>
      </c>
      <c r="D472" s="28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0">
        <v>0</v>
      </c>
      <c r="K472" s="560">
        <f t="shared" si="15"/>
        <v>4</v>
      </c>
      <c r="L472" s="560">
        <f t="shared" si="16"/>
        <v>3</v>
      </c>
    </row>
    <row r="473" spans="1:19">
      <c r="B473" s="553">
        <v>44237</v>
      </c>
      <c r="C473" t="s">
        <v>1141</v>
      </c>
      <c r="D473" s="28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0">
        <v>0</v>
      </c>
      <c r="K473" s="560">
        <f t="shared" si="15"/>
        <v>4</v>
      </c>
      <c r="L473" s="560">
        <f t="shared" si="16"/>
        <v>2</v>
      </c>
    </row>
    <row r="474" spans="1:19">
      <c r="A474" t="s">
        <v>2147</v>
      </c>
      <c r="B474" s="553">
        <v>44237</v>
      </c>
      <c r="C474" t="s">
        <v>1141</v>
      </c>
      <c r="D474" s="28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0">
        <v>0</v>
      </c>
      <c r="K474" s="560">
        <f t="shared" si="15"/>
        <v>4</v>
      </c>
      <c r="L474" s="560">
        <f t="shared" si="16"/>
        <v>1</v>
      </c>
      <c r="M474" s="560" t="e">
        <f>SUMIFS('[1]MAIN-101'!$Z$1:$Z$3000,'[1]MAIN-101'!$X$1:$X$3000,S474)</f>
        <v>#VALUE!</v>
      </c>
      <c r="N474" s="560"/>
      <c r="O474" s="560"/>
      <c r="S474" t="str">
        <f>VLOOKUP(C474,'Recon of ORS and DV'!$A$4:$B$358,2,FALSE)</f>
        <v>0220</v>
      </c>
    </row>
    <row r="475" spans="1:19">
      <c r="B475" s="553">
        <v>44237</v>
      </c>
      <c r="C475" t="s">
        <v>1142</v>
      </c>
      <c r="D475" s="28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0">
        <v>0</v>
      </c>
      <c r="K475" s="560">
        <f t="shared" si="15"/>
        <v>4</v>
      </c>
      <c r="L475" s="560">
        <f t="shared" si="16"/>
        <v>4</v>
      </c>
    </row>
    <row r="476" spans="1:19">
      <c r="B476" s="553">
        <v>44237</v>
      </c>
      <c r="C476" t="s">
        <v>1142</v>
      </c>
      <c r="D476" s="28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0">
        <v>0</v>
      </c>
      <c r="K476" s="560">
        <f t="shared" si="15"/>
        <v>4</v>
      </c>
      <c r="L476" s="560">
        <f t="shared" si="16"/>
        <v>3</v>
      </c>
    </row>
    <row r="477" spans="1:19">
      <c r="B477" s="553">
        <v>44237</v>
      </c>
      <c r="C477" t="s">
        <v>1142</v>
      </c>
      <c r="D477" s="28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0">
        <v>0</v>
      </c>
      <c r="K477" s="560">
        <f t="shared" si="15"/>
        <v>4</v>
      </c>
      <c r="L477" s="560">
        <f t="shared" si="16"/>
        <v>2</v>
      </c>
    </row>
    <row r="478" spans="1:19">
      <c r="A478" t="s">
        <v>2148</v>
      </c>
      <c r="B478" s="553">
        <v>44237</v>
      </c>
      <c r="C478" t="s">
        <v>1142</v>
      </c>
      <c r="D478" s="28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0">
        <v>0</v>
      </c>
      <c r="K478" s="560">
        <f t="shared" si="15"/>
        <v>4</v>
      </c>
      <c r="L478" s="560">
        <f t="shared" si="16"/>
        <v>1</v>
      </c>
      <c r="M478" s="560" t="e">
        <f>SUMIFS('[1]MAIN-101'!$Z$1:$Z$3000,'[1]MAIN-101'!$X$1:$X$3000,S478)</f>
        <v>#VALUE!</v>
      </c>
      <c r="N478" s="560"/>
      <c r="O478" s="560"/>
      <c r="S478" t="str">
        <f>VLOOKUP(C478,'Recon of ORS and DV'!$A$4:$B$358,2,FALSE)</f>
        <v>0221</v>
      </c>
    </row>
    <row r="479" spans="1:19">
      <c r="B479" s="553">
        <v>44237</v>
      </c>
      <c r="C479" t="s">
        <v>1143</v>
      </c>
      <c r="D479" s="28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0">
        <v>0</v>
      </c>
      <c r="K479" s="560">
        <f t="shared" si="15"/>
        <v>4</v>
      </c>
      <c r="L479" s="560">
        <f t="shared" si="16"/>
        <v>4</v>
      </c>
    </row>
    <row r="480" spans="1:19">
      <c r="B480" s="553">
        <v>44237</v>
      </c>
      <c r="C480" t="s">
        <v>1143</v>
      </c>
      <c r="D480" s="28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0">
        <v>0</v>
      </c>
      <c r="K480" s="560">
        <f t="shared" si="15"/>
        <v>4</v>
      </c>
      <c r="L480" s="560">
        <f t="shared" si="16"/>
        <v>3</v>
      </c>
    </row>
    <row r="481" spans="1:19">
      <c r="B481" s="553">
        <v>44237</v>
      </c>
      <c r="C481" t="s">
        <v>1143</v>
      </c>
      <c r="D481" s="28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0">
        <v>0</v>
      </c>
      <c r="K481" s="560">
        <f t="shared" si="15"/>
        <v>4</v>
      </c>
      <c r="L481" s="560">
        <f t="shared" si="16"/>
        <v>2</v>
      </c>
    </row>
    <row r="482" spans="1:19">
      <c r="A482" t="s">
        <v>2149</v>
      </c>
      <c r="B482" s="553">
        <v>44237</v>
      </c>
      <c r="C482" t="s">
        <v>1143</v>
      </c>
      <c r="D482" s="28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0">
        <v>0</v>
      </c>
      <c r="K482" s="560">
        <f t="shared" si="15"/>
        <v>4</v>
      </c>
      <c r="L482" s="560">
        <f t="shared" si="16"/>
        <v>1</v>
      </c>
      <c r="M482" s="560" t="e">
        <f>SUMIFS('[1]MAIN-101'!$Z$1:$Z$3000,'[1]MAIN-101'!$X$1:$X$3000,S482)</f>
        <v>#VALUE!</v>
      </c>
      <c r="N482" s="560"/>
      <c r="O482" s="560"/>
      <c r="S482" t="str">
        <f>VLOOKUP(C482,'Recon of ORS and DV'!$A$4:$B$358,2,FALSE)</f>
        <v>0222</v>
      </c>
    </row>
    <row r="483" spans="1:19">
      <c r="B483" s="553">
        <v>44237</v>
      </c>
      <c r="C483" t="s">
        <v>1144</v>
      </c>
      <c r="D483" s="28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0">
        <v>0</v>
      </c>
      <c r="K483" s="560">
        <f t="shared" si="15"/>
        <v>4</v>
      </c>
      <c r="L483" s="560">
        <f t="shared" si="16"/>
        <v>4</v>
      </c>
    </row>
    <row r="484" spans="1:19">
      <c r="B484" s="553">
        <v>44237</v>
      </c>
      <c r="C484" t="s">
        <v>1144</v>
      </c>
      <c r="D484" s="28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0">
        <v>0</v>
      </c>
      <c r="K484" s="560">
        <f t="shared" si="15"/>
        <v>4</v>
      </c>
      <c r="L484" s="560">
        <f t="shared" si="16"/>
        <v>3</v>
      </c>
    </row>
    <row r="485" spans="1:19">
      <c r="B485" s="553">
        <v>44237</v>
      </c>
      <c r="C485" t="s">
        <v>1144</v>
      </c>
      <c r="D485" s="28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0">
        <v>0</v>
      </c>
      <c r="K485" s="560">
        <f t="shared" si="15"/>
        <v>4</v>
      </c>
      <c r="L485" s="560">
        <f t="shared" si="16"/>
        <v>2</v>
      </c>
    </row>
    <row r="486" spans="1:19">
      <c r="A486">
        <v>0</v>
      </c>
      <c r="B486" s="553">
        <v>44237</v>
      </c>
      <c r="C486" t="s">
        <v>1144</v>
      </c>
      <c r="D486" s="28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0">
        <v>0</v>
      </c>
      <c r="K486" s="560">
        <f t="shared" si="15"/>
        <v>4</v>
      </c>
      <c r="L486" s="560">
        <f t="shared" si="16"/>
        <v>1</v>
      </c>
      <c r="M486" s="560" t="e">
        <f>SUMIFS('[1]MAIN-101'!$Z$1:$Z$3000,'[1]MAIN-101'!$X$1:$X$3000,S486)</f>
        <v>#VALUE!</v>
      </c>
      <c r="N486" s="560"/>
      <c r="O486" s="560"/>
      <c r="S486">
        <f>VLOOKUP(C486,'Recon of ORS and DV'!$A$4:$B$358,2,FALSE)</f>
        <v>0</v>
      </c>
    </row>
    <row r="487" spans="1:19">
      <c r="B487" s="553">
        <v>44237</v>
      </c>
      <c r="C487" t="s">
        <v>1146</v>
      </c>
      <c r="D487" s="28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0">
        <v>0</v>
      </c>
      <c r="K487" s="560">
        <f t="shared" si="15"/>
        <v>4</v>
      </c>
      <c r="L487" s="560">
        <f t="shared" si="16"/>
        <v>4</v>
      </c>
    </row>
    <row r="488" spans="1:19">
      <c r="B488" s="553">
        <v>44237</v>
      </c>
      <c r="C488" t="s">
        <v>1146</v>
      </c>
      <c r="D488" s="28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0">
        <v>0</v>
      </c>
      <c r="K488" s="560">
        <f t="shared" si="15"/>
        <v>4</v>
      </c>
      <c r="L488" s="560">
        <f t="shared" si="16"/>
        <v>3</v>
      </c>
    </row>
    <row r="489" spans="1:19">
      <c r="B489" s="553">
        <v>44237</v>
      </c>
      <c r="C489" t="s">
        <v>1146</v>
      </c>
      <c r="D489" s="28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0">
        <v>0</v>
      </c>
      <c r="K489" s="560">
        <f t="shared" si="15"/>
        <v>4</v>
      </c>
      <c r="L489" s="560">
        <f t="shared" si="16"/>
        <v>2</v>
      </c>
    </row>
    <row r="490" spans="1:19">
      <c r="A490">
        <v>0</v>
      </c>
      <c r="B490" s="553">
        <v>44237</v>
      </c>
      <c r="C490" t="s">
        <v>1146</v>
      </c>
      <c r="D490" s="28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0">
        <v>0</v>
      </c>
      <c r="K490" s="560">
        <f t="shared" si="15"/>
        <v>4</v>
      </c>
      <c r="L490" s="560">
        <f t="shared" si="16"/>
        <v>1</v>
      </c>
      <c r="M490" s="560" t="e">
        <f>SUMIFS('[1]MAIN-101'!$Z$1:$Z$3000,'[1]MAIN-101'!$X$1:$X$3000,S490)</f>
        <v>#VALUE!</v>
      </c>
      <c r="N490" s="560"/>
      <c r="O490" s="560"/>
      <c r="S490">
        <f>VLOOKUP(C490,'Recon of ORS and DV'!$A$4:$B$358,2,FALSE)</f>
        <v>0</v>
      </c>
    </row>
    <row r="491" spans="1:19">
      <c r="B491" s="553">
        <v>44237</v>
      </c>
      <c r="C491" t="s">
        <v>1147</v>
      </c>
      <c r="D491" s="28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0">
        <v>25000</v>
      </c>
      <c r="K491" s="560">
        <f t="shared" si="15"/>
        <v>4</v>
      </c>
      <c r="L491" s="560">
        <f t="shared" si="16"/>
        <v>4</v>
      </c>
    </row>
    <row r="492" spans="1:19">
      <c r="B492" s="553">
        <v>44237</v>
      </c>
      <c r="C492" t="s">
        <v>1147</v>
      </c>
      <c r="D492" s="28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0">
        <v>40000</v>
      </c>
      <c r="K492" s="560">
        <f t="shared" si="15"/>
        <v>4</v>
      </c>
      <c r="L492" s="560">
        <f t="shared" si="16"/>
        <v>3</v>
      </c>
    </row>
    <row r="493" spans="1:19">
      <c r="B493" s="553">
        <v>44237</v>
      </c>
      <c r="C493" t="s">
        <v>1147</v>
      </c>
      <c r="D493" s="28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0">
        <v>5000</v>
      </c>
      <c r="K493" s="560">
        <f t="shared" si="15"/>
        <v>4</v>
      </c>
      <c r="L493" s="560">
        <f t="shared" si="16"/>
        <v>2</v>
      </c>
    </row>
    <row r="494" spans="1:19">
      <c r="A494" t="s">
        <v>2150</v>
      </c>
      <c r="B494" s="553">
        <v>44237</v>
      </c>
      <c r="C494" t="s">
        <v>1147</v>
      </c>
      <c r="D494" s="28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0">
        <v>10335.709999999999</v>
      </c>
      <c r="K494" s="560">
        <f t="shared" si="15"/>
        <v>4</v>
      </c>
      <c r="L494" s="560">
        <f t="shared" si="16"/>
        <v>1</v>
      </c>
      <c r="M494" s="560" t="e">
        <f>SUMIFS('[1]MAIN-101'!$Z$1:$Z$3000,'[1]MAIN-101'!$X$1:$X$3000,S494)</f>
        <v>#VALUE!</v>
      </c>
      <c r="N494" s="560"/>
      <c r="O494" s="560"/>
      <c r="S494" t="str">
        <f>VLOOKUP(C494,'Recon of ORS and DV'!$A$4:$B$358,2,FALSE)</f>
        <v>0245</v>
      </c>
    </row>
    <row r="495" spans="1:19">
      <c r="B495" s="553">
        <v>44237</v>
      </c>
      <c r="C495" t="s">
        <v>1148</v>
      </c>
      <c r="D495" s="28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0">
        <v>0</v>
      </c>
      <c r="K495" s="560">
        <f t="shared" si="15"/>
        <v>4</v>
      </c>
      <c r="L495" s="560">
        <f t="shared" si="16"/>
        <v>4</v>
      </c>
    </row>
    <row r="496" spans="1:19">
      <c r="B496" s="553">
        <v>44237</v>
      </c>
      <c r="C496" t="s">
        <v>1148</v>
      </c>
      <c r="D496" s="28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0">
        <v>0</v>
      </c>
      <c r="K496" s="560">
        <f t="shared" si="15"/>
        <v>4</v>
      </c>
      <c r="L496" s="560">
        <f t="shared" si="16"/>
        <v>3</v>
      </c>
    </row>
    <row r="497" spans="1:19">
      <c r="B497" s="553">
        <v>44237</v>
      </c>
      <c r="C497" t="s">
        <v>1148</v>
      </c>
      <c r="D497" s="28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0">
        <v>0</v>
      </c>
      <c r="K497" s="560">
        <f t="shared" si="15"/>
        <v>4</v>
      </c>
      <c r="L497" s="560">
        <f t="shared" si="16"/>
        <v>2</v>
      </c>
    </row>
    <row r="498" spans="1:19">
      <c r="A498">
        <v>0</v>
      </c>
      <c r="B498" s="553">
        <v>44237</v>
      </c>
      <c r="C498" t="s">
        <v>1148</v>
      </c>
      <c r="D498" s="28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0">
        <v>0</v>
      </c>
      <c r="K498" s="560">
        <f t="shared" si="15"/>
        <v>4</v>
      </c>
      <c r="L498" s="560">
        <f t="shared" si="16"/>
        <v>1</v>
      </c>
      <c r="M498" s="560" t="e">
        <f>SUMIFS('[1]MAIN-101'!$Z$1:$Z$3000,'[1]MAIN-101'!$X$1:$X$3000,S498)</f>
        <v>#VALUE!</v>
      </c>
      <c r="N498" s="560"/>
      <c r="O498" s="560"/>
      <c r="S498">
        <f>VLOOKUP(C498,'Recon of ORS and DV'!$A$4:$B$358,2,FALSE)</f>
        <v>0</v>
      </c>
    </row>
    <row r="499" spans="1:19">
      <c r="B499" s="553">
        <v>44237</v>
      </c>
      <c r="C499" t="s">
        <v>1149</v>
      </c>
      <c r="D499" s="28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0">
        <v>0</v>
      </c>
      <c r="K499" s="560">
        <f t="shared" si="15"/>
        <v>4</v>
      </c>
      <c r="L499" s="560">
        <f t="shared" si="16"/>
        <v>4</v>
      </c>
    </row>
    <row r="500" spans="1:19">
      <c r="B500" s="553">
        <v>44237</v>
      </c>
      <c r="C500" t="s">
        <v>1149</v>
      </c>
      <c r="D500" s="28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0">
        <v>0</v>
      </c>
      <c r="K500" s="560">
        <f t="shared" si="15"/>
        <v>4</v>
      </c>
      <c r="L500" s="560">
        <f t="shared" si="16"/>
        <v>3</v>
      </c>
    </row>
    <row r="501" spans="1:19">
      <c r="B501" s="553">
        <v>44237</v>
      </c>
      <c r="C501" t="s">
        <v>1149</v>
      </c>
      <c r="D501" s="28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0">
        <v>0</v>
      </c>
      <c r="K501" s="560">
        <f t="shared" si="15"/>
        <v>4</v>
      </c>
      <c r="L501" s="560">
        <f t="shared" si="16"/>
        <v>2</v>
      </c>
    </row>
    <row r="502" spans="1:19">
      <c r="A502">
        <v>0</v>
      </c>
      <c r="B502" s="553">
        <v>44237</v>
      </c>
      <c r="C502" t="s">
        <v>1149</v>
      </c>
      <c r="D502" s="28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0">
        <v>0</v>
      </c>
      <c r="K502" s="560">
        <f t="shared" si="15"/>
        <v>4</v>
      </c>
      <c r="L502" s="560">
        <f t="shared" si="16"/>
        <v>1</v>
      </c>
      <c r="M502" s="560" t="e">
        <f>SUMIFS('[1]MAIN-101'!$Z$1:$Z$3000,'[1]MAIN-101'!$X$1:$X$3000,S502)</f>
        <v>#VALUE!</v>
      </c>
      <c r="N502" s="560"/>
      <c r="O502" s="560"/>
      <c r="S502">
        <f>VLOOKUP(C502,'Recon of ORS and DV'!$A$4:$B$358,2,FALSE)</f>
        <v>0</v>
      </c>
    </row>
    <row r="503" spans="1:19">
      <c r="B503" s="553">
        <v>44237</v>
      </c>
      <c r="C503" t="s">
        <v>1151</v>
      </c>
      <c r="D503" s="28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0">
        <v>0</v>
      </c>
      <c r="K503" s="560">
        <f t="shared" si="15"/>
        <v>6</v>
      </c>
      <c r="L503" s="560">
        <f t="shared" si="16"/>
        <v>6</v>
      </c>
    </row>
    <row r="504" spans="1:19">
      <c r="B504" s="553">
        <v>44237</v>
      </c>
      <c r="C504" t="s">
        <v>1151</v>
      </c>
      <c r="D504" s="28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0">
        <v>0</v>
      </c>
      <c r="K504" s="560">
        <f t="shared" si="15"/>
        <v>6</v>
      </c>
      <c r="L504" s="560">
        <f t="shared" si="16"/>
        <v>5</v>
      </c>
    </row>
    <row r="505" spans="1:19">
      <c r="B505" s="553">
        <v>44237</v>
      </c>
      <c r="C505" t="s">
        <v>1151</v>
      </c>
      <c r="D505" s="28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0">
        <v>0</v>
      </c>
      <c r="K505" s="560">
        <f t="shared" si="15"/>
        <v>6</v>
      </c>
      <c r="L505" s="560">
        <f t="shared" si="16"/>
        <v>4</v>
      </c>
    </row>
    <row r="506" spans="1:19">
      <c r="B506" s="553">
        <v>44237</v>
      </c>
      <c r="C506" t="s">
        <v>1151</v>
      </c>
      <c r="D506" s="28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0">
        <v>0</v>
      </c>
      <c r="K506" s="560">
        <f t="shared" si="15"/>
        <v>6</v>
      </c>
      <c r="L506" s="560">
        <f t="shared" si="16"/>
        <v>3</v>
      </c>
    </row>
    <row r="507" spans="1:19">
      <c r="B507" s="553">
        <v>44237</v>
      </c>
      <c r="C507" t="s">
        <v>1151</v>
      </c>
      <c r="D507" s="28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0">
        <v>0</v>
      </c>
      <c r="K507" s="560">
        <f t="shared" si="15"/>
        <v>6</v>
      </c>
      <c r="L507" s="560">
        <f t="shared" si="16"/>
        <v>2</v>
      </c>
    </row>
    <row r="508" spans="1:19">
      <c r="A508">
        <v>0</v>
      </c>
      <c r="B508" s="553">
        <v>44237</v>
      </c>
      <c r="C508" t="s">
        <v>1151</v>
      </c>
      <c r="D508" s="28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0">
        <v>0</v>
      </c>
      <c r="K508" s="560">
        <f t="shared" si="15"/>
        <v>6</v>
      </c>
      <c r="L508" s="560">
        <f t="shared" si="16"/>
        <v>1</v>
      </c>
      <c r="M508" s="560" t="e">
        <f>SUMIFS('[1]MAIN-101'!$Z$1:$Z$3000,'[1]MAIN-101'!$X$1:$X$3000,S508)</f>
        <v>#VALUE!</v>
      </c>
      <c r="N508" s="560"/>
      <c r="O508" s="560"/>
      <c r="S508">
        <f>VLOOKUP(C508,'Recon of ORS and DV'!$A$4:$B$358,2,FALSE)</f>
        <v>0</v>
      </c>
    </row>
    <row r="509" spans="1:19">
      <c r="B509" s="553">
        <v>44237</v>
      </c>
      <c r="C509" t="s">
        <v>1152</v>
      </c>
      <c r="D509" s="28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0">
        <v>8800</v>
      </c>
      <c r="K509" s="560">
        <f t="shared" si="15"/>
        <v>6</v>
      </c>
      <c r="L509" s="560">
        <f t="shared" si="16"/>
        <v>6</v>
      </c>
    </row>
    <row r="510" spans="1:19">
      <c r="B510" s="553">
        <v>44237</v>
      </c>
      <c r="C510" t="s">
        <v>1152</v>
      </c>
      <c r="D510" s="28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0">
        <v>5000</v>
      </c>
      <c r="K510" s="560">
        <f t="shared" si="15"/>
        <v>6</v>
      </c>
      <c r="L510" s="560">
        <f t="shared" si="16"/>
        <v>5</v>
      </c>
    </row>
    <row r="511" spans="1:19">
      <c r="B511" s="553">
        <v>44237</v>
      </c>
      <c r="C511" t="s">
        <v>1152</v>
      </c>
      <c r="D511" s="28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0">
        <v>1256</v>
      </c>
      <c r="K511" s="560">
        <f t="shared" si="15"/>
        <v>6</v>
      </c>
      <c r="L511" s="560">
        <f t="shared" si="16"/>
        <v>4</v>
      </c>
    </row>
    <row r="512" spans="1:19">
      <c r="B512" s="553">
        <v>44237</v>
      </c>
      <c r="C512" t="s">
        <v>1152</v>
      </c>
      <c r="D512" s="28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0">
        <v>300</v>
      </c>
      <c r="K512" s="560">
        <f t="shared" si="15"/>
        <v>6</v>
      </c>
      <c r="L512" s="560">
        <f t="shared" si="16"/>
        <v>3</v>
      </c>
    </row>
    <row r="513" spans="1:19">
      <c r="B513" s="553">
        <v>44237</v>
      </c>
      <c r="C513" t="s">
        <v>1152</v>
      </c>
      <c r="D513" s="28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0">
        <v>15000</v>
      </c>
      <c r="K513" s="560">
        <f t="shared" si="15"/>
        <v>6</v>
      </c>
      <c r="L513" s="560">
        <f t="shared" si="16"/>
        <v>2</v>
      </c>
    </row>
    <row r="514" spans="1:19">
      <c r="A514" t="s">
        <v>2151</v>
      </c>
      <c r="B514" s="553">
        <v>44237</v>
      </c>
      <c r="C514" t="s">
        <v>1152</v>
      </c>
      <c r="D514" s="28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0">
        <v>1000</v>
      </c>
      <c r="K514" s="560">
        <f t="shared" si="15"/>
        <v>6</v>
      </c>
      <c r="L514" s="560">
        <f t="shared" si="16"/>
        <v>1</v>
      </c>
      <c r="M514" s="560" t="e">
        <f>SUMIFS('[1]MAIN-101'!$Z$1:$Z$3000,'[1]MAIN-101'!$X$1:$X$3000,S514)</f>
        <v>#VALUE!</v>
      </c>
      <c r="N514" s="560"/>
      <c r="O514" s="560"/>
      <c r="S514" t="str">
        <f>VLOOKUP(C514,'Recon of ORS and DV'!$A$4:$B$358,2,FALSE)</f>
        <v>0246</v>
      </c>
    </row>
    <row r="515" spans="1:19">
      <c r="B515" s="553">
        <v>44237</v>
      </c>
      <c r="C515" t="s">
        <v>1153</v>
      </c>
      <c r="D515" s="28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0">
        <v>0</v>
      </c>
      <c r="K515" s="560">
        <f t="shared" si="15"/>
        <v>7</v>
      </c>
      <c r="L515" s="560">
        <f t="shared" si="16"/>
        <v>7</v>
      </c>
    </row>
    <row r="516" spans="1:19">
      <c r="B516" s="553">
        <v>44237</v>
      </c>
      <c r="C516" t="s">
        <v>1153</v>
      </c>
      <c r="D516" s="28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0">
        <v>0</v>
      </c>
      <c r="K516" s="560">
        <f t="shared" ref="K516:K579" si="17">COUNTIFS($C$3:$C$1556,C516)</f>
        <v>7</v>
      </c>
      <c r="L516" s="560">
        <f t="shared" si="16"/>
        <v>6</v>
      </c>
    </row>
    <row r="517" spans="1:19">
      <c r="B517" s="553">
        <v>44237</v>
      </c>
      <c r="C517" t="s">
        <v>1153</v>
      </c>
      <c r="D517" s="28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0">
        <v>0</v>
      </c>
      <c r="K517" s="560">
        <f t="shared" si="17"/>
        <v>7</v>
      </c>
      <c r="L517" s="560">
        <f t="shared" si="16"/>
        <v>5</v>
      </c>
    </row>
    <row r="518" spans="1:19">
      <c r="B518" s="553">
        <v>44237</v>
      </c>
      <c r="C518" t="s">
        <v>1153</v>
      </c>
      <c r="D518" s="28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0">
        <v>0</v>
      </c>
      <c r="K518" s="560">
        <f t="shared" si="17"/>
        <v>7</v>
      </c>
      <c r="L518" s="560">
        <f t="shared" si="16"/>
        <v>4</v>
      </c>
    </row>
    <row r="519" spans="1:19">
      <c r="B519" s="553">
        <v>44237</v>
      </c>
      <c r="C519" t="s">
        <v>1153</v>
      </c>
      <c r="D519" s="28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0">
        <v>0</v>
      </c>
      <c r="K519" s="560">
        <f t="shared" si="17"/>
        <v>7</v>
      </c>
      <c r="L519" s="560">
        <f t="shared" si="16"/>
        <v>3</v>
      </c>
    </row>
    <row r="520" spans="1:19">
      <c r="B520" s="553">
        <v>44237</v>
      </c>
      <c r="C520" t="s">
        <v>1153</v>
      </c>
      <c r="D520" s="28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0">
        <v>0</v>
      </c>
      <c r="K520" s="560">
        <f t="shared" si="17"/>
        <v>7</v>
      </c>
      <c r="L520" s="560">
        <f t="shared" si="16"/>
        <v>2</v>
      </c>
    </row>
    <row r="521" spans="1:19">
      <c r="A521">
        <v>0</v>
      </c>
      <c r="B521" s="553">
        <v>44237</v>
      </c>
      <c r="C521" t="s">
        <v>1153</v>
      </c>
      <c r="D521" s="28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0">
        <v>0</v>
      </c>
      <c r="K521" s="560">
        <f t="shared" si="17"/>
        <v>7</v>
      </c>
      <c r="L521" s="560">
        <f t="shared" si="16"/>
        <v>1</v>
      </c>
      <c r="M521" s="560" t="e">
        <f>SUMIFS('[1]MAIN-101'!$Z$1:$Z$3000,'[1]MAIN-101'!$X$1:$X$3000,S521)</f>
        <v>#VALUE!</v>
      </c>
      <c r="N521" s="560"/>
      <c r="O521" s="560"/>
      <c r="S521">
        <f>VLOOKUP(C521,'Recon of ORS and DV'!$A$4:$B$358,2,FALSE)</f>
        <v>0</v>
      </c>
    </row>
    <row r="522" spans="1:19">
      <c r="B522" s="553">
        <v>44237</v>
      </c>
      <c r="C522" t="s">
        <v>1154</v>
      </c>
      <c r="D522" s="28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0">
        <v>0</v>
      </c>
      <c r="K522" s="560">
        <f t="shared" si="17"/>
        <v>5</v>
      </c>
      <c r="L522" s="560">
        <f t="shared" si="16"/>
        <v>5</v>
      </c>
    </row>
    <row r="523" spans="1:19">
      <c r="B523" s="553">
        <v>44237</v>
      </c>
      <c r="C523" t="s">
        <v>1154</v>
      </c>
      <c r="D523" s="28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0">
        <v>0</v>
      </c>
      <c r="K523" s="560">
        <f t="shared" si="17"/>
        <v>5</v>
      </c>
      <c r="L523" s="560">
        <f t="shared" si="16"/>
        <v>4</v>
      </c>
    </row>
    <row r="524" spans="1:19">
      <c r="B524" s="553">
        <v>44237</v>
      </c>
      <c r="C524" t="s">
        <v>1154</v>
      </c>
      <c r="D524" s="28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0">
        <v>0</v>
      </c>
      <c r="K524" s="560">
        <f t="shared" si="17"/>
        <v>5</v>
      </c>
      <c r="L524" s="560">
        <f t="shared" si="16"/>
        <v>3</v>
      </c>
    </row>
    <row r="525" spans="1:19">
      <c r="B525" s="553">
        <v>44237</v>
      </c>
      <c r="C525" t="s">
        <v>1154</v>
      </c>
      <c r="D525" s="28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0">
        <v>0</v>
      </c>
      <c r="K525" s="560">
        <f t="shared" si="17"/>
        <v>5</v>
      </c>
      <c r="L525" s="560">
        <f t="shared" si="16"/>
        <v>2</v>
      </c>
    </row>
    <row r="526" spans="1:19">
      <c r="A526">
        <v>0</v>
      </c>
      <c r="B526" s="553">
        <v>44237</v>
      </c>
      <c r="C526" t="s">
        <v>1154</v>
      </c>
      <c r="D526" s="28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0">
        <v>0</v>
      </c>
      <c r="K526" s="560">
        <f t="shared" si="17"/>
        <v>5</v>
      </c>
      <c r="L526" s="560">
        <f t="shared" si="16"/>
        <v>1</v>
      </c>
      <c r="M526" s="560" t="e">
        <f>SUMIFS('[1]MAIN-101'!$Z$1:$Z$3000,'[1]MAIN-101'!$X$1:$X$3000,S526)</f>
        <v>#VALUE!</v>
      </c>
      <c r="N526" s="560"/>
      <c r="O526" s="560"/>
      <c r="S526">
        <f>VLOOKUP(C526,'Recon of ORS and DV'!$A$4:$B$358,2,FALSE)</f>
        <v>0</v>
      </c>
    </row>
    <row r="527" spans="1:19">
      <c r="B527" s="553">
        <v>44237</v>
      </c>
      <c r="C527" t="s">
        <v>1155</v>
      </c>
      <c r="D527" s="28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0">
        <v>0</v>
      </c>
      <c r="K527" s="560">
        <f t="shared" si="17"/>
        <v>5</v>
      </c>
      <c r="L527" s="560">
        <f t="shared" ref="L527:L590" si="18">COUNTIFS(C527:C2080,C527)</f>
        <v>5</v>
      </c>
    </row>
    <row r="528" spans="1:19">
      <c r="B528" s="553">
        <v>44237</v>
      </c>
      <c r="C528" t="s">
        <v>1155</v>
      </c>
      <c r="D528" s="28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0">
        <v>0</v>
      </c>
      <c r="K528" s="560">
        <f t="shared" si="17"/>
        <v>5</v>
      </c>
      <c r="L528" s="560">
        <f t="shared" si="18"/>
        <v>4</v>
      </c>
    </row>
    <row r="529" spans="1:19">
      <c r="B529" s="553">
        <v>44237</v>
      </c>
      <c r="C529" t="s">
        <v>1155</v>
      </c>
      <c r="D529" s="28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0">
        <v>0</v>
      </c>
      <c r="K529" s="560">
        <f t="shared" si="17"/>
        <v>5</v>
      </c>
      <c r="L529" s="560">
        <f t="shared" si="18"/>
        <v>3</v>
      </c>
    </row>
    <row r="530" spans="1:19">
      <c r="B530" s="553">
        <v>44237</v>
      </c>
      <c r="C530" t="s">
        <v>1155</v>
      </c>
      <c r="D530" s="28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0">
        <v>0</v>
      </c>
      <c r="K530" s="560">
        <f t="shared" si="17"/>
        <v>5</v>
      </c>
      <c r="L530" s="560">
        <f t="shared" si="18"/>
        <v>2</v>
      </c>
    </row>
    <row r="531" spans="1:19">
      <c r="A531">
        <v>0</v>
      </c>
      <c r="B531" s="553">
        <v>44237</v>
      </c>
      <c r="C531" t="s">
        <v>1155</v>
      </c>
      <c r="D531" s="28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0">
        <v>0</v>
      </c>
      <c r="K531" s="560">
        <f t="shared" si="17"/>
        <v>5</v>
      </c>
      <c r="L531" s="560">
        <f t="shared" si="18"/>
        <v>1</v>
      </c>
      <c r="M531" s="560" t="e">
        <f>SUMIFS('[1]MAIN-101'!$Z$1:$Z$3000,'[1]MAIN-101'!$X$1:$X$3000,S531)</f>
        <v>#VALUE!</v>
      </c>
      <c r="N531" s="560"/>
      <c r="O531" s="560"/>
      <c r="S531">
        <f>VLOOKUP(C531,'Recon of ORS and DV'!$A$4:$B$358,2,FALSE)</f>
        <v>0</v>
      </c>
    </row>
    <row r="532" spans="1:19">
      <c r="A532" t="s">
        <v>2152</v>
      </c>
      <c r="B532" s="553">
        <v>44237</v>
      </c>
      <c r="C532" t="s">
        <v>1156</v>
      </c>
      <c r="D532" s="28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0">
        <v>11500</v>
      </c>
      <c r="K532" s="560">
        <f t="shared" si="17"/>
        <v>1</v>
      </c>
      <c r="L532" s="560">
        <f t="shared" si="18"/>
        <v>1</v>
      </c>
      <c r="M532" s="560" t="e">
        <f>SUMIFS('[1]MAIN-101'!$Z$1:$Z$3000,'[1]MAIN-101'!$X$1:$X$3000,S532)</f>
        <v>#VALUE!</v>
      </c>
      <c r="N532" s="560"/>
      <c r="O532" s="560"/>
      <c r="S532" t="str">
        <f>VLOOKUP(C532,'Recon of ORS and DV'!$A$4:$B$358,2,FALSE)</f>
        <v>0225</v>
      </c>
    </row>
    <row r="533" spans="1:19">
      <c r="B533" s="553">
        <v>44238</v>
      </c>
      <c r="C533" t="s">
        <v>1159</v>
      </c>
      <c r="D533" s="28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0">
        <v>57452</v>
      </c>
      <c r="K533" s="560">
        <f t="shared" si="17"/>
        <v>36</v>
      </c>
      <c r="L533" s="560">
        <f t="shared" si="18"/>
        <v>36</v>
      </c>
    </row>
    <row r="534" spans="1:19">
      <c r="B534" s="553">
        <v>44238</v>
      </c>
      <c r="C534" t="s">
        <v>1159</v>
      </c>
      <c r="D534" s="28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0">
        <v>4000</v>
      </c>
      <c r="K534" s="560">
        <f t="shared" si="17"/>
        <v>36</v>
      </c>
      <c r="L534" s="560">
        <f t="shared" si="18"/>
        <v>35</v>
      </c>
    </row>
    <row r="535" spans="1:19">
      <c r="B535" s="553">
        <v>44238</v>
      </c>
      <c r="C535" t="s">
        <v>1159</v>
      </c>
      <c r="D535" s="28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0">
        <v>6894.24</v>
      </c>
      <c r="K535" s="560">
        <f t="shared" si="17"/>
        <v>36</v>
      </c>
      <c r="L535" s="560">
        <f t="shared" si="18"/>
        <v>34</v>
      </c>
    </row>
    <row r="536" spans="1:19">
      <c r="B536" s="553">
        <v>44238</v>
      </c>
      <c r="C536" t="s">
        <v>1159</v>
      </c>
      <c r="D536" s="28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0">
        <v>200</v>
      </c>
      <c r="K536" s="560">
        <f t="shared" si="17"/>
        <v>36</v>
      </c>
      <c r="L536" s="560">
        <f t="shared" si="18"/>
        <v>33</v>
      </c>
    </row>
    <row r="537" spans="1:19">
      <c r="B537" s="553">
        <v>44238</v>
      </c>
      <c r="C537" t="s">
        <v>1159</v>
      </c>
      <c r="D537" s="28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0">
        <v>861.79</v>
      </c>
      <c r="K537" s="560">
        <f t="shared" si="17"/>
        <v>36</v>
      </c>
      <c r="L537" s="560">
        <f t="shared" si="18"/>
        <v>32</v>
      </c>
    </row>
    <row r="538" spans="1:19">
      <c r="B538" s="553">
        <v>44238</v>
      </c>
      <c r="C538" t="s">
        <v>1159</v>
      </c>
      <c r="D538" s="28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0">
        <v>200</v>
      </c>
      <c r="K538" s="560">
        <f t="shared" si="17"/>
        <v>36</v>
      </c>
      <c r="L538" s="560">
        <f t="shared" si="18"/>
        <v>31</v>
      </c>
    </row>
    <row r="539" spans="1:19">
      <c r="B539" s="553">
        <v>44238</v>
      </c>
      <c r="C539" t="s">
        <v>1159</v>
      </c>
      <c r="D539" s="28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0">
        <v>130423</v>
      </c>
      <c r="K539" s="560">
        <f t="shared" si="17"/>
        <v>36</v>
      </c>
      <c r="L539" s="560">
        <f t="shared" si="18"/>
        <v>30</v>
      </c>
    </row>
    <row r="540" spans="1:19">
      <c r="B540" s="553">
        <v>44238</v>
      </c>
      <c r="C540" t="s">
        <v>1159</v>
      </c>
      <c r="D540" s="28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0">
        <v>4000</v>
      </c>
      <c r="K540" s="560">
        <f t="shared" si="17"/>
        <v>36</v>
      </c>
      <c r="L540" s="560">
        <f t="shared" si="18"/>
        <v>29</v>
      </c>
    </row>
    <row r="541" spans="1:19">
      <c r="B541" s="553">
        <v>44238</v>
      </c>
      <c r="C541" t="s">
        <v>1159</v>
      </c>
      <c r="D541" s="28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0">
        <v>15650.76</v>
      </c>
      <c r="K541" s="560">
        <f t="shared" si="17"/>
        <v>36</v>
      </c>
      <c r="L541" s="560">
        <f t="shared" si="18"/>
        <v>28</v>
      </c>
    </row>
    <row r="542" spans="1:19">
      <c r="B542" s="553">
        <v>44238</v>
      </c>
      <c r="C542" t="s">
        <v>1159</v>
      </c>
      <c r="D542" s="28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0">
        <v>200</v>
      </c>
      <c r="K542" s="560">
        <f t="shared" si="17"/>
        <v>36</v>
      </c>
      <c r="L542" s="560">
        <f t="shared" si="18"/>
        <v>27</v>
      </c>
    </row>
    <row r="543" spans="1:19">
      <c r="B543" s="553">
        <v>44238</v>
      </c>
      <c r="C543" t="s">
        <v>1159</v>
      </c>
      <c r="D543" s="28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0">
        <v>1555.22</v>
      </c>
      <c r="K543" s="560">
        <f t="shared" si="17"/>
        <v>36</v>
      </c>
      <c r="L543" s="560">
        <f t="shared" si="18"/>
        <v>26</v>
      </c>
    </row>
    <row r="544" spans="1:19">
      <c r="B544" s="553">
        <v>44238</v>
      </c>
      <c r="C544" t="s">
        <v>1159</v>
      </c>
      <c r="D544" s="28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0">
        <v>200</v>
      </c>
      <c r="K544" s="560">
        <f t="shared" si="17"/>
        <v>36</v>
      </c>
      <c r="L544" s="560">
        <f t="shared" si="18"/>
        <v>25</v>
      </c>
    </row>
    <row r="545" spans="2:12">
      <c r="B545" s="553">
        <v>44238</v>
      </c>
      <c r="C545" t="s">
        <v>1159</v>
      </c>
      <c r="D545" s="28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0">
        <v>111742</v>
      </c>
      <c r="K545" s="560">
        <f t="shared" si="17"/>
        <v>36</v>
      </c>
      <c r="L545" s="560">
        <f t="shared" si="18"/>
        <v>24</v>
      </c>
    </row>
    <row r="546" spans="2:12">
      <c r="B546" s="553">
        <v>44238</v>
      </c>
      <c r="C546" t="s">
        <v>1159</v>
      </c>
      <c r="D546" s="28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0">
        <v>2000</v>
      </c>
      <c r="K546" s="560">
        <f t="shared" si="17"/>
        <v>36</v>
      </c>
      <c r="L546" s="560">
        <f t="shared" si="18"/>
        <v>23</v>
      </c>
    </row>
    <row r="547" spans="2:12">
      <c r="B547" s="553">
        <v>44238</v>
      </c>
      <c r="C547" t="s">
        <v>1159</v>
      </c>
      <c r="D547" s="28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0">
        <v>13409.04</v>
      </c>
      <c r="K547" s="560">
        <f t="shared" si="17"/>
        <v>36</v>
      </c>
      <c r="L547" s="560">
        <f t="shared" si="18"/>
        <v>22</v>
      </c>
    </row>
    <row r="548" spans="2:12">
      <c r="B548" s="553">
        <v>44238</v>
      </c>
      <c r="C548" t="s">
        <v>1159</v>
      </c>
      <c r="D548" s="28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0">
        <v>100</v>
      </c>
      <c r="K548" s="560">
        <f t="shared" si="17"/>
        <v>36</v>
      </c>
      <c r="L548" s="560">
        <f t="shared" si="18"/>
        <v>21</v>
      </c>
    </row>
    <row r="549" spans="2:12">
      <c r="B549" s="553">
        <v>44238</v>
      </c>
      <c r="C549" t="s">
        <v>1159</v>
      </c>
      <c r="D549" s="28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0">
        <v>900</v>
      </c>
      <c r="K549" s="560">
        <f t="shared" si="17"/>
        <v>36</v>
      </c>
      <c r="L549" s="560">
        <f t="shared" si="18"/>
        <v>20</v>
      </c>
    </row>
    <row r="550" spans="2:12">
      <c r="B550" s="553">
        <v>44238</v>
      </c>
      <c r="C550" t="s">
        <v>1159</v>
      </c>
      <c r="D550" s="28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0">
        <v>100</v>
      </c>
      <c r="K550" s="560">
        <f t="shared" si="17"/>
        <v>36</v>
      </c>
      <c r="L550" s="560">
        <f t="shared" si="18"/>
        <v>19</v>
      </c>
    </row>
    <row r="551" spans="2:12">
      <c r="B551" s="553">
        <v>44238</v>
      </c>
      <c r="C551" t="s">
        <v>1159</v>
      </c>
      <c r="D551" s="28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0">
        <v>134419</v>
      </c>
      <c r="K551" s="560">
        <f t="shared" si="17"/>
        <v>36</v>
      </c>
      <c r="L551" s="560">
        <f t="shared" si="18"/>
        <v>18</v>
      </c>
    </row>
    <row r="552" spans="2:12">
      <c r="B552" s="553">
        <v>44238</v>
      </c>
      <c r="C552" t="s">
        <v>1159</v>
      </c>
      <c r="D552" s="28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0">
        <v>4000</v>
      </c>
      <c r="K552" s="560">
        <f t="shared" si="17"/>
        <v>36</v>
      </c>
      <c r="L552" s="560">
        <f t="shared" si="18"/>
        <v>17</v>
      </c>
    </row>
    <row r="553" spans="2:12">
      <c r="B553" s="553">
        <v>44238</v>
      </c>
      <c r="C553" t="s">
        <v>1159</v>
      </c>
      <c r="D553" s="28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0">
        <v>16130.28</v>
      </c>
      <c r="K553" s="560">
        <f t="shared" si="17"/>
        <v>36</v>
      </c>
      <c r="L553" s="560">
        <f t="shared" si="18"/>
        <v>16</v>
      </c>
    </row>
    <row r="554" spans="2:12">
      <c r="B554" s="553">
        <v>44238</v>
      </c>
      <c r="C554" t="s">
        <v>1159</v>
      </c>
      <c r="D554" s="28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0">
        <v>200</v>
      </c>
      <c r="K554" s="560">
        <f t="shared" si="17"/>
        <v>36</v>
      </c>
      <c r="L554" s="560">
        <f t="shared" si="18"/>
        <v>15</v>
      </c>
    </row>
    <row r="555" spans="2:12">
      <c r="B555" s="553">
        <v>44238</v>
      </c>
      <c r="C555" t="s">
        <v>1159</v>
      </c>
      <c r="D555" s="28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0">
        <v>1593.92</v>
      </c>
      <c r="K555" s="560">
        <f t="shared" si="17"/>
        <v>36</v>
      </c>
      <c r="L555" s="560">
        <f t="shared" si="18"/>
        <v>14</v>
      </c>
    </row>
    <row r="556" spans="2:12">
      <c r="B556" s="553">
        <v>44238</v>
      </c>
      <c r="C556" t="s">
        <v>1159</v>
      </c>
      <c r="D556" s="28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0">
        <v>200</v>
      </c>
      <c r="K556" s="560">
        <f t="shared" si="17"/>
        <v>36</v>
      </c>
      <c r="L556" s="560">
        <f t="shared" si="18"/>
        <v>13</v>
      </c>
    </row>
    <row r="557" spans="2:12">
      <c r="B557" s="553">
        <v>44238</v>
      </c>
      <c r="C557" t="s">
        <v>1159</v>
      </c>
      <c r="D557" s="28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0">
        <v>91522</v>
      </c>
      <c r="K557" s="560">
        <f t="shared" si="17"/>
        <v>36</v>
      </c>
      <c r="L557" s="560">
        <f t="shared" si="18"/>
        <v>12</v>
      </c>
    </row>
    <row r="558" spans="2:12">
      <c r="B558" s="553">
        <v>44238</v>
      </c>
      <c r="C558" t="s">
        <v>1159</v>
      </c>
      <c r="D558" s="28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0">
        <v>4000</v>
      </c>
      <c r="K558" s="560">
        <f t="shared" si="17"/>
        <v>36</v>
      </c>
      <c r="L558" s="560">
        <f t="shared" si="18"/>
        <v>11</v>
      </c>
    </row>
    <row r="559" spans="2:12">
      <c r="B559" s="553">
        <v>44238</v>
      </c>
      <c r="C559" t="s">
        <v>1159</v>
      </c>
      <c r="D559" s="28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0">
        <v>10982.64</v>
      </c>
      <c r="K559" s="560">
        <f t="shared" si="17"/>
        <v>36</v>
      </c>
      <c r="L559" s="560">
        <f t="shared" si="18"/>
        <v>10</v>
      </c>
    </row>
    <row r="560" spans="2:12">
      <c r="B560" s="553">
        <v>44238</v>
      </c>
      <c r="C560" t="s">
        <v>1159</v>
      </c>
      <c r="D560" s="28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0">
        <v>200</v>
      </c>
      <c r="K560" s="560">
        <f t="shared" si="17"/>
        <v>36</v>
      </c>
      <c r="L560" s="560">
        <f t="shared" si="18"/>
        <v>9</v>
      </c>
    </row>
    <row r="561" spans="1:19">
      <c r="B561" s="553">
        <v>44238</v>
      </c>
      <c r="C561" t="s">
        <v>1159</v>
      </c>
      <c r="D561" s="28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0">
        <v>1372.83</v>
      </c>
      <c r="K561" s="560">
        <f t="shared" si="17"/>
        <v>36</v>
      </c>
      <c r="L561" s="560">
        <f t="shared" si="18"/>
        <v>8</v>
      </c>
    </row>
    <row r="562" spans="1:19">
      <c r="B562" s="553">
        <v>44238</v>
      </c>
      <c r="C562" t="s">
        <v>1159</v>
      </c>
      <c r="D562" s="28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0">
        <v>200</v>
      </c>
      <c r="K562" s="560">
        <f t="shared" si="17"/>
        <v>36</v>
      </c>
      <c r="L562" s="560">
        <f t="shared" si="18"/>
        <v>7</v>
      </c>
    </row>
    <row r="563" spans="1:19">
      <c r="B563" s="553">
        <v>44238</v>
      </c>
      <c r="C563" t="s">
        <v>1159</v>
      </c>
      <c r="D563" s="28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0">
        <v>43681</v>
      </c>
      <c r="K563" s="560">
        <f t="shared" si="17"/>
        <v>36</v>
      </c>
      <c r="L563" s="560">
        <f t="shared" si="18"/>
        <v>6</v>
      </c>
    </row>
    <row r="564" spans="1:19">
      <c r="B564" s="553">
        <v>44238</v>
      </c>
      <c r="C564" t="s">
        <v>1159</v>
      </c>
      <c r="D564" s="28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0">
        <v>2000</v>
      </c>
      <c r="K564" s="560">
        <f t="shared" si="17"/>
        <v>36</v>
      </c>
      <c r="L564" s="560">
        <f t="shared" si="18"/>
        <v>5</v>
      </c>
    </row>
    <row r="565" spans="1:19">
      <c r="B565" s="553">
        <v>44238</v>
      </c>
      <c r="C565" t="s">
        <v>1159</v>
      </c>
      <c r="D565" s="28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0">
        <v>5241.72</v>
      </c>
      <c r="K565" s="560">
        <f t="shared" si="17"/>
        <v>36</v>
      </c>
      <c r="L565" s="560">
        <f t="shared" si="18"/>
        <v>4</v>
      </c>
    </row>
    <row r="566" spans="1:19">
      <c r="B566" s="553">
        <v>44238</v>
      </c>
      <c r="C566" t="s">
        <v>1159</v>
      </c>
      <c r="D566" s="28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0">
        <v>100</v>
      </c>
      <c r="K566" s="560">
        <f t="shared" si="17"/>
        <v>36</v>
      </c>
      <c r="L566" s="560">
        <f t="shared" si="18"/>
        <v>3</v>
      </c>
    </row>
    <row r="567" spans="1:19">
      <c r="B567" s="553">
        <v>44238</v>
      </c>
      <c r="C567" t="s">
        <v>1159</v>
      </c>
      <c r="D567" s="28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0">
        <v>655.22</v>
      </c>
      <c r="K567" s="560">
        <f t="shared" si="17"/>
        <v>36</v>
      </c>
      <c r="L567" s="560">
        <f t="shared" si="18"/>
        <v>2</v>
      </c>
    </row>
    <row r="568" spans="1:19">
      <c r="A568" t="s">
        <v>2153</v>
      </c>
      <c r="B568" s="553">
        <v>44238</v>
      </c>
      <c r="C568" t="s">
        <v>1159</v>
      </c>
      <c r="D568" s="28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0">
        <v>100</v>
      </c>
      <c r="K568" s="560">
        <f t="shared" si="17"/>
        <v>36</v>
      </c>
      <c r="L568" s="560">
        <f t="shared" si="18"/>
        <v>1</v>
      </c>
      <c r="M568" s="560" t="e">
        <f>SUMIFS('[1]MAIN-101'!$Z$1:$Z$3000,'[1]MAIN-101'!$X$1:$X$3000,S568)</f>
        <v>#VALUE!</v>
      </c>
      <c r="N568" s="560"/>
      <c r="O568" s="560"/>
      <c r="S568" t="str">
        <f>VLOOKUP(C568,'Recon of ORS and DV'!$A$4:$B$358,2,FALSE)</f>
        <v>0208</v>
      </c>
    </row>
    <row r="569" spans="1:19">
      <c r="B569" s="553">
        <v>44238</v>
      </c>
      <c r="C569" t="s">
        <v>1160</v>
      </c>
      <c r="D569" s="28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0">
        <v>77256</v>
      </c>
      <c r="K569" s="560">
        <f t="shared" si="17"/>
        <v>6</v>
      </c>
      <c r="L569" s="560">
        <f t="shared" si="18"/>
        <v>6</v>
      </c>
    </row>
    <row r="570" spans="1:19">
      <c r="B570" s="553">
        <v>44238</v>
      </c>
      <c r="C570" t="s">
        <v>1160</v>
      </c>
      <c r="D570" s="28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0">
        <v>4000</v>
      </c>
      <c r="K570" s="560">
        <f t="shared" si="17"/>
        <v>6</v>
      </c>
      <c r="L570" s="560">
        <f t="shared" si="18"/>
        <v>5</v>
      </c>
    </row>
    <row r="571" spans="1:19">
      <c r="B571" s="553">
        <v>44238</v>
      </c>
      <c r="C571" t="s">
        <v>1160</v>
      </c>
      <c r="D571" s="28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0">
        <v>9270.7199999999993</v>
      </c>
      <c r="K571" s="560">
        <f t="shared" si="17"/>
        <v>6</v>
      </c>
      <c r="L571" s="560">
        <f t="shared" si="18"/>
        <v>4</v>
      </c>
    </row>
    <row r="572" spans="1:19">
      <c r="B572" s="553">
        <v>44238</v>
      </c>
      <c r="C572" t="s">
        <v>1160</v>
      </c>
      <c r="D572" s="28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0">
        <v>200</v>
      </c>
      <c r="K572" s="560">
        <f t="shared" si="17"/>
        <v>6</v>
      </c>
      <c r="L572" s="560">
        <f t="shared" si="18"/>
        <v>3</v>
      </c>
    </row>
    <row r="573" spans="1:19">
      <c r="B573" s="553">
        <v>44238</v>
      </c>
      <c r="C573" t="s">
        <v>1160</v>
      </c>
      <c r="D573" s="28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0">
        <v>1158.8499999999999</v>
      </c>
      <c r="K573" s="560">
        <f t="shared" si="17"/>
        <v>6</v>
      </c>
      <c r="L573" s="560">
        <f t="shared" si="18"/>
        <v>2</v>
      </c>
    </row>
    <row r="574" spans="1:19">
      <c r="A574" t="s">
        <v>2154</v>
      </c>
      <c r="B574" s="553">
        <v>44238</v>
      </c>
      <c r="C574" t="s">
        <v>1160</v>
      </c>
      <c r="D574" s="28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0">
        <v>200</v>
      </c>
      <c r="K574" s="560">
        <f t="shared" si="17"/>
        <v>6</v>
      </c>
      <c r="L574" s="560">
        <f t="shared" si="18"/>
        <v>1</v>
      </c>
      <c r="M574" s="560" t="e">
        <f>SUMIFS('[1]MAIN-101'!$Z$1:$Z$3000,'[1]MAIN-101'!$X$1:$X$3000,S574)</f>
        <v>#VALUE!</v>
      </c>
      <c r="N574" s="560"/>
      <c r="O574" s="560"/>
      <c r="S574" t="str">
        <f>VLOOKUP(C574,'Recon of ORS and DV'!$A$4:$B$358,2,FALSE)</f>
        <v>0209</v>
      </c>
    </row>
    <row r="575" spans="1:19">
      <c r="B575" s="553">
        <v>44238</v>
      </c>
      <c r="C575" t="s">
        <v>1161</v>
      </c>
      <c r="D575" s="28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0">
        <v>145528</v>
      </c>
      <c r="K575" s="560">
        <f t="shared" si="17"/>
        <v>30</v>
      </c>
      <c r="L575" s="560">
        <f t="shared" si="18"/>
        <v>30</v>
      </c>
    </row>
    <row r="576" spans="1:19">
      <c r="B576" s="553">
        <v>44238</v>
      </c>
      <c r="C576" t="s">
        <v>1161</v>
      </c>
      <c r="D576" s="28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0">
        <v>6000</v>
      </c>
      <c r="K576" s="560">
        <f t="shared" si="17"/>
        <v>30</v>
      </c>
      <c r="L576" s="560">
        <f t="shared" si="18"/>
        <v>29</v>
      </c>
    </row>
    <row r="577" spans="2:12">
      <c r="B577" s="553">
        <v>44238</v>
      </c>
      <c r="C577" t="s">
        <v>1161</v>
      </c>
      <c r="D577" s="28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0">
        <v>17463.36</v>
      </c>
      <c r="K577" s="560">
        <f t="shared" si="17"/>
        <v>30</v>
      </c>
      <c r="L577" s="560">
        <f t="shared" si="18"/>
        <v>28</v>
      </c>
    </row>
    <row r="578" spans="2:12">
      <c r="B578" s="553">
        <v>44238</v>
      </c>
      <c r="C578" t="s">
        <v>1161</v>
      </c>
      <c r="D578" s="28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0">
        <v>300</v>
      </c>
      <c r="K578" s="560">
        <f t="shared" si="17"/>
        <v>30</v>
      </c>
      <c r="L578" s="560">
        <f t="shared" si="18"/>
        <v>27</v>
      </c>
    </row>
    <row r="579" spans="2:12">
      <c r="B579" s="553">
        <v>44238</v>
      </c>
      <c r="C579" t="s">
        <v>1161</v>
      </c>
      <c r="D579" s="28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0">
        <v>1781.79</v>
      </c>
      <c r="K579" s="560">
        <f t="shared" si="17"/>
        <v>30</v>
      </c>
      <c r="L579" s="560">
        <f t="shared" si="18"/>
        <v>26</v>
      </c>
    </row>
    <row r="580" spans="2:12">
      <c r="B580" s="553">
        <v>44238</v>
      </c>
      <c r="C580" t="s">
        <v>1161</v>
      </c>
      <c r="D580" s="28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0">
        <v>300</v>
      </c>
      <c r="K580" s="560">
        <f t="shared" ref="K580:K643" si="19">COUNTIFS($C$3:$C$1556,C580)</f>
        <v>30</v>
      </c>
      <c r="L580" s="560">
        <f t="shared" si="18"/>
        <v>25</v>
      </c>
    </row>
    <row r="581" spans="2:12">
      <c r="B581" s="553">
        <v>44238</v>
      </c>
      <c r="C581" t="s">
        <v>1161</v>
      </c>
      <c r="D581" s="28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0">
        <v>46261</v>
      </c>
      <c r="K581" s="560">
        <f t="shared" si="19"/>
        <v>30</v>
      </c>
      <c r="L581" s="560">
        <f t="shared" si="18"/>
        <v>24</v>
      </c>
    </row>
    <row r="582" spans="2:12">
      <c r="B582" s="553">
        <v>44238</v>
      </c>
      <c r="C582" t="s">
        <v>1161</v>
      </c>
      <c r="D582" s="28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0">
        <v>2000</v>
      </c>
      <c r="K582" s="560">
        <f t="shared" si="19"/>
        <v>30</v>
      </c>
      <c r="L582" s="560">
        <f t="shared" si="18"/>
        <v>23</v>
      </c>
    </row>
    <row r="583" spans="2:12">
      <c r="B583" s="553">
        <v>44238</v>
      </c>
      <c r="C583" t="s">
        <v>1161</v>
      </c>
      <c r="D583" s="28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0">
        <v>5551.32</v>
      </c>
      <c r="K583" s="560">
        <f t="shared" si="19"/>
        <v>30</v>
      </c>
      <c r="L583" s="560">
        <f t="shared" si="18"/>
        <v>22</v>
      </c>
    </row>
    <row r="584" spans="2:12">
      <c r="B584" s="553">
        <v>44238</v>
      </c>
      <c r="C584" t="s">
        <v>1161</v>
      </c>
      <c r="D584" s="28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0">
        <v>100</v>
      </c>
      <c r="K584" s="560">
        <f t="shared" si="19"/>
        <v>30</v>
      </c>
      <c r="L584" s="560">
        <f t="shared" si="18"/>
        <v>21</v>
      </c>
    </row>
    <row r="585" spans="2:12">
      <c r="B585" s="553">
        <v>44238</v>
      </c>
      <c r="C585" t="s">
        <v>1161</v>
      </c>
      <c r="D585" s="28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0">
        <v>693.92</v>
      </c>
      <c r="K585" s="560">
        <f t="shared" si="19"/>
        <v>30</v>
      </c>
      <c r="L585" s="560">
        <f t="shared" si="18"/>
        <v>20</v>
      </c>
    </row>
    <row r="586" spans="2:12">
      <c r="B586" s="553">
        <v>44238</v>
      </c>
      <c r="C586" t="s">
        <v>1161</v>
      </c>
      <c r="D586" s="28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0">
        <v>100</v>
      </c>
      <c r="K586" s="560">
        <f t="shared" si="19"/>
        <v>30</v>
      </c>
      <c r="L586" s="560">
        <f t="shared" si="18"/>
        <v>19</v>
      </c>
    </row>
    <row r="587" spans="2:12">
      <c r="B587" s="553">
        <v>44238</v>
      </c>
      <c r="C587" t="s">
        <v>1161</v>
      </c>
      <c r="D587" s="28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0">
        <v>111742</v>
      </c>
      <c r="K587" s="560">
        <f t="shared" si="19"/>
        <v>30</v>
      </c>
      <c r="L587" s="560">
        <f t="shared" si="18"/>
        <v>18</v>
      </c>
    </row>
    <row r="588" spans="2:12">
      <c r="B588" s="553">
        <v>44238</v>
      </c>
      <c r="C588" t="s">
        <v>1161</v>
      </c>
      <c r="D588" s="28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0">
        <v>2000</v>
      </c>
      <c r="K588" s="560">
        <f t="shared" si="19"/>
        <v>30</v>
      </c>
      <c r="L588" s="560">
        <f t="shared" si="18"/>
        <v>17</v>
      </c>
    </row>
    <row r="589" spans="2:12">
      <c r="B589" s="553">
        <v>44238</v>
      </c>
      <c r="C589" t="s">
        <v>1161</v>
      </c>
      <c r="D589" s="28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0">
        <v>13409.04</v>
      </c>
      <c r="K589" s="560">
        <f t="shared" si="19"/>
        <v>30</v>
      </c>
      <c r="L589" s="560">
        <f t="shared" si="18"/>
        <v>16</v>
      </c>
    </row>
    <row r="590" spans="2:12">
      <c r="B590" s="553">
        <v>44238</v>
      </c>
      <c r="C590" t="s">
        <v>1161</v>
      </c>
      <c r="D590" s="28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0">
        <v>100</v>
      </c>
      <c r="K590" s="560">
        <f t="shared" si="19"/>
        <v>30</v>
      </c>
      <c r="L590" s="560">
        <f t="shared" si="18"/>
        <v>15</v>
      </c>
    </row>
    <row r="591" spans="2:12">
      <c r="B591" s="553">
        <v>44238</v>
      </c>
      <c r="C591" t="s">
        <v>1161</v>
      </c>
      <c r="D591" s="28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0">
        <v>900</v>
      </c>
      <c r="K591" s="560">
        <f t="shared" si="19"/>
        <v>30</v>
      </c>
      <c r="L591" s="560">
        <f t="shared" ref="L591:L654" si="20">COUNTIFS(C591:C2144,C591)</f>
        <v>14</v>
      </c>
    </row>
    <row r="592" spans="2:12">
      <c r="B592" s="553">
        <v>44238</v>
      </c>
      <c r="C592" t="s">
        <v>1161</v>
      </c>
      <c r="D592" s="28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0">
        <v>100</v>
      </c>
      <c r="K592" s="560">
        <f t="shared" si="19"/>
        <v>30</v>
      </c>
      <c r="L592" s="560">
        <f t="shared" si="20"/>
        <v>13</v>
      </c>
    </row>
    <row r="593" spans="1:19">
      <c r="B593" s="553">
        <v>44238</v>
      </c>
      <c r="C593" t="s">
        <v>1161</v>
      </c>
      <c r="D593" s="28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0">
        <v>236044</v>
      </c>
      <c r="K593" s="560">
        <f t="shared" si="19"/>
        <v>30</v>
      </c>
      <c r="L593" s="560">
        <f t="shared" si="20"/>
        <v>12</v>
      </c>
    </row>
    <row r="594" spans="1:19">
      <c r="B594" s="553">
        <v>44238</v>
      </c>
      <c r="C594" t="s">
        <v>1161</v>
      </c>
      <c r="D594" s="28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0">
        <v>12000</v>
      </c>
      <c r="K594" s="560">
        <f t="shared" si="19"/>
        <v>30</v>
      </c>
      <c r="L594" s="560">
        <f t="shared" si="20"/>
        <v>11</v>
      </c>
    </row>
    <row r="595" spans="1:19">
      <c r="B595" s="553">
        <v>44238</v>
      </c>
      <c r="C595" t="s">
        <v>1161</v>
      </c>
      <c r="D595" s="28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0">
        <v>28325.279999999999</v>
      </c>
      <c r="K595" s="560">
        <f t="shared" si="19"/>
        <v>30</v>
      </c>
      <c r="L595" s="560">
        <f t="shared" si="20"/>
        <v>10</v>
      </c>
    </row>
    <row r="596" spans="1:19">
      <c r="B596" s="553">
        <v>44238</v>
      </c>
      <c r="C596" t="s">
        <v>1161</v>
      </c>
      <c r="D596" s="28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0">
        <v>600</v>
      </c>
      <c r="K596" s="560">
        <f t="shared" si="19"/>
        <v>30</v>
      </c>
      <c r="L596" s="560">
        <f t="shared" si="20"/>
        <v>9</v>
      </c>
    </row>
    <row r="597" spans="1:19">
      <c r="B597" s="553">
        <v>44238</v>
      </c>
      <c r="C597" t="s">
        <v>1161</v>
      </c>
      <c r="D597" s="28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0">
        <v>3540.69</v>
      </c>
      <c r="K597" s="560">
        <f t="shared" si="19"/>
        <v>30</v>
      </c>
      <c r="L597" s="560">
        <f t="shared" si="20"/>
        <v>8</v>
      </c>
    </row>
    <row r="598" spans="1:19">
      <c r="B598" s="553">
        <v>44238</v>
      </c>
      <c r="C598" t="s">
        <v>1161</v>
      </c>
      <c r="D598" s="28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0">
        <v>600</v>
      </c>
      <c r="K598" s="560">
        <f t="shared" si="19"/>
        <v>30</v>
      </c>
      <c r="L598" s="560">
        <f t="shared" si="20"/>
        <v>7</v>
      </c>
    </row>
    <row r="599" spans="1:19">
      <c r="B599" s="553">
        <v>44238</v>
      </c>
      <c r="C599" t="s">
        <v>1161</v>
      </c>
      <c r="D599" s="28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0">
        <v>44694</v>
      </c>
      <c r="K599" s="560">
        <f t="shared" si="19"/>
        <v>30</v>
      </c>
      <c r="L599" s="560">
        <f t="shared" si="20"/>
        <v>6</v>
      </c>
    </row>
    <row r="600" spans="1:19">
      <c r="B600" s="553">
        <v>44238</v>
      </c>
      <c r="C600" t="s">
        <v>1161</v>
      </c>
      <c r="D600" s="28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0">
        <v>2000</v>
      </c>
      <c r="K600" s="560">
        <f t="shared" si="19"/>
        <v>30</v>
      </c>
      <c r="L600" s="560">
        <f t="shared" si="20"/>
        <v>5</v>
      </c>
    </row>
    <row r="601" spans="1:19">
      <c r="B601" s="553">
        <v>44238</v>
      </c>
      <c r="C601" t="s">
        <v>1161</v>
      </c>
      <c r="D601" s="28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0">
        <v>5363.28</v>
      </c>
      <c r="K601" s="560">
        <f t="shared" si="19"/>
        <v>30</v>
      </c>
      <c r="L601" s="560">
        <f t="shared" si="20"/>
        <v>4</v>
      </c>
    </row>
    <row r="602" spans="1:19">
      <c r="B602" s="553">
        <v>44238</v>
      </c>
      <c r="C602" t="s">
        <v>1161</v>
      </c>
      <c r="D602" s="28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0">
        <v>100</v>
      </c>
      <c r="K602" s="560">
        <f t="shared" si="19"/>
        <v>30</v>
      </c>
      <c r="L602" s="560">
        <f t="shared" si="20"/>
        <v>3</v>
      </c>
    </row>
    <row r="603" spans="1:19">
      <c r="B603" s="553">
        <v>44238</v>
      </c>
      <c r="C603" t="s">
        <v>1161</v>
      </c>
      <c r="D603" s="28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0">
        <v>670.41</v>
      </c>
      <c r="K603" s="560">
        <f t="shared" si="19"/>
        <v>30</v>
      </c>
      <c r="L603" s="560">
        <f t="shared" si="20"/>
        <v>2</v>
      </c>
    </row>
    <row r="604" spans="1:19">
      <c r="A604" t="s">
        <v>2155</v>
      </c>
      <c r="B604" s="553">
        <v>44238</v>
      </c>
      <c r="C604" t="s">
        <v>1161</v>
      </c>
      <c r="D604" s="28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0">
        <v>100</v>
      </c>
      <c r="K604" s="560">
        <f t="shared" si="19"/>
        <v>30</v>
      </c>
      <c r="L604" s="560">
        <f t="shared" si="20"/>
        <v>1</v>
      </c>
      <c r="M604" s="560" t="e">
        <f>SUMIFS('[1]MAIN-101'!$Z$1:$Z$3000,'[1]MAIN-101'!$X$1:$X$3000,S604)</f>
        <v>#VALUE!</v>
      </c>
      <c r="N604" s="560"/>
      <c r="O604" s="560"/>
      <c r="S604" t="str">
        <f>VLOOKUP(C604,'Recon of ORS and DV'!$A$4:$B$358,2,FALSE)</f>
        <v>0207</v>
      </c>
    </row>
    <row r="605" spans="1:19">
      <c r="B605" s="553">
        <v>44238</v>
      </c>
      <c r="C605" t="s">
        <v>1162</v>
      </c>
      <c r="D605" s="28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0">
        <v>77256</v>
      </c>
      <c r="K605" s="560">
        <f t="shared" si="19"/>
        <v>6</v>
      </c>
      <c r="L605" s="560">
        <f t="shared" si="20"/>
        <v>6</v>
      </c>
    </row>
    <row r="606" spans="1:19">
      <c r="B606" s="553">
        <v>44238</v>
      </c>
      <c r="C606" t="s">
        <v>1162</v>
      </c>
      <c r="D606" s="28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0">
        <v>4000</v>
      </c>
      <c r="K606" s="560">
        <f t="shared" si="19"/>
        <v>6</v>
      </c>
      <c r="L606" s="560">
        <f t="shared" si="20"/>
        <v>5</v>
      </c>
    </row>
    <row r="607" spans="1:19">
      <c r="B607" s="553">
        <v>44238</v>
      </c>
      <c r="C607" t="s">
        <v>1162</v>
      </c>
      <c r="D607" s="28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0">
        <v>9270.7199999999993</v>
      </c>
      <c r="K607" s="560">
        <f t="shared" si="19"/>
        <v>6</v>
      </c>
      <c r="L607" s="560">
        <f t="shared" si="20"/>
        <v>4</v>
      </c>
    </row>
    <row r="608" spans="1:19">
      <c r="B608" s="553">
        <v>44238</v>
      </c>
      <c r="C608" t="s">
        <v>1162</v>
      </c>
      <c r="D608" s="28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0">
        <v>200</v>
      </c>
      <c r="K608" s="560">
        <f t="shared" si="19"/>
        <v>6</v>
      </c>
      <c r="L608" s="560">
        <f t="shared" si="20"/>
        <v>3</v>
      </c>
    </row>
    <row r="609" spans="1:19">
      <c r="B609" s="553">
        <v>44238</v>
      </c>
      <c r="C609" t="s">
        <v>1162</v>
      </c>
      <c r="D609" s="28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0">
        <v>1158.8499999999999</v>
      </c>
      <c r="K609" s="560">
        <f t="shared" si="19"/>
        <v>6</v>
      </c>
      <c r="L609" s="560">
        <f t="shared" si="20"/>
        <v>2</v>
      </c>
    </row>
    <row r="610" spans="1:19">
      <c r="A610" t="s">
        <v>2156</v>
      </c>
      <c r="B610" s="553">
        <v>44238</v>
      </c>
      <c r="C610" t="s">
        <v>1162</v>
      </c>
      <c r="D610" s="28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0">
        <v>200</v>
      </c>
      <c r="K610" s="560">
        <f t="shared" si="19"/>
        <v>6</v>
      </c>
      <c r="L610" s="560">
        <f t="shared" si="20"/>
        <v>1</v>
      </c>
      <c r="M610" s="560" t="e">
        <f>SUMIFS('[1]MAIN-101'!$Z$1:$Z$3000,'[1]MAIN-101'!$X$1:$X$3000,S610)</f>
        <v>#VALUE!</v>
      </c>
      <c r="N610" s="560"/>
      <c r="O610" s="560"/>
      <c r="S610" t="str">
        <f>VLOOKUP(C610,'Recon of ORS and DV'!$A$4:$B$358,2,FALSE)</f>
        <v>0206</v>
      </c>
    </row>
    <row r="611" spans="1:19">
      <c r="B611" s="553">
        <v>44238</v>
      </c>
      <c r="C611" t="s">
        <v>1163</v>
      </c>
      <c r="D611" s="28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0">
        <v>33575</v>
      </c>
      <c r="K611" s="560">
        <f t="shared" si="19"/>
        <v>6</v>
      </c>
      <c r="L611" s="560">
        <f t="shared" si="20"/>
        <v>6</v>
      </c>
    </row>
    <row r="612" spans="1:19">
      <c r="B612" s="553">
        <v>44238</v>
      </c>
      <c r="C612" t="s">
        <v>1163</v>
      </c>
      <c r="D612" s="28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0">
        <v>2000</v>
      </c>
      <c r="K612" s="560">
        <f t="shared" si="19"/>
        <v>6</v>
      </c>
      <c r="L612" s="560">
        <f t="shared" si="20"/>
        <v>5</v>
      </c>
    </row>
    <row r="613" spans="1:19">
      <c r="B613" s="553">
        <v>44238</v>
      </c>
      <c r="C613" t="s">
        <v>1163</v>
      </c>
      <c r="D613" s="28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0">
        <v>4029</v>
      </c>
      <c r="K613" s="560">
        <f t="shared" si="19"/>
        <v>6</v>
      </c>
      <c r="L613" s="560">
        <f t="shared" si="20"/>
        <v>4</v>
      </c>
    </row>
    <row r="614" spans="1:19">
      <c r="B614" s="553">
        <v>44238</v>
      </c>
      <c r="C614" t="s">
        <v>1163</v>
      </c>
      <c r="D614" s="28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0">
        <v>100</v>
      </c>
      <c r="K614" s="560">
        <f t="shared" si="19"/>
        <v>6</v>
      </c>
      <c r="L614" s="560">
        <f t="shared" si="20"/>
        <v>3</v>
      </c>
    </row>
    <row r="615" spans="1:19">
      <c r="B615" s="553">
        <v>44238</v>
      </c>
      <c r="C615" t="s">
        <v>1163</v>
      </c>
      <c r="D615" s="28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0">
        <v>503.63</v>
      </c>
      <c r="K615" s="560">
        <f t="shared" si="19"/>
        <v>6</v>
      </c>
      <c r="L615" s="560">
        <f t="shared" si="20"/>
        <v>2</v>
      </c>
    </row>
    <row r="616" spans="1:19">
      <c r="A616" t="s">
        <v>2157</v>
      </c>
      <c r="B616" s="553">
        <v>44238</v>
      </c>
      <c r="C616" t="s">
        <v>1163</v>
      </c>
      <c r="D616" s="28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0">
        <v>100</v>
      </c>
      <c r="K616" s="560">
        <f t="shared" si="19"/>
        <v>6</v>
      </c>
      <c r="L616" s="560">
        <f t="shared" si="20"/>
        <v>1</v>
      </c>
      <c r="M616" s="560" t="e">
        <f>SUMIFS('[1]MAIN-101'!$Z$1:$Z$3000,'[1]MAIN-101'!$X$1:$X$3000,S616)</f>
        <v>#VALUE!</v>
      </c>
      <c r="N616" s="560"/>
      <c r="O616" s="560"/>
      <c r="S616" t="str">
        <f>VLOOKUP(C616,'Recon of ORS and DV'!$A$4:$B$358,2,FALSE)</f>
        <v>0205</v>
      </c>
    </row>
    <row r="617" spans="1:19">
      <c r="B617" s="553">
        <v>44238</v>
      </c>
      <c r="C617" t="s">
        <v>1164</v>
      </c>
      <c r="D617" s="28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0">
        <v>99206</v>
      </c>
      <c r="K617" s="560">
        <f t="shared" si="19"/>
        <v>24</v>
      </c>
      <c r="L617" s="560">
        <f t="shared" si="20"/>
        <v>24</v>
      </c>
    </row>
    <row r="618" spans="1:19">
      <c r="B618" s="553">
        <v>44238</v>
      </c>
      <c r="C618" t="s">
        <v>1164</v>
      </c>
      <c r="D618" s="28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0">
        <v>8000</v>
      </c>
      <c r="K618" s="560">
        <f t="shared" si="19"/>
        <v>24</v>
      </c>
      <c r="L618" s="560">
        <f t="shared" si="20"/>
        <v>23</v>
      </c>
    </row>
    <row r="619" spans="1:19">
      <c r="B619" s="553">
        <v>44238</v>
      </c>
      <c r="C619" t="s">
        <v>1164</v>
      </c>
      <c r="D619" s="28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0">
        <v>11904.72</v>
      </c>
      <c r="K619" s="560">
        <f t="shared" si="19"/>
        <v>24</v>
      </c>
      <c r="L619" s="560">
        <f t="shared" si="20"/>
        <v>22</v>
      </c>
    </row>
    <row r="620" spans="1:19">
      <c r="B620" s="553">
        <v>44238</v>
      </c>
      <c r="C620" t="s">
        <v>1164</v>
      </c>
      <c r="D620" s="28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0">
        <v>400</v>
      </c>
      <c r="K620" s="560">
        <f t="shared" si="19"/>
        <v>24</v>
      </c>
      <c r="L620" s="560">
        <f t="shared" si="20"/>
        <v>21</v>
      </c>
    </row>
    <row r="621" spans="1:19">
      <c r="B621" s="553">
        <v>44238</v>
      </c>
      <c r="C621" t="s">
        <v>1164</v>
      </c>
      <c r="D621" s="28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0">
        <v>1488.1</v>
      </c>
      <c r="K621" s="560">
        <f t="shared" si="19"/>
        <v>24</v>
      </c>
      <c r="L621" s="560">
        <f t="shared" si="20"/>
        <v>20</v>
      </c>
    </row>
    <row r="622" spans="1:19">
      <c r="B622" s="553">
        <v>44238</v>
      </c>
      <c r="C622" t="s">
        <v>1164</v>
      </c>
      <c r="D622" s="28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0">
        <v>400</v>
      </c>
      <c r="K622" s="560">
        <f t="shared" si="19"/>
        <v>24</v>
      </c>
      <c r="L622" s="560">
        <f t="shared" si="20"/>
        <v>19</v>
      </c>
    </row>
    <row r="623" spans="1:19">
      <c r="B623" s="553">
        <v>44238</v>
      </c>
      <c r="C623" t="s">
        <v>1164</v>
      </c>
      <c r="D623" s="28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0">
        <v>44184</v>
      </c>
      <c r="K623" s="560">
        <f t="shared" si="19"/>
        <v>24</v>
      </c>
      <c r="L623" s="560">
        <f t="shared" si="20"/>
        <v>18</v>
      </c>
    </row>
    <row r="624" spans="1:19">
      <c r="B624" s="553">
        <v>44238</v>
      </c>
      <c r="C624" t="s">
        <v>1164</v>
      </c>
      <c r="D624" s="28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0">
        <v>2000</v>
      </c>
      <c r="K624" s="560">
        <f t="shared" si="19"/>
        <v>24</v>
      </c>
      <c r="L624" s="560">
        <f t="shared" si="20"/>
        <v>17</v>
      </c>
    </row>
    <row r="625" spans="1:19">
      <c r="B625" s="553">
        <v>44238</v>
      </c>
      <c r="C625" t="s">
        <v>1164</v>
      </c>
      <c r="D625" s="28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0">
        <v>5302.08</v>
      </c>
      <c r="K625" s="560">
        <f t="shared" si="19"/>
        <v>24</v>
      </c>
      <c r="L625" s="560">
        <f t="shared" si="20"/>
        <v>16</v>
      </c>
    </row>
    <row r="626" spans="1:19">
      <c r="B626" s="553">
        <v>44238</v>
      </c>
      <c r="C626" t="s">
        <v>1164</v>
      </c>
      <c r="D626" s="28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0">
        <v>100</v>
      </c>
      <c r="K626" s="560">
        <f t="shared" si="19"/>
        <v>24</v>
      </c>
      <c r="L626" s="560">
        <f t="shared" si="20"/>
        <v>15</v>
      </c>
    </row>
    <row r="627" spans="1:19">
      <c r="B627" s="553">
        <v>44238</v>
      </c>
      <c r="C627" t="s">
        <v>1164</v>
      </c>
      <c r="D627" s="28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0">
        <v>662.76</v>
      </c>
      <c r="K627" s="560">
        <f t="shared" si="19"/>
        <v>24</v>
      </c>
      <c r="L627" s="560">
        <f t="shared" si="20"/>
        <v>14</v>
      </c>
    </row>
    <row r="628" spans="1:19">
      <c r="B628" s="553">
        <v>44238</v>
      </c>
      <c r="C628" t="s">
        <v>1164</v>
      </c>
      <c r="D628" s="28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0">
        <v>100</v>
      </c>
      <c r="K628" s="560">
        <f t="shared" si="19"/>
        <v>24</v>
      </c>
      <c r="L628" s="560">
        <f t="shared" si="20"/>
        <v>13</v>
      </c>
    </row>
    <row r="629" spans="1:19">
      <c r="B629" s="553">
        <v>44238</v>
      </c>
      <c r="C629" t="s">
        <v>1164</v>
      </c>
      <c r="D629" s="28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0">
        <v>113498</v>
      </c>
      <c r="K629" s="560">
        <f t="shared" si="19"/>
        <v>24</v>
      </c>
      <c r="L629" s="560">
        <f t="shared" si="20"/>
        <v>12</v>
      </c>
    </row>
    <row r="630" spans="1:19">
      <c r="B630" s="553">
        <v>44238</v>
      </c>
      <c r="C630" t="s">
        <v>1164</v>
      </c>
      <c r="D630" s="28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0">
        <v>6000</v>
      </c>
      <c r="K630" s="560">
        <f t="shared" si="19"/>
        <v>24</v>
      </c>
      <c r="L630" s="560">
        <f t="shared" si="20"/>
        <v>11</v>
      </c>
    </row>
    <row r="631" spans="1:19">
      <c r="B631" s="553">
        <v>44238</v>
      </c>
      <c r="C631" t="s">
        <v>1164</v>
      </c>
      <c r="D631" s="28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0">
        <v>13619.76</v>
      </c>
      <c r="K631" s="560">
        <f t="shared" si="19"/>
        <v>24</v>
      </c>
      <c r="L631" s="560">
        <f t="shared" si="20"/>
        <v>10</v>
      </c>
    </row>
    <row r="632" spans="1:19">
      <c r="B632" s="553">
        <v>44238</v>
      </c>
      <c r="C632" t="s">
        <v>1164</v>
      </c>
      <c r="D632" s="28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0">
        <v>300</v>
      </c>
      <c r="K632" s="560">
        <f t="shared" si="19"/>
        <v>24</v>
      </c>
      <c r="L632" s="560">
        <f t="shared" si="20"/>
        <v>9</v>
      </c>
    </row>
    <row r="633" spans="1:19">
      <c r="B633" s="553">
        <v>44238</v>
      </c>
      <c r="C633" t="s">
        <v>1164</v>
      </c>
      <c r="D633" s="28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0">
        <v>1702.48</v>
      </c>
      <c r="K633" s="560">
        <f t="shared" si="19"/>
        <v>24</v>
      </c>
      <c r="L633" s="560">
        <f t="shared" si="20"/>
        <v>8</v>
      </c>
    </row>
    <row r="634" spans="1:19">
      <c r="B634" s="553">
        <v>44238</v>
      </c>
      <c r="C634" t="s">
        <v>1164</v>
      </c>
      <c r="D634" s="28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0">
        <v>300</v>
      </c>
      <c r="K634" s="560">
        <f t="shared" si="19"/>
        <v>24</v>
      </c>
      <c r="L634" s="560">
        <f t="shared" si="20"/>
        <v>7</v>
      </c>
    </row>
    <row r="635" spans="1:19">
      <c r="B635" s="553">
        <v>44238</v>
      </c>
      <c r="C635" t="s">
        <v>1164</v>
      </c>
      <c r="D635" s="28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0">
        <v>136714</v>
      </c>
      <c r="K635" s="560">
        <f t="shared" si="19"/>
        <v>24</v>
      </c>
      <c r="L635" s="560">
        <f t="shared" si="20"/>
        <v>6</v>
      </c>
    </row>
    <row r="636" spans="1:19">
      <c r="B636" s="553">
        <v>44238</v>
      </c>
      <c r="C636" t="s">
        <v>1164</v>
      </c>
      <c r="D636" s="28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0">
        <v>6000</v>
      </c>
      <c r="K636" s="560">
        <f t="shared" si="19"/>
        <v>24</v>
      </c>
      <c r="L636" s="560">
        <f t="shared" si="20"/>
        <v>5</v>
      </c>
    </row>
    <row r="637" spans="1:19">
      <c r="B637" s="553">
        <v>44238</v>
      </c>
      <c r="C637" t="s">
        <v>1164</v>
      </c>
      <c r="D637" s="28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0">
        <v>16405.68</v>
      </c>
      <c r="K637" s="560">
        <f t="shared" si="19"/>
        <v>24</v>
      </c>
      <c r="L637" s="560">
        <f t="shared" si="20"/>
        <v>4</v>
      </c>
    </row>
    <row r="638" spans="1:19">
      <c r="B638" s="553">
        <v>44238</v>
      </c>
      <c r="C638" t="s">
        <v>1164</v>
      </c>
      <c r="D638" s="28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0">
        <v>300</v>
      </c>
      <c r="K638" s="560">
        <f t="shared" si="19"/>
        <v>24</v>
      </c>
      <c r="L638" s="560">
        <f t="shared" si="20"/>
        <v>3</v>
      </c>
    </row>
    <row r="639" spans="1:19">
      <c r="B639" s="553">
        <v>44238</v>
      </c>
      <c r="C639" t="s">
        <v>1164</v>
      </c>
      <c r="D639" s="28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0">
        <v>1924.49</v>
      </c>
      <c r="K639" s="560">
        <f t="shared" si="19"/>
        <v>24</v>
      </c>
      <c r="L639" s="560">
        <f t="shared" si="20"/>
        <v>2</v>
      </c>
    </row>
    <row r="640" spans="1:19">
      <c r="A640" t="s">
        <v>2158</v>
      </c>
      <c r="B640" s="553">
        <v>44238</v>
      </c>
      <c r="C640" t="s">
        <v>1164</v>
      </c>
      <c r="D640" s="28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0">
        <v>300</v>
      </c>
      <c r="K640" s="560">
        <f t="shared" si="19"/>
        <v>24</v>
      </c>
      <c r="L640" s="560">
        <f t="shared" si="20"/>
        <v>1</v>
      </c>
      <c r="M640" s="560" t="e">
        <f>SUMIFS('[1]MAIN-101'!$Z$1:$Z$3000,'[1]MAIN-101'!$X$1:$X$3000,S640)</f>
        <v>#VALUE!</v>
      </c>
      <c r="N640" s="560"/>
      <c r="O640" s="560"/>
      <c r="S640" t="str">
        <f>VLOOKUP(C640,'Recon of ORS and DV'!$A$4:$B$358,2,FALSE)</f>
        <v>0204</v>
      </c>
    </row>
    <row r="641" spans="1:19">
      <c r="B641" s="553">
        <v>44238</v>
      </c>
      <c r="C641" t="s">
        <v>1167</v>
      </c>
      <c r="D641" s="28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0">
        <v>33575</v>
      </c>
      <c r="K641" s="560">
        <f t="shared" si="19"/>
        <v>6</v>
      </c>
      <c r="L641" s="560">
        <f t="shared" si="20"/>
        <v>6</v>
      </c>
    </row>
    <row r="642" spans="1:19">
      <c r="B642" s="553">
        <v>44238</v>
      </c>
      <c r="C642" t="s">
        <v>1167</v>
      </c>
      <c r="D642" s="28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0">
        <v>2000</v>
      </c>
      <c r="K642" s="560">
        <f t="shared" si="19"/>
        <v>6</v>
      </c>
      <c r="L642" s="560">
        <f t="shared" si="20"/>
        <v>5</v>
      </c>
    </row>
    <row r="643" spans="1:19">
      <c r="B643" s="553">
        <v>44238</v>
      </c>
      <c r="C643" t="s">
        <v>1167</v>
      </c>
      <c r="D643" s="28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0">
        <v>4029</v>
      </c>
      <c r="K643" s="560">
        <f t="shared" si="19"/>
        <v>6</v>
      </c>
      <c r="L643" s="560">
        <f t="shared" si="20"/>
        <v>4</v>
      </c>
    </row>
    <row r="644" spans="1:19">
      <c r="B644" s="553">
        <v>44238</v>
      </c>
      <c r="C644" t="s">
        <v>1167</v>
      </c>
      <c r="D644" s="28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0">
        <v>100</v>
      </c>
      <c r="K644" s="560">
        <f t="shared" ref="K644:K707" si="21">COUNTIFS($C$3:$C$1556,C644)</f>
        <v>6</v>
      </c>
      <c r="L644" s="560">
        <f t="shared" si="20"/>
        <v>3</v>
      </c>
    </row>
    <row r="645" spans="1:19">
      <c r="B645" s="553">
        <v>44238</v>
      </c>
      <c r="C645" t="s">
        <v>1167</v>
      </c>
      <c r="D645" s="28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0">
        <v>503.63</v>
      </c>
      <c r="K645" s="560">
        <f t="shared" si="21"/>
        <v>6</v>
      </c>
      <c r="L645" s="560">
        <f t="shared" si="20"/>
        <v>2</v>
      </c>
    </row>
    <row r="646" spans="1:19">
      <c r="A646" t="s">
        <v>2159</v>
      </c>
      <c r="B646" s="553">
        <v>44238</v>
      </c>
      <c r="C646" t="s">
        <v>1167</v>
      </c>
      <c r="D646" s="28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0">
        <v>100</v>
      </c>
      <c r="K646" s="560">
        <f t="shared" si="21"/>
        <v>6</v>
      </c>
      <c r="L646" s="560">
        <f t="shared" si="20"/>
        <v>1</v>
      </c>
      <c r="M646" s="560" t="e">
        <f>SUMIFS('[1]MAIN-101'!$Z$1:$Z$3000,'[1]MAIN-101'!$X$1:$X$3000,S646)</f>
        <v>#VALUE!</v>
      </c>
      <c r="N646" s="560"/>
      <c r="O646" s="560"/>
      <c r="S646" t="str">
        <f>VLOOKUP(C646,'Recon of ORS and DV'!$A$4:$B$358,2,FALSE)</f>
        <v>0210</v>
      </c>
    </row>
    <row r="647" spans="1:19">
      <c r="B647" s="553">
        <v>44238</v>
      </c>
      <c r="C647" t="s">
        <v>1168</v>
      </c>
      <c r="D647" s="28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0">
        <v>10853.18</v>
      </c>
      <c r="K647" s="560">
        <f t="shared" si="21"/>
        <v>6</v>
      </c>
      <c r="L647" s="560">
        <f t="shared" si="20"/>
        <v>6</v>
      </c>
    </row>
    <row r="648" spans="1:19">
      <c r="B648" s="553">
        <v>44238</v>
      </c>
      <c r="C648" t="s">
        <v>1168</v>
      </c>
      <c r="D648" s="28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0">
        <v>909.09</v>
      </c>
      <c r="K648" s="560">
        <f t="shared" si="21"/>
        <v>6</v>
      </c>
      <c r="L648" s="560">
        <f t="shared" si="20"/>
        <v>5</v>
      </c>
    </row>
    <row r="649" spans="1:19">
      <c r="B649" s="553">
        <v>44238</v>
      </c>
      <c r="C649" t="s">
        <v>1168</v>
      </c>
      <c r="D649" s="28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0">
        <v>1293.98</v>
      </c>
      <c r="K649" s="560">
        <f t="shared" si="21"/>
        <v>6</v>
      </c>
      <c r="L649" s="560">
        <f t="shared" si="20"/>
        <v>4</v>
      </c>
    </row>
    <row r="650" spans="1:19">
      <c r="B650" s="553">
        <v>44238</v>
      </c>
      <c r="C650" t="s">
        <v>1168</v>
      </c>
      <c r="D650" s="28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0">
        <v>100</v>
      </c>
      <c r="K650" s="560">
        <f t="shared" si="21"/>
        <v>6</v>
      </c>
      <c r="L650" s="560">
        <f t="shared" si="20"/>
        <v>3</v>
      </c>
    </row>
    <row r="651" spans="1:19">
      <c r="B651" s="553">
        <v>44238</v>
      </c>
      <c r="C651" t="s">
        <v>1168</v>
      </c>
      <c r="D651" s="28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0">
        <v>358.16</v>
      </c>
      <c r="K651" s="560">
        <f t="shared" si="21"/>
        <v>6</v>
      </c>
      <c r="L651" s="560">
        <f t="shared" si="20"/>
        <v>2</v>
      </c>
    </row>
    <row r="652" spans="1:19">
      <c r="A652" t="s">
        <v>2160</v>
      </c>
      <c r="B652" s="553">
        <v>44238</v>
      </c>
      <c r="C652" t="s">
        <v>1168</v>
      </c>
      <c r="D652" s="28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0">
        <v>100</v>
      </c>
      <c r="K652" s="560">
        <f t="shared" si="21"/>
        <v>6</v>
      </c>
      <c r="L652" s="560">
        <f t="shared" si="20"/>
        <v>1</v>
      </c>
      <c r="M652" s="560" t="e">
        <f>SUMIFS('[1]MAIN-101'!$Z$1:$Z$3000,'[1]MAIN-101'!$X$1:$X$3000,S652)</f>
        <v>#VALUE!</v>
      </c>
      <c r="N652" s="560"/>
      <c r="O652" s="560"/>
      <c r="S652" t="str">
        <f>VLOOKUP(C652,'Recon of ORS and DV'!$A$4:$B$358,2,FALSE)</f>
        <v>0211</v>
      </c>
    </row>
    <row r="653" spans="1:19">
      <c r="B653" s="553">
        <v>44238</v>
      </c>
      <c r="C653" t="s">
        <v>1169</v>
      </c>
      <c r="D653" s="28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0">
        <v>10853.18</v>
      </c>
      <c r="K653" s="560">
        <f t="shared" si="21"/>
        <v>6</v>
      </c>
      <c r="L653" s="560">
        <f t="shared" si="20"/>
        <v>6</v>
      </c>
    </row>
    <row r="654" spans="1:19">
      <c r="B654" s="553">
        <v>44238</v>
      </c>
      <c r="C654" t="s">
        <v>1169</v>
      </c>
      <c r="D654" s="28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0">
        <v>909.09</v>
      </c>
      <c r="K654" s="560">
        <f t="shared" si="21"/>
        <v>6</v>
      </c>
      <c r="L654" s="560">
        <f t="shared" si="20"/>
        <v>5</v>
      </c>
    </row>
    <row r="655" spans="1:19">
      <c r="B655" s="553">
        <v>44238</v>
      </c>
      <c r="C655" t="s">
        <v>1169</v>
      </c>
      <c r="D655" s="28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0">
        <v>1293.98</v>
      </c>
      <c r="K655" s="560">
        <f t="shared" si="21"/>
        <v>6</v>
      </c>
      <c r="L655" s="560">
        <f t="shared" ref="L655:L718" si="22">COUNTIFS(C655:C2208,C655)</f>
        <v>4</v>
      </c>
    </row>
    <row r="656" spans="1:19">
      <c r="B656" s="553">
        <v>44238</v>
      </c>
      <c r="C656" t="s">
        <v>1169</v>
      </c>
      <c r="D656" s="28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0">
        <v>100</v>
      </c>
      <c r="K656" s="560">
        <f t="shared" si="21"/>
        <v>6</v>
      </c>
      <c r="L656" s="560">
        <f t="shared" si="22"/>
        <v>3</v>
      </c>
    </row>
    <row r="657" spans="1:19">
      <c r="B657" s="553">
        <v>44238</v>
      </c>
      <c r="C657" t="s">
        <v>1169</v>
      </c>
      <c r="D657" s="28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0">
        <v>358.16</v>
      </c>
      <c r="K657" s="560">
        <f t="shared" si="21"/>
        <v>6</v>
      </c>
      <c r="L657" s="560">
        <f t="shared" si="22"/>
        <v>2</v>
      </c>
    </row>
    <row r="658" spans="1:19">
      <c r="A658" t="s">
        <v>2161</v>
      </c>
      <c r="B658" s="553">
        <v>44238</v>
      </c>
      <c r="C658" t="s">
        <v>1169</v>
      </c>
      <c r="D658" s="28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0">
        <v>100</v>
      </c>
      <c r="K658" s="560">
        <f t="shared" si="21"/>
        <v>6</v>
      </c>
      <c r="L658" s="560">
        <f t="shared" si="22"/>
        <v>1</v>
      </c>
      <c r="M658" s="560" t="e">
        <f>SUMIFS('[1]MAIN-101'!$Z$1:$Z$3000,'[1]MAIN-101'!$X$1:$X$3000,S658)</f>
        <v>#VALUE!</v>
      </c>
      <c r="N658" s="560"/>
      <c r="O658" s="560"/>
      <c r="S658" t="str">
        <f>VLOOKUP(C658,'Recon of ORS and DV'!$A$4:$B$358,2,FALSE)</f>
        <v>0212</v>
      </c>
    </row>
    <row r="659" spans="1:19">
      <c r="B659" s="553">
        <v>44238</v>
      </c>
      <c r="C659" t="s">
        <v>1171</v>
      </c>
      <c r="D659" s="28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0">
        <v>10853.18</v>
      </c>
      <c r="K659" s="560">
        <f t="shared" si="21"/>
        <v>6</v>
      </c>
      <c r="L659" s="560">
        <f t="shared" si="22"/>
        <v>6</v>
      </c>
    </row>
    <row r="660" spans="1:19">
      <c r="B660" s="553">
        <v>44238</v>
      </c>
      <c r="C660" t="s">
        <v>1171</v>
      </c>
      <c r="D660" s="28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0">
        <v>909.09</v>
      </c>
      <c r="K660" s="560">
        <f t="shared" si="21"/>
        <v>6</v>
      </c>
      <c r="L660" s="560">
        <f t="shared" si="22"/>
        <v>5</v>
      </c>
    </row>
    <row r="661" spans="1:19">
      <c r="B661" s="553">
        <v>44238</v>
      </c>
      <c r="C661" t="s">
        <v>1171</v>
      </c>
      <c r="D661" s="28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0">
        <v>1293.98</v>
      </c>
      <c r="K661" s="560">
        <f t="shared" si="21"/>
        <v>6</v>
      </c>
      <c r="L661" s="560">
        <f t="shared" si="22"/>
        <v>4</v>
      </c>
    </row>
    <row r="662" spans="1:19">
      <c r="B662" s="553">
        <v>44238</v>
      </c>
      <c r="C662" t="s">
        <v>1171</v>
      </c>
      <c r="D662" s="28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0">
        <v>100</v>
      </c>
      <c r="K662" s="560">
        <f t="shared" si="21"/>
        <v>6</v>
      </c>
      <c r="L662" s="560">
        <f t="shared" si="22"/>
        <v>3</v>
      </c>
    </row>
    <row r="663" spans="1:19">
      <c r="B663" s="553">
        <v>44238</v>
      </c>
      <c r="C663" t="s">
        <v>1171</v>
      </c>
      <c r="D663" s="28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0">
        <v>358.16</v>
      </c>
      <c r="K663" s="560">
        <f t="shared" si="21"/>
        <v>6</v>
      </c>
      <c r="L663" s="560">
        <f t="shared" si="22"/>
        <v>2</v>
      </c>
    </row>
    <row r="664" spans="1:19">
      <c r="A664" t="s">
        <v>2162</v>
      </c>
      <c r="B664" s="553">
        <v>44238</v>
      </c>
      <c r="C664" t="s">
        <v>1171</v>
      </c>
      <c r="D664" s="28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0">
        <v>100</v>
      </c>
      <c r="K664" s="560">
        <f t="shared" si="21"/>
        <v>6</v>
      </c>
      <c r="L664" s="560">
        <f t="shared" si="22"/>
        <v>1</v>
      </c>
      <c r="M664" s="560" t="e">
        <f>SUMIFS('[1]MAIN-101'!$Z$1:$Z$3000,'[1]MAIN-101'!$X$1:$X$3000,S664)</f>
        <v>#VALUE!</v>
      </c>
      <c r="N664" s="560"/>
      <c r="O664" s="560"/>
      <c r="S664" t="str">
        <f>VLOOKUP(C664,'Recon of ORS and DV'!$A$4:$B$358,2,FALSE)</f>
        <v>0213</v>
      </c>
    </row>
    <row r="665" spans="1:19">
      <c r="B665" s="553">
        <v>44238</v>
      </c>
      <c r="C665" t="s">
        <v>1173</v>
      </c>
      <c r="D665" s="28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0">
        <v>10853.18</v>
      </c>
      <c r="K665" s="560">
        <f t="shared" si="21"/>
        <v>6</v>
      </c>
      <c r="L665" s="560">
        <f t="shared" si="22"/>
        <v>6</v>
      </c>
    </row>
    <row r="666" spans="1:19">
      <c r="B666" s="553">
        <v>44238</v>
      </c>
      <c r="C666" t="s">
        <v>1173</v>
      </c>
      <c r="D666" s="28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0">
        <v>909.09</v>
      </c>
      <c r="K666" s="560">
        <f t="shared" si="21"/>
        <v>6</v>
      </c>
      <c r="L666" s="560">
        <f t="shared" si="22"/>
        <v>5</v>
      </c>
    </row>
    <row r="667" spans="1:19">
      <c r="B667" s="553">
        <v>44238</v>
      </c>
      <c r="C667" t="s">
        <v>1173</v>
      </c>
      <c r="D667" s="28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0">
        <v>1293.98</v>
      </c>
      <c r="K667" s="560">
        <f t="shared" si="21"/>
        <v>6</v>
      </c>
      <c r="L667" s="560">
        <f t="shared" si="22"/>
        <v>4</v>
      </c>
    </row>
    <row r="668" spans="1:19">
      <c r="B668" s="553">
        <v>44238</v>
      </c>
      <c r="C668" t="s">
        <v>1173</v>
      </c>
      <c r="D668" s="28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0">
        <v>100</v>
      </c>
      <c r="K668" s="560">
        <f t="shared" si="21"/>
        <v>6</v>
      </c>
      <c r="L668" s="560">
        <f t="shared" si="22"/>
        <v>3</v>
      </c>
    </row>
    <row r="669" spans="1:19">
      <c r="B669" s="553">
        <v>44238</v>
      </c>
      <c r="C669" t="s">
        <v>1173</v>
      </c>
      <c r="D669" s="28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0">
        <v>358.16</v>
      </c>
      <c r="K669" s="560">
        <f t="shared" si="21"/>
        <v>6</v>
      </c>
      <c r="L669" s="560">
        <f t="shared" si="22"/>
        <v>2</v>
      </c>
    </row>
    <row r="670" spans="1:19">
      <c r="A670" t="s">
        <v>2163</v>
      </c>
      <c r="B670" s="553">
        <v>44238</v>
      </c>
      <c r="C670" t="s">
        <v>1173</v>
      </c>
      <c r="D670" s="28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0">
        <v>100</v>
      </c>
      <c r="K670" s="560">
        <f t="shared" si="21"/>
        <v>6</v>
      </c>
      <c r="L670" s="560">
        <f t="shared" si="22"/>
        <v>1</v>
      </c>
      <c r="M670" s="560" t="e">
        <f>SUMIFS('[1]MAIN-101'!$Z$1:$Z$3000,'[1]MAIN-101'!$X$1:$X$3000,S670)</f>
        <v>#VALUE!</v>
      </c>
      <c r="N670" s="560"/>
      <c r="O670" s="560"/>
      <c r="S670" t="str">
        <f>VLOOKUP(C670,'Recon of ORS and DV'!$A$4:$B$358,2,FALSE)</f>
        <v>0214</v>
      </c>
    </row>
    <row r="671" spans="1:19">
      <c r="B671" s="553">
        <v>44238</v>
      </c>
      <c r="C671" t="s">
        <v>1175</v>
      </c>
      <c r="D671" s="28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0">
        <v>10853.18</v>
      </c>
      <c r="K671" s="560">
        <f t="shared" si="21"/>
        <v>6</v>
      </c>
      <c r="L671" s="560">
        <f t="shared" si="22"/>
        <v>6</v>
      </c>
    </row>
    <row r="672" spans="1:19">
      <c r="B672" s="553">
        <v>44238</v>
      </c>
      <c r="C672" t="s">
        <v>1175</v>
      </c>
      <c r="D672" s="28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0">
        <v>909.09</v>
      </c>
      <c r="K672" s="560">
        <f t="shared" si="21"/>
        <v>6</v>
      </c>
      <c r="L672" s="560">
        <f t="shared" si="22"/>
        <v>5</v>
      </c>
    </row>
    <row r="673" spans="1:19">
      <c r="B673" s="553">
        <v>44238</v>
      </c>
      <c r="C673" t="s">
        <v>1175</v>
      </c>
      <c r="D673" s="28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0">
        <v>1293.98</v>
      </c>
      <c r="K673" s="560">
        <f t="shared" si="21"/>
        <v>6</v>
      </c>
      <c r="L673" s="560">
        <f t="shared" si="22"/>
        <v>4</v>
      </c>
    </row>
    <row r="674" spans="1:19">
      <c r="B674" s="553">
        <v>44238</v>
      </c>
      <c r="C674" t="s">
        <v>1175</v>
      </c>
      <c r="D674" s="28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0">
        <v>100</v>
      </c>
      <c r="K674" s="560">
        <f t="shared" si="21"/>
        <v>6</v>
      </c>
      <c r="L674" s="560">
        <f t="shared" si="22"/>
        <v>3</v>
      </c>
    </row>
    <row r="675" spans="1:19">
      <c r="B675" s="553">
        <v>44238</v>
      </c>
      <c r="C675" t="s">
        <v>1175</v>
      </c>
      <c r="D675" s="28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0">
        <v>358.16</v>
      </c>
      <c r="K675" s="560">
        <f t="shared" si="21"/>
        <v>6</v>
      </c>
      <c r="L675" s="560">
        <f t="shared" si="22"/>
        <v>2</v>
      </c>
    </row>
    <row r="676" spans="1:19">
      <c r="A676" t="s">
        <v>2164</v>
      </c>
      <c r="B676" s="553">
        <v>44238</v>
      </c>
      <c r="C676" t="s">
        <v>1175</v>
      </c>
      <c r="D676" s="28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0">
        <v>100</v>
      </c>
      <c r="K676" s="560">
        <f t="shared" si="21"/>
        <v>6</v>
      </c>
      <c r="L676" s="560">
        <f t="shared" si="22"/>
        <v>1</v>
      </c>
      <c r="M676" s="560" t="e">
        <f>SUMIFS('[1]MAIN-101'!$Z$1:$Z$3000,'[1]MAIN-101'!$X$1:$X$3000,S676)</f>
        <v>#VALUE!</v>
      </c>
      <c r="N676" s="560"/>
      <c r="O676" s="560"/>
      <c r="S676" t="str">
        <f>VLOOKUP(C676,'Recon of ORS and DV'!$A$4:$B$358,2,FALSE)</f>
        <v>0215</v>
      </c>
    </row>
    <row r="677" spans="1:19">
      <c r="B677" s="553">
        <v>44238</v>
      </c>
      <c r="C677" t="s">
        <v>1177</v>
      </c>
      <c r="D677" s="28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0">
        <v>23877</v>
      </c>
      <c r="K677" s="560">
        <f t="shared" si="21"/>
        <v>6</v>
      </c>
      <c r="L677" s="560">
        <f t="shared" si="22"/>
        <v>6</v>
      </c>
    </row>
    <row r="678" spans="1:19">
      <c r="B678" s="553">
        <v>44238</v>
      </c>
      <c r="C678" t="s">
        <v>1177</v>
      </c>
      <c r="D678" s="28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0">
        <v>2000</v>
      </c>
      <c r="K678" s="560">
        <f t="shared" si="21"/>
        <v>6</v>
      </c>
      <c r="L678" s="560">
        <f t="shared" si="22"/>
        <v>5</v>
      </c>
    </row>
    <row r="679" spans="1:19">
      <c r="B679" s="553">
        <v>44238</v>
      </c>
      <c r="C679" t="s">
        <v>1177</v>
      </c>
      <c r="D679" s="28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0">
        <v>2865.24</v>
      </c>
      <c r="K679" s="560">
        <f t="shared" si="21"/>
        <v>6</v>
      </c>
      <c r="L679" s="560">
        <f t="shared" si="22"/>
        <v>4</v>
      </c>
    </row>
    <row r="680" spans="1:19">
      <c r="B680" s="553">
        <v>44238</v>
      </c>
      <c r="C680" t="s">
        <v>1177</v>
      </c>
      <c r="D680" s="28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0">
        <v>100</v>
      </c>
      <c r="K680" s="560">
        <f t="shared" si="21"/>
        <v>6</v>
      </c>
      <c r="L680" s="560">
        <f t="shared" si="22"/>
        <v>3</v>
      </c>
    </row>
    <row r="681" spans="1:19">
      <c r="B681" s="553">
        <v>44238</v>
      </c>
      <c r="C681" t="s">
        <v>1177</v>
      </c>
      <c r="D681" s="28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0">
        <v>358.16</v>
      </c>
      <c r="K681" s="560">
        <f t="shared" si="21"/>
        <v>6</v>
      </c>
      <c r="L681" s="560">
        <f t="shared" si="22"/>
        <v>2</v>
      </c>
    </row>
    <row r="682" spans="1:19">
      <c r="A682" t="s">
        <v>2165</v>
      </c>
      <c r="B682" s="553">
        <v>44238</v>
      </c>
      <c r="C682" t="s">
        <v>1177</v>
      </c>
      <c r="D682" s="28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0">
        <v>100</v>
      </c>
      <c r="K682" s="560">
        <f t="shared" si="21"/>
        <v>6</v>
      </c>
      <c r="L682" s="560">
        <f t="shared" si="22"/>
        <v>1</v>
      </c>
      <c r="M682" s="560" t="e">
        <f>SUMIFS('[1]MAIN-101'!$Z$1:$Z$3000,'[1]MAIN-101'!$X$1:$X$3000,S682)</f>
        <v>#VALUE!</v>
      </c>
      <c r="N682" s="560"/>
      <c r="O682" s="560"/>
      <c r="S682" t="str">
        <f>VLOOKUP(C682,'Recon of ORS and DV'!$A$4:$B$358,2,FALSE)</f>
        <v>0216</v>
      </c>
    </row>
    <row r="683" spans="1:19">
      <c r="B683" s="553">
        <v>44243</v>
      </c>
      <c r="C683" t="s">
        <v>1179</v>
      </c>
      <c r="D683" s="28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0">
        <v>1959.81</v>
      </c>
      <c r="K683" s="560">
        <f t="shared" si="21"/>
        <v>2</v>
      </c>
      <c r="L683" s="560">
        <f t="shared" si="22"/>
        <v>2</v>
      </c>
    </row>
    <row r="684" spans="1:19">
      <c r="A684" t="s">
        <v>2166</v>
      </c>
      <c r="B684" s="553">
        <v>44243</v>
      </c>
      <c r="C684" t="s">
        <v>1179</v>
      </c>
      <c r="D684" s="28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0">
        <v>26880</v>
      </c>
      <c r="K684" s="560">
        <f t="shared" si="21"/>
        <v>2</v>
      </c>
      <c r="L684" s="560">
        <f t="shared" si="22"/>
        <v>1</v>
      </c>
      <c r="M684" s="560" t="e">
        <f>SUMIFS('[1]MAIN-101'!$Z$1:$Z$3000,'[1]MAIN-101'!$X$1:$X$3000,S684)</f>
        <v>#VALUE!</v>
      </c>
      <c r="N684" s="560"/>
      <c r="O684" s="560"/>
      <c r="S684" t="str">
        <f>VLOOKUP(C684,'Recon of ORS and DV'!$A$4:$B$358,2,FALSE)</f>
        <v>0226</v>
      </c>
    </row>
    <row r="685" spans="1:19">
      <c r="A685" t="s">
        <v>2167</v>
      </c>
      <c r="B685" s="553">
        <v>44243</v>
      </c>
      <c r="C685" t="s">
        <v>1182</v>
      </c>
      <c r="D685" s="28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0">
        <v>18000</v>
      </c>
      <c r="K685" s="560">
        <f t="shared" si="21"/>
        <v>1</v>
      </c>
      <c r="L685" s="560">
        <f t="shared" si="22"/>
        <v>1</v>
      </c>
      <c r="M685" s="560" t="e">
        <f>SUMIFS('[1]MAIN-101'!$Z$1:$Z$3000,'[1]MAIN-101'!$X$1:$X$3000,S685)</f>
        <v>#VALUE!</v>
      </c>
      <c r="N685" s="560"/>
      <c r="O685" s="560"/>
      <c r="S685" t="str">
        <f>VLOOKUP(C685,'Recon of ORS and DV'!$A$4:$B$358,2,FALSE)</f>
        <v>0227</v>
      </c>
    </row>
    <row r="686" spans="1:19">
      <c r="A686" t="s">
        <v>2168</v>
      </c>
      <c r="B686" s="553">
        <v>44243</v>
      </c>
      <c r="C686" t="s">
        <v>1184</v>
      </c>
      <c r="D686" s="28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0">
        <v>560</v>
      </c>
      <c r="K686" s="560">
        <f t="shared" si="21"/>
        <v>1</v>
      </c>
      <c r="L686" s="560">
        <f t="shared" si="22"/>
        <v>1</v>
      </c>
      <c r="M686" s="560" t="e">
        <f>SUMIFS('[1]MAIN-101'!$Z$1:$Z$3000,'[1]MAIN-101'!$X$1:$X$3000,S686)</f>
        <v>#VALUE!</v>
      </c>
      <c r="N686" s="560"/>
      <c r="O686" s="560"/>
      <c r="S686" t="str">
        <f>VLOOKUP(C686,'Recon of ORS and DV'!$A$4:$B$358,2,FALSE)</f>
        <v>0228</v>
      </c>
    </row>
    <row r="687" spans="1:19">
      <c r="A687" t="s">
        <v>2169</v>
      </c>
      <c r="B687" s="553">
        <v>44243</v>
      </c>
      <c r="C687" t="s">
        <v>1186</v>
      </c>
      <c r="D687" s="28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0">
        <v>918.4</v>
      </c>
      <c r="K687" s="560">
        <f t="shared" si="21"/>
        <v>1</v>
      </c>
      <c r="L687" s="560">
        <f t="shared" si="22"/>
        <v>1</v>
      </c>
      <c r="M687" s="560" t="e">
        <f>SUMIFS('[1]MAIN-101'!$Z$1:$Z$3000,'[1]MAIN-101'!$X$1:$X$3000,S687)</f>
        <v>#VALUE!</v>
      </c>
      <c r="N687" s="560"/>
      <c r="O687" s="560"/>
      <c r="S687" t="str">
        <f>VLOOKUP(C687,'Recon of ORS and DV'!$A$4:$B$358,2,FALSE)</f>
        <v>0229</v>
      </c>
    </row>
    <row r="688" spans="1:19">
      <c r="A688" t="s">
        <v>2170</v>
      </c>
      <c r="B688" s="553">
        <v>44243</v>
      </c>
      <c r="C688" t="s">
        <v>1188</v>
      </c>
      <c r="D688" s="28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0">
        <v>14000</v>
      </c>
      <c r="K688" s="560">
        <f t="shared" si="21"/>
        <v>1</v>
      </c>
      <c r="L688" s="560">
        <f t="shared" si="22"/>
        <v>1</v>
      </c>
      <c r="M688" s="560" t="e">
        <f>SUMIFS('[1]MAIN-101'!$Z$1:$Z$3000,'[1]MAIN-101'!$X$1:$X$3000,S688)</f>
        <v>#VALUE!</v>
      </c>
      <c r="N688" s="560"/>
      <c r="O688" s="560"/>
      <c r="S688" t="str">
        <f>VLOOKUP(C688,'Recon of ORS and DV'!$A$4:$B$358,2,FALSE)</f>
        <v>0230</v>
      </c>
    </row>
    <row r="689" spans="1:19">
      <c r="A689" t="s">
        <v>2171</v>
      </c>
      <c r="B689" s="553">
        <v>44243</v>
      </c>
      <c r="C689" t="s">
        <v>1191</v>
      </c>
      <c r="D689" s="28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0">
        <v>8774</v>
      </c>
      <c r="K689" s="560">
        <f t="shared" si="21"/>
        <v>1</v>
      </c>
      <c r="L689" s="560">
        <f t="shared" si="22"/>
        <v>1</v>
      </c>
      <c r="M689" s="560" t="e">
        <f>SUMIFS('[1]MAIN-101'!$Z$1:$Z$3000,'[1]MAIN-101'!$X$1:$X$3000,S689)</f>
        <v>#VALUE!</v>
      </c>
      <c r="N689" s="560"/>
      <c r="O689" s="560"/>
      <c r="S689" t="str">
        <f>VLOOKUP(C689,'Recon of ORS and DV'!$A$4:$B$358,2,FALSE)</f>
        <v>0231</v>
      </c>
    </row>
    <row r="690" spans="1:19">
      <c r="A690" t="s">
        <v>2172</v>
      </c>
      <c r="B690" s="553">
        <v>44243</v>
      </c>
      <c r="C690" t="s">
        <v>1194</v>
      </c>
      <c r="D690" s="28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0">
        <v>2850</v>
      </c>
      <c r="K690" s="560">
        <f t="shared" si="21"/>
        <v>1</v>
      </c>
      <c r="L690" s="560">
        <f t="shared" si="22"/>
        <v>1</v>
      </c>
      <c r="M690" s="560" t="e">
        <f>SUMIFS('[1]MAIN-101'!$Z$1:$Z$3000,'[1]MAIN-101'!$X$1:$X$3000,S690)</f>
        <v>#VALUE!</v>
      </c>
      <c r="N690" s="560"/>
      <c r="O690" s="560"/>
      <c r="S690" t="str">
        <f>VLOOKUP(C690,'Recon of ORS and DV'!$A$4:$B$358,2,FALSE)</f>
        <v>0232</v>
      </c>
    </row>
    <row r="691" spans="1:19">
      <c r="A691" t="s">
        <v>2173</v>
      </c>
      <c r="B691" s="553">
        <v>44243</v>
      </c>
      <c r="C691" t="s">
        <v>1197</v>
      </c>
      <c r="D691" s="28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0">
        <v>500</v>
      </c>
      <c r="K691" s="560">
        <f t="shared" si="21"/>
        <v>1</v>
      </c>
      <c r="L691" s="560">
        <f t="shared" si="22"/>
        <v>1</v>
      </c>
      <c r="M691" s="560" t="e">
        <f>SUMIFS('[1]MAIN-101'!$Z$1:$Z$3000,'[1]MAIN-101'!$X$1:$X$3000,S691)</f>
        <v>#VALUE!</v>
      </c>
      <c r="N691" s="560"/>
      <c r="O691" s="560"/>
      <c r="S691" t="str">
        <f>VLOOKUP(C691,'Recon of ORS and DV'!$A$4:$B$358,2,FALSE)</f>
        <v>0233</v>
      </c>
    </row>
    <row r="692" spans="1:19">
      <c r="B692" s="553">
        <v>44243</v>
      </c>
      <c r="C692" t="s">
        <v>1198</v>
      </c>
      <c r="D692" s="28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0">
        <v>15000</v>
      </c>
      <c r="K692" s="560">
        <f t="shared" si="21"/>
        <v>5</v>
      </c>
      <c r="L692" s="560">
        <f t="shared" si="22"/>
        <v>5</v>
      </c>
    </row>
    <row r="693" spans="1:19">
      <c r="B693" s="553">
        <v>44243</v>
      </c>
      <c r="C693" t="s">
        <v>1198</v>
      </c>
      <c r="D693" s="28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0">
        <v>25000</v>
      </c>
      <c r="K693" s="560">
        <f t="shared" si="21"/>
        <v>5</v>
      </c>
      <c r="L693" s="560">
        <f t="shared" si="22"/>
        <v>4</v>
      </c>
    </row>
    <row r="694" spans="1:19">
      <c r="B694" s="553">
        <v>44243</v>
      </c>
      <c r="C694" t="s">
        <v>1198</v>
      </c>
      <c r="D694" s="28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0">
        <v>15000</v>
      </c>
      <c r="K694" s="560">
        <f t="shared" si="21"/>
        <v>5</v>
      </c>
      <c r="L694" s="560">
        <f t="shared" si="22"/>
        <v>3</v>
      </c>
    </row>
    <row r="695" spans="1:19">
      <c r="B695" s="553">
        <v>44243</v>
      </c>
      <c r="C695" t="s">
        <v>1198</v>
      </c>
      <c r="D695" s="28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0">
        <v>35000</v>
      </c>
      <c r="K695" s="560">
        <f t="shared" si="21"/>
        <v>5</v>
      </c>
      <c r="L695" s="560">
        <f t="shared" si="22"/>
        <v>2</v>
      </c>
    </row>
    <row r="696" spans="1:19">
      <c r="A696" t="s">
        <v>2174</v>
      </c>
      <c r="B696" s="553">
        <v>44243</v>
      </c>
      <c r="C696" t="s">
        <v>1198</v>
      </c>
      <c r="D696" s="28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0">
        <v>10000</v>
      </c>
      <c r="K696" s="560">
        <f t="shared" si="21"/>
        <v>5</v>
      </c>
      <c r="L696" s="560">
        <f t="shared" si="22"/>
        <v>1</v>
      </c>
      <c r="M696" s="560" t="e">
        <f>SUMIFS('[1]MAIN-101'!$Z$1:$Z$3000,'[1]MAIN-101'!$X$1:$X$3000,S696)</f>
        <v>#VALUE!</v>
      </c>
      <c r="N696" s="560"/>
      <c r="O696" s="560"/>
      <c r="S696" t="str">
        <f>VLOOKUP(C696,'Recon of ORS and DV'!$A$4:$B$358,2,FALSE)</f>
        <v>0247</v>
      </c>
    </row>
    <row r="697" spans="1:19">
      <c r="B697" s="553">
        <v>44243</v>
      </c>
      <c r="C697" t="s">
        <v>1199</v>
      </c>
      <c r="D697" s="28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0">
        <v>0</v>
      </c>
      <c r="K697" s="560">
        <f t="shared" si="21"/>
        <v>5</v>
      </c>
      <c r="L697" s="560">
        <f t="shared" si="22"/>
        <v>5</v>
      </c>
    </row>
    <row r="698" spans="1:19">
      <c r="B698" s="553">
        <v>44243</v>
      </c>
      <c r="C698" t="s">
        <v>1199</v>
      </c>
      <c r="D698" s="28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0">
        <v>0</v>
      </c>
      <c r="K698" s="560">
        <f t="shared" si="21"/>
        <v>5</v>
      </c>
      <c r="L698" s="560">
        <f t="shared" si="22"/>
        <v>4</v>
      </c>
    </row>
    <row r="699" spans="1:19">
      <c r="B699" s="553">
        <v>44243</v>
      </c>
      <c r="C699" t="s">
        <v>1199</v>
      </c>
      <c r="D699" s="28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0">
        <v>0</v>
      </c>
      <c r="K699" s="560">
        <f t="shared" si="21"/>
        <v>5</v>
      </c>
      <c r="L699" s="560">
        <f t="shared" si="22"/>
        <v>3</v>
      </c>
    </row>
    <row r="700" spans="1:19">
      <c r="B700" s="553">
        <v>44243</v>
      </c>
      <c r="C700" t="s">
        <v>1199</v>
      </c>
      <c r="D700" s="28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0">
        <v>0</v>
      </c>
      <c r="K700" s="560">
        <f t="shared" si="21"/>
        <v>5</v>
      </c>
      <c r="L700" s="560">
        <f t="shared" si="22"/>
        <v>2</v>
      </c>
    </row>
    <row r="701" spans="1:19">
      <c r="A701">
        <v>0</v>
      </c>
      <c r="B701" s="553">
        <v>44243</v>
      </c>
      <c r="C701" t="s">
        <v>1199</v>
      </c>
      <c r="D701" s="28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0">
        <v>0</v>
      </c>
      <c r="K701" s="560">
        <f t="shared" si="21"/>
        <v>5</v>
      </c>
      <c r="L701" s="560">
        <f t="shared" si="22"/>
        <v>1</v>
      </c>
      <c r="M701" s="560" t="e">
        <f>SUMIFS('[1]MAIN-101'!$Z$1:$Z$3000,'[1]MAIN-101'!$X$1:$X$3000,S701)</f>
        <v>#VALUE!</v>
      </c>
      <c r="N701" s="560"/>
      <c r="O701" s="560"/>
      <c r="S701">
        <f>VLOOKUP(C701,'Recon of ORS and DV'!$A$4:$B$358,2,FALSE)</f>
        <v>0</v>
      </c>
    </row>
    <row r="702" spans="1:19">
      <c r="B702" s="553">
        <v>44243</v>
      </c>
      <c r="C702" t="s">
        <v>1200</v>
      </c>
      <c r="D702" s="28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0">
        <v>0</v>
      </c>
      <c r="K702" s="560">
        <f t="shared" si="21"/>
        <v>5</v>
      </c>
      <c r="L702" s="560">
        <f t="shared" si="22"/>
        <v>5</v>
      </c>
    </row>
    <row r="703" spans="1:19">
      <c r="B703" s="553">
        <v>44243</v>
      </c>
      <c r="C703" t="s">
        <v>1200</v>
      </c>
      <c r="D703" s="28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0">
        <v>0</v>
      </c>
      <c r="K703" s="560">
        <f t="shared" si="21"/>
        <v>5</v>
      </c>
      <c r="L703" s="560">
        <f t="shared" si="22"/>
        <v>4</v>
      </c>
    </row>
    <row r="704" spans="1:19">
      <c r="B704" s="553">
        <v>44243</v>
      </c>
      <c r="C704" t="s">
        <v>1200</v>
      </c>
      <c r="D704" s="28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0">
        <v>0</v>
      </c>
      <c r="K704" s="560">
        <f t="shared" si="21"/>
        <v>5</v>
      </c>
      <c r="L704" s="560">
        <f t="shared" si="22"/>
        <v>3</v>
      </c>
    </row>
    <row r="705" spans="1:19">
      <c r="B705" s="553">
        <v>44243</v>
      </c>
      <c r="C705" t="s">
        <v>1200</v>
      </c>
      <c r="D705" s="28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0">
        <v>0</v>
      </c>
      <c r="K705" s="560">
        <f t="shared" si="21"/>
        <v>5</v>
      </c>
      <c r="L705" s="560">
        <f t="shared" si="22"/>
        <v>2</v>
      </c>
    </row>
    <row r="706" spans="1:19">
      <c r="A706">
        <v>0</v>
      </c>
      <c r="B706" s="553">
        <v>44243</v>
      </c>
      <c r="C706" t="s">
        <v>1200</v>
      </c>
      <c r="D706" s="28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0">
        <v>0</v>
      </c>
      <c r="K706" s="560">
        <f t="shared" si="21"/>
        <v>5</v>
      </c>
      <c r="L706" s="560">
        <f t="shared" si="22"/>
        <v>1</v>
      </c>
      <c r="M706" s="560" t="e">
        <f>SUMIFS('[1]MAIN-101'!$Z$1:$Z$3000,'[1]MAIN-101'!$X$1:$X$3000,S706)</f>
        <v>#VALUE!</v>
      </c>
      <c r="N706" s="560"/>
      <c r="O706" s="560"/>
      <c r="S706">
        <f>VLOOKUP(C706,'Recon of ORS and DV'!$A$4:$B$358,2,FALSE)</f>
        <v>0</v>
      </c>
    </row>
    <row r="707" spans="1:19">
      <c r="B707" s="553">
        <v>44243</v>
      </c>
      <c r="C707" t="s">
        <v>1201</v>
      </c>
      <c r="D707" s="28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0">
        <v>20000</v>
      </c>
      <c r="K707" s="560">
        <f t="shared" si="21"/>
        <v>5</v>
      </c>
      <c r="L707" s="560">
        <f t="shared" si="22"/>
        <v>5</v>
      </c>
    </row>
    <row r="708" spans="1:19">
      <c r="B708" s="553">
        <v>44243</v>
      </c>
      <c r="C708" t="s">
        <v>1201</v>
      </c>
      <c r="D708" s="28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0">
        <v>35000</v>
      </c>
      <c r="K708" s="560">
        <f t="shared" ref="K708:K771" si="23">COUNTIFS($C$3:$C$1556,C708)</f>
        <v>5</v>
      </c>
      <c r="L708" s="560">
        <f t="shared" si="22"/>
        <v>4</v>
      </c>
    </row>
    <row r="709" spans="1:19">
      <c r="B709" s="553">
        <v>44243</v>
      </c>
      <c r="C709" t="s">
        <v>1201</v>
      </c>
      <c r="D709" s="28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0">
        <v>20000</v>
      </c>
      <c r="K709" s="560">
        <f t="shared" si="23"/>
        <v>5</v>
      </c>
      <c r="L709" s="560">
        <f t="shared" si="22"/>
        <v>3</v>
      </c>
    </row>
    <row r="710" spans="1:19">
      <c r="B710" s="553">
        <v>44243</v>
      </c>
      <c r="C710" t="s">
        <v>1201</v>
      </c>
      <c r="D710" s="28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0">
        <v>50000</v>
      </c>
      <c r="K710" s="560">
        <f t="shared" si="23"/>
        <v>5</v>
      </c>
      <c r="L710" s="560">
        <f t="shared" si="22"/>
        <v>2</v>
      </c>
    </row>
    <row r="711" spans="1:19">
      <c r="A711" t="s">
        <v>2175</v>
      </c>
      <c r="B711" s="553">
        <v>44243</v>
      </c>
      <c r="C711" t="s">
        <v>1201</v>
      </c>
      <c r="D711" s="28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0">
        <v>10125</v>
      </c>
      <c r="K711" s="560">
        <f t="shared" si="23"/>
        <v>5</v>
      </c>
      <c r="L711" s="560">
        <f t="shared" si="22"/>
        <v>1</v>
      </c>
      <c r="M711" s="560" t="e">
        <f>SUMIFS('[1]MAIN-101'!$Z$1:$Z$3000,'[1]MAIN-101'!$X$1:$X$3000,S711)</f>
        <v>#VALUE!</v>
      </c>
      <c r="N711" s="560"/>
      <c r="O711" s="560"/>
      <c r="S711" t="str">
        <f>VLOOKUP(C711,'Recon of ORS and DV'!$A$4:$B$358,2,FALSE)</f>
        <v>0244</v>
      </c>
    </row>
    <row r="712" spans="1:19">
      <c r="B712" s="553">
        <v>44243</v>
      </c>
      <c r="C712" t="s">
        <v>1202</v>
      </c>
      <c r="D712" s="28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0">
        <v>0</v>
      </c>
      <c r="K712" s="560">
        <f t="shared" si="23"/>
        <v>5</v>
      </c>
      <c r="L712" s="560">
        <f t="shared" si="22"/>
        <v>5</v>
      </c>
    </row>
    <row r="713" spans="1:19">
      <c r="B713" s="553">
        <v>44243</v>
      </c>
      <c r="C713" t="s">
        <v>1202</v>
      </c>
      <c r="D713" s="28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0">
        <v>0</v>
      </c>
      <c r="K713" s="560">
        <f t="shared" si="23"/>
        <v>5</v>
      </c>
      <c r="L713" s="560">
        <f t="shared" si="22"/>
        <v>4</v>
      </c>
    </row>
    <row r="714" spans="1:19">
      <c r="B714" s="553">
        <v>44243</v>
      </c>
      <c r="C714" t="s">
        <v>1202</v>
      </c>
      <c r="D714" s="28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0">
        <v>0</v>
      </c>
      <c r="K714" s="560">
        <f t="shared" si="23"/>
        <v>5</v>
      </c>
      <c r="L714" s="560">
        <f t="shared" si="22"/>
        <v>3</v>
      </c>
    </row>
    <row r="715" spans="1:19">
      <c r="B715" s="553">
        <v>44243</v>
      </c>
      <c r="C715" t="s">
        <v>1202</v>
      </c>
      <c r="D715" s="28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0">
        <v>0</v>
      </c>
      <c r="K715" s="560">
        <f t="shared" si="23"/>
        <v>5</v>
      </c>
      <c r="L715" s="560">
        <f t="shared" si="22"/>
        <v>2</v>
      </c>
    </row>
    <row r="716" spans="1:19">
      <c r="A716">
        <v>0</v>
      </c>
      <c r="B716" s="553">
        <v>44243</v>
      </c>
      <c r="C716" t="s">
        <v>1202</v>
      </c>
      <c r="D716" s="28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0">
        <v>0</v>
      </c>
      <c r="K716" s="560">
        <f t="shared" si="23"/>
        <v>5</v>
      </c>
      <c r="L716" s="560">
        <f t="shared" si="22"/>
        <v>1</v>
      </c>
      <c r="M716" s="560" t="e">
        <f>SUMIFS('[1]MAIN-101'!$Z$1:$Z$3000,'[1]MAIN-101'!$X$1:$X$3000,S716)</f>
        <v>#VALUE!</v>
      </c>
      <c r="N716" s="560"/>
      <c r="O716" s="560"/>
      <c r="S716">
        <f>VLOOKUP(C716,'Recon of ORS and DV'!$A$4:$B$358,2,FALSE)</f>
        <v>0</v>
      </c>
    </row>
    <row r="717" spans="1:19">
      <c r="A717" t="s">
        <v>2176</v>
      </c>
      <c r="B717" s="553">
        <v>44243</v>
      </c>
      <c r="C717" t="s">
        <v>1203</v>
      </c>
      <c r="D717" s="28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0">
        <v>0</v>
      </c>
      <c r="K717" s="560">
        <f t="shared" si="23"/>
        <v>1</v>
      </c>
      <c r="L717" s="560">
        <f t="shared" si="22"/>
        <v>1</v>
      </c>
      <c r="M717" s="560" t="e">
        <f>SUMIFS('[1]MAIN-101'!$Z$1:$Z$3000,'[1]MAIN-101'!$X$1:$X$3000,S717)</f>
        <v>#VALUE!</v>
      </c>
      <c r="N717" s="560"/>
      <c r="O717" s="560"/>
      <c r="S717" t="str">
        <f>VLOOKUP(C717,'Recon of ORS and DV'!$A$4:$B$358,2,FALSE)</f>
        <v>0272</v>
      </c>
    </row>
    <row r="718" spans="1:19">
      <c r="B718" s="553">
        <v>44243</v>
      </c>
      <c r="C718" t="s">
        <v>1204</v>
      </c>
      <c r="D718" s="28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0">
        <v>0</v>
      </c>
      <c r="K718" s="560">
        <f t="shared" si="23"/>
        <v>4</v>
      </c>
      <c r="L718" s="560">
        <f t="shared" si="22"/>
        <v>4</v>
      </c>
    </row>
    <row r="719" spans="1:19">
      <c r="B719" s="553">
        <v>44243</v>
      </c>
      <c r="C719" t="s">
        <v>1204</v>
      </c>
      <c r="D719" s="28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0">
        <v>0</v>
      </c>
      <c r="K719" s="560">
        <f t="shared" si="23"/>
        <v>4</v>
      </c>
      <c r="L719" s="560">
        <f t="shared" ref="L719:L782" si="24">COUNTIFS(C719:C2272,C719)</f>
        <v>3</v>
      </c>
    </row>
    <row r="720" spans="1:19">
      <c r="B720" s="553">
        <v>44243</v>
      </c>
      <c r="C720" t="s">
        <v>1204</v>
      </c>
      <c r="D720" s="28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0">
        <v>0</v>
      </c>
      <c r="K720" s="560">
        <f t="shared" si="23"/>
        <v>4</v>
      </c>
      <c r="L720" s="560">
        <f t="shared" si="24"/>
        <v>2</v>
      </c>
    </row>
    <row r="721" spans="1:19">
      <c r="A721">
        <v>0</v>
      </c>
      <c r="B721" s="553">
        <v>44243</v>
      </c>
      <c r="C721" t="s">
        <v>1204</v>
      </c>
      <c r="D721" s="28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0">
        <v>0</v>
      </c>
      <c r="K721" s="560">
        <f t="shared" si="23"/>
        <v>4</v>
      </c>
      <c r="L721" s="560">
        <f t="shared" si="24"/>
        <v>1</v>
      </c>
      <c r="M721" s="560" t="e">
        <f>SUMIFS('[1]MAIN-101'!$Z$1:$Z$3000,'[1]MAIN-101'!$X$1:$X$3000,S721)</f>
        <v>#VALUE!</v>
      </c>
      <c r="N721" s="560"/>
      <c r="O721" s="560"/>
      <c r="S721">
        <f>VLOOKUP(C721,'Recon of ORS and DV'!$A$4:$B$358,2,FALSE)</f>
        <v>0</v>
      </c>
    </row>
    <row r="722" spans="1:19">
      <c r="B722" s="553">
        <v>44243</v>
      </c>
      <c r="C722" t="s">
        <v>1208</v>
      </c>
      <c r="D722" s="28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0">
        <v>0</v>
      </c>
      <c r="K722" s="560">
        <f t="shared" si="23"/>
        <v>4</v>
      </c>
      <c r="L722" s="560">
        <f t="shared" si="24"/>
        <v>4</v>
      </c>
    </row>
    <row r="723" spans="1:19">
      <c r="B723" s="553">
        <v>44243</v>
      </c>
      <c r="C723" t="s">
        <v>1208</v>
      </c>
      <c r="D723" s="28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0">
        <v>0</v>
      </c>
      <c r="K723" s="560">
        <f t="shared" si="23"/>
        <v>4</v>
      </c>
      <c r="L723" s="560">
        <f t="shared" si="24"/>
        <v>3</v>
      </c>
    </row>
    <row r="724" spans="1:19">
      <c r="B724" s="553">
        <v>44243</v>
      </c>
      <c r="C724" t="s">
        <v>1208</v>
      </c>
      <c r="D724" s="28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0">
        <v>0</v>
      </c>
      <c r="K724" s="560">
        <f t="shared" si="23"/>
        <v>4</v>
      </c>
      <c r="L724" s="560">
        <f t="shared" si="24"/>
        <v>2</v>
      </c>
    </row>
    <row r="725" spans="1:19">
      <c r="A725">
        <v>0</v>
      </c>
      <c r="B725" s="553">
        <v>44243</v>
      </c>
      <c r="C725" t="s">
        <v>1208</v>
      </c>
      <c r="D725" s="28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0">
        <v>0</v>
      </c>
      <c r="K725" s="560">
        <f t="shared" si="23"/>
        <v>4</v>
      </c>
      <c r="L725" s="560">
        <f t="shared" si="24"/>
        <v>1</v>
      </c>
      <c r="M725" s="560" t="e">
        <f>SUMIFS('[1]MAIN-101'!$Z$1:$Z$3000,'[1]MAIN-101'!$X$1:$X$3000,S725)</f>
        <v>#VALUE!</v>
      </c>
      <c r="N725" s="560"/>
      <c r="O725" s="560"/>
      <c r="S725">
        <f>VLOOKUP(C725,'Recon of ORS and DV'!$A$4:$B$358,2,FALSE)</f>
        <v>0</v>
      </c>
    </row>
    <row r="726" spans="1:19">
      <c r="B726" s="553">
        <v>44243</v>
      </c>
      <c r="C726" t="s">
        <v>1209</v>
      </c>
      <c r="D726" s="28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0">
        <v>0</v>
      </c>
      <c r="K726" s="560">
        <f t="shared" si="23"/>
        <v>4</v>
      </c>
      <c r="L726" s="560">
        <f t="shared" si="24"/>
        <v>4</v>
      </c>
    </row>
    <row r="727" spans="1:19">
      <c r="B727" s="553">
        <v>44243</v>
      </c>
      <c r="C727" t="s">
        <v>1209</v>
      </c>
      <c r="D727" s="28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0">
        <v>0</v>
      </c>
      <c r="K727" s="560">
        <f t="shared" si="23"/>
        <v>4</v>
      </c>
      <c r="L727" s="560">
        <f t="shared" si="24"/>
        <v>3</v>
      </c>
    </row>
    <row r="728" spans="1:19">
      <c r="B728" s="553">
        <v>44243</v>
      </c>
      <c r="C728" t="s">
        <v>1209</v>
      </c>
      <c r="D728" s="28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0">
        <v>0</v>
      </c>
      <c r="K728" s="560">
        <f t="shared" si="23"/>
        <v>4</v>
      </c>
      <c r="L728" s="560">
        <f t="shared" si="24"/>
        <v>2</v>
      </c>
    </row>
    <row r="729" spans="1:19">
      <c r="A729">
        <v>0</v>
      </c>
      <c r="B729" s="553">
        <v>44243</v>
      </c>
      <c r="C729" t="s">
        <v>1209</v>
      </c>
      <c r="D729" s="28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0">
        <v>0</v>
      </c>
      <c r="K729" s="560">
        <f t="shared" si="23"/>
        <v>4</v>
      </c>
      <c r="L729" s="560">
        <f t="shared" si="24"/>
        <v>1</v>
      </c>
      <c r="M729" s="560" t="e">
        <f>SUMIFS('[1]MAIN-101'!$Z$1:$Z$3000,'[1]MAIN-101'!$X$1:$X$3000,S729)</f>
        <v>#VALUE!</v>
      </c>
      <c r="N729" s="560"/>
      <c r="O729" s="560"/>
      <c r="S729">
        <f>VLOOKUP(C729,'Recon of ORS and DV'!$A$4:$B$358,2,FALSE)</f>
        <v>0</v>
      </c>
    </row>
    <row r="730" spans="1:19">
      <c r="B730" s="553">
        <v>44243</v>
      </c>
      <c r="C730" t="s">
        <v>1210</v>
      </c>
      <c r="D730" s="28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0">
        <v>0</v>
      </c>
      <c r="K730" s="560">
        <f t="shared" si="23"/>
        <v>4</v>
      </c>
      <c r="L730" s="560">
        <f t="shared" si="24"/>
        <v>4</v>
      </c>
    </row>
    <row r="731" spans="1:19">
      <c r="B731" s="553">
        <v>44243</v>
      </c>
      <c r="C731" t="s">
        <v>1210</v>
      </c>
      <c r="D731" s="28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0">
        <v>0</v>
      </c>
      <c r="K731" s="560">
        <f t="shared" si="23"/>
        <v>4</v>
      </c>
      <c r="L731" s="560">
        <f t="shared" si="24"/>
        <v>3</v>
      </c>
    </row>
    <row r="732" spans="1:19">
      <c r="B732" s="553">
        <v>44243</v>
      </c>
      <c r="C732" t="s">
        <v>1210</v>
      </c>
      <c r="D732" s="28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0">
        <v>0</v>
      </c>
      <c r="K732" s="560">
        <f t="shared" si="23"/>
        <v>4</v>
      </c>
      <c r="L732" s="560">
        <f t="shared" si="24"/>
        <v>2</v>
      </c>
    </row>
    <row r="733" spans="1:19">
      <c r="A733">
        <v>0</v>
      </c>
      <c r="B733" s="553">
        <v>44243</v>
      </c>
      <c r="C733" t="s">
        <v>1210</v>
      </c>
      <c r="D733" s="28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0">
        <v>0</v>
      </c>
      <c r="K733" s="560">
        <f t="shared" si="23"/>
        <v>4</v>
      </c>
      <c r="L733" s="560">
        <f t="shared" si="24"/>
        <v>1</v>
      </c>
      <c r="M733" s="560" t="e">
        <f>SUMIFS('[1]MAIN-101'!$Z$1:$Z$3000,'[1]MAIN-101'!$X$1:$X$3000,S733)</f>
        <v>#VALUE!</v>
      </c>
      <c r="N733" s="560"/>
      <c r="O733" s="560"/>
      <c r="S733">
        <f>VLOOKUP(C733,'Recon of ORS and DV'!$A$4:$B$358,2,FALSE)</f>
        <v>0</v>
      </c>
    </row>
    <row r="734" spans="1:19">
      <c r="B734" s="553">
        <v>44243</v>
      </c>
      <c r="C734" t="s">
        <v>1211</v>
      </c>
      <c r="D734" s="28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0">
        <v>0</v>
      </c>
      <c r="K734" s="560">
        <f t="shared" si="23"/>
        <v>4</v>
      </c>
      <c r="L734" s="560">
        <f t="shared" si="24"/>
        <v>4</v>
      </c>
    </row>
    <row r="735" spans="1:19">
      <c r="B735" s="553">
        <v>44243</v>
      </c>
      <c r="C735" t="s">
        <v>1211</v>
      </c>
      <c r="D735" s="28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0">
        <v>0</v>
      </c>
      <c r="K735" s="560">
        <f t="shared" si="23"/>
        <v>4</v>
      </c>
      <c r="L735" s="560">
        <f t="shared" si="24"/>
        <v>3</v>
      </c>
    </row>
    <row r="736" spans="1:19">
      <c r="B736" s="553">
        <v>44243</v>
      </c>
      <c r="C736" t="s">
        <v>1211</v>
      </c>
      <c r="D736" s="28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0">
        <v>0</v>
      </c>
      <c r="K736" s="560">
        <f t="shared" si="23"/>
        <v>4</v>
      </c>
      <c r="L736" s="560">
        <f t="shared" si="24"/>
        <v>2</v>
      </c>
    </row>
    <row r="737" spans="1:19">
      <c r="A737">
        <v>0</v>
      </c>
      <c r="B737" s="553">
        <v>44243</v>
      </c>
      <c r="C737" t="s">
        <v>1211</v>
      </c>
      <c r="D737" s="28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0">
        <v>0</v>
      </c>
      <c r="K737" s="560">
        <f t="shared" si="23"/>
        <v>4</v>
      </c>
      <c r="L737" s="560">
        <f t="shared" si="24"/>
        <v>1</v>
      </c>
      <c r="M737" s="560" t="e">
        <f>SUMIFS('[1]MAIN-101'!$Z$1:$Z$3000,'[1]MAIN-101'!$X$1:$X$3000,S737)</f>
        <v>#VALUE!</v>
      </c>
      <c r="N737" s="560"/>
      <c r="O737" s="560"/>
      <c r="S737">
        <f>VLOOKUP(C737,'Recon of ORS and DV'!$A$4:$B$358,2,FALSE)</f>
        <v>0</v>
      </c>
    </row>
    <row r="738" spans="1:19">
      <c r="A738" t="s">
        <v>2177</v>
      </c>
      <c r="B738" s="553">
        <v>44243</v>
      </c>
      <c r="C738" t="s">
        <v>1212</v>
      </c>
      <c r="D738" s="28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0">
        <v>22320</v>
      </c>
      <c r="K738" s="560">
        <f t="shared" si="23"/>
        <v>1</v>
      </c>
      <c r="L738" s="560">
        <f t="shared" si="24"/>
        <v>1</v>
      </c>
      <c r="M738" s="560" t="e">
        <f>SUMIFS('[1]MAIN-101'!$Z$1:$Z$3000,'[1]MAIN-101'!$X$1:$X$3000,S738)</f>
        <v>#VALUE!</v>
      </c>
      <c r="N738" s="560"/>
      <c r="O738" s="560"/>
      <c r="S738" t="str">
        <f>VLOOKUP(C738,'Recon of ORS and DV'!$A$4:$B$358,2,FALSE)</f>
        <v>0234</v>
      </c>
    </row>
    <row r="739" spans="1:19">
      <c r="A739" t="s">
        <v>2178</v>
      </c>
      <c r="B739" s="553">
        <v>44243</v>
      </c>
      <c r="C739" t="s">
        <v>1222</v>
      </c>
      <c r="D739" s="28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0">
        <v>144603.29</v>
      </c>
      <c r="K739" s="560">
        <f t="shared" si="23"/>
        <v>1</v>
      </c>
      <c r="L739" s="560">
        <f t="shared" si="24"/>
        <v>1</v>
      </c>
      <c r="M739" s="560" t="e">
        <f>SUMIFS('[1]MAIN-101'!$Z$1:$Z$3000,'[1]MAIN-101'!$X$1:$X$3000,S739)</f>
        <v>#VALUE!</v>
      </c>
      <c r="N739" s="560"/>
      <c r="O739" s="560"/>
      <c r="S739" t="str">
        <f>VLOOKUP(C739,'Recon of ORS and DV'!$A$4:$B$358,2,FALSE)</f>
        <v>0223</v>
      </c>
    </row>
    <row r="740" spans="1:19">
      <c r="A740" t="s">
        <v>2179</v>
      </c>
      <c r="B740" s="553">
        <v>44244</v>
      </c>
      <c r="C740" t="s">
        <v>1224</v>
      </c>
      <c r="D740" s="28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0">
        <v>119889.07</v>
      </c>
      <c r="K740" s="560">
        <f t="shared" si="23"/>
        <v>1</v>
      </c>
      <c r="L740" s="560">
        <f t="shared" si="24"/>
        <v>1</v>
      </c>
      <c r="M740" s="560" t="e">
        <f>SUMIFS('[1]MAIN-101'!$Z$1:$Z$3000,'[1]MAIN-101'!$X$1:$X$3000,S740)</f>
        <v>#VALUE!</v>
      </c>
      <c r="N740" s="560"/>
      <c r="O740" s="560"/>
      <c r="S740" t="str">
        <f>VLOOKUP(C740,'Recon of ORS and DV'!$A$4:$B$358,2,FALSE)</f>
        <v>0241</v>
      </c>
    </row>
    <row r="741" spans="1:19">
      <c r="A741" t="s">
        <v>2180</v>
      </c>
      <c r="B741" s="553">
        <v>44244</v>
      </c>
      <c r="C741" t="s">
        <v>1226</v>
      </c>
      <c r="D741" s="28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0">
        <v>83142.720000000001</v>
      </c>
      <c r="K741" s="560">
        <f t="shared" si="23"/>
        <v>1</v>
      </c>
      <c r="L741" s="560">
        <f t="shared" si="24"/>
        <v>1</v>
      </c>
      <c r="M741" s="560" t="e">
        <f>SUMIFS('[1]MAIN-101'!$Z$1:$Z$3000,'[1]MAIN-101'!$X$1:$X$3000,S741)</f>
        <v>#VALUE!</v>
      </c>
      <c r="N741" s="560"/>
      <c r="O741" s="560"/>
      <c r="S741" t="str">
        <f>VLOOKUP(C741,'Recon of ORS and DV'!$A$4:$B$358,2,FALSE)</f>
        <v>0242</v>
      </c>
    </row>
    <row r="742" spans="1:19">
      <c r="A742" t="s">
        <v>2181</v>
      </c>
      <c r="B742" s="553">
        <v>44246</v>
      </c>
      <c r="C742" t="s">
        <v>1228</v>
      </c>
      <c r="D742" s="28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0">
        <v>106531.33</v>
      </c>
      <c r="K742" s="560">
        <f t="shared" si="23"/>
        <v>1</v>
      </c>
      <c r="L742" s="560">
        <f t="shared" si="24"/>
        <v>1</v>
      </c>
      <c r="M742" s="560" t="e">
        <f>SUMIFS('[1]MAIN-101'!$Z$1:$Z$3000,'[1]MAIN-101'!$X$1:$X$3000,S742)</f>
        <v>#VALUE!</v>
      </c>
      <c r="N742" s="560"/>
      <c r="O742" s="560"/>
      <c r="S742" t="str">
        <f>VLOOKUP(C742,'Recon of ORS and DV'!$A$4:$B$358,2,FALSE)</f>
        <v>0243</v>
      </c>
    </row>
    <row r="743" spans="1:19">
      <c r="A743" t="s">
        <v>2182</v>
      </c>
      <c r="B743" s="553">
        <v>44251</v>
      </c>
      <c r="C743" t="s">
        <v>1229</v>
      </c>
      <c r="D743" s="28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0">
        <v>0</v>
      </c>
      <c r="K743" s="560">
        <f t="shared" si="23"/>
        <v>1</v>
      </c>
      <c r="L743" s="560">
        <f t="shared" si="24"/>
        <v>1</v>
      </c>
      <c r="M743" s="560" t="e">
        <f>SUMIFS('[1]MAIN-101'!$Z$1:$Z$3000,'[1]MAIN-101'!$X$1:$X$3000,S743)</f>
        <v>#VALUE!</v>
      </c>
      <c r="N743" s="560"/>
      <c r="O743" s="560"/>
      <c r="S743" t="str">
        <f>VLOOKUP(C743,'Recon of ORS and DV'!$A$4:$B$358,2,FALSE)</f>
        <v>0280</v>
      </c>
    </row>
    <row r="744" spans="1:19">
      <c r="A744" t="s">
        <v>2183</v>
      </c>
      <c r="B744" s="553">
        <v>44251</v>
      </c>
      <c r="C744" t="s">
        <v>1232</v>
      </c>
      <c r="D744" s="28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0">
        <v>0</v>
      </c>
      <c r="K744" s="560">
        <f t="shared" si="23"/>
        <v>1</v>
      </c>
      <c r="L744" s="560">
        <f t="shared" si="24"/>
        <v>1</v>
      </c>
      <c r="M744" s="560" t="e">
        <f>SUMIFS('[1]MAIN-101'!$Z$1:$Z$3000,'[1]MAIN-101'!$X$1:$X$3000,S744)</f>
        <v>#VALUE!</v>
      </c>
      <c r="N744" s="560"/>
      <c r="O744" s="560"/>
      <c r="S744" t="str">
        <f>VLOOKUP(C744,'Recon of ORS and DV'!$A$4:$B$358,2,FALSE)</f>
        <v>0281</v>
      </c>
    </row>
    <row r="745" spans="1:19">
      <c r="A745" t="s">
        <v>2184</v>
      </c>
      <c r="B745" s="553">
        <v>44251</v>
      </c>
      <c r="C745" t="s">
        <v>1234</v>
      </c>
      <c r="D745" s="28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0">
        <v>10000</v>
      </c>
      <c r="K745" s="560">
        <f t="shared" si="23"/>
        <v>1</v>
      </c>
      <c r="L745" s="560">
        <f t="shared" si="24"/>
        <v>1</v>
      </c>
      <c r="M745" s="560" t="e">
        <f>SUMIFS('[1]MAIN-101'!$Z$1:$Z$3000,'[1]MAIN-101'!$X$1:$X$3000,S745)</f>
        <v>#VALUE!</v>
      </c>
      <c r="N745" s="560"/>
      <c r="O745" s="560"/>
      <c r="S745" t="str">
        <f>VLOOKUP(C745,'Recon of ORS and DV'!$A$4:$B$358,2,FALSE)</f>
        <v>0273</v>
      </c>
    </row>
    <row r="746" spans="1:19">
      <c r="B746" s="553">
        <v>44251</v>
      </c>
      <c r="C746" t="s">
        <v>1237</v>
      </c>
      <c r="D746" s="28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0">
        <v>2790</v>
      </c>
      <c r="K746" s="560">
        <f t="shared" si="23"/>
        <v>2</v>
      </c>
      <c r="L746" s="560">
        <f t="shared" si="24"/>
        <v>2</v>
      </c>
    </row>
    <row r="747" spans="1:19">
      <c r="A747" t="s">
        <v>2185</v>
      </c>
      <c r="B747" s="553">
        <v>44251</v>
      </c>
      <c r="C747" t="s">
        <v>1237</v>
      </c>
      <c r="D747" s="28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0">
        <v>8000</v>
      </c>
      <c r="K747" s="560">
        <f t="shared" si="23"/>
        <v>2</v>
      </c>
      <c r="L747" s="560">
        <f t="shared" si="24"/>
        <v>1</v>
      </c>
      <c r="M747" s="560" t="e">
        <f>SUMIFS('[1]MAIN-101'!$Z$1:$Z$3000,'[1]MAIN-101'!$X$1:$X$3000,S747)</f>
        <v>#VALUE!</v>
      </c>
      <c r="N747" s="560"/>
      <c r="O747" s="560"/>
      <c r="S747" t="str">
        <f>VLOOKUP(C747,'Recon of ORS and DV'!$A$4:$B$358,2,FALSE)</f>
        <v>0274</v>
      </c>
    </row>
    <row r="748" spans="1:19">
      <c r="A748" t="s">
        <v>2186</v>
      </c>
      <c r="B748" s="553">
        <v>44251</v>
      </c>
      <c r="C748" t="s">
        <v>1238</v>
      </c>
      <c r="D748" s="28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0">
        <v>12352.18</v>
      </c>
      <c r="K748" s="560">
        <f t="shared" si="23"/>
        <v>1</v>
      </c>
      <c r="L748" s="560">
        <f t="shared" si="24"/>
        <v>1</v>
      </c>
      <c r="M748" s="560" t="e">
        <f>SUMIFS('[1]MAIN-101'!$Z$1:$Z$3000,'[1]MAIN-101'!$X$1:$X$3000,S748)</f>
        <v>#VALUE!</v>
      </c>
      <c r="N748" s="560"/>
      <c r="O748" s="560"/>
      <c r="S748" t="str">
        <f>VLOOKUP(C748,'Recon of ORS and DV'!$A$4:$B$358,2,FALSE)</f>
        <v>0275</v>
      </c>
    </row>
    <row r="749" spans="1:19">
      <c r="B749" s="553">
        <v>44251</v>
      </c>
      <c r="C749" t="s">
        <v>1239</v>
      </c>
      <c r="D749" s="28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0">
        <v>11158</v>
      </c>
      <c r="K749" s="560">
        <f t="shared" si="23"/>
        <v>2</v>
      </c>
      <c r="L749" s="560">
        <f t="shared" si="24"/>
        <v>2</v>
      </c>
    </row>
    <row r="750" spans="1:19">
      <c r="A750" t="s">
        <v>2187</v>
      </c>
      <c r="B750" s="553">
        <v>44251</v>
      </c>
      <c r="C750" t="s">
        <v>1239</v>
      </c>
      <c r="D750" s="28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0">
        <v>12316</v>
      </c>
      <c r="K750" s="560">
        <f t="shared" si="23"/>
        <v>2</v>
      </c>
      <c r="L750" s="560">
        <f t="shared" si="24"/>
        <v>1</v>
      </c>
      <c r="M750" s="560" t="e">
        <f>SUMIFS('[1]MAIN-101'!$Z$1:$Z$3000,'[1]MAIN-101'!$X$1:$X$3000,S750)</f>
        <v>#VALUE!</v>
      </c>
      <c r="N750" s="560"/>
      <c r="O750" s="560"/>
      <c r="S750" t="str">
        <f>VLOOKUP(C750,'Recon of ORS and DV'!$A$4:$B$358,2,FALSE)</f>
        <v>0276</v>
      </c>
    </row>
    <row r="751" spans="1:19">
      <c r="B751" s="553">
        <v>44251</v>
      </c>
      <c r="C751" t="s">
        <v>1240</v>
      </c>
      <c r="D751" s="28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0">
        <v>5030.91</v>
      </c>
      <c r="K751" s="560">
        <f t="shared" si="23"/>
        <v>3</v>
      </c>
      <c r="L751" s="560">
        <f t="shared" si="24"/>
        <v>3</v>
      </c>
    </row>
    <row r="752" spans="1:19">
      <c r="B752" s="553">
        <v>44251</v>
      </c>
      <c r="C752" t="s">
        <v>1240</v>
      </c>
      <c r="D752" s="28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0">
        <v>5534</v>
      </c>
      <c r="K752" s="560">
        <f t="shared" si="23"/>
        <v>3</v>
      </c>
      <c r="L752" s="560">
        <f t="shared" si="24"/>
        <v>2</v>
      </c>
    </row>
    <row r="753" spans="1:19">
      <c r="A753" t="s">
        <v>2188</v>
      </c>
      <c r="B753" s="553">
        <v>44251</v>
      </c>
      <c r="C753" t="s">
        <v>1240</v>
      </c>
      <c r="D753" s="28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0">
        <v>16692</v>
      </c>
      <c r="K753" s="560">
        <f t="shared" si="23"/>
        <v>3</v>
      </c>
      <c r="L753" s="560">
        <f t="shared" si="24"/>
        <v>1</v>
      </c>
      <c r="M753" s="560" t="e">
        <f>SUMIFS('[1]MAIN-101'!$Z$1:$Z$3000,'[1]MAIN-101'!$X$1:$X$3000,S753)</f>
        <v>#VALUE!</v>
      </c>
      <c r="N753" s="560"/>
      <c r="O753" s="560"/>
      <c r="S753" t="str">
        <f>VLOOKUP(C753,'Recon of ORS and DV'!$A$4:$B$358,2,FALSE)</f>
        <v>0277</v>
      </c>
    </row>
    <row r="754" spans="1:19">
      <c r="A754" t="s">
        <v>2189</v>
      </c>
      <c r="B754" s="553">
        <v>44251</v>
      </c>
      <c r="C754" t="s">
        <v>1241</v>
      </c>
      <c r="D754" s="28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0">
        <v>7321.62</v>
      </c>
      <c r="K754" s="560">
        <f t="shared" si="23"/>
        <v>1</v>
      </c>
      <c r="L754" s="560">
        <f t="shared" si="24"/>
        <v>1</v>
      </c>
      <c r="M754" s="560" t="e">
        <f>SUMIFS('[1]MAIN-101'!$Z$1:$Z$3000,'[1]MAIN-101'!$X$1:$X$3000,S754)</f>
        <v>#VALUE!</v>
      </c>
      <c r="N754" s="560"/>
      <c r="O754" s="560"/>
      <c r="S754" t="str">
        <f>VLOOKUP(C754,'Recon of ORS and DV'!$A$4:$B$358,2,FALSE)</f>
        <v>0278</v>
      </c>
    </row>
    <row r="755" spans="1:19">
      <c r="A755">
        <v>0</v>
      </c>
      <c r="B755" s="553">
        <v>44251</v>
      </c>
      <c r="C755" t="s">
        <v>1244</v>
      </c>
      <c r="D755" s="28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0">
        <v>0</v>
      </c>
      <c r="K755" s="560">
        <f t="shared" si="23"/>
        <v>1</v>
      </c>
      <c r="L755" s="560">
        <f t="shared" si="24"/>
        <v>1</v>
      </c>
      <c r="M755" s="560" t="e">
        <f>SUMIFS('[1]MAIN-101'!$Z$1:$Z$3000,'[1]MAIN-101'!$X$1:$X$3000,S755)</f>
        <v>#VALUE!</v>
      </c>
      <c r="N755" s="560"/>
      <c r="O755" s="560"/>
      <c r="S755">
        <f>VLOOKUP(C755,'Recon of ORS and DV'!$A$4:$B$358,2,FALSE)</f>
        <v>0</v>
      </c>
    </row>
    <row r="756" spans="1:19">
      <c r="A756">
        <v>0</v>
      </c>
      <c r="B756" s="553">
        <v>44251</v>
      </c>
      <c r="C756" t="s">
        <v>1247</v>
      </c>
      <c r="D756" s="28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0">
        <v>0</v>
      </c>
      <c r="K756" s="560">
        <f t="shared" si="23"/>
        <v>1</v>
      </c>
      <c r="L756" s="560">
        <f t="shared" si="24"/>
        <v>1</v>
      </c>
      <c r="M756" s="560" t="e">
        <f>SUMIFS('[1]MAIN-101'!$Z$1:$Z$3000,'[1]MAIN-101'!$X$1:$X$3000,S756)</f>
        <v>#VALUE!</v>
      </c>
      <c r="N756" s="560"/>
      <c r="O756" s="560"/>
      <c r="S756">
        <f>VLOOKUP(C756,'Recon of ORS and DV'!$A$4:$B$358,2,FALSE)</f>
        <v>0</v>
      </c>
    </row>
    <row r="757" spans="1:19">
      <c r="A757">
        <v>0</v>
      </c>
      <c r="B757" s="553">
        <v>44251</v>
      </c>
      <c r="C757" t="s">
        <v>1249</v>
      </c>
      <c r="D757" s="28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0">
        <v>0.01</v>
      </c>
      <c r="K757" s="560">
        <f t="shared" si="23"/>
        <v>1</v>
      </c>
      <c r="L757" s="560">
        <f t="shared" si="24"/>
        <v>1</v>
      </c>
      <c r="M757" s="560" t="e">
        <f>SUMIFS('[1]MAIN-101'!$Z$1:$Z$3000,'[1]MAIN-101'!$X$1:$X$3000,S757)</f>
        <v>#VALUE!</v>
      </c>
      <c r="N757" s="560"/>
      <c r="O757" s="560"/>
      <c r="S757">
        <f>VLOOKUP(C757,'Recon of ORS and DV'!$A$4:$B$358,2,FALSE)</f>
        <v>0</v>
      </c>
    </row>
    <row r="758" spans="1:19">
      <c r="A758">
        <v>0</v>
      </c>
      <c r="B758" s="553">
        <v>44253</v>
      </c>
      <c r="C758" t="s">
        <v>1251</v>
      </c>
      <c r="D758" s="28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0">
        <v>0</v>
      </c>
      <c r="K758" s="560">
        <f t="shared" si="23"/>
        <v>1</v>
      </c>
      <c r="L758" s="560">
        <f t="shared" si="24"/>
        <v>1</v>
      </c>
      <c r="M758" s="560" t="e">
        <f>SUMIFS('[1]MAIN-101'!$Z$1:$Z$3000,'[1]MAIN-101'!$X$1:$X$3000,S758)</f>
        <v>#VALUE!</v>
      </c>
      <c r="N758" s="560"/>
      <c r="O758" s="560"/>
      <c r="S758">
        <f>VLOOKUP(C758,'Recon of ORS and DV'!$A$4:$B$358,2,FALSE)</f>
        <v>0</v>
      </c>
    </row>
    <row r="759" spans="1:19">
      <c r="A759">
        <v>0</v>
      </c>
      <c r="B759" s="553">
        <v>44253</v>
      </c>
      <c r="C759" t="s">
        <v>1253</v>
      </c>
      <c r="D759" s="28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0">
        <v>0</v>
      </c>
      <c r="K759" s="560">
        <f t="shared" si="23"/>
        <v>1</v>
      </c>
      <c r="L759" s="560">
        <f t="shared" si="24"/>
        <v>1</v>
      </c>
      <c r="M759" s="560" t="e">
        <f>SUMIFS('[1]MAIN-101'!$Z$1:$Z$3000,'[1]MAIN-101'!$X$1:$X$3000,S759)</f>
        <v>#VALUE!</v>
      </c>
      <c r="N759" s="560"/>
      <c r="O759" s="560"/>
      <c r="S759">
        <f>VLOOKUP(C759,'Recon of ORS and DV'!$A$4:$B$358,2,FALSE)</f>
        <v>0</v>
      </c>
    </row>
    <row r="760" spans="1:19">
      <c r="A760">
        <v>0</v>
      </c>
      <c r="B760" s="553">
        <v>44253</v>
      </c>
      <c r="C760" t="s">
        <v>1254</v>
      </c>
      <c r="D760" s="28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0">
        <v>0</v>
      </c>
      <c r="K760" s="560">
        <f t="shared" si="23"/>
        <v>1</v>
      </c>
      <c r="L760" s="560">
        <f t="shared" si="24"/>
        <v>1</v>
      </c>
      <c r="M760" s="560" t="e">
        <f>SUMIFS('[1]MAIN-101'!$Z$1:$Z$3000,'[1]MAIN-101'!$X$1:$X$3000,S760)</f>
        <v>#VALUE!</v>
      </c>
      <c r="N760" s="560"/>
      <c r="O760" s="560"/>
      <c r="S760">
        <f>VLOOKUP(C760,'Recon of ORS and DV'!$A$4:$B$358,2,FALSE)</f>
        <v>0</v>
      </c>
    </row>
    <row r="761" spans="1:19">
      <c r="A761">
        <v>0</v>
      </c>
      <c r="B761" s="553">
        <v>44253</v>
      </c>
      <c r="C761" t="s">
        <v>1255</v>
      </c>
      <c r="D761" s="28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0">
        <v>0</v>
      </c>
      <c r="K761" s="560">
        <f t="shared" si="23"/>
        <v>1</v>
      </c>
      <c r="L761" s="560">
        <f t="shared" si="24"/>
        <v>1</v>
      </c>
      <c r="M761" s="560" t="e">
        <f>SUMIFS('[1]MAIN-101'!$Z$1:$Z$3000,'[1]MAIN-101'!$X$1:$X$3000,S761)</f>
        <v>#VALUE!</v>
      </c>
      <c r="N761" s="560"/>
      <c r="O761" s="560"/>
      <c r="S761">
        <f>VLOOKUP(C761,'Recon of ORS and DV'!$A$4:$B$358,2,FALSE)</f>
        <v>0</v>
      </c>
    </row>
    <row r="762" spans="1:19">
      <c r="B762" s="553">
        <v>44253</v>
      </c>
      <c r="C762" t="s">
        <v>1259</v>
      </c>
      <c r="D762" s="28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0">
        <v>0</v>
      </c>
      <c r="K762" s="560">
        <f t="shared" si="23"/>
        <v>6</v>
      </c>
      <c r="L762" s="560">
        <f t="shared" si="24"/>
        <v>6</v>
      </c>
    </row>
    <row r="763" spans="1:19">
      <c r="B763" s="553">
        <v>44253</v>
      </c>
      <c r="C763" t="s">
        <v>1259</v>
      </c>
      <c r="D763" s="28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0">
        <v>0</v>
      </c>
      <c r="K763" s="560">
        <f t="shared" si="23"/>
        <v>6</v>
      </c>
      <c r="L763" s="560">
        <f t="shared" si="24"/>
        <v>5</v>
      </c>
    </row>
    <row r="764" spans="1:19">
      <c r="B764" s="553">
        <v>44253</v>
      </c>
      <c r="C764" t="s">
        <v>1259</v>
      </c>
      <c r="D764" s="28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0">
        <v>0</v>
      </c>
      <c r="K764" s="560">
        <f t="shared" si="23"/>
        <v>6</v>
      </c>
      <c r="L764" s="560">
        <f t="shared" si="24"/>
        <v>4</v>
      </c>
    </row>
    <row r="765" spans="1:19">
      <c r="B765" s="553">
        <v>44253</v>
      </c>
      <c r="C765" t="s">
        <v>1259</v>
      </c>
      <c r="D765" s="28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0">
        <v>0</v>
      </c>
      <c r="K765" s="560">
        <f t="shared" si="23"/>
        <v>6</v>
      </c>
      <c r="L765" s="560">
        <f t="shared" si="24"/>
        <v>3</v>
      </c>
    </row>
    <row r="766" spans="1:19">
      <c r="B766" s="553">
        <v>44253</v>
      </c>
      <c r="C766" t="s">
        <v>1259</v>
      </c>
      <c r="D766" s="28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0">
        <v>0</v>
      </c>
      <c r="K766" s="560">
        <f t="shared" si="23"/>
        <v>6</v>
      </c>
      <c r="L766" s="560">
        <f t="shared" si="24"/>
        <v>2</v>
      </c>
    </row>
    <row r="767" spans="1:19">
      <c r="A767">
        <v>0</v>
      </c>
      <c r="B767" s="553">
        <v>44253</v>
      </c>
      <c r="C767" t="s">
        <v>1259</v>
      </c>
      <c r="D767" s="28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0">
        <v>0</v>
      </c>
      <c r="K767" s="560">
        <f t="shared" si="23"/>
        <v>6</v>
      </c>
      <c r="L767" s="560">
        <f t="shared" si="24"/>
        <v>1</v>
      </c>
      <c r="M767" s="560" t="e">
        <f>SUMIFS('[1]MAIN-101'!$Z$1:$Z$3000,'[1]MAIN-101'!$X$1:$X$3000,S767)</f>
        <v>#VALUE!</v>
      </c>
      <c r="N767" s="560"/>
      <c r="O767" s="560"/>
      <c r="S767">
        <f>VLOOKUP(C767,'Recon of ORS and DV'!$A$4:$B$358,2,FALSE)</f>
        <v>0</v>
      </c>
    </row>
    <row r="768" spans="1:19">
      <c r="B768" s="553">
        <v>44253</v>
      </c>
      <c r="C768" t="s">
        <v>1261</v>
      </c>
      <c r="D768" s="28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0">
        <v>0</v>
      </c>
      <c r="K768" s="560">
        <f t="shared" si="23"/>
        <v>6</v>
      </c>
      <c r="L768" s="560">
        <f t="shared" si="24"/>
        <v>6</v>
      </c>
    </row>
    <row r="769" spans="1:19">
      <c r="B769" s="553">
        <v>44253</v>
      </c>
      <c r="C769" t="s">
        <v>1261</v>
      </c>
      <c r="D769" s="28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0">
        <v>0</v>
      </c>
      <c r="K769" s="560">
        <f t="shared" si="23"/>
        <v>6</v>
      </c>
      <c r="L769" s="560">
        <f t="shared" si="24"/>
        <v>5</v>
      </c>
    </row>
    <row r="770" spans="1:19">
      <c r="B770" s="553">
        <v>44253</v>
      </c>
      <c r="C770" t="s">
        <v>1261</v>
      </c>
      <c r="D770" s="28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0">
        <v>0</v>
      </c>
      <c r="K770" s="560">
        <f t="shared" si="23"/>
        <v>6</v>
      </c>
      <c r="L770" s="560">
        <f t="shared" si="24"/>
        <v>4</v>
      </c>
    </row>
    <row r="771" spans="1:19">
      <c r="B771" s="553">
        <v>44253</v>
      </c>
      <c r="C771" t="s">
        <v>1261</v>
      </c>
      <c r="D771" s="28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0">
        <v>0</v>
      </c>
      <c r="K771" s="560">
        <f t="shared" si="23"/>
        <v>6</v>
      </c>
      <c r="L771" s="560">
        <f t="shared" si="24"/>
        <v>3</v>
      </c>
    </row>
    <row r="772" spans="1:19">
      <c r="B772" s="553">
        <v>44253</v>
      </c>
      <c r="C772" t="s">
        <v>1261</v>
      </c>
      <c r="D772" s="28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0">
        <v>0</v>
      </c>
      <c r="K772" s="560">
        <f t="shared" ref="K772:K835" si="25">COUNTIFS($C$3:$C$1556,C772)</f>
        <v>6</v>
      </c>
      <c r="L772" s="560">
        <f t="shared" si="24"/>
        <v>2</v>
      </c>
    </row>
    <row r="773" spans="1:19">
      <c r="A773">
        <v>0</v>
      </c>
      <c r="B773" s="553">
        <v>44253</v>
      </c>
      <c r="C773" t="s">
        <v>1261</v>
      </c>
      <c r="D773" s="28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0">
        <v>0</v>
      </c>
      <c r="K773" s="560">
        <f t="shared" si="25"/>
        <v>6</v>
      </c>
      <c r="L773" s="560">
        <f t="shared" si="24"/>
        <v>1</v>
      </c>
      <c r="M773" s="560" t="e">
        <f>SUMIFS('[1]MAIN-101'!$Z$1:$Z$3000,'[1]MAIN-101'!$X$1:$X$3000,S773)</f>
        <v>#VALUE!</v>
      </c>
      <c r="N773" s="560"/>
      <c r="O773" s="560"/>
      <c r="S773">
        <f>VLOOKUP(C773,'Recon of ORS and DV'!$A$4:$B$358,2,FALSE)</f>
        <v>0</v>
      </c>
    </row>
    <row r="774" spans="1:19">
      <c r="A774">
        <v>0</v>
      </c>
      <c r="B774" s="553">
        <v>44253</v>
      </c>
      <c r="C774" t="s">
        <v>1262</v>
      </c>
      <c r="D774" s="28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0">
        <v>0</v>
      </c>
      <c r="K774" s="560">
        <f t="shared" si="25"/>
        <v>1</v>
      </c>
      <c r="L774" s="560">
        <f t="shared" si="24"/>
        <v>1</v>
      </c>
      <c r="M774" s="560" t="e">
        <f>SUMIFS('[1]MAIN-101'!$Z$1:$Z$3000,'[1]MAIN-101'!$X$1:$X$3000,S774)</f>
        <v>#VALUE!</v>
      </c>
      <c r="N774" s="560"/>
      <c r="O774" s="560"/>
      <c r="S774">
        <f>VLOOKUP(C774,'Recon of ORS and DV'!$A$4:$B$358,2,FALSE)</f>
        <v>0</v>
      </c>
    </row>
    <row r="775" spans="1:19">
      <c r="A775" t="s">
        <v>2190</v>
      </c>
      <c r="B775" s="553">
        <v>44257</v>
      </c>
      <c r="C775" t="s">
        <v>1268</v>
      </c>
      <c r="D775" s="28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0">
        <v>83842.210000000006</v>
      </c>
      <c r="K775" s="560">
        <f t="shared" si="25"/>
        <v>1</v>
      </c>
      <c r="L775" s="560">
        <f t="shared" si="24"/>
        <v>1</v>
      </c>
      <c r="M775" s="560" t="e">
        <f>SUMIFS('[1]MAIN-101'!$Z$1:$Z$3000,'[1]MAIN-101'!$X$1:$X$3000,S775)</f>
        <v>#VALUE!</v>
      </c>
      <c r="N775" s="560"/>
      <c r="O775" s="560"/>
      <c r="S775" t="str">
        <f>VLOOKUP(C775,'Recon of ORS and DV'!$A$4:$B$358,2,FALSE)</f>
        <v>0313</v>
      </c>
    </row>
    <row r="776" spans="1:19">
      <c r="A776" t="s">
        <v>2191</v>
      </c>
      <c r="B776" s="553">
        <v>44257</v>
      </c>
      <c r="C776" t="s">
        <v>1269</v>
      </c>
      <c r="D776" s="28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0">
        <v>83842.210000000006</v>
      </c>
      <c r="K776" s="560">
        <f t="shared" si="25"/>
        <v>1</v>
      </c>
      <c r="L776" s="560">
        <f t="shared" si="24"/>
        <v>1</v>
      </c>
      <c r="M776" s="560" t="e">
        <f>SUMIFS('[1]MAIN-101'!$Z$1:$Z$3000,'[1]MAIN-101'!$X$1:$X$3000,S776)</f>
        <v>#VALUE!</v>
      </c>
      <c r="N776" s="560"/>
      <c r="O776" s="560"/>
      <c r="S776" t="str">
        <f>VLOOKUP(C776,'Recon of ORS and DV'!$A$4:$B$358,2,FALSE)</f>
        <v>0312</v>
      </c>
    </row>
    <row r="777" spans="1:19">
      <c r="B777" s="553">
        <v>44257</v>
      </c>
      <c r="C777" t="s">
        <v>1270</v>
      </c>
      <c r="D777" s="28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0">
        <v>23877</v>
      </c>
      <c r="K777" s="560">
        <f t="shared" si="25"/>
        <v>6</v>
      </c>
      <c r="L777" s="560">
        <f t="shared" si="24"/>
        <v>6</v>
      </c>
    </row>
    <row r="778" spans="1:19">
      <c r="B778" s="553">
        <v>44257</v>
      </c>
      <c r="C778" t="s">
        <v>1270</v>
      </c>
      <c r="D778" s="28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0">
        <v>2000</v>
      </c>
      <c r="K778" s="560">
        <f t="shared" si="25"/>
        <v>6</v>
      </c>
      <c r="L778" s="560">
        <f t="shared" si="24"/>
        <v>5</v>
      </c>
    </row>
    <row r="779" spans="1:19">
      <c r="B779" s="553">
        <v>44257</v>
      </c>
      <c r="C779" t="s">
        <v>1270</v>
      </c>
      <c r="D779" s="28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0">
        <v>2865.24</v>
      </c>
      <c r="K779" s="560">
        <f t="shared" si="25"/>
        <v>6</v>
      </c>
      <c r="L779" s="560">
        <f t="shared" si="24"/>
        <v>4</v>
      </c>
    </row>
    <row r="780" spans="1:19">
      <c r="B780" s="553">
        <v>44257</v>
      </c>
      <c r="C780" t="s">
        <v>1270</v>
      </c>
      <c r="D780" s="28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0">
        <v>100</v>
      </c>
      <c r="K780" s="560">
        <f t="shared" si="25"/>
        <v>6</v>
      </c>
      <c r="L780" s="560">
        <f t="shared" si="24"/>
        <v>3</v>
      </c>
    </row>
    <row r="781" spans="1:19">
      <c r="B781" s="553">
        <v>44257</v>
      </c>
      <c r="C781" t="s">
        <v>1270</v>
      </c>
      <c r="D781" s="28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0">
        <v>358.16</v>
      </c>
      <c r="K781" s="560">
        <f t="shared" si="25"/>
        <v>6</v>
      </c>
      <c r="L781" s="560">
        <f t="shared" si="24"/>
        <v>2</v>
      </c>
    </row>
    <row r="782" spans="1:19">
      <c r="A782" t="s">
        <v>2192</v>
      </c>
      <c r="B782" s="553">
        <v>44257</v>
      </c>
      <c r="C782" t="s">
        <v>1270</v>
      </c>
      <c r="D782" s="28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0">
        <v>100</v>
      </c>
      <c r="K782" s="560">
        <f t="shared" si="25"/>
        <v>6</v>
      </c>
      <c r="L782" s="560">
        <f t="shared" si="24"/>
        <v>1</v>
      </c>
      <c r="M782" s="560" t="e">
        <f>SUMIFS('[1]MAIN-101'!$Z$1:$Z$3000,'[1]MAIN-101'!$X$1:$X$3000,S782)</f>
        <v>#VALUE!</v>
      </c>
      <c r="N782" s="560"/>
      <c r="O782" s="560"/>
      <c r="S782" t="str">
        <f>VLOOKUP(C782,'Recon of ORS and DV'!$A$4:$B$358,2,FALSE)</f>
        <v>0311</v>
      </c>
    </row>
    <row r="783" spans="1:19">
      <c r="B783" s="553">
        <v>44257</v>
      </c>
      <c r="C783" t="s">
        <v>1271</v>
      </c>
      <c r="D783" s="28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0">
        <v>2170</v>
      </c>
      <c r="K783" s="560">
        <f t="shared" si="25"/>
        <v>2</v>
      </c>
      <c r="L783" s="560">
        <f t="shared" ref="L783:L846" si="26">COUNTIFS(C783:C2336,C783)</f>
        <v>2</v>
      </c>
    </row>
    <row r="784" spans="1:19">
      <c r="A784" t="s">
        <v>2193</v>
      </c>
      <c r="B784" s="553">
        <v>44257</v>
      </c>
      <c r="C784" t="s">
        <v>1271</v>
      </c>
      <c r="D784" s="28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0">
        <v>7000</v>
      </c>
      <c r="K784" s="560">
        <f t="shared" si="25"/>
        <v>2</v>
      </c>
      <c r="L784" s="560">
        <f t="shared" si="26"/>
        <v>1</v>
      </c>
      <c r="M784" s="560" t="e">
        <f>SUMIFS('[1]MAIN-101'!$Z$1:$Z$3000,'[1]MAIN-101'!$X$1:$X$3000,S784)</f>
        <v>#VALUE!</v>
      </c>
      <c r="N784" s="560"/>
      <c r="O784" s="560"/>
      <c r="S784" t="str">
        <f>VLOOKUP(C784,'Recon of ORS and DV'!$A$4:$B$358,2,FALSE)</f>
        <v>0310</v>
      </c>
    </row>
    <row r="785" spans="1:19">
      <c r="A785" t="s">
        <v>2194</v>
      </c>
      <c r="B785" s="553">
        <v>44257</v>
      </c>
      <c r="C785" t="s">
        <v>1274</v>
      </c>
      <c r="D785" s="28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0">
        <v>1200</v>
      </c>
      <c r="K785" s="560">
        <f t="shared" si="25"/>
        <v>1</v>
      </c>
      <c r="L785" s="560">
        <f t="shared" si="26"/>
        <v>1</v>
      </c>
      <c r="M785" s="560" t="e">
        <f>SUMIFS('[1]MAIN-101'!$Z$1:$Z$3000,'[1]MAIN-101'!$X$1:$X$3000,S785)</f>
        <v>#VALUE!</v>
      </c>
      <c r="N785" s="560"/>
      <c r="O785" s="560"/>
      <c r="S785" t="str">
        <f>VLOOKUP(C785,'Recon of ORS and DV'!$A$4:$B$358,2,FALSE)</f>
        <v>0314</v>
      </c>
    </row>
    <row r="786" spans="1:19">
      <c r="A786" t="s">
        <v>2195</v>
      </c>
      <c r="B786" s="553">
        <v>44257</v>
      </c>
      <c r="C786" t="s">
        <v>1277</v>
      </c>
      <c r="D786" s="28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0">
        <v>2404.7800000000002</v>
      </c>
      <c r="K786" s="560">
        <f t="shared" si="25"/>
        <v>1</v>
      </c>
      <c r="L786" s="560">
        <f t="shared" si="26"/>
        <v>1</v>
      </c>
      <c r="M786" s="560" t="e">
        <f>SUMIFS('[1]MAIN-101'!$Z$1:$Z$3000,'[1]MAIN-101'!$X$1:$X$3000,S786)</f>
        <v>#VALUE!</v>
      </c>
      <c r="N786" s="560"/>
      <c r="O786" s="560"/>
      <c r="S786" t="str">
        <f>VLOOKUP(C786,'Recon of ORS and DV'!$A$4:$B$358,2,FALSE)</f>
        <v>0315</v>
      </c>
    </row>
    <row r="787" spans="1:19">
      <c r="A787" t="s">
        <v>2196</v>
      </c>
      <c r="B787" s="553">
        <v>44257</v>
      </c>
      <c r="C787" t="s">
        <v>1278</v>
      </c>
      <c r="D787" s="28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0">
        <v>2800</v>
      </c>
      <c r="K787" s="560">
        <f t="shared" si="25"/>
        <v>1</v>
      </c>
      <c r="L787" s="560">
        <f t="shared" si="26"/>
        <v>1</v>
      </c>
      <c r="M787" s="560" t="e">
        <f>SUMIFS('[1]MAIN-101'!$Z$1:$Z$3000,'[1]MAIN-101'!$X$1:$X$3000,S787)</f>
        <v>#VALUE!</v>
      </c>
      <c r="N787" s="560"/>
      <c r="O787" s="560"/>
      <c r="S787" t="str">
        <f>VLOOKUP(C787,'Recon of ORS and DV'!$A$4:$B$358,2,FALSE)</f>
        <v>0457</v>
      </c>
    </row>
    <row r="788" spans="1:19">
      <c r="B788" s="553">
        <v>44257</v>
      </c>
      <c r="C788" t="s">
        <v>1279</v>
      </c>
      <c r="D788" s="28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0">
        <v>23877</v>
      </c>
      <c r="K788" s="560">
        <f t="shared" si="25"/>
        <v>6</v>
      </c>
      <c r="L788" s="560">
        <f t="shared" si="26"/>
        <v>6</v>
      </c>
    </row>
    <row r="789" spans="1:19">
      <c r="B789" s="553">
        <v>44257</v>
      </c>
      <c r="C789" t="s">
        <v>1279</v>
      </c>
      <c r="D789" s="28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0">
        <v>2000</v>
      </c>
      <c r="K789" s="560">
        <f t="shared" si="25"/>
        <v>6</v>
      </c>
      <c r="L789" s="560">
        <f t="shared" si="26"/>
        <v>5</v>
      </c>
    </row>
    <row r="790" spans="1:19">
      <c r="B790" s="553">
        <v>44257</v>
      </c>
      <c r="C790" t="s">
        <v>1279</v>
      </c>
      <c r="D790" s="28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0">
        <v>2865.24</v>
      </c>
      <c r="K790" s="560">
        <f t="shared" si="25"/>
        <v>6</v>
      </c>
      <c r="L790" s="560">
        <f t="shared" si="26"/>
        <v>4</v>
      </c>
    </row>
    <row r="791" spans="1:19">
      <c r="B791" s="553">
        <v>44257</v>
      </c>
      <c r="C791" t="s">
        <v>1279</v>
      </c>
      <c r="D791" s="28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0">
        <v>100</v>
      </c>
      <c r="K791" s="560">
        <f t="shared" si="25"/>
        <v>6</v>
      </c>
      <c r="L791" s="560">
        <f t="shared" si="26"/>
        <v>3</v>
      </c>
    </row>
    <row r="792" spans="1:19">
      <c r="B792" s="553">
        <v>44257</v>
      </c>
      <c r="C792" t="s">
        <v>1279</v>
      </c>
      <c r="D792" s="28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0">
        <v>358.16</v>
      </c>
      <c r="K792" s="560">
        <f t="shared" si="25"/>
        <v>6</v>
      </c>
      <c r="L792" s="560">
        <f t="shared" si="26"/>
        <v>2</v>
      </c>
    </row>
    <row r="793" spans="1:19">
      <c r="A793" t="s">
        <v>2197</v>
      </c>
      <c r="B793" s="553">
        <v>44257</v>
      </c>
      <c r="C793" t="s">
        <v>1279</v>
      </c>
      <c r="D793" s="28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0">
        <v>100</v>
      </c>
      <c r="K793" s="560">
        <f t="shared" si="25"/>
        <v>6</v>
      </c>
      <c r="L793" s="560">
        <f t="shared" si="26"/>
        <v>1</v>
      </c>
      <c r="M793" s="560" t="e">
        <f>SUMIFS('[1]MAIN-101'!$Z$1:$Z$3000,'[1]MAIN-101'!$X$1:$X$3000,S793)</f>
        <v>#VALUE!</v>
      </c>
      <c r="N793" s="560"/>
      <c r="O793" s="560"/>
      <c r="S793" t="str">
        <f>VLOOKUP(C793,'Recon of ORS and DV'!$A$4:$B$358,2,FALSE)</f>
        <v>0308</v>
      </c>
    </row>
    <row r="794" spans="1:19">
      <c r="B794" s="553">
        <v>44257</v>
      </c>
      <c r="C794" t="s">
        <v>1280</v>
      </c>
      <c r="D794" s="28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0">
        <v>23877</v>
      </c>
      <c r="K794" s="560">
        <f t="shared" si="25"/>
        <v>6</v>
      </c>
      <c r="L794" s="560">
        <f t="shared" si="26"/>
        <v>6</v>
      </c>
    </row>
    <row r="795" spans="1:19">
      <c r="B795" s="553">
        <v>44257</v>
      </c>
      <c r="C795" t="s">
        <v>1280</v>
      </c>
      <c r="D795" s="28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0">
        <v>2000</v>
      </c>
      <c r="K795" s="560">
        <f t="shared" si="25"/>
        <v>6</v>
      </c>
      <c r="L795" s="560">
        <f t="shared" si="26"/>
        <v>5</v>
      </c>
    </row>
    <row r="796" spans="1:19">
      <c r="B796" s="553">
        <v>44257</v>
      </c>
      <c r="C796" t="s">
        <v>1280</v>
      </c>
      <c r="D796" s="28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0">
        <v>2865.24</v>
      </c>
      <c r="K796" s="560">
        <f t="shared" si="25"/>
        <v>6</v>
      </c>
      <c r="L796" s="560">
        <f t="shared" si="26"/>
        <v>4</v>
      </c>
    </row>
    <row r="797" spans="1:19">
      <c r="B797" s="553">
        <v>44257</v>
      </c>
      <c r="C797" t="s">
        <v>1280</v>
      </c>
      <c r="D797" s="28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0">
        <v>100</v>
      </c>
      <c r="K797" s="560">
        <f t="shared" si="25"/>
        <v>6</v>
      </c>
      <c r="L797" s="560">
        <f t="shared" si="26"/>
        <v>3</v>
      </c>
    </row>
    <row r="798" spans="1:19">
      <c r="B798" s="553">
        <v>44257</v>
      </c>
      <c r="C798" t="s">
        <v>1280</v>
      </c>
      <c r="D798" s="28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0">
        <v>358.16</v>
      </c>
      <c r="K798" s="560">
        <f t="shared" si="25"/>
        <v>6</v>
      </c>
      <c r="L798" s="560">
        <f t="shared" si="26"/>
        <v>2</v>
      </c>
    </row>
    <row r="799" spans="1:19">
      <c r="A799" t="s">
        <v>2198</v>
      </c>
      <c r="B799" s="553">
        <v>44257</v>
      </c>
      <c r="C799" t="s">
        <v>1280</v>
      </c>
      <c r="D799" s="28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0">
        <v>100</v>
      </c>
      <c r="K799" s="560">
        <f t="shared" si="25"/>
        <v>6</v>
      </c>
      <c r="L799" s="560">
        <f t="shared" si="26"/>
        <v>1</v>
      </c>
      <c r="M799" s="560" t="e">
        <f>SUMIFS('[1]MAIN-101'!$Z$1:$Z$3000,'[1]MAIN-101'!$X$1:$X$3000,S799)</f>
        <v>#VALUE!</v>
      </c>
      <c r="N799" s="560"/>
      <c r="O799" s="560"/>
      <c r="S799" t="str">
        <f>VLOOKUP(C799,'Recon of ORS and DV'!$A$4:$B$358,2,FALSE)</f>
        <v>0309</v>
      </c>
    </row>
    <row r="800" spans="1:19">
      <c r="A800" t="s">
        <v>2199</v>
      </c>
      <c r="B800" s="553">
        <v>44257</v>
      </c>
      <c r="C800" t="s">
        <v>1281</v>
      </c>
      <c r="D800" s="28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0">
        <v>11000</v>
      </c>
      <c r="K800" s="560">
        <f t="shared" si="25"/>
        <v>1</v>
      </c>
      <c r="L800" s="560">
        <f t="shared" si="26"/>
        <v>1</v>
      </c>
      <c r="M800" s="560" t="e">
        <f>SUMIFS('[1]MAIN-101'!$Z$1:$Z$3000,'[1]MAIN-101'!$X$1:$X$3000,S800)</f>
        <v>#VALUE!</v>
      </c>
      <c r="N800" s="560"/>
      <c r="O800" s="560"/>
      <c r="S800" t="str">
        <f>VLOOKUP(C800,'Recon of ORS and DV'!$A$4:$B$358,2,FALSE)</f>
        <v>0316</v>
      </c>
    </row>
    <row r="801" spans="1:19">
      <c r="A801" t="s">
        <v>2200</v>
      </c>
      <c r="B801" s="553">
        <v>44257</v>
      </c>
      <c r="C801" t="s">
        <v>1282</v>
      </c>
      <c r="D801" s="28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0">
        <v>2500</v>
      </c>
      <c r="K801" s="560">
        <f t="shared" si="25"/>
        <v>1</v>
      </c>
      <c r="L801" s="560">
        <f t="shared" si="26"/>
        <v>1</v>
      </c>
      <c r="M801" s="560" t="e">
        <f>SUMIFS('[1]MAIN-101'!$Z$1:$Z$3000,'[1]MAIN-101'!$X$1:$X$3000,S801)</f>
        <v>#VALUE!</v>
      </c>
      <c r="N801" s="560"/>
      <c r="O801" s="560"/>
      <c r="S801" t="str">
        <f>VLOOKUP(C801,'Recon of ORS and DV'!$A$4:$B$358,2,FALSE)</f>
        <v>0317</v>
      </c>
    </row>
    <row r="802" spans="1:19">
      <c r="B802" s="553">
        <v>44257</v>
      </c>
      <c r="C802" t="s">
        <v>1284</v>
      </c>
      <c r="D802" s="28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0">
        <v>1338.5</v>
      </c>
      <c r="K802" s="560">
        <f t="shared" si="25"/>
        <v>4</v>
      </c>
      <c r="L802" s="560">
        <f t="shared" si="26"/>
        <v>4</v>
      </c>
    </row>
    <row r="803" spans="1:19">
      <c r="B803" s="553">
        <v>44257</v>
      </c>
      <c r="C803" t="s">
        <v>1284</v>
      </c>
      <c r="D803" s="28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0">
        <v>1865</v>
      </c>
      <c r="K803" s="560">
        <f t="shared" si="25"/>
        <v>4</v>
      </c>
      <c r="L803" s="560">
        <f t="shared" si="26"/>
        <v>3</v>
      </c>
    </row>
    <row r="804" spans="1:19">
      <c r="B804" s="553">
        <v>44257</v>
      </c>
      <c r="C804" t="s">
        <v>1284</v>
      </c>
      <c r="D804" s="28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0">
        <v>900</v>
      </c>
      <c r="K804" s="560">
        <f t="shared" si="25"/>
        <v>4</v>
      </c>
      <c r="L804" s="560">
        <f t="shared" si="26"/>
        <v>2</v>
      </c>
    </row>
    <row r="805" spans="1:19">
      <c r="A805" t="s">
        <v>2201</v>
      </c>
      <c r="B805" s="553">
        <v>44257</v>
      </c>
      <c r="C805" t="s">
        <v>1284</v>
      </c>
      <c r="D805" s="28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0">
        <v>120</v>
      </c>
      <c r="K805" s="560">
        <f t="shared" si="25"/>
        <v>4</v>
      </c>
      <c r="L805" s="560">
        <f t="shared" si="26"/>
        <v>1</v>
      </c>
      <c r="M805" s="560" t="e">
        <f>SUMIFS('[1]MAIN-101'!$Z$1:$Z$3000,'[1]MAIN-101'!$X$1:$X$3000,S805)</f>
        <v>#VALUE!</v>
      </c>
      <c r="N805" s="560"/>
      <c r="O805" s="560"/>
      <c r="S805" t="str">
        <f>VLOOKUP(C805,'Recon of ORS and DV'!$A$4:$B$358,2,FALSE)</f>
        <v>0318</v>
      </c>
    </row>
    <row r="806" spans="1:19">
      <c r="A806" t="s">
        <v>2202</v>
      </c>
      <c r="B806" s="553">
        <v>44257</v>
      </c>
      <c r="C806" t="s">
        <v>1286</v>
      </c>
      <c r="D806" s="28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0">
        <v>10000</v>
      </c>
      <c r="K806" s="560">
        <f t="shared" si="25"/>
        <v>1</v>
      </c>
      <c r="L806" s="560">
        <f t="shared" si="26"/>
        <v>1</v>
      </c>
      <c r="M806" s="560" t="e">
        <f>SUMIFS('[1]MAIN-101'!$Z$1:$Z$3000,'[1]MAIN-101'!$X$1:$X$3000,S806)</f>
        <v>#VALUE!</v>
      </c>
      <c r="N806" s="560"/>
      <c r="O806" s="560"/>
      <c r="S806" t="str">
        <f>VLOOKUP(C806,'Recon of ORS and DV'!$A$4:$B$358,2,FALSE)</f>
        <v>0325</v>
      </c>
    </row>
    <row r="807" spans="1:19">
      <c r="B807" s="553">
        <v>44257</v>
      </c>
      <c r="C807" t="s">
        <v>1287</v>
      </c>
      <c r="D807" s="28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0">
        <v>5534</v>
      </c>
      <c r="K807" s="560">
        <f t="shared" si="25"/>
        <v>3</v>
      </c>
      <c r="L807" s="560">
        <f t="shared" si="26"/>
        <v>3</v>
      </c>
    </row>
    <row r="808" spans="1:19">
      <c r="B808" s="553">
        <v>44257</v>
      </c>
      <c r="C808" t="s">
        <v>1287</v>
      </c>
      <c r="D808" s="28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0">
        <v>16692</v>
      </c>
      <c r="K808" s="560">
        <f t="shared" si="25"/>
        <v>3</v>
      </c>
      <c r="L808" s="560">
        <f t="shared" si="26"/>
        <v>2</v>
      </c>
    </row>
    <row r="809" spans="1:19">
      <c r="A809" t="s">
        <v>2203</v>
      </c>
      <c r="B809" s="553">
        <v>44257</v>
      </c>
      <c r="C809" t="s">
        <v>1287</v>
      </c>
      <c r="D809" s="28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0">
        <v>5534</v>
      </c>
      <c r="K809" s="560">
        <f t="shared" si="25"/>
        <v>3</v>
      </c>
      <c r="L809" s="560">
        <f t="shared" si="26"/>
        <v>1</v>
      </c>
      <c r="M809" s="560" t="e">
        <f>SUMIFS('[1]MAIN-101'!$Z$1:$Z$3000,'[1]MAIN-101'!$X$1:$X$3000,S809)</f>
        <v>#VALUE!</v>
      </c>
      <c r="N809" s="560"/>
      <c r="O809" s="560"/>
      <c r="S809" t="str">
        <f>VLOOKUP(C809,'Recon of ORS and DV'!$A$4:$B$358,2,FALSE)</f>
        <v>0326</v>
      </c>
    </row>
    <row r="810" spans="1:19">
      <c r="A810" t="s">
        <v>2204</v>
      </c>
      <c r="B810" s="553">
        <v>44257</v>
      </c>
      <c r="C810" t="s">
        <v>1289</v>
      </c>
      <c r="D810" s="28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0">
        <v>16332.5</v>
      </c>
      <c r="K810" s="560">
        <f t="shared" si="25"/>
        <v>1</v>
      </c>
      <c r="L810" s="560">
        <f t="shared" si="26"/>
        <v>1</v>
      </c>
      <c r="M810" s="560" t="e">
        <f>SUMIFS('[1]MAIN-101'!$Z$1:$Z$3000,'[1]MAIN-101'!$X$1:$X$3000,S810)</f>
        <v>#VALUE!</v>
      </c>
      <c r="N810" s="560"/>
      <c r="O810" s="560"/>
      <c r="S810" t="str">
        <f>VLOOKUP(C810,'Recon of ORS and DV'!$A$4:$B$358,2,FALSE)</f>
        <v>0327</v>
      </c>
    </row>
    <row r="811" spans="1:19">
      <c r="B811" s="553">
        <v>44257</v>
      </c>
      <c r="C811" t="s">
        <v>1292</v>
      </c>
      <c r="D811" s="28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0">
        <v>11158</v>
      </c>
      <c r="K811" s="560">
        <f t="shared" si="25"/>
        <v>2</v>
      </c>
      <c r="L811" s="560">
        <f t="shared" si="26"/>
        <v>2</v>
      </c>
    </row>
    <row r="812" spans="1:19">
      <c r="A812" t="s">
        <v>2205</v>
      </c>
      <c r="B812" s="553">
        <v>44257</v>
      </c>
      <c r="C812" t="s">
        <v>1292</v>
      </c>
      <c r="D812" s="28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0">
        <v>11158</v>
      </c>
      <c r="K812" s="560">
        <f t="shared" si="25"/>
        <v>2</v>
      </c>
      <c r="L812" s="560">
        <f t="shared" si="26"/>
        <v>1</v>
      </c>
      <c r="M812" s="560" t="e">
        <f>SUMIFS('[1]MAIN-101'!$Z$1:$Z$3000,'[1]MAIN-101'!$X$1:$X$3000,S812)</f>
        <v>#VALUE!</v>
      </c>
      <c r="N812" s="560"/>
      <c r="O812" s="560"/>
      <c r="S812" t="str">
        <f>VLOOKUP(C812,'Recon of ORS and DV'!$A$4:$B$358,2,FALSE)</f>
        <v>0328</v>
      </c>
    </row>
    <row r="813" spans="1:19">
      <c r="A813" t="s">
        <v>2206</v>
      </c>
      <c r="B813" s="553">
        <v>44257</v>
      </c>
      <c r="C813" t="s">
        <v>1293</v>
      </c>
      <c r="D813" s="28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0">
        <v>13034</v>
      </c>
      <c r="K813" s="560">
        <f t="shared" si="25"/>
        <v>1</v>
      </c>
      <c r="L813" s="560">
        <f t="shared" si="26"/>
        <v>1</v>
      </c>
      <c r="M813" s="560" t="e">
        <f>SUMIFS('[1]MAIN-101'!$Z$1:$Z$3000,'[1]MAIN-101'!$X$1:$X$3000,S813)</f>
        <v>#VALUE!</v>
      </c>
      <c r="N813" s="560"/>
      <c r="O813" s="560"/>
      <c r="S813" t="str">
        <f>VLOOKUP(C813,'Recon of ORS and DV'!$A$4:$B$358,2,FALSE)</f>
        <v>0329</v>
      </c>
    </row>
    <row r="814" spans="1:19">
      <c r="B814" s="553">
        <v>44257</v>
      </c>
      <c r="C814" t="s">
        <v>1294</v>
      </c>
      <c r="D814" s="28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0">
        <v>45000</v>
      </c>
      <c r="K814" s="560">
        <f t="shared" si="25"/>
        <v>8</v>
      </c>
      <c r="L814" s="560">
        <f t="shared" si="26"/>
        <v>8</v>
      </c>
    </row>
    <row r="815" spans="1:19">
      <c r="B815" s="553">
        <v>44257</v>
      </c>
      <c r="C815" t="s">
        <v>1294</v>
      </c>
      <c r="D815" s="28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0">
        <v>45000</v>
      </c>
      <c r="K815" s="560">
        <f t="shared" si="25"/>
        <v>8</v>
      </c>
      <c r="L815" s="560">
        <f t="shared" si="26"/>
        <v>7</v>
      </c>
    </row>
    <row r="816" spans="1:19">
      <c r="B816" s="553">
        <v>44257</v>
      </c>
      <c r="C816" t="s">
        <v>1294</v>
      </c>
      <c r="D816" s="28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0">
        <v>15000</v>
      </c>
      <c r="K816" s="560">
        <f t="shared" si="25"/>
        <v>8</v>
      </c>
      <c r="L816" s="560">
        <f t="shared" si="26"/>
        <v>6</v>
      </c>
    </row>
    <row r="817" spans="1:19">
      <c r="B817" s="553">
        <v>44257</v>
      </c>
      <c r="C817" t="s">
        <v>1294</v>
      </c>
      <c r="D817" s="28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0">
        <v>15000</v>
      </c>
      <c r="K817" s="560">
        <f t="shared" si="25"/>
        <v>8</v>
      </c>
      <c r="L817" s="560">
        <f t="shared" si="26"/>
        <v>5</v>
      </c>
    </row>
    <row r="818" spans="1:19">
      <c r="B818" s="553">
        <v>44257</v>
      </c>
      <c r="C818" t="s">
        <v>1294</v>
      </c>
      <c r="D818" s="28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0">
        <v>5000</v>
      </c>
      <c r="K818" s="560">
        <f t="shared" si="25"/>
        <v>8</v>
      </c>
      <c r="L818" s="560">
        <f t="shared" si="26"/>
        <v>4</v>
      </c>
    </row>
    <row r="819" spans="1:19">
      <c r="B819" s="553">
        <v>44257</v>
      </c>
      <c r="C819" t="s">
        <v>1294</v>
      </c>
      <c r="D819" s="28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0">
        <v>5000</v>
      </c>
      <c r="K819" s="560">
        <f t="shared" si="25"/>
        <v>8</v>
      </c>
      <c r="L819" s="560">
        <f t="shared" si="26"/>
        <v>3</v>
      </c>
    </row>
    <row r="820" spans="1:19">
      <c r="B820" s="553">
        <v>44257</v>
      </c>
      <c r="C820" t="s">
        <v>1294</v>
      </c>
      <c r="D820" s="28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0">
        <v>10000</v>
      </c>
      <c r="K820" s="560">
        <f t="shared" si="25"/>
        <v>8</v>
      </c>
      <c r="L820" s="560">
        <f t="shared" si="26"/>
        <v>2</v>
      </c>
    </row>
    <row r="821" spans="1:19">
      <c r="A821" t="s">
        <v>2207</v>
      </c>
      <c r="B821" s="553">
        <v>44257</v>
      </c>
      <c r="C821" t="s">
        <v>1294</v>
      </c>
      <c r="D821" s="28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0">
        <v>10000</v>
      </c>
      <c r="K821" s="560">
        <f t="shared" si="25"/>
        <v>8</v>
      </c>
      <c r="L821" s="560">
        <f t="shared" si="26"/>
        <v>1</v>
      </c>
      <c r="M821" s="560" t="e">
        <f>SUMIFS('[1]MAIN-101'!$Z$1:$Z$3000,'[1]MAIN-101'!$X$1:$X$3000,S821)</f>
        <v>#VALUE!</v>
      </c>
      <c r="N821" s="560"/>
      <c r="O821" s="560"/>
      <c r="S821" t="str">
        <f>VLOOKUP(C821,'Recon of ORS and DV'!$A$4:$B$358,2,FALSE)</f>
        <v>0330</v>
      </c>
    </row>
    <row r="822" spans="1:19">
      <c r="A822" t="s">
        <v>2208</v>
      </c>
      <c r="B822" s="553">
        <v>44257</v>
      </c>
      <c r="C822" t="s">
        <v>1296</v>
      </c>
      <c r="D822" s="28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0">
        <v>64106</v>
      </c>
      <c r="K822" s="560">
        <f t="shared" si="25"/>
        <v>1</v>
      </c>
      <c r="L822" s="560">
        <f t="shared" si="26"/>
        <v>1</v>
      </c>
      <c r="M822" s="560" t="e">
        <f>SUMIFS('[1]MAIN-101'!$Z$1:$Z$3000,'[1]MAIN-101'!$X$1:$X$3000,S822)</f>
        <v>#VALUE!</v>
      </c>
      <c r="N822" s="560"/>
      <c r="O822" s="560"/>
      <c r="S822" t="str">
        <f>VLOOKUP(C822,'Recon of ORS and DV'!$A$4:$B$358,2,FALSE)</f>
        <v>0323</v>
      </c>
    </row>
    <row r="823" spans="1:19">
      <c r="A823" t="s">
        <v>2209</v>
      </c>
      <c r="B823" s="553">
        <v>44257</v>
      </c>
      <c r="C823" t="s">
        <v>1299</v>
      </c>
      <c r="D823" s="28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0">
        <v>16332.5</v>
      </c>
      <c r="K823" s="560">
        <f t="shared" si="25"/>
        <v>1</v>
      </c>
      <c r="L823" s="560">
        <f t="shared" si="26"/>
        <v>1</v>
      </c>
      <c r="M823" s="560" t="e">
        <f>SUMIFS('[1]MAIN-101'!$Z$1:$Z$3000,'[1]MAIN-101'!$X$1:$X$3000,S823)</f>
        <v>#VALUE!</v>
      </c>
      <c r="N823" s="560"/>
      <c r="O823" s="560"/>
      <c r="S823" t="str">
        <f>VLOOKUP(C823,'Recon of ORS and DV'!$A$4:$B$358,2,FALSE)</f>
        <v>0331</v>
      </c>
    </row>
    <row r="824" spans="1:19">
      <c r="A824" t="s">
        <v>2210</v>
      </c>
      <c r="B824" s="553">
        <v>44257</v>
      </c>
      <c r="C824" t="s">
        <v>1302</v>
      </c>
      <c r="D824" s="28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0">
        <v>9900</v>
      </c>
      <c r="K824" s="560">
        <f t="shared" si="25"/>
        <v>1</v>
      </c>
      <c r="L824" s="560">
        <f t="shared" si="26"/>
        <v>1</v>
      </c>
      <c r="M824" s="560" t="e">
        <f>SUMIFS('[1]MAIN-101'!$Z$1:$Z$3000,'[1]MAIN-101'!$X$1:$X$3000,S824)</f>
        <v>#VALUE!</v>
      </c>
      <c r="N824" s="560"/>
      <c r="O824" s="560"/>
      <c r="S824" t="str">
        <f>VLOOKUP(C824,'Recon of ORS and DV'!$A$4:$B$358,2,FALSE)</f>
        <v>0343</v>
      </c>
    </row>
    <row r="825" spans="1:19">
      <c r="A825" t="s">
        <v>2211</v>
      </c>
      <c r="B825" s="553">
        <v>44257</v>
      </c>
      <c r="C825" t="s">
        <v>1305</v>
      </c>
      <c r="D825" s="28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0">
        <v>6617.76</v>
      </c>
      <c r="K825" s="560">
        <f t="shared" si="25"/>
        <v>1</v>
      </c>
      <c r="L825" s="560">
        <f t="shared" si="26"/>
        <v>1</v>
      </c>
      <c r="M825" s="560" t="e">
        <f>SUMIFS('[1]MAIN-101'!$Z$1:$Z$3000,'[1]MAIN-101'!$X$1:$X$3000,S825)</f>
        <v>#VALUE!</v>
      </c>
      <c r="N825" s="560"/>
      <c r="O825" s="560"/>
      <c r="S825" t="str">
        <f>VLOOKUP(C825,'Recon of ORS and DV'!$A$4:$B$358,2,FALSE)</f>
        <v>0332</v>
      </c>
    </row>
    <row r="826" spans="1:19">
      <c r="A826" t="s">
        <v>2212</v>
      </c>
      <c r="B826" s="553">
        <v>44257</v>
      </c>
      <c r="C826" t="s">
        <v>1306</v>
      </c>
      <c r="D826" s="28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0">
        <v>2179.06</v>
      </c>
      <c r="K826" s="560">
        <f t="shared" si="25"/>
        <v>1</v>
      </c>
      <c r="L826" s="560">
        <f t="shared" si="26"/>
        <v>1</v>
      </c>
      <c r="M826" s="560" t="e">
        <f>SUMIFS('[1]MAIN-101'!$Z$1:$Z$3000,'[1]MAIN-101'!$X$1:$X$3000,S826)</f>
        <v>#VALUE!</v>
      </c>
      <c r="N826" s="560"/>
      <c r="O826" s="560"/>
      <c r="S826" t="str">
        <f>VLOOKUP(C826,'Recon of ORS and DV'!$A$4:$B$358,2,FALSE)</f>
        <v>0333</v>
      </c>
    </row>
    <row r="827" spans="1:19">
      <c r="A827" t="s">
        <v>2213</v>
      </c>
      <c r="B827" s="553">
        <v>44257</v>
      </c>
      <c r="C827" t="s">
        <v>1310</v>
      </c>
      <c r="D827" s="28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0">
        <v>3075</v>
      </c>
      <c r="K827" s="560">
        <f t="shared" si="25"/>
        <v>1</v>
      </c>
      <c r="L827" s="560">
        <f t="shared" si="26"/>
        <v>1</v>
      </c>
      <c r="M827" s="560" t="e">
        <f>SUMIFS('[1]MAIN-101'!$Z$1:$Z$3000,'[1]MAIN-101'!$X$1:$X$3000,S827)</f>
        <v>#VALUE!</v>
      </c>
      <c r="N827" s="560"/>
      <c r="O827" s="560"/>
      <c r="S827" t="str">
        <f>VLOOKUP(C827,'Recon of ORS and DV'!$A$4:$B$358,2,FALSE)</f>
        <v>0334</v>
      </c>
    </row>
    <row r="828" spans="1:19">
      <c r="A828" t="s">
        <v>2214</v>
      </c>
      <c r="B828" s="553">
        <v>44257</v>
      </c>
      <c r="C828" t="s">
        <v>1312</v>
      </c>
      <c r="D828" s="28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0">
        <v>3048</v>
      </c>
      <c r="K828" s="560">
        <f t="shared" si="25"/>
        <v>1</v>
      </c>
      <c r="L828" s="560">
        <f t="shared" si="26"/>
        <v>1</v>
      </c>
      <c r="M828" s="560" t="e">
        <f>SUMIFS('[1]MAIN-101'!$Z$1:$Z$3000,'[1]MAIN-101'!$X$1:$X$3000,S828)</f>
        <v>#VALUE!</v>
      </c>
      <c r="N828" s="560"/>
      <c r="O828" s="560"/>
      <c r="S828" t="str">
        <f>VLOOKUP(C828,'Recon of ORS and DV'!$A$4:$B$358,2,FALSE)</f>
        <v>0335</v>
      </c>
    </row>
    <row r="829" spans="1:19">
      <c r="B829" s="553">
        <v>44257</v>
      </c>
      <c r="C829" t="s">
        <v>1314</v>
      </c>
      <c r="D829" s="28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0">
        <v>0</v>
      </c>
      <c r="K829" s="560">
        <f t="shared" si="25"/>
        <v>2</v>
      </c>
      <c r="L829" s="560">
        <f t="shared" si="26"/>
        <v>2</v>
      </c>
    </row>
    <row r="830" spans="1:19">
      <c r="A830">
        <v>0</v>
      </c>
      <c r="B830" s="553">
        <v>44257</v>
      </c>
      <c r="C830" t="s">
        <v>1314</v>
      </c>
      <c r="D830" s="28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0">
        <v>0</v>
      </c>
      <c r="K830" s="560">
        <f t="shared" si="25"/>
        <v>2</v>
      </c>
      <c r="L830" s="560">
        <f t="shared" si="26"/>
        <v>1</v>
      </c>
      <c r="M830" s="560" t="e">
        <f>SUMIFS('[1]MAIN-101'!$Z$1:$Z$3000,'[1]MAIN-101'!$X$1:$X$3000,S830)</f>
        <v>#VALUE!</v>
      </c>
      <c r="N830" s="560"/>
      <c r="O830" s="560"/>
      <c r="S830">
        <f>VLOOKUP(C830,'Recon of ORS and DV'!$A$4:$B$358,2,FALSE)</f>
        <v>0</v>
      </c>
    </row>
    <row r="831" spans="1:19">
      <c r="A831" t="s">
        <v>2215</v>
      </c>
      <c r="B831" s="553">
        <v>44257</v>
      </c>
      <c r="C831" t="s">
        <v>1317</v>
      </c>
      <c r="D831" s="28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0">
        <v>1080</v>
      </c>
      <c r="K831" s="560">
        <f t="shared" si="25"/>
        <v>1</v>
      </c>
      <c r="L831" s="560">
        <f t="shared" si="26"/>
        <v>1</v>
      </c>
      <c r="M831" s="560" t="e">
        <f>SUMIFS('[1]MAIN-101'!$Z$1:$Z$3000,'[1]MAIN-101'!$X$1:$X$3000,S831)</f>
        <v>#VALUE!</v>
      </c>
      <c r="N831" s="560"/>
      <c r="O831" s="560"/>
      <c r="S831" t="str">
        <f>VLOOKUP(C831,'Recon of ORS and DV'!$A$4:$B$358,2,FALSE)</f>
        <v>0336</v>
      </c>
    </row>
    <row r="832" spans="1:19">
      <c r="A832" t="s">
        <v>2216</v>
      </c>
      <c r="B832" s="553">
        <v>44257</v>
      </c>
      <c r="C832" t="s">
        <v>1319</v>
      </c>
      <c r="D832" s="28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0">
        <v>8800</v>
      </c>
      <c r="K832" s="560">
        <f t="shared" si="25"/>
        <v>1</v>
      </c>
      <c r="L832" s="560">
        <f t="shared" si="26"/>
        <v>1</v>
      </c>
      <c r="M832" s="560" t="e">
        <f>SUMIFS('[1]MAIN-101'!$Z$1:$Z$3000,'[1]MAIN-101'!$X$1:$X$3000,S832)</f>
        <v>#VALUE!</v>
      </c>
      <c r="N832" s="560"/>
      <c r="O832" s="560"/>
      <c r="S832" t="str">
        <f>VLOOKUP(C832,'Recon of ORS and DV'!$A$4:$B$358,2,FALSE)</f>
        <v>0337</v>
      </c>
    </row>
    <row r="833" spans="1:19">
      <c r="B833" s="553">
        <v>44257</v>
      </c>
      <c r="C833" t="s">
        <v>1321</v>
      </c>
      <c r="D833" s="28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0">
        <v>15000</v>
      </c>
      <c r="K833" s="560">
        <f t="shared" si="25"/>
        <v>2</v>
      </c>
      <c r="L833" s="560">
        <f t="shared" si="26"/>
        <v>2</v>
      </c>
    </row>
    <row r="834" spans="1:19">
      <c r="A834" t="s">
        <v>2217</v>
      </c>
      <c r="B834" s="553">
        <v>44257</v>
      </c>
      <c r="C834" t="s">
        <v>1321</v>
      </c>
      <c r="D834" s="28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0">
        <v>14318.18</v>
      </c>
      <c r="K834" s="560">
        <f t="shared" si="25"/>
        <v>2</v>
      </c>
      <c r="L834" s="560">
        <f t="shared" si="26"/>
        <v>1</v>
      </c>
      <c r="M834" s="560" t="e">
        <f>SUMIFS('[1]MAIN-101'!$Z$1:$Z$3000,'[1]MAIN-101'!$X$1:$X$3000,S834)</f>
        <v>#VALUE!</v>
      </c>
      <c r="N834" s="560"/>
      <c r="O834" s="560"/>
      <c r="S834" t="str">
        <f>VLOOKUP(C834,'Recon of ORS and DV'!$A$4:$B$358,2,FALSE)</f>
        <v>0338</v>
      </c>
    </row>
    <row r="835" spans="1:19">
      <c r="A835" t="s">
        <v>2218</v>
      </c>
      <c r="B835" s="553">
        <v>44257</v>
      </c>
      <c r="C835" t="s">
        <v>1322</v>
      </c>
      <c r="D835" s="28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0">
        <v>9565</v>
      </c>
      <c r="K835" s="560">
        <f t="shared" si="25"/>
        <v>1</v>
      </c>
      <c r="L835" s="560">
        <f t="shared" si="26"/>
        <v>1</v>
      </c>
      <c r="M835" s="560" t="e">
        <f>SUMIFS('[1]MAIN-101'!$Z$1:$Z$3000,'[1]MAIN-101'!$X$1:$X$3000,S835)</f>
        <v>#VALUE!</v>
      </c>
      <c r="N835" s="560"/>
      <c r="O835" s="560"/>
      <c r="S835" t="str">
        <f>VLOOKUP(C835,'Recon of ORS and DV'!$A$4:$B$358,2,FALSE)</f>
        <v>0339</v>
      </c>
    </row>
    <row r="836" spans="1:19">
      <c r="A836" t="s">
        <v>2219</v>
      </c>
      <c r="B836" s="553">
        <v>44257</v>
      </c>
      <c r="C836" t="s">
        <v>1324</v>
      </c>
      <c r="D836" s="28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0">
        <v>1560</v>
      </c>
      <c r="K836" s="560">
        <f t="shared" ref="K836:K899" si="27">COUNTIFS($C$3:$C$1556,C836)</f>
        <v>1</v>
      </c>
      <c r="L836" s="560">
        <f t="shared" si="26"/>
        <v>1</v>
      </c>
      <c r="M836" s="560" t="e">
        <f>SUMIFS('[1]MAIN-101'!$Z$1:$Z$3000,'[1]MAIN-101'!$X$1:$X$3000,S836)</f>
        <v>#VALUE!</v>
      </c>
      <c r="N836" s="560"/>
      <c r="O836" s="560"/>
      <c r="S836" t="str">
        <f>VLOOKUP(C836,'Recon of ORS and DV'!$A$4:$B$358,2,FALSE)</f>
        <v>0340</v>
      </c>
    </row>
    <row r="837" spans="1:19">
      <c r="A837" t="s">
        <v>2220</v>
      </c>
      <c r="B837" s="553">
        <v>44257</v>
      </c>
      <c r="C837" t="s">
        <v>1326</v>
      </c>
      <c r="D837" s="28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0">
        <v>17820</v>
      </c>
      <c r="K837" s="560">
        <f t="shared" si="27"/>
        <v>1</v>
      </c>
      <c r="L837" s="560">
        <f t="shared" si="26"/>
        <v>1</v>
      </c>
      <c r="M837" s="560" t="e">
        <f>SUMIFS('[1]MAIN-101'!$Z$1:$Z$3000,'[1]MAIN-101'!$X$1:$X$3000,S837)</f>
        <v>#VALUE!</v>
      </c>
      <c r="N837" s="560"/>
      <c r="O837" s="560"/>
      <c r="S837" t="str">
        <f>VLOOKUP(C837,'Recon of ORS and DV'!$A$4:$B$358,2,FALSE)</f>
        <v>0341</v>
      </c>
    </row>
    <row r="838" spans="1:19">
      <c r="A838" t="s">
        <v>2221</v>
      </c>
      <c r="B838" s="553">
        <v>44257</v>
      </c>
      <c r="C838" t="s">
        <v>1328</v>
      </c>
      <c r="D838" s="28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0">
        <v>11547.23</v>
      </c>
      <c r="K838" s="560">
        <f t="shared" si="27"/>
        <v>1</v>
      </c>
      <c r="L838" s="560">
        <f t="shared" si="26"/>
        <v>1</v>
      </c>
      <c r="M838" s="560" t="e">
        <f>SUMIFS('[1]MAIN-101'!$Z$1:$Z$3000,'[1]MAIN-101'!$X$1:$X$3000,S838)</f>
        <v>#VALUE!</v>
      </c>
      <c r="N838" s="560"/>
      <c r="O838" s="560"/>
      <c r="S838" t="str">
        <f>VLOOKUP(C838,'Recon of ORS and DV'!$A$4:$B$358,2,FALSE)</f>
        <v>0342</v>
      </c>
    </row>
    <row r="839" spans="1:19">
      <c r="A839" t="s">
        <v>2222</v>
      </c>
      <c r="B839" s="553">
        <v>44257</v>
      </c>
      <c r="C839" t="s">
        <v>1331</v>
      </c>
      <c r="D839" s="28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0">
        <v>1840</v>
      </c>
      <c r="K839" s="560">
        <f t="shared" si="27"/>
        <v>1</v>
      </c>
      <c r="L839" s="560">
        <f t="shared" si="26"/>
        <v>1</v>
      </c>
      <c r="M839" s="560" t="e">
        <f>SUMIFS('[1]MAIN-101'!$Z$1:$Z$3000,'[1]MAIN-101'!$X$1:$X$3000,S839)</f>
        <v>#VALUE!</v>
      </c>
      <c r="N839" s="560"/>
      <c r="O839" s="560"/>
      <c r="S839" t="str">
        <f>VLOOKUP(C839,'Recon of ORS and DV'!$A$4:$B$358,2,FALSE)</f>
        <v>0344</v>
      </c>
    </row>
    <row r="840" spans="1:19">
      <c r="A840" t="s">
        <v>2223</v>
      </c>
      <c r="B840" s="553">
        <v>44257</v>
      </c>
      <c r="C840" t="s">
        <v>1333</v>
      </c>
      <c r="D840" s="28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0">
        <v>17500</v>
      </c>
      <c r="K840" s="560">
        <f t="shared" si="27"/>
        <v>1</v>
      </c>
      <c r="L840" s="560">
        <f t="shared" si="26"/>
        <v>1</v>
      </c>
      <c r="M840" s="560" t="e">
        <f>SUMIFS('[1]MAIN-101'!$Z$1:$Z$3000,'[1]MAIN-101'!$X$1:$X$3000,S840)</f>
        <v>#VALUE!</v>
      </c>
      <c r="N840" s="560"/>
      <c r="O840" s="560"/>
      <c r="S840" t="str">
        <f>VLOOKUP(C840,'Recon of ORS and DV'!$A$4:$B$358,2,FALSE)</f>
        <v>0345</v>
      </c>
    </row>
    <row r="841" spans="1:19">
      <c r="A841" t="s">
        <v>2224</v>
      </c>
      <c r="B841" s="553">
        <v>44257</v>
      </c>
      <c r="C841" t="s">
        <v>1336</v>
      </c>
      <c r="D841" s="28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0">
        <v>1800</v>
      </c>
      <c r="K841" s="560">
        <f t="shared" si="27"/>
        <v>1</v>
      </c>
      <c r="L841" s="560">
        <f t="shared" si="26"/>
        <v>1</v>
      </c>
      <c r="M841" s="560" t="e">
        <f>SUMIFS('[1]MAIN-101'!$Z$1:$Z$3000,'[1]MAIN-101'!$X$1:$X$3000,S841)</f>
        <v>#VALUE!</v>
      </c>
      <c r="N841" s="560"/>
      <c r="O841" s="560"/>
      <c r="S841" t="str">
        <f>VLOOKUP(C841,'Recon of ORS and DV'!$A$4:$B$358,2,FALSE)</f>
        <v>0346</v>
      </c>
    </row>
    <row r="842" spans="1:19">
      <c r="A842" t="s">
        <v>2225</v>
      </c>
      <c r="B842" s="553">
        <v>44257</v>
      </c>
      <c r="C842" t="s">
        <v>1338</v>
      </c>
      <c r="D842" s="28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0">
        <v>20626.73</v>
      </c>
      <c r="K842" s="560">
        <f t="shared" si="27"/>
        <v>1</v>
      </c>
      <c r="L842" s="560">
        <f t="shared" si="26"/>
        <v>1</v>
      </c>
      <c r="M842" s="560" t="e">
        <f>SUMIFS('[1]MAIN-101'!$Z$1:$Z$3000,'[1]MAIN-101'!$X$1:$X$3000,S842)</f>
        <v>#VALUE!</v>
      </c>
      <c r="N842" s="560"/>
      <c r="O842" s="560"/>
      <c r="S842" t="str">
        <f>VLOOKUP(C842,'Recon of ORS and DV'!$A$4:$B$358,2,FALSE)</f>
        <v>0347</v>
      </c>
    </row>
    <row r="843" spans="1:19">
      <c r="A843" t="s">
        <v>2226</v>
      </c>
      <c r="B843" s="553">
        <v>44257</v>
      </c>
      <c r="C843" t="s">
        <v>1341</v>
      </c>
      <c r="D843" s="28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0">
        <v>16308.47</v>
      </c>
      <c r="K843" s="560">
        <f t="shared" si="27"/>
        <v>1</v>
      </c>
      <c r="L843" s="560">
        <f t="shared" si="26"/>
        <v>1</v>
      </c>
      <c r="M843" s="560" t="e">
        <f>SUMIFS('[1]MAIN-101'!$Z$1:$Z$3000,'[1]MAIN-101'!$X$1:$X$3000,S843)</f>
        <v>#VALUE!</v>
      </c>
      <c r="N843" s="560"/>
      <c r="O843" s="560"/>
      <c r="S843" t="str">
        <f>VLOOKUP(C843,'Recon of ORS and DV'!$A$4:$B$358,2,FALSE)</f>
        <v>0348</v>
      </c>
    </row>
    <row r="844" spans="1:19">
      <c r="A844" t="s">
        <v>2227</v>
      </c>
      <c r="B844" s="553">
        <v>44257</v>
      </c>
      <c r="C844" t="s">
        <v>1343</v>
      </c>
      <c r="D844" s="28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0">
        <v>7200</v>
      </c>
      <c r="K844" s="560">
        <f t="shared" si="27"/>
        <v>1</v>
      </c>
      <c r="L844" s="560">
        <f t="shared" si="26"/>
        <v>1</v>
      </c>
      <c r="M844" s="560" t="e">
        <f>SUMIFS('[1]MAIN-101'!$Z$1:$Z$3000,'[1]MAIN-101'!$X$1:$X$3000,S844)</f>
        <v>#VALUE!</v>
      </c>
      <c r="N844" s="560"/>
      <c r="O844" s="560"/>
      <c r="S844" t="str">
        <f>VLOOKUP(C844,'Recon of ORS and DV'!$A$4:$B$358,2,FALSE)</f>
        <v>0349</v>
      </c>
    </row>
    <row r="845" spans="1:19">
      <c r="A845" t="s">
        <v>2228</v>
      </c>
      <c r="B845" s="553">
        <v>44263</v>
      </c>
      <c r="C845" t="s">
        <v>1364</v>
      </c>
      <c r="D845" s="28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0">
        <v>12900</v>
      </c>
      <c r="K845" s="560">
        <f t="shared" si="27"/>
        <v>1</v>
      </c>
      <c r="L845" s="560">
        <f t="shared" si="26"/>
        <v>1</v>
      </c>
      <c r="M845" s="560" t="e">
        <f>SUMIFS('[1]MAIN-101'!$Z$1:$Z$3000,'[1]MAIN-101'!$X$1:$X$3000,S845)</f>
        <v>#VALUE!</v>
      </c>
      <c r="N845" s="560"/>
      <c r="O845" s="560"/>
      <c r="S845" t="str">
        <f>VLOOKUP(C845,'Recon of ORS and DV'!$A$4:$B$358,2,FALSE)</f>
        <v>0350</v>
      </c>
    </row>
    <row r="846" spans="1:19">
      <c r="A846" t="s">
        <v>2229</v>
      </c>
      <c r="B846" s="553">
        <v>44263</v>
      </c>
      <c r="C846" t="s">
        <v>1365</v>
      </c>
      <c r="D846" s="28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0">
        <v>4950</v>
      </c>
      <c r="K846" s="560">
        <f t="shared" si="27"/>
        <v>1</v>
      </c>
      <c r="L846" s="560">
        <f t="shared" si="26"/>
        <v>1</v>
      </c>
      <c r="M846" s="560" t="e">
        <f>SUMIFS('[1]MAIN-101'!$Z$1:$Z$3000,'[1]MAIN-101'!$X$1:$X$3000,S846)</f>
        <v>#VALUE!</v>
      </c>
      <c r="N846" s="560"/>
      <c r="O846" s="560"/>
      <c r="S846" t="str">
        <f>VLOOKUP(C846,'Recon of ORS and DV'!$A$4:$B$358,2,FALSE)</f>
        <v>0351</v>
      </c>
    </row>
    <row r="847" spans="1:19">
      <c r="A847" t="s">
        <v>2230</v>
      </c>
      <c r="B847" s="553">
        <v>44263</v>
      </c>
      <c r="C847" t="s">
        <v>1367</v>
      </c>
      <c r="D847" s="28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0">
        <v>7830</v>
      </c>
      <c r="K847" s="560">
        <f t="shared" si="27"/>
        <v>1</v>
      </c>
      <c r="L847" s="560">
        <f t="shared" ref="L847:L910" si="28">COUNTIFS(C847:C2400,C847)</f>
        <v>1</v>
      </c>
      <c r="M847" s="560" t="e">
        <f>SUMIFS('[1]MAIN-101'!$Z$1:$Z$3000,'[1]MAIN-101'!$X$1:$X$3000,S847)</f>
        <v>#VALUE!</v>
      </c>
      <c r="N847" s="560"/>
      <c r="O847" s="560"/>
      <c r="S847" t="str">
        <f>VLOOKUP(C847,'Recon of ORS and DV'!$A$4:$B$358,2,FALSE)</f>
        <v>0352</v>
      </c>
    </row>
    <row r="848" spans="1:19">
      <c r="A848" t="s">
        <v>2231</v>
      </c>
      <c r="B848" s="553">
        <v>44263</v>
      </c>
      <c r="C848" t="s">
        <v>1368</v>
      </c>
      <c r="D848" s="28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0">
        <v>27000</v>
      </c>
      <c r="K848" s="560">
        <f t="shared" si="27"/>
        <v>1</v>
      </c>
      <c r="L848" s="560">
        <f t="shared" si="28"/>
        <v>1</v>
      </c>
      <c r="M848" s="560" t="e">
        <f>SUMIFS('[1]MAIN-101'!$Z$1:$Z$3000,'[1]MAIN-101'!$X$1:$X$3000,S848)</f>
        <v>#VALUE!</v>
      </c>
      <c r="N848" s="560"/>
      <c r="O848" s="560"/>
      <c r="S848" t="str">
        <f>VLOOKUP(C848,'Recon of ORS and DV'!$A$4:$B$358,2,FALSE)</f>
        <v>0353</v>
      </c>
    </row>
    <row r="849" spans="1:19">
      <c r="A849" t="s">
        <v>2232</v>
      </c>
      <c r="B849" s="553">
        <v>44263</v>
      </c>
      <c r="C849" t="s">
        <v>1370</v>
      </c>
      <c r="D849" s="28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0">
        <v>3400</v>
      </c>
      <c r="K849" s="560">
        <f t="shared" si="27"/>
        <v>1</v>
      </c>
      <c r="L849" s="560">
        <f t="shared" si="28"/>
        <v>1</v>
      </c>
      <c r="M849" s="560" t="e">
        <f>SUMIFS('[1]MAIN-101'!$Z$1:$Z$3000,'[1]MAIN-101'!$X$1:$X$3000,S849)</f>
        <v>#VALUE!</v>
      </c>
      <c r="N849" s="560"/>
      <c r="O849" s="560"/>
      <c r="S849" t="str">
        <f>VLOOKUP(C849,'Recon of ORS and DV'!$A$4:$B$358,2,FALSE)</f>
        <v>0355</v>
      </c>
    </row>
    <row r="850" spans="1:19">
      <c r="A850" t="s">
        <v>2233</v>
      </c>
      <c r="B850" s="553">
        <v>44263</v>
      </c>
      <c r="C850" t="s">
        <v>1371</v>
      </c>
      <c r="D850" s="28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0">
        <v>1800</v>
      </c>
      <c r="K850" s="560">
        <f t="shared" si="27"/>
        <v>1</v>
      </c>
      <c r="L850" s="560">
        <f t="shared" si="28"/>
        <v>1</v>
      </c>
      <c r="M850" s="560" t="e">
        <f>SUMIFS('[1]MAIN-101'!$Z$1:$Z$3000,'[1]MAIN-101'!$X$1:$X$3000,S850)</f>
        <v>#VALUE!</v>
      </c>
      <c r="N850" s="560"/>
      <c r="O850" s="560"/>
      <c r="S850" t="str">
        <f>VLOOKUP(C850,'Recon of ORS and DV'!$A$4:$B$358,2,FALSE)</f>
        <v>0380</v>
      </c>
    </row>
    <row r="851" spans="1:19">
      <c r="A851" t="s">
        <v>2234</v>
      </c>
      <c r="B851" s="553">
        <v>44263</v>
      </c>
      <c r="C851" t="s">
        <v>1372</v>
      </c>
      <c r="D851" s="28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0">
        <v>39600</v>
      </c>
      <c r="K851" s="560">
        <f t="shared" si="27"/>
        <v>1</v>
      </c>
      <c r="L851" s="560">
        <f t="shared" si="28"/>
        <v>1</v>
      </c>
      <c r="M851" s="560" t="e">
        <f>SUMIFS('[1]MAIN-101'!$Z$1:$Z$3000,'[1]MAIN-101'!$X$1:$X$3000,S851)</f>
        <v>#VALUE!</v>
      </c>
      <c r="N851" s="560"/>
      <c r="O851" s="560"/>
      <c r="S851" t="str">
        <f>VLOOKUP(C851,'Recon of ORS and DV'!$A$4:$B$358,2,FALSE)</f>
        <v>0379</v>
      </c>
    </row>
    <row r="852" spans="1:19">
      <c r="A852" t="s">
        <v>2235</v>
      </c>
      <c r="B852" s="553">
        <v>44263</v>
      </c>
      <c r="C852" t="s">
        <v>1373</v>
      </c>
      <c r="D852" s="28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0">
        <v>5600</v>
      </c>
      <c r="K852" s="560">
        <f t="shared" si="27"/>
        <v>1</v>
      </c>
      <c r="L852" s="560">
        <f t="shared" si="28"/>
        <v>1</v>
      </c>
      <c r="M852" s="560" t="e">
        <f>SUMIFS('[1]MAIN-101'!$Z$1:$Z$3000,'[1]MAIN-101'!$X$1:$X$3000,S852)</f>
        <v>#VALUE!</v>
      </c>
      <c r="N852" s="560"/>
      <c r="O852" s="560"/>
      <c r="S852" t="str">
        <f>VLOOKUP(C852,'Recon of ORS and DV'!$A$4:$B$358,2,FALSE)</f>
        <v>0357</v>
      </c>
    </row>
    <row r="853" spans="1:19">
      <c r="A853" t="s">
        <v>2236</v>
      </c>
      <c r="B853" s="553">
        <v>44263</v>
      </c>
      <c r="C853" t="s">
        <v>1374</v>
      </c>
      <c r="D853" s="28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0">
        <v>4032</v>
      </c>
      <c r="K853" s="560">
        <f t="shared" si="27"/>
        <v>1</v>
      </c>
      <c r="L853" s="560">
        <f t="shared" si="28"/>
        <v>1</v>
      </c>
      <c r="M853" s="560" t="e">
        <f>SUMIFS('[1]MAIN-101'!$Z$1:$Z$3000,'[1]MAIN-101'!$X$1:$X$3000,S853)</f>
        <v>#VALUE!</v>
      </c>
      <c r="N853" s="560"/>
      <c r="O853" s="560"/>
      <c r="S853" t="str">
        <f>VLOOKUP(C853,'Recon of ORS and DV'!$A$4:$B$358,2,FALSE)</f>
        <v>0292</v>
      </c>
    </row>
    <row r="854" spans="1:19">
      <c r="B854" s="553">
        <v>44263</v>
      </c>
      <c r="C854" t="s">
        <v>1375</v>
      </c>
      <c r="D854" s="28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0">
        <v>15526.48</v>
      </c>
      <c r="K854" s="560">
        <f t="shared" si="27"/>
        <v>4</v>
      </c>
      <c r="L854" s="560">
        <f t="shared" si="28"/>
        <v>4</v>
      </c>
    </row>
    <row r="855" spans="1:19">
      <c r="B855" s="553">
        <v>44263</v>
      </c>
      <c r="C855" t="s">
        <v>1375</v>
      </c>
      <c r="D855" s="28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0">
        <v>5475.35</v>
      </c>
      <c r="K855" s="560">
        <f t="shared" si="27"/>
        <v>4</v>
      </c>
      <c r="L855" s="560">
        <f t="shared" si="28"/>
        <v>3</v>
      </c>
    </row>
    <row r="856" spans="1:19">
      <c r="B856" s="553">
        <v>44263</v>
      </c>
      <c r="C856" t="s">
        <v>1375</v>
      </c>
      <c r="D856" s="28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0">
        <v>1369.22</v>
      </c>
      <c r="K856" s="560">
        <f t="shared" si="27"/>
        <v>4</v>
      </c>
      <c r="L856" s="560">
        <f t="shared" si="28"/>
        <v>2</v>
      </c>
    </row>
    <row r="857" spans="1:19">
      <c r="A857" t="s">
        <v>2237</v>
      </c>
      <c r="B857" s="553">
        <v>44263</v>
      </c>
      <c r="C857" t="s">
        <v>1375</v>
      </c>
      <c r="D857" s="28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0">
        <v>511.18</v>
      </c>
      <c r="K857" s="560">
        <f t="shared" si="27"/>
        <v>4</v>
      </c>
      <c r="L857" s="560">
        <f t="shared" si="28"/>
        <v>1</v>
      </c>
      <c r="M857" s="560" t="e">
        <f>SUMIFS('[1]MAIN-101'!$Z$1:$Z$3000,'[1]MAIN-101'!$X$1:$X$3000,S857)</f>
        <v>#VALUE!</v>
      </c>
      <c r="N857" s="560"/>
      <c r="O857" s="560"/>
      <c r="S857" t="str">
        <f>VLOOKUP(C857,'Recon of ORS and DV'!$A$4:$B$358,2,FALSE)</f>
        <v>0358</v>
      </c>
    </row>
    <row r="858" spans="1:19">
      <c r="A858" t="s">
        <v>2238</v>
      </c>
      <c r="B858" s="553">
        <v>44263</v>
      </c>
      <c r="C858" t="s">
        <v>1376</v>
      </c>
      <c r="D858" s="28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0">
        <v>2275</v>
      </c>
      <c r="K858" s="560">
        <f t="shared" si="27"/>
        <v>1</v>
      </c>
      <c r="L858" s="560">
        <f t="shared" si="28"/>
        <v>1</v>
      </c>
      <c r="M858" s="560" t="e">
        <f>SUMIFS('[1]MAIN-101'!$Z$1:$Z$3000,'[1]MAIN-101'!$X$1:$X$3000,S858)</f>
        <v>#VALUE!</v>
      </c>
      <c r="N858" s="560"/>
      <c r="O858" s="560"/>
      <c r="S858" t="str">
        <f>VLOOKUP(C858,'Recon of ORS and DV'!$A$4:$B$358,2,FALSE)</f>
        <v>0359</v>
      </c>
    </row>
    <row r="859" spans="1:19">
      <c r="A859" t="s">
        <v>2239</v>
      </c>
      <c r="B859" s="553">
        <v>44263</v>
      </c>
      <c r="C859" t="s">
        <v>1377</v>
      </c>
      <c r="D859" s="28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0">
        <v>6323</v>
      </c>
      <c r="K859" s="560">
        <f t="shared" si="27"/>
        <v>1</v>
      </c>
      <c r="L859" s="560">
        <f t="shared" si="28"/>
        <v>1</v>
      </c>
      <c r="M859" s="560" t="e">
        <f>SUMIFS('[1]MAIN-101'!$Z$1:$Z$3000,'[1]MAIN-101'!$X$1:$X$3000,S859)</f>
        <v>#VALUE!</v>
      </c>
      <c r="N859" s="560"/>
      <c r="O859" s="560"/>
      <c r="S859" t="str">
        <f>VLOOKUP(C859,'Recon of ORS and DV'!$A$4:$B$358,2,FALSE)</f>
        <v>0360</v>
      </c>
    </row>
    <row r="860" spans="1:19">
      <c r="A860" t="s">
        <v>2240</v>
      </c>
      <c r="B860" s="553">
        <v>44263</v>
      </c>
      <c r="C860" t="s">
        <v>1378</v>
      </c>
      <c r="D860" s="28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0">
        <v>1242</v>
      </c>
      <c r="K860" s="560">
        <f t="shared" si="27"/>
        <v>1</v>
      </c>
      <c r="L860" s="560">
        <f t="shared" si="28"/>
        <v>1</v>
      </c>
      <c r="M860" s="560" t="e">
        <f>SUMIFS('[1]MAIN-101'!$Z$1:$Z$3000,'[1]MAIN-101'!$X$1:$X$3000,S860)</f>
        <v>#VALUE!</v>
      </c>
      <c r="N860" s="560"/>
      <c r="O860" s="560"/>
      <c r="S860" t="str">
        <f>VLOOKUP(C860,'Recon of ORS and DV'!$A$4:$B$358,2,FALSE)</f>
        <v>0361</v>
      </c>
    </row>
    <row r="861" spans="1:19">
      <c r="B861" s="553">
        <v>44263</v>
      </c>
      <c r="C861" t="s">
        <v>1379</v>
      </c>
      <c r="D861" s="28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0">
        <v>150501.47</v>
      </c>
      <c r="K861" s="560">
        <f t="shared" si="27"/>
        <v>2</v>
      </c>
      <c r="L861" s="560">
        <f t="shared" si="28"/>
        <v>2</v>
      </c>
    </row>
    <row r="862" spans="1:19">
      <c r="A862" t="s">
        <v>2241</v>
      </c>
      <c r="B862" s="553">
        <v>44263</v>
      </c>
      <c r="C862" t="s">
        <v>1379</v>
      </c>
      <c r="D862" s="28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0">
        <v>20000</v>
      </c>
      <c r="K862" s="560">
        <f t="shared" si="27"/>
        <v>2</v>
      </c>
      <c r="L862" s="560">
        <f t="shared" si="28"/>
        <v>1</v>
      </c>
      <c r="M862" s="560" t="e">
        <f>SUMIFS('[1]MAIN-101'!$Z$1:$Z$3000,'[1]MAIN-101'!$X$1:$X$3000,S862)</f>
        <v>#VALUE!</v>
      </c>
      <c r="N862" s="560"/>
      <c r="O862" s="560"/>
      <c r="S862" t="str">
        <f>VLOOKUP(C862,'Recon of ORS and DV'!$A$4:$B$358,2,FALSE)</f>
        <v>0362</v>
      </c>
    </row>
    <row r="863" spans="1:19">
      <c r="A863" t="s">
        <v>2242</v>
      </c>
      <c r="B863" s="553">
        <v>44265</v>
      </c>
      <c r="C863" t="s">
        <v>1383</v>
      </c>
      <c r="D863" s="28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0">
        <v>7635</v>
      </c>
      <c r="K863" s="560">
        <f t="shared" si="27"/>
        <v>1</v>
      </c>
      <c r="L863" s="560">
        <f t="shared" si="28"/>
        <v>1</v>
      </c>
      <c r="M863" s="560" t="e">
        <f>SUMIFS('[1]MAIN-101'!$Z$1:$Z$3000,'[1]MAIN-101'!$X$1:$X$3000,S863)</f>
        <v>#VALUE!</v>
      </c>
      <c r="N863" s="560"/>
      <c r="O863" s="560"/>
      <c r="S863" t="str">
        <f>VLOOKUP(C863,'Recon of ORS and DV'!$A$4:$B$358,2,FALSE)</f>
        <v>0381</v>
      </c>
    </row>
    <row r="864" spans="1:19">
      <c r="B864" s="553">
        <v>44265</v>
      </c>
      <c r="C864" t="s">
        <v>1385</v>
      </c>
      <c r="D864" s="28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0">
        <v>97270</v>
      </c>
      <c r="K864" s="560">
        <f t="shared" si="27"/>
        <v>24</v>
      </c>
      <c r="L864" s="560">
        <f t="shared" si="28"/>
        <v>24</v>
      </c>
    </row>
    <row r="865" spans="2:12">
      <c r="B865" s="553">
        <v>44265</v>
      </c>
      <c r="C865" t="s">
        <v>1385</v>
      </c>
      <c r="D865" s="28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0">
        <v>8000</v>
      </c>
      <c r="K865" s="560">
        <f t="shared" si="27"/>
        <v>24</v>
      </c>
      <c r="L865" s="560">
        <f t="shared" si="28"/>
        <v>23</v>
      </c>
    </row>
    <row r="866" spans="2:12">
      <c r="B866" s="553">
        <v>44265</v>
      </c>
      <c r="C866" t="s">
        <v>1385</v>
      </c>
      <c r="D866" s="28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0">
        <v>11672.4</v>
      </c>
      <c r="K866" s="560">
        <f t="shared" si="27"/>
        <v>24</v>
      </c>
      <c r="L866" s="560">
        <f t="shared" si="28"/>
        <v>22</v>
      </c>
    </row>
    <row r="867" spans="2:12">
      <c r="B867" s="553">
        <v>44265</v>
      </c>
      <c r="C867" t="s">
        <v>1385</v>
      </c>
      <c r="D867" s="28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0">
        <v>400</v>
      </c>
      <c r="K867" s="560">
        <f t="shared" si="27"/>
        <v>24</v>
      </c>
      <c r="L867" s="560">
        <f t="shared" si="28"/>
        <v>21</v>
      </c>
    </row>
    <row r="868" spans="2:12">
      <c r="B868" s="553">
        <v>44265</v>
      </c>
      <c r="C868" t="s">
        <v>1385</v>
      </c>
      <c r="D868" s="28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0">
        <v>1450.46</v>
      </c>
      <c r="K868" s="560">
        <f t="shared" si="27"/>
        <v>24</v>
      </c>
      <c r="L868" s="560">
        <f t="shared" si="28"/>
        <v>20</v>
      </c>
    </row>
    <row r="869" spans="2:12">
      <c r="B869" s="553">
        <v>44265</v>
      </c>
      <c r="C869" t="s">
        <v>1385</v>
      </c>
      <c r="D869" s="28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0">
        <v>400</v>
      </c>
      <c r="K869" s="560">
        <f t="shared" si="27"/>
        <v>24</v>
      </c>
      <c r="L869" s="560">
        <f t="shared" si="28"/>
        <v>19</v>
      </c>
    </row>
    <row r="870" spans="2:12">
      <c r="B870" s="553">
        <v>44265</v>
      </c>
      <c r="C870" t="s">
        <v>1385</v>
      </c>
      <c r="D870" s="28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0">
        <v>44184</v>
      </c>
      <c r="K870" s="560">
        <f t="shared" si="27"/>
        <v>24</v>
      </c>
      <c r="L870" s="560">
        <f t="shared" si="28"/>
        <v>18</v>
      </c>
    </row>
    <row r="871" spans="2:12">
      <c r="B871" s="553">
        <v>44265</v>
      </c>
      <c r="C871" t="s">
        <v>1385</v>
      </c>
      <c r="D871" s="28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0">
        <v>2000</v>
      </c>
      <c r="K871" s="560">
        <f t="shared" si="27"/>
        <v>24</v>
      </c>
      <c r="L871" s="560">
        <f t="shared" si="28"/>
        <v>17</v>
      </c>
    </row>
    <row r="872" spans="2:12">
      <c r="B872" s="553">
        <v>44265</v>
      </c>
      <c r="C872" t="s">
        <v>1385</v>
      </c>
      <c r="D872" s="28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0">
        <v>5302.08</v>
      </c>
      <c r="K872" s="560">
        <f t="shared" si="27"/>
        <v>24</v>
      </c>
      <c r="L872" s="560">
        <f t="shared" si="28"/>
        <v>16</v>
      </c>
    </row>
    <row r="873" spans="2:12">
      <c r="B873" s="553">
        <v>44265</v>
      </c>
      <c r="C873" t="s">
        <v>1385</v>
      </c>
      <c r="D873" s="28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0">
        <v>100</v>
      </c>
      <c r="K873" s="560">
        <f t="shared" si="27"/>
        <v>24</v>
      </c>
      <c r="L873" s="560">
        <f t="shared" si="28"/>
        <v>15</v>
      </c>
    </row>
    <row r="874" spans="2:12">
      <c r="B874" s="553">
        <v>44265</v>
      </c>
      <c r="C874" t="s">
        <v>1385</v>
      </c>
      <c r="D874" s="28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0">
        <v>662.76</v>
      </c>
      <c r="K874" s="560">
        <f t="shared" si="27"/>
        <v>24</v>
      </c>
      <c r="L874" s="560">
        <f t="shared" si="28"/>
        <v>14</v>
      </c>
    </row>
    <row r="875" spans="2:12">
      <c r="B875" s="553">
        <v>44265</v>
      </c>
      <c r="C875" t="s">
        <v>1385</v>
      </c>
      <c r="D875" s="28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0">
        <v>100</v>
      </c>
      <c r="K875" s="560">
        <f t="shared" si="27"/>
        <v>24</v>
      </c>
      <c r="L875" s="560">
        <f t="shared" si="28"/>
        <v>13</v>
      </c>
    </row>
    <row r="876" spans="2:12">
      <c r="B876" s="553">
        <v>44265</v>
      </c>
      <c r="C876" t="s">
        <v>1385</v>
      </c>
      <c r="D876" s="28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0">
        <v>67911</v>
      </c>
      <c r="K876" s="560">
        <f t="shared" si="27"/>
        <v>24</v>
      </c>
      <c r="L876" s="560">
        <f t="shared" si="28"/>
        <v>12</v>
      </c>
    </row>
    <row r="877" spans="2:12">
      <c r="B877" s="553">
        <v>44265</v>
      </c>
      <c r="C877" t="s">
        <v>1385</v>
      </c>
      <c r="D877" s="28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0">
        <v>4000</v>
      </c>
      <c r="K877" s="560">
        <f t="shared" si="27"/>
        <v>24</v>
      </c>
      <c r="L877" s="560">
        <f t="shared" si="28"/>
        <v>11</v>
      </c>
    </row>
    <row r="878" spans="2:12">
      <c r="B878" s="553">
        <v>44265</v>
      </c>
      <c r="C878" t="s">
        <v>1385</v>
      </c>
      <c r="D878" s="28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0">
        <v>8149.32</v>
      </c>
      <c r="K878" s="560">
        <f t="shared" si="27"/>
        <v>24</v>
      </c>
      <c r="L878" s="560">
        <f t="shared" si="28"/>
        <v>10</v>
      </c>
    </row>
    <row r="879" spans="2:12">
      <c r="B879" s="553">
        <v>44265</v>
      </c>
      <c r="C879" t="s">
        <v>1385</v>
      </c>
      <c r="D879" s="28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0">
        <v>200</v>
      </c>
      <c r="K879" s="560">
        <f t="shared" si="27"/>
        <v>24</v>
      </c>
      <c r="L879" s="560">
        <f t="shared" si="28"/>
        <v>9</v>
      </c>
    </row>
    <row r="880" spans="2:12">
      <c r="B880" s="553">
        <v>44265</v>
      </c>
      <c r="C880" t="s">
        <v>1385</v>
      </c>
      <c r="D880" s="28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0">
        <v>1018.67</v>
      </c>
      <c r="K880" s="560">
        <f t="shared" si="27"/>
        <v>24</v>
      </c>
      <c r="L880" s="560">
        <f t="shared" si="28"/>
        <v>8</v>
      </c>
    </row>
    <row r="881" spans="1:19">
      <c r="B881" s="553">
        <v>44265</v>
      </c>
      <c r="C881" t="s">
        <v>1385</v>
      </c>
      <c r="D881" s="28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0">
        <v>200</v>
      </c>
      <c r="K881" s="560">
        <f t="shared" si="27"/>
        <v>24</v>
      </c>
      <c r="L881" s="560">
        <f t="shared" si="28"/>
        <v>7</v>
      </c>
    </row>
    <row r="882" spans="1:19">
      <c r="B882" s="553">
        <v>44265</v>
      </c>
      <c r="C882" t="s">
        <v>1385</v>
      </c>
      <c r="D882" s="28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0">
        <v>149727</v>
      </c>
      <c r="K882" s="560">
        <f t="shared" si="27"/>
        <v>24</v>
      </c>
      <c r="L882" s="560">
        <f t="shared" si="28"/>
        <v>6</v>
      </c>
    </row>
    <row r="883" spans="1:19">
      <c r="B883" s="553">
        <v>44265</v>
      </c>
      <c r="C883" t="s">
        <v>1385</v>
      </c>
      <c r="D883" s="28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0">
        <v>6000</v>
      </c>
      <c r="K883" s="560">
        <f t="shared" si="27"/>
        <v>24</v>
      </c>
      <c r="L883" s="560">
        <f t="shared" si="28"/>
        <v>5</v>
      </c>
    </row>
    <row r="884" spans="1:19">
      <c r="B884" s="553">
        <v>44265</v>
      </c>
      <c r="C884" t="s">
        <v>1385</v>
      </c>
      <c r="D884" s="28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0">
        <v>17967.240000000002</v>
      </c>
      <c r="K884" s="560">
        <f t="shared" si="27"/>
        <v>24</v>
      </c>
      <c r="L884" s="560">
        <f t="shared" si="28"/>
        <v>4</v>
      </c>
    </row>
    <row r="885" spans="1:19">
      <c r="B885" s="553">
        <v>44265</v>
      </c>
      <c r="C885" t="s">
        <v>1385</v>
      </c>
      <c r="D885" s="28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0">
        <v>300</v>
      </c>
      <c r="K885" s="560">
        <f t="shared" si="27"/>
        <v>24</v>
      </c>
      <c r="L885" s="560">
        <f t="shared" si="28"/>
        <v>3</v>
      </c>
    </row>
    <row r="886" spans="1:19">
      <c r="B886" s="553">
        <v>44265</v>
      </c>
      <c r="C886" t="s">
        <v>1385</v>
      </c>
      <c r="D886" s="28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0">
        <v>2087.44</v>
      </c>
      <c r="K886" s="560">
        <f t="shared" si="27"/>
        <v>24</v>
      </c>
      <c r="L886" s="560">
        <f t="shared" si="28"/>
        <v>2</v>
      </c>
    </row>
    <row r="887" spans="1:19">
      <c r="A887" t="s">
        <v>2243</v>
      </c>
      <c r="B887" s="553">
        <v>44265</v>
      </c>
      <c r="C887" t="s">
        <v>1385</v>
      </c>
      <c r="D887" s="28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0">
        <v>300</v>
      </c>
      <c r="K887" s="560">
        <f t="shared" si="27"/>
        <v>24</v>
      </c>
      <c r="L887" s="560">
        <f t="shared" si="28"/>
        <v>1</v>
      </c>
      <c r="M887" s="560" t="e">
        <f>SUMIFS('[1]MAIN-101'!$Z$1:$Z$3000,'[1]MAIN-101'!$X$1:$X$3000,S887)</f>
        <v>#VALUE!</v>
      </c>
      <c r="N887" s="560"/>
      <c r="O887" s="560"/>
      <c r="S887" t="str">
        <f>VLOOKUP(C887,'Recon of ORS and DV'!$A$4:$B$358,2,FALSE)</f>
        <v>0364</v>
      </c>
    </row>
    <row r="888" spans="1:19">
      <c r="B888" s="553">
        <v>44265</v>
      </c>
      <c r="C888" t="s">
        <v>1386</v>
      </c>
      <c r="D888" s="28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0">
        <v>145528</v>
      </c>
      <c r="K888" s="560">
        <f t="shared" si="27"/>
        <v>30</v>
      </c>
      <c r="L888" s="560">
        <f t="shared" si="28"/>
        <v>30</v>
      </c>
    </row>
    <row r="889" spans="1:19">
      <c r="B889" s="553">
        <v>44265</v>
      </c>
      <c r="C889" t="s">
        <v>1386</v>
      </c>
      <c r="D889" s="28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0">
        <v>6000</v>
      </c>
      <c r="K889" s="560">
        <f t="shared" si="27"/>
        <v>30</v>
      </c>
      <c r="L889" s="560">
        <f t="shared" si="28"/>
        <v>29</v>
      </c>
    </row>
    <row r="890" spans="1:19">
      <c r="B890" s="553">
        <v>44265</v>
      </c>
      <c r="C890" t="s">
        <v>1386</v>
      </c>
      <c r="D890" s="28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0">
        <v>17463.36</v>
      </c>
      <c r="K890" s="560">
        <f t="shared" si="27"/>
        <v>30</v>
      </c>
      <c r="L890" s="560">
        <f t="shared" si="28"/>
        <v>28</v>
      </c>
    </row>
    <row r="891" spans="1:19">
      <c r="B891" s="553">
        <v>44265</v>
      </c>
      <c r="C891" t="s">
        <v>1386</v>
      </c>
      <c r="D891" s="28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0">
        <v>300</v>
      </c>
      <c r="K891" s="560">
        <f t="shared" si="27"/>
        <v>30</v>
      </c>
      <c r="L891" s="560">
        <f t="shared" si="28"/>
        <v>27</v>
      </c>
    </row>
    <row r="892" spans="1:19">
      <c r="B892" s="553">
        <v>44265</v>
      </c>
      <c r="C892" t="s">
        <v>1386</v>
      </c>
      <c r="D892" s="28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0">
        <v>1781.79</v>
      </c>
      <c r="K892" s="560">
        <f t="shared" si="27"/>
        <v>30</v>
      </c>
      <c r="L892" s="560">
        <f t="shared" si="28"/>
        <v>26</v>
      </c>
    </row>
    <row r="893" spans="1:19">
      <c r="B893" s="553">
        <v>44265</v>
      </c>
      <c r="C893" t="s">
        <v>1386</v>
      </c>
      <c r="D893" s="28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0">
        <v>300</v>
      </c>
      <c r="K893" s="560">
        <f t="shared" si="27"/>
        <v>30</v>
      </c>
      <c r="L893" s="560">
        <f t="shared" si="28"/>
        <v>25</v>
      </c>
    </row>
    <row r="894" spans="1:19">
      <c r="B894" s="553">
        <v>44265</v>
      </c>
      <c r="C894" t="s">
        <v>1386</v>
      </c>
      <c r="D894" s="28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0">
        <v>46261</v>
      </c>
      <c r="K894" s="560">
        <f t="shared" si="27"/>
        <v>30</v>
      </c>
      <c r="L894" s="560">
        <f t="shared" si="28"/>
        <v>24</v>
      </c>
    </row>
    <row r="895" spans="1:19">
      <c r="B895" s="553">
        <v>44265</v>
      </c>
      <c r="C895" t="s">
        <v>1386</v>
      </c>
      <c r="D895" s="28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0">
        <v>2000</v>
      </c>
      <c r="K895" s="560">
        <f t="shared" si="27"/>
        <v>30</v>
      </c>
      <c r="L895" s="560">
        <f t="shared" si="28"/>
        <v>23</v>
      </c>
    </row>
    <row r="896" spans="1:19">
      <c r="B896" s="553">
        <v>44265</v>
      </c>
      <c r="C896" t="s">
        <v>1386</v>
      </c>
      <c r="D896" s="28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0">
        <v>5551.32</v>
      </c>
      <c r="K896" s="560">
        <f t="shared" si="27"/>
        <v>30</v>
      </c>
      <c r="L896" s="560">
        <f t="shared" si="28"/>
        <v>22</v>
      </c>
    </row>
    <row r="897" spans="2:12">
      <c r="B897" s="553">
        <v>44265</v>
      </c>
      <c r="C897" t="s">
        <v>1386</v>
      </c>
      <c r="D897" s="28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0">
        <v>100</v>
      </c>
      <c r="K897" s="560">
        <f t="shared" si="27"/>
        <v>30</v>
      </c>
      <c r="L897" s="560">
        <f t="shared" si="28"/>
        <v>21</v>
      </c>
    </row>
    <row r="898" spans="2:12">
      <c r="B898" s="553">
        <v>44265</v>
      </c>
      <c r="C898" t="s">
        <v>1386</v>
      </c>
      <c r="D898" s="28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0">
        <v>693.92</v>
      </c>
      <c r="K898" s="560">
        <f t="shared" si="27"/>
        <v>30</v>
      </c>
      <c r="L898" s="560">
        <f t="shared" si="28"/>
        <v>20</v>
      </c>
    </row>
    <row r="899" spans="2:12">
      <c r="B899" s="553">
        <v>44265</v>
      </c>
      <c r="C899" t="s">
        <v>1386</v>
      </c>
      <c r="D899" s="28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0">
        <v>100</v>
      </c>
      <c r="K899" s="560">
        <f t="shared" si="27"/>
        <v>30</v>
      </c>
      <c r="L899" s="560">
        <f t="shared" si="28"/>
        <v>19</v>
      </c>
    </row>
    <row r="900" spans="2:12">
      <c r="B900" s="553">
        <v>44265</v>
      </c>
      <c r="C900" t="s">
        <v>1386</v>
      </c>
      <c r="D900" s="28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0">
        <v>111742</v>
      </c>
      <c r="K900" s="560">
        <f t="shared" ref="K900:K963" si="29">COUNTIFS($C$3:$C$1556,C900)</f>
        <v>30</v>
      </c>
      <c r="L900" s="560">
        <f t="shared" si="28"/>
        <v>18</v>
      </c>
    </row>
    <row r="901" spans="2:12">
      <c r="B901" s="553">
        <v>44265</v>
      </c>
      <c r="C901" t="s">
        <v>1386</v>
      </c>
      <c r="D901" s="28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0">
        <v>2000</v>
      </c>
      <c r="K901" s="560">
        <f t="shared" si="29"/>
        <v>30</v>
      </c>
      <c r="L901" s="560">
        <f t="shared" si="28"/>
        <v>17</v>
      </c>
    </row>
    <row r="902" spans="2:12">
      <c r="B902" s="553">
        <v>44265</v>
      </c>
      <c r="C902" t="s">
        <v>1386</v>
      </c>
      <c r="D902" s="28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0">
        <v>13409.04</v>
      </c>
      <c r="K902" s="560">
        <f t="shared" si="29"/>
        <v>30</v>
      </c>
      <c r="L902" s="560">
        <f t="shared" si="28"/>
        <v>16</v>
      </c>
    </row>
    <row r="903" spans="2:12">
      <c r="B903" s="553">
        <v>44265</v>
      </c>
      <c r="C903" t="s">
        <v>1386</v>
      </c>
      <c r="D903" s="28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0">
        <v>100</v>
      </c>
      <c r="K903" s="560">
        <f t="shared" si="29"/>
        <v>30</v>
      </c>
      <c r="L903" s="560">
        <f t="shared" si="28"/>
        <v>15</v>
      </c>
    </row>
    <row r="904" spans="2:12">
      <c r="B904" s="553">
        <v>44265</v>
      </c>
      <c r="C904" t="s">
        <v>1386</v>
      </c>
      <c r="D904" s="28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0">
        <v>900</v>
      </c>
      <c r="K904" s="560">
        <f t="shared" si="29"/>
        <v>30</v>
      </c>
      <c r="L904" s="560">
        <f t="shared" si="28"/>
        <v>14</v>
      </c>
    </row>
    <row r="905" spans="2:12">
      <c r="B905" s="553">
        <v>44265</v>
      </c>
      <c r="C905" t="s">
        <v>1386</v>
      </c>
      <c r="D905" s="28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0">
        <v>100</v>
      </c>
      <c r="K905" s="560">
        <f t="shared" si="29"/>
        <v>30</v>
      </c>
      <c r="L905" s="560">
        <f t="shared" si="28"/>
        <v>13</v>
      </c>
    </row>
    <row r="906" spans="2:12">
      <c r="B906" s="553">
        <v>44265</v>
      </c>
      <c r="C906" t="s">
        <v>1386</v>
      </c>
      <c r="D906" s="28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0">
        <v>236044</v>
      </c>
      <c r="K906" s="560">
        <f t="shared" si="29"/>
        <v>30</v>
      </c>
      <c r="L906" s="560">
        <f t="shared" si="28"/>
        <v>12</v>
      </c>
    </row>
    <row r="907" spans="2:12">
      <c r="B907" s="553">
        <v>44265</v>
      </c>
      <c r="C907" t="s">
        <v>1386</v>
      </c>
      <c r="D907" s="28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0">
        <v>12000</v>
      </c>
      <c r="K907" s="560">
        <f t="shared" si="29"/>
        <v>30</v>
      </c>
      <c r="L907" s="560">
        <f t="shared" si="28"/>
        <v>11</v>
      </c>
    </row>
    <row r="908" spans="2:12">
      <c r="B908" s="553">
        <v>44265</v>
      </c>
      <c r="C908" t="s">
        <v>1386</v>
      </c>
      <c r="D908" s="28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0">
        <v>28325.279999999999</v>
      </c>
      <c r="K908" s="560">
        <f t="shared" si="29"/>
        <v>30</v>
      </c>
      <c r="L908" s="560">
        <f t="shared" si="28"/>
        <v>10</v>
      </c>
    </row>
    <row r="909" spans="2:12">
      <c r="B909" s="553">
        <v>44265</v>
      </c>
      <c r="C909" t="s">
        <v>1386</v>
      </c>
      <c r="D909" s="28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0">
        <v>600</v>
      </c>
      <c r="K909" s="560">
        <f t="shared" si="29"/>
        <v>30</v>
      </c>
      <c r="L909" s="560">
        <f t="shared" si="28"/>
        <v>9</v>
      </c>
    </row>
    <row r="910" spans="2:12">
      <c r="B910" s="553">
        <v>44265</v>
      </c>
      <c r="C910" t="s">
        <v>1386</v>
      </c>
      <c r="D910" s="28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0">
        <v>3540.69</v>
      </c>
      <c r="K910" s="560">
        <f t="shared" si="29"/>
        <v>30</v>
      </c>
      <c r="L910" s="560">
        <f t="shared" si="28"/>
        <v>8</v>
      </c>
    </row>
    <row r="911" spans="2:12">
      <c r="B911" s="553">
        <v>44265</v>
      </c>
      <c r="C911" t="s">
        <v>1386</v>
      </c>
      <c r="D911" s="28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0">
        <v>600</v>
      </c>
      <c r="K911" s="560">
        <f t="shared" si="29"/>
        <v>30</v>
      </c>
      <c r="L911" s="560">
        <f t="shared" ref="L911:L974" si="30">COUNTIFS(C911:C2464,C911)</f>
        <v>7</v>
      </c>
    </row>
    <row r="912" spans="2:12">
      <c r="B912" s="553">
        <v>44265</v>
      </c>
      <c r="C912" t="s">
        <v>1386</v>
      </c>
      <c r="D912" s="28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0">
        <v>44694</v>
      </c>
      <c r="K912" s="560">
        <f t="shared" si="29"/>
        <v>30</v>
      </c>
      <c r="L912" s="560">
        <f t="shared" si="30"/>
        <v>6</v>
      </c>
    </row>
    <row r="913" spans="1:19">
      <c r="B913" s="553">
        <v>44265</v>
      </c>
      <c r="C913" t="s">
        <v>1386</v>
      </c>
      <c r="D913" s="28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0">
        <v>2000</v>
      </c>
      <c r="K913" s="560">
        <f t="shared" si="29"/>
        <v>30</v>
      </c>
      <c r="L913" s="560">
        <f t="shared" si="30"/>
        <v>5</v>
      </c>
    </row>
    <row r="914" spans="1:19">
      <c r="B914" s="553">
        <v>44265</v>
      </c>
      <c r="C914" t="s">
        <v>1386</v>
      </c>
      <c r="D914" s="28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0">
        <v>5363.28</v>
      </c>
      <c r="K914" s="560">
        <f t="shared" si="29"/>
        <v>30</v>
      </c>
      <c r="L914" s="560">
        <f t="shared" si="30"/>
        <v>4</v>
      </c>
    </row>
    <row r="915" spans="1:19">
      <c r="B915" s="553">
        <v>44265</v>
      </c>
      <c r="C915" t="s">
        <v>1386</v>
      </c>
      <c r="D915" s="28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0">
        <v>100</v>
      </c>
      <c r="K915" s="560">
        <f t="shared" si="29"/>
        <v>30</v>
      </c>
      <c r="L915" s="560">
        <f t="shared" si="30"/>
        <v>3</v>
      </c>
    </row>
    <row r="916" spans="1:19">
      <c r="B916" s="553">
        <v>44265</v>
      </c>
      <c r="C916" t="s">
        <v>1386</v>
      </c>
      <c r="D916" s="28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0">
        <v>670.41</v>
      </c>
      <c r="K916" s="560">
        <f t="shared" si="29"/>
        <v>30</v>
      </c>
      <c r="L916" s="560">
        <f t="shared" si="30"/>
        <v>2</v>
      </c>
    </row>
    <row r="917" spans="1:19">
      <c r="A917" t="s">
        <v>2244</v>
      </c>
      <c r="B917" s="553">
        <v>44265</v>
      </c>
      <c r="C917" t="s">
        <v>1386</v>
      </c>
      <c r="D917" s="28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0">
        <v>100</v>
      </c>
      <c r="K917" s="560">
        <f t="shared" si="29"/>
        <v>30</v>
      </c>
      <c r="L917" s="560">
        <f t="shared" si="30"/>
        <v>1</v>
      </c>
      <c r="M917" s="560" t="e">
        <f>SUMIFS('[1]MAIN-101'!$Z$1:$Z$3000,'[1]MAIN-101'!$X$1:$X$3000,S917)</f>
        <v>#VALUE!</v>
      </c>
      <c r="N917" s="560"/>
      <c r="O917" s="560"/>
      <c r="S917" t="str">
        <f>VLOOKUP(C917,'Recon of ORS and DV'!$A$4:$B$358,2,FALSE)</f>
        <v>0365</v>
      </c>
    </row>
    <row r="918" spans="1:19">
      <c r="B918" s="553">
        <v>44265</v>
      </c>
      <c r="C918" t="s">
        <v>1387</v>
      </c>
      <c r="D918" s="28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0">
        <v>57452</v>
      </c>
      <c r="K918" s="560">
        <f t="shared" si="29"/>
        <v>24</v>
      </c>
      <c r="L918" s="560">
        <f t="shared" si="30"/>
        <v>24</v>
      </c>
    </row>
    <row r="919" spans="1:19">
      <c r="B919" s="553">
        <v>44265</v>
      </c>
      <c r="C919" t="s">
        <v>1387</v>
      </c>
      <c r="D919" s="28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0">
        <v>4000</v>
      </c>
      <c r="K919" s="560">
        <f t="shared" si="29"/>
        <v>24</v>
      </c>
      <c r="L919" s="560">
        <f t="shared" si="30"/>
        <v>23</v>
      </c>
    </row>
    <row r="920" spans="1:19">
      <c r="B920" s="553">
        <v>44265</v>
      </c>
      <c r="C920" t="s">
        <v>1387</v>
      </c>
      <c r="D920" s="28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0">
        <v>6894.24</v>
      </c>
      <c r="K920" s="560">
        <f t="shared" si="29"/>
        <v>24</v>
      </c>
      <c r="L920" s="560">
        <f t="shared" si="30"/>
        <v>22</v>
      </c>
    </row>
    <row r="921" spans="1:19">
      <c r="B921" s="553">
        <v>44265</v>
      </c>
      <c r="C921" t="s">
        <v>1387</v>
      </c>
      <c r="D921" s="28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0">
        <v>200</v>
      </c>
      <c r="K921" s="560">
        <f t="shared" si="29"/>
        <v>24</v>
      </c>
      <c r="L921" s="560">
        <f t="shared" si="30"/>
        <v>21</v>
      </c>
    </row>
    <row r="922" spans="1:19">
      <c r="B922" s="553">
        <v>44265</v>
      </c>
      <c r="C922" t="s">
        <v>1387</v>
      </c>
      <c r="D922" s="28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0">
        <v>861.79</v>
      </c>
      <c r="K922" s="560">
        <f t="shared" si="29"/>
        <v>24</v>
      </c>
      <c r="L922" s="560">
        <f t="shared" si="30"/>
        <v>20</v>
      </c>
    </row>
    <row r="923" spans="1:19">
      <c r="B923" s="553">
        <v>44265</v>
      </c>
      <c r="C923" t="s">
        <v>1387</v>
      </c>
      <c r="D923" s="28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0">
        <v>200</v>
      </c>
      <c r="K923" s="560">
        <f t="shared" si="29"/>
        <v>24</v>
      </c>
      <c r="L923" s="560">
        <f t="shared" si="30"/>
        <v>19</v>
      </c>
    </row>
    <row r="924" spans="1:19">
      <c r="B924" s="553">
        <v>44265</v>
      </c>
      <c r="C924" t="s">
        <v>1387</v>
      </c>
      <c r="D924" s="28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0">
        <v>111742</v>
      </c>
      <c r="K924" s="560">
        <f t="shared" si="29"/>
        <v>24</v>
      </c>
      <c r="L924" s="560">
        <f t="shared" si="30"/>
        <v>18</v>
      </c>
    </row>
    <row r="925" spans="1:19">
      <c r="B925" s="553">
        <v>44265</v>
      </c>
      <c r="C925" t="s">
        <v>1387</v>
      </c>
      <c r="D925" s="28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0">
        <v>2000</v>
      </c>
      <c r="K925" s="560">
        <f t="shared" si="29"/>
        <v>24</v>
      </c>
      <c r="L925" s="560">
        <f t="shared" si="30"/>
        <v>17</v>
      </c>
    </row>
    <row r="926" spans="1:19">
      <c r="B926" s="553">
        <v>44265</v>
      </c>
      <c r="C926" t="s">
        <v>1387</v>
      </c>
      <c r="D926" s="28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0">
        <v>13409.04</v>
      </c>
      <c r="K926" s="560">
        <f t="shared" si="29"/>
        <v>24</v>
      </c>
      <c r="L926" s="560">
        <f t="shared" si="30"/>
        <v>16</v>
      </c>
    </row>
    <row r="927" spans="1:19">
      <c r="B927" s="553">
        <v>44265</v>
      </c>
      <c r="C927" t="s">
        <v>1387</v>
      </c>
      <c r="D927" s="28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0">
        <v>100</v>
      </c>
      <c r="K927" s="560">
        <f t="shared" si="29"/>
        <v>24</v>
      </c>
      <c r="L927" s="560">
        <f t="shared" si="30"/>
        <v>15</v>
      </c>
    </row>
    <row r="928" spans="1:19">
      <c r="B928" s="553">
        <v>44265</v>
      </c>
      <c r="C928" t="s">
        <v>1387</v>
      </c>
      <c r="D928" s="28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0">
        <v>900</v>
      </c>
      <c r="K928" s="560">
        <f t="shared" si="29"/>
        <v>24</v>
      </c>
      <c r="L928" s="560">
        <f t="shared" si="30"/>
        <v>14</v>
      </c>
    </row>
    <row r="929" spans="1:19">
      <c r="B929" s="553">
        <v>44265</v>
      </c>
      <c r="C929" t="s">
        <v>1387</v>
      </c>
      <c r="D929" s="28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0">
        <v>100</v>
      </c>
      <c r="K929" s="560">
        <f t="shared" si="29"/>
        <v>24</v>
      </c>
      <c r="L929" s="560">
        <f t="shared" si="30"/>
        <v>13</v>
      </c>
    </row>
    <row r="930" spans="1:19">
      <c r="B930" s="553">
        <v>44265</v>
      </c>
      <c r="C930" t="s">
        <v>1387</v>
      </c>
      <c r="D930" s="28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0">
        <v>81329</v>
      </c>
      <c r="K930" s="560">
        <f t="shared" si="29"/>
        <v>24</v>
      </c>
      <c r="L930" s="560">
        <f t="shared" si="30"/>
        <v>12</v>
      </c>
    </row>
    <row r="931" spans="1:19">
      <c r="B931" s="553">
        <v>44265</v>
      </c>
      <c r="C931" t="s">
        <v>1387</v>
      </c>
      <c r="D931" s="28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0">
        <v>6000</v>
      </c>
      <c r="K931" s="560">
        <f t="shared" si="29"/>
        <v>24</v>
      </c>
      <c r="L931" s="560">
        <f t="shared" si="30"/>
        <v>11</v>
      </c>
    </row>
    <row r="932" spans="1:19">
      <c r="B932" s="553">
        <v>44265</v>
      </c>
      <c r="C932" t="s">
        <v>1387</v>
      </c>
      <c r="D932" s="28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0">
        <v>9759.48</v>
      </c>
      <c r="K932" s="560">
        <f t="shared" si="29"/>
        <v>24</v>
      </c>
      <c r="L932" s="560">
        <f t="shared" si="30"/>
        <v>10</v>
      </c>
    </row>
    <row r="933" spans="1:19">
      <c r="B933" s="553">
        <v>44265</v>
      </c>
      <c r="C933" t="s">
        <v>1387</v>
      </c>
      <c r="D933" s="28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0">
        <v>300</v>
      </c>
      <c r="K933" s="560">
        <f t="shared" si="29"/>
        <v>24</v>
      </c>
      <c r="L933" s="560">
        <f t="shared" si="30"/>
        <v>9</v>
      </c>
    </row>
    <row r="934" spans="1:19">
      <c r="B934" s="553">
        <v>44265</v>
      </c>
      <c r="C934" t="s">
        <v>1387</v>
      </c>
      <c r="D934" s="28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0">
        <v>1219.95</v>
      </c>
      <c r="K934" s="560">
        <f t="shared" si="29"/>
        <v>24</v>
      </c>
      <c r="L934" s="560">
        <f t="shared" si="30"/>
        <v>8</v>
      </c>
    </row>
    <row r="935" spans="1:19">
      <c r="B935" s="553">
        <v>44265</v>
      </c>
      <c r="C935" t="s">
        <v>1387</v>
      </c>
      <c r="D935" s="28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0">
        <v>300</v>
      </c>
      <c r="K935" s="560">
        <f t="shared" si="29"/>
        <v>24</v>
      </c>
      <c r="L935" s="560">
        <f t="shared" si="30"/>
        <v>7</v>
      </c>
    </row>
    <row r="936" spans="1:19">
      <c r="B936" s="553">
        <v>44265</v>
      </c>
      <c r="C936" t="s">
        <v>1387</v>
      </c>
      <c r="D936" s="28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0">
        <v>78017</v>
      </c>
      <c r="K936" s="560">
        <f t="shared" si="29"/>
        <v>24</v>
      </c>
      <c r="L936" s="560">
        <f t="shared" si="30"/>
        <v>6</v>
      </c>
    </row>
    <row r="937" spans="1:19">
      <c r="B937" s="553">
        <v>44265</v>
      </c>
      <c r="C937" t="s">
        <v>1387</v>
      </c>
      <c r="D937" s="28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0">
        <v>4000</v>
      </c>
      <c r="K937" s="560">
        <f t="shared" si="29"/>
        <v>24</v>
      </c>
      <c r="L937" s="560">
        <f t="shared" si="30"/>
        <v>5</v>
      </c>
    </row>
    <row r="938" spans="1:19">
      <c r="B938" s="553">
        <v>44265</v>
      </c>
      <c r="C938" t="s">
        <v>1387</v>
      </c>
      <c r="D938" s="28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0">
        <v>9362.0400000000009</v>
      </c>
      <c r="K938" s="560">
        <f t="shared" si="29"/>
        <v>24</v>
      </c>
      <c r="L938" s="560">
        <f t="shared" si="30"/>
        <v>4</v>
      </c>
    </row>
    <row r="939" spans="1:19">
      <c r="B939" s="553">
        <v>44265</v>
      </c>
      <c r="C939" t="s">
        <v>1387</v>
      </c>
      <c r="D939" s="28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0">
        <v>200</v>
      </c>
      <c r="K939" s="560">
        <f t="shared" si="29"/>
        <v>24</v>
      </c>
      <c r="L939" s="560">
        <f t="shared" si="30"/>
        <v>3</v>
      </c>
    </row>
    <row r="940" spans="1:19">
      <c r="B940" s="553">
        <v>44265</v>
      </c>
      <c r="C940" t="s">
        <v>1387</v>
      </c>
      <c r="D940" s="28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0">
        <v>1170.26</v>
      </c>
      <c r="K940" s="560">
        <f t="shared" si="29"/>
        <v>24</v>
      </c>
      <c r="L940" s="560">
        <f t="shared" si="30"/>
        <v>2</v>
      </c>
    </row>
    <row r="941" spans="1:19">
      <c r="A941" t="s">
        <v>2245</v>
      </c>
      <c r="B941" s="553">
        <v>44265</v>
      </c>
      <c r="C941" t="s">
        <v>1387</v>
      </c>
      <c r="D941" s="28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0">
        <v>200</v>
      </c>
      <c r="K941" s="560">
        <f t="shared" si="29"/>
        <v>24</v>
      </c>
      <c r="L941" s="560">
        <f t="shared" si="30"/>
        <v>1</v>
      </c>
      <c r="M941" s="560" t="e">
        <f>SUMIFS('[1]MAIN-101'!$Z$1:$Z$3000,'[1]MAIN-101'!$X$1:$X$3000,S941)</f>
        <v>#VALUE!</v>
      </c>
      <c r="N941" s="560"/>
      <c r="O941" s="560"/>
      <c r="S941" t="str">
        <f>VLOOKUP(C941,'Recon of ORS and DV'!$A$4:$B$358,2,FALSE)</f>
        <v>0366</v>
      </c>
    </row>
    <row r="942" spans="1:19">
      <c r="B942" s="553">
        <v>44265</v>
      </c>
      <c r="C942" t="s">
        <v>1388</v>
      </c>
      <c r="D942" s="28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0">
        <v>33575</v>
      </c>
      <c r="K942" s="560">
        <f t="shared" si="29"/>
        <v>6</v>
      </c>
      <c r="L942" s="560">
        <f t="shared" si="30"/>
        <v>6</v>
      </c>
    </row>
    <row r="943" spans="1:19">
      <c r="B943" s="553">
        <v>44265</v>
      </c>
      <c r="C943" t="s">
        <v>1388</v>
      </c>
      <c r="D943" s="28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0">
        <v>2000</v>
      </c>
      <c r="K943" s="560">
        <f t="shared" si="29"/>
        <v>6</v>
      </c>
      <c r="L943" s="560">
        <f t="shared" si="30"/>
        <v>5</v>
      </c>
    </row>
    <row r="944" spans="1:19">
      <c r="B944" s="553">
        <v>44265</v>
      </c>
      <c r="C944" t="s">
        <v>1388</v>
      </c>
      <c r="D944" s="28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0">
        <v>4029</v>
      </c>
      <c r="K944" s="560">
        <f t="shared" si="29"/>
        <v>6</v>
      </c>
      <c r="L944" s="560">
        <f t="shared" si="30"/>
        <v>4</v>
      </c>
    </row>
    <row r="945" spans="1:19">
      <c r="B945" s="553">
        <v>44265</v>
      </c>
      <c r="C945" t="s">
        <v>1388</v>
      </c>
      <c r="D945" s="28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0">
        <v>100</v>
      </c>
      <c r="K945" s="560">
        <f t="shared" si="29"/>
        <v>6</v>
      </c>
      <c r="L945" s="560">
        <f t="shared" si="30"/>
        <v>3</v>
      </c>
    </row>
    <row r="946" spans="1:19">
      <c r="B946" s="553">
        <v>44265</v>
      </c>
      <c r="C946" t="s">
        <v>1388</v>
      </c>
      <c r="D946" s="28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0">
        <v>503.63</v>
      </c>
      <c r="K946" s="560">
        <f t="shared" si="29"/>
        <v>6</v>
      </c>
      <c r="L946" s="560">
        <f t="shared" si="30"/>
        <v>2</v>
      </c>
    </row>
    <row r="947" spans="1:19">
      <c r="A947" t="s">
        <v>2246</v>
      </c>
      <c r="B947" s="553">
        <v>44265</v>
      </c>
      <c r="C947" t="s">
        <v>1388</v>
      </c>
      <c r="D947" s="28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0">
        <v>100</v>
      </c>
      <c r="K947" s="560">
        <f t="shared" si="29"/>
        <v>6</v>
      </c>
      <c r="L947" s="560">
        <f t="shared" si="30"/>
        <v>1</v>
      </c>
      <c r="M947" s="560" t="e">
        <f>SUMIFS('[1]MAIN-101'!$Z$1:$Z$3000,'[1]MAIN-101'!$X$1:$X$3000,S947)</f>
        <v>#VALUE!</v>
      </c>
      <c r="N947" s="560"/>
      <c r="O947" s="560"/>
      <c r="S947" t="str">
        <f>VLOOKUP(C947,'Recon of ORS and DV'!$A$4:$B$358,2,FALSE)</f>
        <v>0367</v>
      </c>
    </row>
    <row r="948" spans="1:19">
      <c r="B948" s="553">
        <v>44265</v>
      </c>
      <c r="C948" t="s">
        <v>1389</v>
      </c>
      <c r="D948" s="28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0">
        <v>43681</v>
      </c>
      <c r="K948" s="560">
        <f t="shared" si="29"/>
        <v>6</v>
      </c>
      <c r="L948" s="560">
        <f t="shared" si="30"/>
        <v>6</v>
      </c>
    </row>
    <row r="949" spans="1:19">
      <c r="B949" s="553">
        <v>44265</v>
      </c>
      <c r="C949" t="s">
        <v>1389</v>
      </c>
      <c r="D949" s="28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0">
        <v>2000</v>
      </c>
      <c r="K949" s="560">
        <f t="shared" si="29"/>
        <v>6</v>
      </c>
      <c r="L949" s="560">
        <f t="shared" si="30"/>
        <v>5</v>
      </c>
    </row>
    <row r="950" spans="1:19">
      <c r="B950" s="553">
        <v>44265</v>
      </c>
      <c r="C950" t="s">
        <v>1389</v>
      </c>
      <c r="D950" s="28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0">
        <v>5241.72</v>
      </c>
      <c r="K950" s="560">
        <f t="shared" si="29"/>
        <v>6</v>
      </c>
      <c r="L950" s="560">
        <f t="shared" si="30"/>
        <v>4</v>
      </c>
    </row>
    <row r="951" spans="1:19">
      <c r="B951" s="553">
        <v>44265</v>
      </c>
      <c r="C951" t="s">
        <v>1389</v>
      </c>
      <c r="D951" s="28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0">
        <v>100</v>
      </c>
      <c r="K951" s="560">
        <f t="shared" si="29"/>
        <v>6</v>
      </c>
      <c r="L951" s="560">
        <f t="shared" si="30"/>
        <v>3</v>
      </c>
    </row>
    <row r="952" spans="1:19">
      <c r="B952" s="553">
        <v>44265</v>
      </c>
      <c r="C952" t="s">
        <v>1389</v>
      </c>
      <c r="D952" s="28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0">
        <v>655.22</v>
      </c>
      <c r="K952" s="560">
        <f t="shared" si="29"/>
        <v>6</v>
      </c>
      <c r="L952" s="560">
        <f t="shared" si="30"/>
        <v>2</v>
      </c>
    </row>
    <row r="953" spans="1:19">
      <c r="A953" t="s">
        <v>2247</v>
      </c>
      <c r="B953" s="553">
        <v>44265</v>
      </c>
      <c r="C953" t="s">
        <v>1389</v>
      </c>
      <c r="D953" s="28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0">
        <v>100</v>
      </c>
      <c r="K953" s="560">
        <f t="shared" si="29"/>
        <v>6</v>
      </c>
      <c r="L953" s="560">
        <f t="shared" si="30"/>
        <v>1</v>
      </c>
      <c r="M953" s="560" t="e">
        <f>SUMIFS('[1]MAIN-101'!$Z$1:$Z$3000,'[1]MAIN-101'!$X$1:$X$3000,S953)</f>
        <v>#VALUE!</v>
      </c>
      <c r="N953" s="560"/>
      <c r="O953" s="560"/>
      <c r="S953" t="str">
        <f>VLOOKUP(C953,'Recon of ORS and DV'!$A$4:$B$358,2,FALSE)</f>
        <v>0368</v>
      </c>
    </row>
    <row r="954" spans="1:19">
      <c r="B954" s="553">
        <v>44265</v>
      </c>
      <c r="C954" t="s">
        <v>1391</v>
      </c>
      <c r="D954" s="28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0">
        <v>77256</v>
      </c>
      <c r="K954" s="560">
        <f t="shared" si="29"/>
        <v>6</v>
      </c>
      <c r="L954" s="560">
        <f t="shared" si="30"/>
        <v>6</v>
      </c>
    </row>
    <row r="955" spans="1:19">
      <c r="B955" s="553">
        <v>44265</v>
      </c>
      <c r="C955" t="s">
        <v>1391</v>
      </c>
      <c r="D955" s="28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0">
        <v>4000</v>
      </c>
      <c r="K955" s="560">
        <f t="shared" si="29"/>
        <v>6</v>
      </c>
      <c r="L955" s="560">
        <f t="shared" si="30"/>
        <v>5</v>
      </c>
    </row>
    <row r="956" spans="1:19">
      <c r="B956" s="553">
        <v>44265</v>
      </c>
      <c r="C956" t="s">
        <v>1391</v>
      </c>
      <c r="D956" s="28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0">
        <v>9270.7199999999993</v>
      </c>
      <c r="K956" s="560">
        <f t="shared" si="29"/>
        <v>6</v>
      </c>
      <c r="L956" s="560">
        <f t="shared" si="30"/>
        <v>4</v>
      </c>
    </row>
    <row r="957" spans="1:19">
      <c r="B957" s="553">
        <v>44265</v>
      </c>
      <c r="C957" t="s">
        <v>1391</v>
      </c>
      <c r="D957" s="28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0">
        <v>200</v>
      </c>
      <c r="K957" s="560">
        <f t="shared" si="29"/>
        <v>6</v>
      </c>
      <c r="L957" s="560">
        <f t="shared" si="30"/>
        <v>3</v>
      </c>
    </row>
    <row r="958" spans="1:19">
      <c r="B958" s="553">
        <v>44265</v>
      </c>
      <c r="C958" t="s">
        <v>1391</v>
      </c>
      <c r="D958" s="28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0">
        <v>1158.8499999999999</v>
      </c>
      <c r="K958" s="560">
        <f t="shared" si="29"/>
        <v>6</v>
      </c>
      <c r="L958" s="560">
        <f t="shared" si="30"/>
        <v>2</v>
      </c>
    </row>
    <row r="959" spans="1:19">
      <c r="A959" t="s">
        <v>2277</v>
      </c>
      <c r="B959" s="553">
        <v>44265</v>
      </c>
      <c r="C959" t="s">
        <v>1391</v>
      </c>
      <c r="D959" s="28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0">
        <v>200</v>
      </c>
      <c r="K959" s="560">
        <f t="shared" si="29"/>
        <v>6</v>
      </c>
      <c r="L959" s="560">
        <f t="shared" si="30"/>
        <v>1</v>
      </c>
      <c r="M959" s="560" t="e">
        <f>SUMIFS('[1]MAIN-101'!$Z$1:$Z$3000,'[1]MAIN-101'!$X$1:$X$3000,S959)</f>
        <v>#VALUE!</v>
      </c>
      <c r="N959" s="560"/>
      <c r="O959" s="560"/>
      <c r="S959" t="str">
        <f>VLOOKUP(C959,'Recon of ORS and DV'!$A$4:$B$358,2,FALSE)</f>
        <v>0369</v>
      </c>
    </row>
    <row r="960" spans="1:19">
      <c r="B960" s="553">
        <v>44265</v>
      </c>
      <c r="C960" t="s">
        <v>1392</v>
      </c>
      <c r="D960" s="28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0">
        <v>33575</v>
      </c>
      <c r="K960" s="560">
        <f t="shared" si="29"/>
        <v>6</v>
      </c>
      <c r="L960" s="560">
        <f t="shared" si="30"/>
        <v>6</v>
      </c>
    </row>
    <row r="961" spans="1:19">
      <c r="B961" s="553">
        <v>44265</v>
      </c>
      <c r="C961" t="s">
        <v>1392</v>
      </c>
      <c r="D961" s="28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0">
        <v>2000</v>
      </c>
      <c r="K961" s="560">
        <f t="shared" si="29"/>
        <v>6</v>
      </c>
      <c r="L961" s="560">
        <f t="shared" si="30"/>
        <v>5</v>
      </c>
    </row>
    <row r="962" spans="1:19">
      <c r="B962" s="553">
        <v>44265</v>
      </c>
      <c r="C962" t="s">
        <v>1392</v>
      </c>
      <c r="D962" s="28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0">
        <v>4029</v>
      </c>
      <c r="K962" s="560">
        <f t="shared" si="29"/>
        <v>6</v>
      </c>
      <c r="L962" s="560">
        <f t="shared" si="30"/>
        <v>4</v>
      </c>
    </row>
    <row r="963" spans="1:19">
      <c r="B963" s="553">
        <v>44265</v>
      </c>
      <c r="C963" t="s">
        <v>1392</v>
      </c>
      <c r="D963" s="28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0">
        <v>100</v>
      </c>
      <c r="K963" s="560">
        <f t="shared" si="29"/>
        <v>6</v>
      </c>
      <c r="L963" s="560">
        <f t="shared" si="30"/>
        <v>3</v>
      </c>
    </row>
    <row r="964" spans="1:19">
      <c r="B964" s="553">
        <v>44265</v>
      </c>
      <c r="C964" t="s">
        <v>1392</v>
      </c>
      <c r="D964" s="28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0">
        <v>503.63</v>
      </c>
      <c r="K964" s="560">
        <f t="shared" ref="K964:K1027" si="31">COUNTIFS($C$3:$C$1556,C964)</f>
        <v>6</v>
      </c>
      <c r="L964" s="560">
        <f t="shared" si="30"/>
        <v>2</v>
      </c>
    </row>
    <row r="965" spans="1:19">
      <c r="A965" t="s">
        <v>2248</v>
      </c>
      <c r="B965" s="553">
        <v>44265</v>
      </c>
      <c r="C965" t="s">
        <v>1392</v>
      </c>
      <c r="D965" s="28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0">
        <v>100</v>
      </c>
      <c r="K965" s="560">
        <f t="shared" si="31"/>
        <v>6</v>
      </c>
      <c r="L965" s="560">
        <f t="shared" si="30"/>
        <v>1</v>
      </c>
      <c r="M965" s="560" t="e">
        <f>SUMIFS('[1]MAIN-101'!$Z$1:$Z$3000,'[1]MAIN-101'!$X$1:$X$3000,S965)</f>
        <v>#VALUE!</v>
      </c>
      <c r="N965" s="560"/>
      <c r="O965" s="560"/>
      <c r="S965" t="str">
        <f>VLOOKUP(C965,'Recon of ORS and DV'!$A$4:$B$358,2,FALSE)</f>
        <v>0370</v>
      </c>
    </row>
    <row r="966" spans="1:19">
      <c r="B966" s="553">
        <v>44265</v>
      </c>
      <c r="C966" t="s">
        <v>1393</v>
      </c>
      <c r="D966" s="28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0">
        <v>23877</v>
      </c>
      <c r="K966" s="560">
        <f t="shared" si="31"/>
        <v>6</v>
      </c>
      <c r="L966" s="560">
        <f t="shared" si="30"/>
        <v>6</v>
      </c>
    </row>
    <row r="967" spans="1:19">
      <c r="B967" s="553">
        <v>44265</v>
      </c>
      <c r="C967" t="s">
        <v>1393</v>
      </c>
      <c r="D967" s="28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0">
        <v>2000</v>
      </c>
      <c r="K967" s="560">
        <f t="shared" si="31"/>
        <v>6</v>
      </c>
      <c r="L967" s="560">
        <f t="shared" si="30"/>
        <v>5</v>
      </c>
    </row>
    <row r="968" spans="1:19">
      <c r="B968" s="553">
        <v>44265</v>
      </c>
      <c r="C968" t="s">
        <v>1393</v>
      </c>
      <c r="D968" s="28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0">
        <v>2865.24</v>
      </c>
      <c r="K968" s="560">
        <f t="shared" si="31"/>
        <v>6</v>
      </c>
      <c r="L968" s="560">
        <f t="shared" si="30"/>
        <v>4</v>
      </c>
    </row>
    <row r="969" spans="1:19">
      <c r="B969" s="553">
        <v>44265</v>
      </c>
      <c r="C969" t="s">
        <v>1393</v>
      </c>
      <c r="D969" s="28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0">
        <v>100</v>
      </c>
      <c r="K969" s="560">
        <f t="shared" si="31"/>
        <v>6</v>
      </c>
      <c r="L969" s="560">
        <f t="shared" si="30"/>
        <v>3</v>
      </c>
    </row>
    <row r="970" spans="1:19">
      <c r="B970" s="553">
        <v>44265</v>
      </c>
      <c r="C970" t="s">
        <v>1393</v>
      </c>
      <c r="D970" s="28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0">
        <v>358.16</v>
      </c>
      <c r="K970" s="560">
        <f t="shared" si="31"/>
        <v>6</v>
      </c>
      <c r="L970" s="560">
        <f t="shared" si="30"/>
        <v>2</v>
      </c>
    </row>
    <row r="971" spans="1:19">
      <c r="A971" t="s">
        <v>2249</v>
      </c>
      <c r="B971" s="553">
        <v>44265</v>
      </c>
      <c r="C971" t="s">
        <v>1393</v>
      </c>
      <c r="D971" s="28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0">
        <v>100</v>
      </c>
      <c r="K971" s="560">
        <f t="shared" si="31"/>
        <v>6</v>
      </c>
      <c r="L971" s="560">
        <f t="shared" si="30"/>
        <v>1</v>
      </c>
      <c r="M971" s="560" t="e">
        <f>SUMIFS('[1]MAIN-101'!$Z$1:$Z$3000,'[1]MAIN-101'!$X$1:$X$3000,S971)</f>
        <v>#VALUE!</v>
      </c>
      <c r="N971" s="560"/>
      <c r="O971" s="560"/>
      <c r="S971" t="str">
        <f>VLOOKUP(C971,'Recon of ORS and DV'!$A$4:$B$358,2,FALSE)</f>
        <v>0371</v>
      </c>
    </row>
    <row r="972" spans="1:19">
      <c r="B972" s="553">
        <v>44265</v>
      </c>
      <c r="C972" t="s">
        <v>1395</v>
      </c>
      <c r="D972" s="28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0">
        <v>23877</v>
      </c>
      <c r="K972" s="560">
        <f t="shared" si="31"/>
        <v>6</v>
      </c>
      <c r="L972" s="560">
        <f t="shared" si="30"/>
        <v>6</v>
      </c>
    </row>
    <row r="973" spans="1:19">
      <c r="B973" s="553">
        <v>44265</v>
      </c>
      <c r="C973" t="s">
        <v>1395</v>
      </c>
      <c r="D973" s="28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0">
        <v>2000</v>
      </c>
      <c r="K973" s="560">
        <f t="shared" si="31"/>
        <v>6</v>
      </c>
      <c r="L973" s="560">
        <f t="shared" si="30"/>
        <v>5</v>
      </c>
    </row>
    <row r="974" spans="1:19">
      <c r="B974" s="553">
        <v>44265</v>
      </c>
      <c r="C974" t="s">
        <v>1395</v>
      </c>
      <c r="D974" s="28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0">
        <v>2865.24</v>
      </c>
      <c r="K974" s="560">
        <f t="shared" si="31"/>
        <v>6</v>
      </c>
      <c r="L974" s="560">
        <f t="shared" si="30"/>
        <v>4</v>
      </c>
    </row>
    <row r="975" spans="1:19">
      <c r="B975" s="553">
        <v>44265</v>
      </c>
      <c r="C975" t="s">
        <v>1395</v>
      </c>
      <c r="D975" s="28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0">
        <v>100</v>
      </c>
      <c r="K975" s="560">
        <f t="shared" si="31"/>
        <v>6</v>
      </c>
      <c r="L975" s="560">
        <f t="shared" ref="L975:L1038" si="32">COUNTIFS(C975:C2528,C975)</f>
        <v>3</v>
      </c>
    </row>
    <row r="976" spans="1:19">
      <c r="B976" s="553">
        <v>44265</v>
      </c>
      <c r="C976" t="s">
        <v>1395</v>
      </c>
      <c r="D976" s="28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0">
        <v>358.16</v>
      </c>
      <c r="K976" s="560">
        <f t="shared" si="31"/>
        <v>6</v>
      </c>
      <c r="L976" s="560">
        <f t="shared" si="32"/>
        <v>2</v>
      </c>
    </row>
    <row r="977" spans="1:19">
      <c r="A977" t="s">
        <v>2250</v>
      </c>
      <c r="B977" s="553">
        <v>44265</v>
      </c>
      <c r="C977" t="s">
        <v>1395</v>
      </c>
      <c r="D977" s="28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0">
        <v>100</v>
      </c>
      <c r="K977" s="560">
        <f t="shared" si="31"/>
        <v>6</v>
      </c>
      <c r="L977" s="560">
        <f t="shared" si="32"/>
        <v>1</v>
      </c>
      <c r="M977" s="560" t="e">
        <f>SUMIFS('[1]MAIN-101'!$Z$1:$Z$3000,'[1]MAIN-101'!$X$1:$X$3000,S977)</f>
        <v>#VALUE!</v>
      </c>
      <c r="N977" s="560"/>
      <c r="O977" s="560"/>
      <c r="S977" t="str">
        <f>VLOOKUP(C977,'Recon of ORS and DV'!$A$4:$B$358,2,FALSE)</f>
        <v>0372</v>
      </c>
    </row>
    <row r="978" spans="1:19">
      <c r="B978" s="553">
        <v>44265</v>
      </c>
      <c r="C978" t="s">
        <v>1396</v>
      </c>
      <c r="D978" s="28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0">
        <v>23877</v>
      </c>
      <c r="K978" s="560">
        <f t="shared" si="31"/>
        <v>6</v>
      </c>
      <c r="L978" s="560">
        <f t="shared" si="32"/>
        <v>6</v>
      </c>
    </row>
    <row r="979" spans="1:19">
      <c r="B979" s="553">
        <v>44265</v>
      </c>
      <c r="C979" t="s">
        <v>1396</v>
      </c>
      <c r="D979" s="28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0">
        <v>2000</v>
      </c>
      <c r="K979" s="560">
        <f t="shared" si="31"/>
        <v>6</v>
      </c>
      <c r="L979" s="560">
        <f t="shared" si="32"/>
        <v>5</v>
      </c>
    </row>
    <row r="980" spans="1:19">
      <c r="B980" s="553">
        <v>44265</v>
      </c>
      <c r="C980" t="s">
        <v>1396</v>
      </c>
      <c r="D980" s="28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0">
        <v>2865.24</v>
      </c>
      <c r="K980" s="560">
        <f t="shared" si="31"/>
        <v>6</v>
      </c>
      <c r="L980" s="560">
        <f t="shared" si="32"/>
        <v>4</v>
      </c>
    </row>
    <row r="981" spans="1:19">
      <c r="B981" s="553">
        <v>44265</v>
      </c>
      <c r="C981" t="s">
        <v>1396</v>
      </c>
      <c r="D981" s="28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0">
        <v>100</v>
      </c>
      <c r="K981" s="560">
        <f t="shared" si="31"/>
        <v>6</v>
      </c>
      <c r="L981" s="560">
        <f t="shared" si="32"/>
        <v>3</v>
      </c>
    </row>
    <row r="982" spans="1:19">
      <c r="B982" s="553">
        <v>44265</v>
      </c>
      <c r="C982" t="s">
        <v>1396</v>
      </c>
      <c r="D982" s="28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0">
        <v>358.16</v>
      </c>
      <c r="K982" s="560">
        <f t="shared" si="31"/>
        <v>6</v>
      </c>
      <c r="L982" s="560">
        <f t="shared" si="32"/>
        <v>2</v>
      </c>
    </row>
    <row r="983" spans="1:19">
      <c r="A983" t="s">
        <v>2251</v>
      </c>
      <c r="B983" s="553">
        <v>44265</v>
      </c>
      <c r="C983" t="s">
        <v>1396</v>
      </c>
      <c r="D983" s="28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0">
        <v>100</v>
      </c>
      <c r="K983" s="560">
        <f t="shared" si="31"/>
        <v>6</v>
      </c>
      <c r="L983" s="560">
        <f t="shared" si="32"/>
        <v>1</v>
      </c>
      <c r="M983" s="560" t="e">
        <f>SUMIFS('[1]MAIN-101'!$Z$1:$Z$3000,'[1]MAIN-101'!$X$1:$X$3000,S983)</f>
        <v>#VALUE!</v>
      </c>
      <c r="N983" s="560"/>
      <c r="O983" s="560"/>
      <c r="S983" t="str">
        <f>VLOOKUP(C983,'Recon of ORS and DV'!$A$4:$B$358,2,FALSE)</f>
        <v>0375</v>
      </c>
    </row>
    <row r="984" spans="1:19">
      <c r="B984" s="553">
        <v>44265</v>
      </c>
      <c r="C984" t="s">
        <v>1397</v>
      </c>
      <c r="D984" s="28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0">
        <v>23877</v>
      </c>
      <c r="K984" s="560">
        <f t="shared" si="31"/>
        <v>6</v>
      </c>
      <c r="L984" s="560">
        <f t="shared" si="32"/>
        <v>6</v>
      </c>
    </row>
    <row r="985" spans="1:19">
      <c r="B985" s="553">
        <v>44265</v>
      </c>
      <c r="C985" t="s">
        <v>1397</v>
      </c>
      <c r="D985" s="28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0">
        <v>2000</v>
      </c>
      <c r="K985" s="560">
        <f t="shared" si="31"/>
        <v>6</v>
      </c>
      <c r="L985" s="560">
        <f t="shared" si="32"/>
        <v>5</v>
      </c>
    </row>
    <row r="986" spans="1:19">
      <c r="B986" s="553">
        <v>44265</v>
      </c>
      <c r="C986" t="s">
        <v>1397</v>
      </c>
      <c r="D986" s="28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0">
        <v>2865.24</v>
      </c>
      <c r="K986" s="560">
        <f t="shared" si="31"/>
        <v>6</v>
      </c>
      <c r="L986" s="560">
        <f t="shared" si="32"/>
        <v>4</v>
      </c>
    </row>
    <row r="987" spans="1:19">
      <c r="B987" s="553">
        <v>44265</v>
      </c>
      <c r="C987" t="s">
        <v>1397</v>
      </c>
      <c r="D987" s="28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0">
        <v>100</v>
      </c>
      <c r="K987" s="560">
        <f t="shared" si="31"/>
        <v>6</v>
      </c>
      <c r="L987" s="560">
        <f t="shared" si="32"/>
        <v>3</v>
      </c>
    </row>
    <row r="988" spans="1:19">
      <c r="B988" s="553">
        <v>44265</v>
      </c>
      <c r="C988" t="s">
        <v>1397</v>
      </c>
      <c r="D988" s="28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0">
        <v>358.16</v>
      </c>
      <c r="K988" s="560">
        <f t="shared" si="31"/>
        <v>6</v>
      </c>
      <c r="L988" s="560">
        <f t="shared" si="32"/>
        <v>2</v>
      </c>
    </row>
    <row r="989" spans="1:19">
      <c r="A989" t="s">
        <v>2252</v>
      </c>
      <c r="B989" s="553">
        <v>44265</v>
      </c>
      <c r="C989" t="s">
        <v>1397</v>
      </c>
      <c r="D989" s="28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0">
        <v>100</v>
      </c>
      <c r="K989" s="560">
        <f t="shared" si="31"/>
        <v>6</v>
      </c>
      <c r="L989" s="560">
        <f t="shared" si="32"/>
        <v>1</v>
      </c>
      <c r="M989" s="560" t="e">
        <f>SUMIFS('[1]MAIN-101'!$Z$1:$Z$3000,'[1]MAIN-101'!$X$1:$X$3000,S989)</f>
        <v>#VALUE!</v>
      </c>
      <c r="N989" s="560"/>
      <c r="O989" s="560"/>
      <c r="S989" t="str">
        <f>VLOOKUP(C989,'Recon of ORS and DV'!$A$4:$B$358,2,FALSE)</f>
        <v>0373</v>
      </c>
    </row>
    <row r="990" spans="1:19">
      <c r="B990" s="553">
        <v>44265</v>
      </c>
      <c r="C990" t="s">
        <v>1398</v>
      </c>
      <c r="D990" s="28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0">
        <v>23877</v>
      </c>
      <c r="K990" s="560">
        <f t="shared" si="31"/>
        <v>6</v>
      </c>
      <c r="L990" s="560">
        <f t="shared" si="32"/>
        <v>6</v>
      </c>
    </row>
    <row r="991" spans="1:19">
      <c r="B991" s="553">
        <v>44265</v>
      </c>
      <c r="C991" t="s">
        <v>1398</v>
      </c>
      <c r="D991" s="28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0">
        <v>2000</v>
      </c>
      <c r="K991" s="560">
        <f t="shared" si="31"/>
        <v>6</v>
      </c>
      <c r="L991" s="560">
        <f t="shared" si="32"/>
        <v>5</v>
      </c>
    </row>
    <row r="992" spans="1:19">
      <c r="B992" s="553">
        <v>44265</v>
      </c>
      <c r="C992" t="s">
        <v>1398</v>
      </c>
      <c r="D992" s="28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0">
        <v>2865.24</v>
      </c>
      <c r="K992" s="560">
        <f t="shared" si="31"/>
        <v>6</v>
      </c>
      <c r="L992" s="560">
        <f t="shared" si="32"/>
        <v>4</v>
      </c>
    </row>
    <row r="993" spans="1:19">
      <c r="B993" s="553">
        <v>44265</v>
      </c>
      <c r="C993" t="s">
        <v>1398</v>
      </c>
      <c r="D993" s="28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0">
        <v>100</v>
      </c>
      <c r="K993" s="560">
        <f t="shared" si="31"/>
        <v>6</v>
      </c>
      <c r="L993" s="560">
        <f t="shared" si="32"/>
        <v>3</v>
      </c>
    </row>
    <row r="994" spans="1:19">
      <c r="B994" s="553">
        <v>44265</v>
      </c>
      <c r="C994" t="s">
        <v>1398</v>
      </c>
      <c r="D994" s="28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0">
        <v>358.16</v>
      </c>
      <c r="K994" s="560">
        <f t="shared" si="31"/>
        <v>6</v>
      </c>
      <c r="L994" s="560">
        <f t="shared" si="32"/>
        <v>2</v>
      </c>
    </row>
    <row r="995" spans="1:19">
      <c r="A995" t="s">
        <v>2253</v>
      </c>
      <c r="B995" s="553">
        <v>44265</v>
      </c>
      <c r="C995" t="s">
        <v>1398</v>
      </c>
      <c r="D995" s="28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0">
        <v>100</v>
      </c>
      <c r="K995" s="560">
        <f t="shared" si="31"/>
        <v>6</v>
      </c>
      <c r="L995" s="560">
        <f t="shared" si="32"/>
        <v>1</v>
      </c>
      <c r="M995" s="560" t="e">
        <f>SUMIFS('[1]MAIN-101'!$Z$1:$Z$3000,'[1]MAIN-101'!$X$1:$X$3000,S995)</f>
        <v>#VALUE!</v>
      </c>
      <c r="N995" s="560"/>
      <c r="O995" s="560"/>
      <c r="S995" t="str">
        <f>VLOOKUP(C995,'Recon of ORS and DV'!$A$4:$B$358,2,FALSE)</f>
        <v>0374</v>
      </c>
    </row>
    <row r="996" spans="1:19">
      <c r="B996" s="553">
        <v>44265</v>
      </c>
      <c r="C996" t="s">
        <v>1400</v>
      </c>
      <c r="D996" s="28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0">
        <v>23877</v>
      </c>
      <c r="K996" s="560">
        <f t="shared" si="31"/>
        <v>6</v>
      </c>
      <c r="L996" s="560">
        <f t="shared" si="32"/>
        <v>6</v>
      </c>
    </row>
    <row r="997" spans="1:19">
      <c r="B997" s="553">
        <v>44265</v>
      </c>
      <c r="C997" t="s">
        <v>1400</v>
      </c>
      <c r="D997" s="28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0">
        <v>2000</v>
      </c>
      <c r="K997" s="560">
        <f t="shared" si="31"/>
        <v>6</v>
      </c>
      <c r="L997" s="560">
        <f t="shared" si="32"/>
        <v>5</v>
      </c>
    </row>
    <row r="998" spans="1:19">
      <c r="B998" s="553">
        <v>44265</v>
      </c>
      <c r="C998" t="s">
        <v>1400</v>
      </c>
      <c r="D998" s="28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0">
        <v>2865.24</v>
      </c>
      <c r="K998" s="560">
        <f t="shared" si="31"/>
        <v>6</v>
      </c>
      <c r="L998" s="560">
        <f t="shared" si="32"/>
        <v>4</v>
      </c>
    </row>
    <row r="999" spans="1:19">
      <c r="B999" s="553">
        <v>44265</v>
      </c>
      <c r="C999" t="s">
        <v>1400</v>
      </c>
      <c r="D999" s="28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0">
        <v>100</v>
      </c>
      <c r="K999" s="560">
        <f t="shared" si="31"/>
        <v>6</v>
      </c>
      <c r="L999" s="560">
        <f t="shared" si="32"/>
        <v>3</v>
      </c>
    </row>
    <row r="1000" spans="1:19">
      <c r="B1000" s="553">
        <v>44265</v>
      </c>
      <c r="C1000" t="s">
        <v>1400</v>
      </c>
      <c r="D1000" s="28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0">
        <v>358.16</v>
      </c>
      <c r="K1000" s="560">
        <f t="shared" si="31"/>
        <v>6</v>
      </c>
      <c r="L1000" s="560">
        <f t="shared" si="32"/>
        <v>2</v>
      </c>
    </row>
    <row r="1001" spans="1:19">
      <c r="A1001" t="s">
        <v>2254</v>
      </c>
      <c r="B1001" s="553">
        <v>44265</v>
      </c>
      <c r="C1001" t="s">
        <v>1400</v>
      </c>
      <c r="D1001" s="28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0">
        <v>100</v>
      </c>
      <c r="K1001" s="560">
        <f t="shared" si="31"/>
        <v>6</v>
      </c>
      <c r="L1001" s="560">
        <f t="shared" si="32"/>
        <v>1</v>
      </c>
      <c r="M1001" s="560" t="e">
        <f>SUMIFS('[1]MAIN-101'!$Z$1:$Z$3000,'[1]MAIN-101'!$X$1:$X$3000,S1001)</f>
        <v>#VALUE!</v>
      </c>
      <c r="N1001" s="560"/>
      <c r="O1001" s="560"/>
      <c r="S1001" t="str">
        <f>VLOOKUP(C1001,'Recon of ORS and DV'!$A$4:$B$358,2,FALSE)</f>
        <v>0376</v>
      </c>
    </row>
    <row r="1002" spans="1:19">
      <c r="B1002" s="553">
        <v>44265</v>
      </c>
      <c r="C1002" t="s">
        <v>1401</v>
      </c>
      <c r="D1002" s="28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0">
        <v>1057756</v>
      </c>
      <c r="K1002" s="560">
        <f t="shared" si="31"/>
        <v>30</v>
      </c>
      <c r="L1002" s="560">
        <f t="shared" si="32"/>
        <v>30</v>
      </c>
    </row>
    <row r="1003" spans="1:19">
      <c r="B1003" s="553">
        <v>44265</v>
      </c>
      <c r="C1003" t="s">
        <v>1401</v>
      </c>
      <c r="D1003" s="28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0">
        <v>44000</v>
      </c>
      <c r="K1003" s="560">
        <f t="shared" si="31"/>
        <v>30</v>
      </c>
      <c r="L1003" s="560">
        <f t="shared" si="32"/>
        <v>29</v>
      </c>
    </row>
    <row r="1004" spans="1:19">
      <c r="B1004" s="553">
        <v>44265</v>
      </c>
      <c r="C1004" t="s">
        <v>1401</v>
      </c>
      <c r="D1004" s="28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0">
        <v>126930.72</v>
      </c>
      <c r="K1004" s="560">
        <f t="shared" si="31"/>
        <v>30</v>
      </c>
      <c r="L1004" s="560">
        <f t="shared" si="32"/>
        <v>28</v>
      </c>
    </row>
    <row r="1005" spans="1:19">
      <c r="B1005" s="553">
        <v>44265</v>
      </c>
      <c r="C1005" t="s">
        <v>1401</v>
      </c>
      <c r="D1005" s="28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0">
        <v>2200</v>
      </c>
      <c r="K1005" s="560">
        <f t="shared" si="31"/>
        <v>30</v>
      </c>
      <c r="L1005" s="560">
        <f t="shared" si="32"/>
        <v>27</v>
      </c>
    </row>
    <row r="1006" spans="1:19">
      <c r="B1006" s="553">
        <v>44265</v>
      </c>
      <c r="C1006" t="s">
        <v>1401</v>
      </c>
      <c r="D1006" s="28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0">
        <v>12310.77</v>
      </c>
      <c r="K1006" s="560">
        <f t="shared" si="31"/>
        <v>30</v>
      </c>
      <c r="L1006" s="560">
        <f t="shared" si="32"/>
        <v>26</v>
      </c>
    </row>
    <row r="1007" spans="1:19">
      <c r="B1007" s="553">
        <v>44265</v>
      </c>
      <c r="C1007" t="s">
        <v>1401</v>
      </c>
      <c r="D1007" s="28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0">
        <v>2200</v>
      </c>
      <c r="K1007" s="560">
        <f t="shared" si="31"/>
        <v>30</v>
      </c>
      <c r="L1007" s="560">
        <f t="shared" si="32"/>
        <v>25</v>
      </c>
    </row>
    <row r="1008" spans="1:19">
      <c r="B1008" s="553">
        <v>44265</v>
      </c>
      <c r="C1008" t="s">
        <v>1401</v>
      </c>
      <c r="D1008" s="28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0">
        <v>80214</v>
      </c>
      <c r="K1008" s="560">
        <f t="shared" si="31"/>
        <v>30</v>
      </c>
      <c r="L1008" s="560">
        <f t="shared" si="32"/>
        <v>24</v>
      </c>
    </row>
    <row r="1009" spans="2:12">
      <c r="B1009" s="553">
        <v>44265</v>
      </c>
      <c r="C1009" t="s">
        <v>1401</v>
      </c>
      <c r="D1009" s="28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0">
        <v>4000</v>
      </c>
      <c r="K1009" s="560">
        <f t="shared" si="31"/>
        <v>30</v>
      </c>
      <c r="L1009" s="560">
        <f t="shared" si="32"/>
        <v>23</v>
      </c>
    </row>
    <row r="1010" spans="2:12">
      <c r="B1010" s="553">
        <v>44265</v>
      </c>
      <c r="C1010" t="s">
        <v>1401</v>
      </c>
      <c r="D1010" s="28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0">
        <v>9625.68</v>
      </c>
      <c r="K1010" s="560">
        <f t="shared" si="31"/>
        <v>30</v>
      </c>
      <c r="L1010" s="560">
        <f t="shared" si="32"/>
        <v>22</v>
      </c>
    </row>
    <row r="1011" spans="2:12">
      <c r="B1011" s="553">
        <v>44265</v>
      </c>
      <c r="C1011" t="s">
        <v>1401</v>
      </c>
      <c r="D1011" s="28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0">
        <v>200</v>
      </c>
      <c r="K1011" s="560">
        <f t="shared" si="31"/>
        <v>30</v>
      </c>
      <c r="L1011" s="560">
        <f t="shared" si="32"/>
        <v>21</v>
      </c>
    </row>
    <row r="1012" spans="2:12">
      <c r="B1012" s="553">
        <v>44265</v>
      </c>
      <c r="C1012" t="s">
        <v>1401</v>
      </c>
      <c r="D1012" s="28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0">
        <v>1203.22</v>
      </c>
      <c r="K1012" s="560">
        <f t="shared" si="31"/>
        <v>30</v>
      </c>
      <c r="L1012" s="560">
        <f t="shared" si="32"/>
        <v>20</v>
      </c>
    </row>
    <row r="1013" spans="2:12">
      <c r="B1013" s="553">
        <v>44265</v>
      </c>
      <c r="C1013" t="s">
        <v>1401</v>
      </c>
      <c r="D1013" s="28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0">
        <v>200</v>
      </c>
      <c r="K1013" s="560">
        <f t="shared" si="31"/>
        <v>30</v>
      </c>
      <c r="L1013" s="560">
        <f t="shared" si="32"/>
        <v>19</v>
      </c>
    </row>
    <row r="1014" spans="2:12">
      <c r="B1014" s="553">
        <v>44265</v>
      </c>
      <c r="C1014" t="s">
        <v>1401</v>
      </c>
      <c r="D1014" s="28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0">
        <v>199631</v>
      </c>
      <c r="K1014" s="560">
        <f t="shared" si="31"/>
        <v>30</v>
      </c>
      <c r="L1014" s="560">
        <f t="shared" si="32"/>
        <v>18</v>
      </c>
    </row>
    <row r="1015" spans="2:12">
      <c r="B1015" s="553">
        <v>44265</v>
      </c>
      <c r="C1015" t="s">
        <v>1401</v>
      </c>
      <c r="D1015" s="28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0">
        <v>10000</v>
      </c>
      <c r="K1015" s="560">
        <f t="shared" si="31"/>
        <v>30</v>
      </c>
      <c r="L1015" s="560">
        <f t="shared" si="32"/>
        <v>17</v>
      </c>
    </row>
    <row r="1016" spans="2:12">
      <c r="B1016" s="553">
        <v>44265</v>
      </c>
      <c r="C1016" t="s">
        <v>1401</v>
      </c>
      <c r="D1016" s="28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0">
        <v>23955.72</v>
      </c>
      <c r="K1016" s="560">
        <f t="shared" si="31"/>
        <v>30</v>
      </c>
      <c r="L1016" s="560">
        <f t="shared" si="32"/>
        <v>16</v>
      </c>
    </row>
    <row r="1017" spans="2:12">
      <c r="B1017" s="553">
        <v>44265</v>
      </c>
      <c r="C1017" t="s">
        <v>1401</v>
      </c>
      <c r="D1017" s="28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0">
        <v>500</v>
      </c>
      <c r="K1017" s="560">
        <f t="shared" si="31"/>
        <v>30</v>
      </c>
      <c r="L1017" s="560">
        <f t="shared" si="32"/>
        <v>15</v>
      </c>
    </row>
    <row r="1018" spans="2:12">
      <c r="B1018" s="553">
        <v>44265</v>
      </c>
      <c r="C1018" t="s">
        <v>1401</v>
      </c>
      <c r="D1018" s="28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0">
        <v>2593.35</v>
      </c>
      <c r="K1018" s="560">
        <f t="shared" si="31"/>
        <v>30</v>
      </c>
      <c r="L1018" s="560">
        <f t="shared" si="32"/>
        <v>14</v>
      </c>
    </row>
    <row r="1019" spans="2:12">
      <c r="B1019" s="553">
        <v>44265</v>
      </c>
      <c r="C1019" t="s">
        <v>1401</v>
      </c>
      <c r="D1019" s="28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0">
        <v>500</v>
      </c>
      <c r="K1019" s="560">
        <f t="shared" si="31"/>
        <v>30</v>
      </c>
      <c r="L1019" s="560">
        <f t="shared" si="32"/>
        <v>13</v>
      </c>
    </row>
    <row r="1020" spans="2:12">
      <c r="B1020" s="553">
        <v>44265</v>
      </c>
      <c r="C1020" t="s">
        <v>1401</v>
      </c>
      <c r="D1020" s="28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0">
        <v>190370</v>
      </c>
      <c r="K1020" s="560">
        <f t="shared" si="31"/>
        <v>30</v>
      </c>
      <c r="L1020" s="560">
        <f t="shared" si="32"/>
        <v>12</v>
      </c>
    </row>
    <row r="1021" spans="2:12">
      <c r="B1021" s="553">
        <v>44265</v>
      </c>
      <c r="C1021" t="s">
        <v>1401</v>
      </c>
      <c r="D1021" s="28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0">
        <v>10000</v>
      </c>
      <c r="K1021" s="560">
        <f t="shared" si="31"/>
        <v>30</v>
      </c>
      <c r="L1021" s="560">
        <f t="shared" si="32"/>
        <v>11</v>
      </c>
    </row>
    <row r="1022" spans="2:12">
      <c r="B1022" s="553">
        <v>44265</v>
      </c>
      <c r="C1022" t="s">
        <v>1401</v>
      </c>
      <c r="D1022" s="28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0">
        <v>22844.400000000001</v>
      </c>
      <c r="K1022" s="560">
        <f t="shared" si="31"/>
        <v>30</v>
      </c>
      <c r="L1022" s="560">
        <f t="shared" si="32"/>
        <v>10</v>
      </c>
    </row>
    <row r="1023" spans="2:12">
      <c r="B1023" s="553">
        <v>44265</v>
      </c>
      <c r="C1023" t="s">
        <v>1401</v>
      </c>
      <c r="D1023" s="28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0">
        <v>500</v>
      </c>
      <c r="K1023" s="560">
        <f t="shared" si="31"/>
        <v>30</v>
      </c>
      <c r="L1023" s="560">
        <f t="shared" si="32"/>
        <v>9</v>
      </c>
    </row>
    <row r="1024" spans="2:12">
      <c r="B1024" s="553">
        <v>44265</v>
      </c>
      <c r="C1024" t="s">
        <v>1401</v>
      </c>
      <c r="D1024" s="28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0">
        <v>2855.56</v>
      </c>
      <c r="K1024" s="560">
        <f t="shared" si="31"/>
        <v>30</v>
      </c>
      <c r="L1024" s="560">
        <f t="shared" si="32"/>
        <v>8</v>
      </c>
    </row>
    <row r="1025" spans="1:19">
      <c r="B1025" s="553">
        <v>44265</v>
      </c>
      <c r="C1025" t="s">
        <v>1401</v>
      </c>
      <c r="D1025" s="28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0">
        <v>500</v>
      </c>
      <c r="K1025" s="560">
        <f t="shared" si="31"/>
        <v>30</v>
      </c>
      <c r="L1025" s="560">
        <f t="shared" si="32"/>
        <v>7</v>
      </c>
    </row>
    <row r="1026" spans="1:19">
      <c r="B1026" s="553">
        <v>44265</v>
      </c>
      <c r="C1026" t="s">
        <v>1401</v>
      </c>
      <c r="D1026" s="28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0">
        <v>206068</v>
      </c>
      <c r="K1026" s="560">
        <f t="shared" si="31"/>
        <v>30</v>
      </c>
      <c r="L1026" s="560">
        <f t="shared" si="32"/>
        <v>6</v>
      </c>
    </row>
    <row r="1027" spans="1:19">
      <c r="B1027" s="553">
        <v>44265</v>
      </c>
      <c r="C1027" t="s">
        <v>1401</v>
      </c>
      <c r="D1027" s="28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0">
        <v>10000</v>
      </c>
      <c r="K1027" s="560">
        <f t="shared" si="31"/>
        <v>30</v>
      </c>
      <c r="L1027" s="560">
        <f t="shared" si="32"/>
        <v>5</v>
      </c>
    </row>
    <row r="1028" spans="1:19">
      <c r="B1028" s="553">
        <v>44265</v>
      </c>
      <c r="C1028" t="s">
        <v>1401</v>
      </c>
      <c r="D1028" s="28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0">
        <v>24728.16</v>
      </c>
      <c r="K1028" s="560">
        <f t="shared" ref="K1028:K1091" si="33">COUNTIFS($C$3:$C$1556,C1028)</f>
        <v>30</v>
      </c>
      <c r="L1028" s="560">
        <f t="shared" si="32"/>
        <v>4</v>
      </c>
    </row>
    <row r="1029" spans="1:19">
      <c r="B1029" s="553">
        <v>44265</v>
      </c>
      <c r="C1029" t="s">
        <v>1401</v>
      </c>
      <c r="D1029" s="28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0">
        <v>500</v>
      </c>
      <c r="K1029" s="560">
        <f t="shared" si="33"/>
        <v>30</v>
      </c>
      <c r="L1029" s="560">
        <f t="shared" si="32"/>
        <v>3</v>
      </c>
    </row>
    <row r="1030" spans="1:19">
      <c r="B1030" s="553">
        <v>44265</v>
      </c>
      <c r="C1030" t="s">
        <v>1401</v>
      </c>
      <c r="D1030" s="28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0">
        <v>3077.52</v>
      </c>
      <c r="K1030" s="560">
        <f t="shared" si="33"/>
        <v>30</v>
      </c>
      <c r="L1030" s="560">
        <f t="shared" si="32"/>
        <v>2</v>
      </c>
    </row>
    <row r="1031" spans="1:19">
      <c r="A1031" t="s">
        <v>2255</v>
      </c>
      <c r="B1031" s="553">
        <v>44265</v>
      </c>
      <c r="C1031" t="s">
        <v>1401</v>
      </c>
      <c r="D1031" s="28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0">
        <v>500</v>
      </c>
      <c r="K1031" s="560">
        <f t="shared" si="33"/>
        <v>30</v>
      </c>
      <c r="L1031" s="560">
        <f t="shared" si="32"/>
        <v>1</v>
      </c>
      <c r="M1031" s="560" t="e">
        <f>SUMIFS('[1]MAIN-101'!$Z$1:$Z$3000,'[1]MAIN-101'!$X$1:$X$3000,S1031)</f>
        <v>#VALUE!</v>
      </c>
      <c r="N1031" s="560"/>
      <c r="O1031" s="560"/>
      <c r="S1031" t="str">
        <f>VLOOKUP(C1031,'Recon of ORS and DV'!$A$4:$B$358,2,FALSE)</f>
        <v>0363</v>
      </c>
    </row>
    <row r="1032" spans="1:19">
      <c r="B1032" s="553">
        <v>44265</v>
      </c>
      <c r="C1032" t="s">
        <v>1402</v>
      </c>
      <c r="D1032" s="28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0">
        <v>99206</v>
      </c>
      <c r="K1032" s="560">
        <f t="shared" si="33"/>
        <v>24</v>
      </c>
      <c r="L1032" s="560">
        <f t="shared" si="32"/>
        <v>24</v>
      </c>
    </row>
    <row r="1033" spans="1:19">
      <c r="B1033" s="553">
        <v>44265</v>
      </c>
      <c r="C1033" t="s">
        <v>1402</v>
      </c>
      <c r="D1033" s="28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0">
        <v>8000</v>
      </c>
      <c r="K1033" s="560">
        <f t="shared" si="33"/>
        <v>24</v>
      </c>
      <c r="L1033" s="560">
        <f t="shared" si="32"/>
        <v>23</v>
      </c>
    </row>
    <row r="1034" spans="1:19">
      <c r="B1034" s="553">
        <v>44265</v>
      </c>
      <c r="C1034" t="s">
        <v>1402</v>
      </c>
      <c r="D1034" s="28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0">
        <v>11904.72</v>
      </c>
      <c r="K1034" s="560">
        <f t="shared" si="33"/>
        <v>24</v>
      </c>
      <c r="L1034" s="560">
        <f t="shared" si="32"/>
        <v>22</v>
      </c>
    </row>
    <row r="1035" spans="1:19">
      <c r="B1035" s="553">
        <v>44265</v>
      </c>
      <c r="C1035" t="s">
        <v>1402</v>
      </c>
      <c r="D1035" s="28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0">
        <v>400</v>
      </c>
      <c r="K1035" s="560">
        <f t="shared" si="33"/>
        <v>24</v>
      </c>
      <c r="L1035" s="560">
        <f t="shared" si="32"/>
        <v>21</v>
      </c>
    </row>
    <row r="1036" spans="1:19">
      <c r="B1036" s="553">
        <v>44265</v>
      </c>
      <c r="C1036" t="s">
        <v>1402</v>
      </c>
      <c r="D1036" s="28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0">
        <v>1488.1</v>
      </c>
      <c r="K1036" s="560">
        <f t="shared" si="33"/>
        <v>24</v>
      </c>
      <c r="L1036" s="560">
        <f t="shared" si="32"/>
        <v>20</v>
      </c>
    </row>
    <row r="1037" spans="1:19">
      <c r="B1037" s="553">
        <v>44265</v>
      </c>
      <c r="C1037" t="s">
        <v>1402</v>
      </c>
      <c r="D1037" s="28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0">
        <v>400</v>
      </c>
      <c r="K1037" s="560">
        <f t="shared" si="33"/>
        <v>24</v>
      </c>
      <c r="L1037" s="560">
        <f t="shared" si="32"/>
        <v>19</v>
      </c>
    </row>
    <row r="1038" spans="1:19">
      <c r="B1038" s="553">
        <v>44265</v>
      </c>
      <c r="C1038" t="s">
        <v>1402</v>
      </c>
      <c r="D1038" s="28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0">
        <v>44184</v>
      </c>
      <c r="K1038" s="560">
        <f t="shared" si="33"/>
        <v>24</v>
      </c>
      <c r="L1038" s="560">
        <f t="shared" si="32"/>
        <v>18</v>
      </c>
    </row>
    <row r="1039" spans="1:19">
      <c r="B1039" s="553">
        <v>44265</v>
      </c>
      <c r="C1039" t="s">
        <v>1402</v>
      </c>
      <c r="D1039" s="28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0">
        <v>2000</v>
      </c>
      <c r="K1039" s="560">
        <f t="shared" si="33"/>
        <v>24</v>
      </c>
      <c r="L1039" s="560">
        <f t="shared" ref="L1039:L1102" si="34">COUNTIFS(C1039:C2592,C1039)</f>
        <v>17</v>
      </c>
    </row>
    <row r="1040" spans="1:19">
      <c r="B1040" s="553">
        <v>44265</v>
      </c>
      <c r="C1040" t="s">
        <v>1402</v>
      </c>
      <c r="D1040" s="28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0">
        <v>5302.08</v>
      </c>
      <c r="K1040" s="560">
        <f t="shared" si="33"/>
        <v>24</v>
      </c>
      <c r="L1040" s="560">
        <f t="shared" si="34"/>
        <v>16</v>
      </c>
    </row>
    <row r="1041" spans="1:19">
      <c r="B1041" s="553">
        <v>44265</v>
      </c>
      <c r="C1041" t="s">
        <v>1402</v>
      </c>
      <c r="D1041" s="28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0">
        <v>100</v>
      </c>
      <c r="K1041" s="560">
        <f t="shared" si="33"/>
        <v>24</v>
      </c>
      <c r="L1041" s="560">
        <f t="shared" si="34"/>
        <v>15</v>
      </c>
    </row>
    <row r="1042" spans="1:19">
      <c r="B1042" s="553">
        <v>44265</v>
      </c>
      <c r="C1042" t="s">
        <v>1402</v>
      </c>
      <c r="D1042" s="28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0">
        <v>662.76</v>
      </c>
      <c r="K1042" s="560">
        <f t="shared" si="33"/>
        <v>24</v>
      </c>
      <c r="L1042" s="560">
        <f t="shared" si="34"/>
        <v>14</v>
      </c>
    </row>
    <row r="1043" spans="1:19">
      <c r="B1043" s="553">
        <v>44265</v>
      </c>
      <c r="C1043" t="s">
        <v>1402</v>
      </c>
      <c r="D1043" s="28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0">
        <v>100</v>
      </c>
      <c r="K1043" s="560">
        <f t="shared" si="33"/>
        <v>24</v>
      </c>
      <c r="L1043" s="560">
        <f t="shared" si="34"/>
        <v>13</v>
      </c>
    </row>
    <row r="1044" spans="1:19">
      <c r="B1044" s="553">
        <v>44265</v>
      </c>
      <c r="C1044" t="s">
        <v>1402</v>
      </c>
      <c r="D1044" s="28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0">
        <v>113498</v>
      </c>
      <c r="K1044" s="560">
        <f t="shared" si="33"/>
        <v>24</v>
      </c>
      <c r="L1044" s="560">
        <f t="shared" si="34"/>
        <v>12</v>
      </c>
    </row>
    <row r="1045" spans="1:19">
      <c r="B1045" s="553">
        <v>44265</v>
      </c>
      <c r="C1045" t="s">
        <v>1402</v>
      </c>
      <c r="D1045" s="28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0">
        <v>6000</v>
      </c>
      <c r="K1045" s="560">
        <f t="shared" si="33"/>
        <v>24</v>
      </c>
      <c r="L1045" s="560">
        <f t="shared" si="34"/>
        <v>11</v>
      </c>
    </row>
    <row r="1046" spans="1:19">
      <c r="B1046" s="553">
        <v>44265</v>
      </c>
      <c r="C1046" t="s">
        <v>1402</v>
      </c>
      <c r="D1046" s="28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0">
        <v>13619.76</v>
      </c>
      <c r="K1046" s="560">
        <f t="shared" si="33"/>
        <v>24</v>
      </c>
      <c r="L1046" s="560">
        <f t="shared" si="34"/>
        <v>10</v>
      </c>
    </row>
    <row r="1047" spans="1:19">
      <c r="B1047" s="553">
        <v>44265</v>
      </c>
      <c r="C1047" t="s">
        <v>1402</v>
      </c>
      <c r="D1047" s="28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0">
        <v>300</v>
      </c>
      <c r="K1047" s="560">
        <f t="shared" si="33"/>
        <v>24</v>
      </c>
      <c r="L1047" s="560">
        <f t="shared" si="34"/>
        <v>9</v>
      </c>
    </row>
    <row r="1048" spans="1:19">
      <c r="B1048" s="553">
        <v>44265</v>
      </c>
      <c r="C1048" t="s">
        <v>1402</v>
      </c>
      <c r="D1048" s="28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0">
        <v>1702.48</v>
      </c>
      <c r="K1048" s="560">
        <f t="shared" si="33"/>
        <v>24</v>
      </c>
      <c r="L1048" s="560">
        <f t="shared" si="34"/>
        <v>8</v>
      </c>
    </row>
    <row r="1049" spans="1:19">
      <c r="B1049" s="553">
        <v>44265</v>
      </c>
      <c r="C1049" t="s">
        <v>1402</v>
      </c>
      <c r="D1049" s="28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0">
        <v>300</v>
      </c>
      <c r="K1049" s="560">
        <f t="shared" si="33"/>
        <v>24</v>
      </c>
      <c r="L1049" s="560">
        <f t="shared" si="34"/>
        <v>7</v>
      </c>
    </row>
    <row r="1050" spans="1:19">
      <c r="B1050" s="553">
        <v>44265</v>
      </c>
      <c r="C1050" t="s">
        <v>1402</v>
      </c>
      <c r="D1050" s="28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0">
        <v>136714</v>
      </c>
      <c r="K1050" s="560">
        <f t="shared" si="33"/>
        <v>24</v>
      </c>
      <c r="L1050" s="560">
        <f t="shared" si="34"/>
        <v>6</v>
      </c>
    </row>
    <row r="1051" spans="1:19">
      <c r="B1051" s="553">
        <v>44265</v>
      </c>
      <c r="C1051" t="s">
        <v>1402</v>
      </c>
      <c r="D1051" s="28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0">
        <v>6000</v>
      </c>
      <c r="K1051" s="560">
        <f t="shared" si="33"/>
        <v>24</v>
      </c>
      <c r="L1051" s="560">
        <f t="shared" si="34"/>
        <v>5</v>
      </c>
    </row>
    <row r="1052" spans="1:19">
      <c r="B1052" s="553">
        <v>44265</v>
      </c>
      <c r="C1052" t="s">
        <v>1402</v>
      </c>
      <c r="D1052" s="28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0">
        <v>16405.68</v>
      </c>
      <c r="K1052" s="560">
        <f t="shared" si="33"/>
        <v>24</v>
      </c>
      <c r="L1052" s="560">
        <f t="shared" si="34"/>
        <v>4</v>
      </c>
    </row>
    <row r="1053" spans="1:19">
      <c r="B1053" s="553">
        <v>44265</v>
      </c>
      <c r="C1053" t="s">
        <v>1402</v>
      </c>
      <c r="D1053" s="28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0">
        <v>300</v>
      </c>
      <c r="K1053" s="560">
        <f t="shared" si="33"/>
        <v>24</v>
      </c>
      <c r="L1053" s="560">
        <f t="shared" si="34"/>
        <v>3</v>
      </c>
    </row>
    <row r="1054" spans="1:19">
      <c r="B1054" s="553">
        <v>44265</v>
      </c>
      <c r="C1054" t="s">
        <v>1402</v>
      </c>
      <c r="D1054" s="28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0">
        <v>1924.49</v>
      </c>
      <c r="K1054" s="560">
        <f t="shared" si="33"/>
        <v>24</v>
      </c>
      <c r="L1054" s="560">
        <f t="shared" si="34"/>
        <v>2</v>
      </c>
    </row>
    <row r="1055" spans="1:19">
      <c r="A1055" t="s">
        <v>2256</v>
      </c>
      <c r="B1055" s="553">
        <v>44265</v>
      </c>
      <c r="C1055" t="s">
        <v>1402</v>
      </c>
      <c r="D1055" s="28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0">
        <v>300</v>
      </c>
      <c r="K1055" s="560">
        <f t="shared" si="33"/>
        <v>24</v>
      </c>
      <c r="L1055" s="560">
        <f t="shared" si="34"/>
        <v>1</v>
      </c>
      <c r="M1055" s="560" t="e">
        <f>SUMIFS('[1]MAIN-101'!$Z$1:$Z$3000,'[1]MAIN-101'!$X$1:$X$3000,S1055)</f>
        <v>#VALUE!</v>
      </c>
      <c r="N1055" s="560"/>
      <c r="O1055" s="560"/>
      <c r="S1055" t="str">
        <f>VLOOKUP(C1055,'Recon of ORS and DV'!$A$4:$B$358,2,FALSE)</f>
        <v>0377</v>
      </c>
    </row>
    <row r="1056" spans="1:19">
      <c r="B1056" s="553">
        <v>44265</v>
      </c>
      <c r="C1056" t="s">
        <v>1403</v>
      </c>
      <c r="D1056" s="28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0">
        <v>33575</v>
      </c>
      <c r="K1056" s="560">
        <f t="shared" si="33"/>
        <v>6</v>
      </c>
      <c r="L1056" s="560">
        <f t="shared" si="34"/>
        <v>6</v>
      </c>
    </row>
    <row r="1057" spans="1:19">
      <c r="B1057" s="553">
        <v>44265</v>
      </c>
      <c r="C1057" t="s">
        <v>1403</v>
      </c>
      <c r="D1057" s="28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0">
        <v>2000</v>
      </c>
      <c r="K1057" s="560">
        <f t="shared" si="33"/>
        <v>6</v>
      </c>
      <c r="L1057" s="560">
        <f t="shared" si="34"/>
        <v>5</v>
      </c>
    </row>
    <row r="1058" spans="1:19">
      <c r="B1058" s="553">
        <v>44265</v>
      </c>
      <c r="C1058" t="s">
        <v>1403</v>
      </c>
      <c r="D1058" s="28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0">
        <v>4029</v>
      </c>
      <c r="K1058" s="560">
        <f t="shared" si="33"/>
        <v>6</v>
      </c>
      <c r="L1058" s="560">
        <f t="shared" si="34"/>
        <v>4</v>
      </c>
    </row>
    <row r="1059" spans="1:19">
      <c r="B1059" s="553">
        <v>44265</v>
      </c>
      <c r="C1059" t="s">
        <v>1403</v>
      </c>
      <c r="D1059" s="28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0">
        <v>100</v>
      </c>
      <c r="K1059" s="560">
        <f t="shared" si="33"/>
        <v>6</v>
      </c>
      <c r="L1059" s="560">
        <f t="shared" si="34"/>
        <v>3</v>
      </c>
    </row>
    <row r="1060" spans="1:19">
      <c r="B1060" s="553">
        <v>44265</v>
      </c>
      <c r="C1060" t="s">
        <v>1403</v>
      </c>
      <c r="D1060" s="28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0">
        <v>503.63</v>
      </c>
      <c r="K1060" s="560">
        <f t="shared" si="33"/>
        <v>6</v>
      </c>
      <c r="L1060" s="560">
        <f t="shared" si="34"/>
        <v>2</v>
      </c>
    </row>
    <row r="1061" spans="1:19">
      <c r="A1061" t="s">
        <v>2257</v>
      </c>
      <c r="B1061" s="553">
        <v>44265</v>
      </c>
      <c r="C1061" t="s">
        <v>1403</v>
      </c>
      <c r="D1061" s="28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0">
        <v>100</v>
      </c>
      <c r="K1061" s="560">
        <f t="shared" si="33"/>
        <v>6</v>
      </c>
      <c r="L1061" s="560">
        <f t="shared" si="34"/>
        <v>1</v>
      </c>
      <c r="M1061" s="560" t="e">
        <f>SUMIFS('[1]MAIN-101'!$Z$1:$Z$3000,'[1]MAIN-101'!$X$1:$X$3000,S1061)</f>
        <v>#VALUE!</v>
      </c>
      <c r="N1061" s="560"/>
      <c r="O1061" s="560"/>
      <c r="S1061" t="str">
        <f>VLOOKUP(C1061,'Recon of ORS and DV'!$A$4:$B$358,2,FALSE)</f>
        <v>0378</v>
      </c>
    </row>
    <row r="1062" spans="1:19">
      <c r="B1062" s="553">
        <v>44266</v>
      </c>
      <c r="C1062" t="s">
        <v>1405</v>
      </c>
      <c r="D1062" s="28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0">
        <v>23877</v>
      </c>
      <c r="K1062" s="560">
        <f t="shared" si="33"/>
        <v>6</v>
      </c>
      <c r="L1062" s="560">
        <f t="shared" si="34"/>
        <v>6</v>
      </c>
    </row>
    <row r="1063" spans="1:19">
      <c r="B1063" s="553">
        <v>44266</v>
      </c>
      <c r="C1063" t="s">
        <v>1405</v>
      </c>
      <c r="D1063" s="28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0">
        <v>2000</v>
      </c>
      <c r="K1063" s="560">
        <f t="shared" si="33"/>
        <v>6</v>
      </c>
      <c r="L1063" s="560">
        <f t="shared" si="34"/>
        <v>5</v>
      </c>
    </row>
    <row r="1064" spans="1:19">
      <c r="B1064" s="553">
        <v>44266</v>
      </c>
      <c r="C1064" t="s">
        <v>1405</v>
      </c>
      <c r="D1064" s="28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0">
        <v>2865.24</v>
      </c>
      <c r="K1064" s="560">
        <f t="shared" si="33"/>
        <v>6</v>
      </c>
      <c r="L1064" s="560">
        <f t="shared" si="34"/>
        <v>4</v>
      </c>
    </row>
    <row r="1065" spans="1:19">
      <c r="B1065" s="553">
        <v>44266</v>
      </c>
      <c r="C1065" t="s">
        <v>1405</v>
      </c>
      <c r="D1065" s="28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0">
        <v>100</v>
      </c>
      <c r="K1065" s="560">
        <f t="shared" si="33"/>
        <v>6</v>
      </c>
      <c r="L1065" s="560">
        <f t="shared" si="34"/>
        <v>3</v>
      </c>
    </row>
    <row r="1066" spans="1:19">
      <c r="B1066" s="553">
        <v>44266</v>
      </c>
      <c r="C1066" t="s">
        <v>1405</v>
      </c>
      <c r="D1066" s="28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0">
        <v>358.16</v>
      </c>
      <c r="K1066" s="560">
        <f t="shared" si="33"/>
        <v>6</v>
      </c>
      <c r="L1066" s="560">
        <f t="shared" si="34"/>
        <v>2</v>
      </c>
    </row>
    <row r="1067" spans="1:19">
      <c r="A1067" t="s">
        <v>2258</v>
      </c>
      <c r="B1067" s="553">
        <v>44266</v>
      </c>
      <c r="C1067" t="s">
        <v>1405</v>
      </c>
      <c r="D1067" s="28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0">
        <v>100</v>
      </c>
      <c r="K1067" s="560">
        <f t="shared" si="33"/>
        <v>6</v>
      </c>
      <c r="L1067" s="560">
        <f t="shared" si="34"/>
        <v>1</v>
      </c>
      <c r="M1067" s="560" t="e">
        <f>SUMIFS('[1]MAIN-101'!$Z$1:$Z$3000,'[1]MAIN-101'!$X$1:$X$3000,S1067)</f>
        <v>#VALUE!</v>
      </c>
      <c r="N1067" s="560"/>
      <c r="O1067" s="560"/>
      <c r="S1067" t="str">
        <f>VLOOKUP(C1067,'Recon of ORS and DV'!$A$4:$B$358,2,FALSE)</f>
        <v>0382</v>
      </c>
    </row>
    <row r="1068" spans="1:19">
      <c r="A1068" t="s">
        <v>2259</v>
      </c>
      <c r="B1068" s="553">
        <v>44266</v>
      </c>
      <c r="C1068" t="s">
        <v>1407</v>
      </c>
      <c r="D1068" s="28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0">
        <v>2016</v>
      </c>
      <c r="K1068" s="560">
        <f t="shared" si="33"/>
        <v>1</v>
      </c>
      <c r="L1068" s="560">
        <f t="shared" si="34"/>
        <v>1</v>
      </c>
      <c r="M1068" s="560" t="e">
        <f>SUMIFS('[1]MAIN-101'!$Z$1:$Z$3000,'[1]MAIN-101'!$X$1:$X$3000,S1068)</f>
        <v>#VALUE!</v>
      </c>
      <c r="N1068" s="560"/>
      <c r="O1068" s="560"/>
      <c r="S1068" t="str">
        <f>VLOOKUP(C1068,'Recon of ORS and DV'!$A$4:$B$358,2,FALSE)</f>
        <v>0386</v>
      </c>
    </row>
    <row r="1069" spans="1:19">
      <c r="A1069" t="s">
        <v>2260</v>
      </c>
      <c r="B1069" s="553">
        <v>44266</v>
      </c>
      <c r="C1069" t="s">
        <v>1409</v>
      </c>
      <c r="D1069" s="28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0">
        <v>1344</v>
      </c>
      <c r="K1069" s="560">
        <f t="shared" si="33"/>
        <v>1</v>
      </c>
      <c r="L1069" s="560">
        <f t="shared" si="34"/>
        <v>1</v>
      </c>
      <c r="M1069" s="560" t="e">
        <f>SUMIFS('[1]MAIN-101'!$Z$1:$Z$3000,'[1]MAIN-101'!$X$1:$X$3000,S1069)</f>
        <v>#VALUE!</v>
      </c>
      <c r="N1069" s="560"/>
      <c r="O1069" s="560"/>
      <c r="S1069" t="str">
        <f>VLOOKUP(C1069,'Recon of ORS and DV'!$A$4:$B$358,2,FALSE)</f>
        <v>0387</v>
      </c>
    </row>
    <row r="1070" spans="1:19">
      <c r="A1070" t="s">
        <v>2261</v>
      </c>
      <c r="B1070" s="553">
        <v>44266</v>
      </c>
      <c r="C1070" t="s">
        <v>1410</v>
      </c>
      <c r="D1070" s="28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0">
        <v>1651.12</v>
      </c>
      <c r="K1070" s="560">
        <f t="shared" si="33"/>
        <v>1</v>
      </c>
      <c r="L1070" s="560">
        <f t="shared" si="34"/>
        <v>1</v>
      </c>
      <c r="M1070" s="560" t="e">
        <f>SUMIFS('[1]MAIN-101'!$Z$1:$Z$3000,'[1]MAIN-101'!$X$1:$X$3000,S1070)</f>
        <v>#VALUE!</v>
      </c>
      <c r="N1070" s="560"/>
      <c r="O1070" s="560"/>
      <c r="S1070" t="str">
        <f>VLOOKUP(C1070,'Recon of ORS and DV'!$A$4:$B$358,2,FALSE)</f>
        <v>0388</v>
      </c>
    </row>
    <row r="1071" spans="1:19">
      <c r="B1071" s="553">
        <v>44266</v>
      </c>
      <c r="C1071" t="s">
        <v>1412</v>
      </c>
      <c r="D1071" s="28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0">
        <v>23877</v>
      </c>
      <c r="K1071" s="560">
        <f t="shared" si="33"/>
        <v>6</v>
      </c>
      <c r="L1071" s="560">
        <f t="shared" si="34"/>
        <v>6</v>
      </c>
    </row>
    <row r="1072" spans="1:19">
      <c r="B1072" s="553">
        <v>44266</v>
      </c>
      <c r="C1072" t="s">
        <v>1412</v>
      </c>
      <c r="D1072" s="28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0">
        <v>2000</v>
      </c>
      <c r="K1072" s="560">
        <f t="shared" si="33"/>
        <v>6</v>
      </c>
      <c r="L1072" s="560">
        <f t="shared" si="34"/>
        <v>5</v>
      </c>
    </row>
    <row r="1073" spans="1:19">
      <c r="B1073" s="553">
        <v>44266</v>
      </c>
      <c r="C1073" t="s">
        <v>1412</v>
      </c>
      <c r="D1073" s="28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0">
        <v>2865.24</v>
      </c>
      <c r="K1073" s="560">
        <f t="shared" si="33"/>
        <v>6</v>
      </c>
      <c r="L1073" s="560">
        <f t="shared" si="34"/>
        <v>4</v>
      </c>
    </row>
    <row r="1074" spans="1:19">
      <c r="B1074" s="553">
        <v>44266</v>
      </c>
      <c r="C1074" t="s">
        <v>1412</v>
      </c>
      <c r="D1074" s="28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0">
        <v>100</v>
      </c>
      <c r="K1074" s="560">
        <f t="shared" si="33"/>
        <v>6</v>
      </c>
      <c r="L1074" s="560">
        <f t="shared" si="34"/>
        <v>3</v>
      </c>
    </row>
    <row r="1075" spans="1:19">
      <c r="B1075" s="553">
        <v>44266</v>
      </c>
      <c r="C1075" t="s">
        <v>1412</v>
      </c>
      <c r="D1075" s="28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0">
        <v>358.16</v>
      </c>
      <c r="K1075" s="560">
        <f t="shared" si="33"/>
        <v>6</v>
      </c>
      <c r="L1075" s="560">
        <f t="shared" si="34"/>
        <v>2</v>
      </c>
    </row>
    <row r="1076" spans="1:19">
      <c r="A1076" t="s">
        <v>2262</v>
      </c>
      <c r="B1076" s="553">
        <v>44266</v>
      </c>
      <c r="C1076" t="s">
        <v>1412</v>
      </c>
      <c r="D1076" s="28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0">
        <v>100</v>
      </c>
      <c r="K1076" s="560">
        <f t="shared" si="33"/>
        <v>6</v>
      </c>
      <c r="L1076" s="560">
        <f t="shared" si="34"/>
        <v>1</v>
      </c>
      <c r="M1076" s="560" t="e">
        <f>SUMIFS('[1]MAIN-101'!$Z$1:$Z$3000,'[1]MAIN-101'!$X$1:$X$3000,S1076)</f>
        <v>#VALUE!</v>
      </c>
      <c r="N1076" s="560"/>
      <c r="O1076" s="560"/>
      <c r="S1076" t="str">
        <f>VLOOKUP(C1076,'Recon of ORS and DV'!$A$4:$B$358,2,FALSE)</f>
        <v>0383</v>
      </c>
    </row>
    <row r="1077" spans="1:19">
      <c r="B1077" s="553">
        <v>44266</v>
      </c>
      <c r="C1077" t="s">
        <v>1413</v>
      </c>
      <c r="D1077" s="28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0">
        <v>77256</v>
      </c>
      <c r="K1077" s="560">
        <f t="shared" si="33"/>
        <v>6</v>
      </c>
      <c r="L1077" s="560">
        <f t="shared" si="34"/>
        <v>6</v>
      </c>
    </row>
    <row r="1078" spans="1:19">
      <c r="B1078" s="553">
        <v>44266</v>
      </c>
      <c r="C1078" t="s">
        <v>1413</v>
      </c>
      <c r="D1078" s="28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0">
        <v>4000</v>
      </c>
      <c r="K1078" s="560">
        <f t="shared" si="33"/>
        <v>6</v>
      </c>
      <c r="L1078" s="560">
        <f t="shared" si="34"/>
        <v>5</v>
      </c>
    </row>
    <row r="1079" spans="1:19">
      <c r="B1079" s="553">
        <v>44266</v>
      </c>
      <c r="C1079" t="s">
        <v>1413</v>
      </c>
      <c r="D1079" s="28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0">
        <v>9270.7199999999993</v>
      </c>
      <c r="K1079" s="560">
        <f t="shared" si="33"/>
        <v>6</v>
      </c>
      <c r="L1079" s="560">
        <f t="shared" si="34"/>
        <v>4</v>
      </c>
    </row>
    <row r="1080" spans="1:19">
      <c r="B1080" s="553">
        <v>44266</v>
      </c>
      <c r="C1080" t="s">
        <v>1413</v>
      </c>
      <c r="D1080" s="28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0">
        <v>200</v>
      </c>
      <c r="K1080" s="560">
        <f t="shared" si="33"/>
        <v>6</v>
      </c>
      <c r="L1080" s="560">
        <f t="shared" si="34"/>
        <v>3</v>
      </c>
    </row>
    <row r="1081" spans="1:19">
      <c r="B1081" s="553">
        <v>44266</v>
      </c>
      <c r="C1081" t="s">
        <v>1413</v>
      </c>
      <c r="D1081" s="28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0">
        <v>1158.8499999999999</v>
      </c>
      <c r="K1081" s="560">
        <f t="shared" si="33"/>
        <v>6</v>
      </c>
      <c r="L1081" s="560">
        <f t="shared" si="34"/>
        <v>2</v>
      </c>
    </row>
    <row r="1082" spans="1:19">
      <c r="A1082" t="s">
        <v>2263</v>
      </c>
      <c r="B1082" s="553">
        <v>44266</v>
      </c>
      <c r="C1082" t="s">
        <v>1413</v>
      </c>
      <c r="D1082" s="28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0">
        <v>200</v>
      </c>
      <c r="K1082" s="560">
        <f t="shared" si="33"/>
        <v>6</v>
      </c>
      <c r="L1082" s="560">
        <f t="shared" si="34"/>
        <v>1</v>
      </c>
      <c r="M1082" s="560" t="e">
        <f>SUMIFS('[1]MAIN-101'!$Z$1:$Z$3000,'[1]MAIN-101'!$X$1:$X$3000,S1082)</f>
        <v>#VALUE!</v>
      </c>
      <c r="N1082" s="560"/>
      <c r="O1082" s="560"/>
      <c r="S1082" t="str">
        <f>VLOOKUP(C1082,'Recon of ORS and DV'!$A$4:$B$358,2,FALSE)</f>
        <v>0384</v>
      </c>
    </row>
    <row r="1083" spans="1:19">
      <c r="B1083" s="553">
        <v>44266</v>
      </c>
      <c r="C1083" t="s">
        <v>1414</v>
      </c>
      <c r="D1083" s="28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0">
        <v>57452</v>
      </c>
      <c r="K1083" s="560">
        <f t="shared" si="33"/>
        <v>36</v>
      </c>
      <c r="L1083" s="560">
        <f t="shared" si="34"/>
        <v>36</v>
      </c>
    </row>
    <row r="1084" spans="1:19">
      <c r="B1084" s="553">
        <v>44266</v>
      </c>
      <c r="C1084" t="s">
        <v>1414</v>
      </c>
      <c r="D1084" s="28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0">
        <v>4000</v>
      </c>
      <c r="K1084" s="560">
        <f t="shared" si="33"/>
        <v>36</v>
      </c>
      <c r="L1084" s="560">
        <f t="shared" si="34"/>
        <v>35</v>
      </c>
    </row>
    <row r="1085" spans="1:19">
      <c r="B1085" s="553">
        <v>44266</v>
      </c>
      <c r="C1085" t="s">
        <v>1414</v>
      </c>
      <c r="D1085" s="28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0">
        <v>6894.24</v>
      </c>
      <c r="K1085" s="560">
        <f t="shared" si="33"/>
        <v>36</v>
      </c>
      <c r="L1085" s="560">
        <f t="shared" si="34"/>
        <v>34</v>
      </c>
    </row>
    <row r="1086" spans="1:19">
      <c r="B1086" s="553">
        <v>44266</v>
      </c>
      <c r="C1086" t="s">
        <v>1414</v>
      </c>
      <c r="D1086" s="28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0">
        <v>200</v>
      </c>
      <c r="K1086" s="560">
        <f t="shared" si="33"/>
        <v>36</v>
      </c>
      <c r="L1086" s="560">
        <f t="shared" si="34"/>
        <v>33</v>
      </c>
    </row>
    <row r="1087" spans="1:19">
      <c r="B1087" s="553">
        <v>44266</v>
      </c>
      <c r="C1087" t="s">
        <v>1414</v>
      </c>
      <c r="D1087" s="28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0">
        <v>861.79</v>
      </c>
      <c r="K1087" s="560">
        <f t="shared" si="33"/>
        <v>36</v>
      </c>
      <c r="L1087" s="560">
        <f t="shared" si="34"/>
        <v>32</v>
      </c>
    </row>
    <row r="1088" spans="1:19">
      <c r="B1088" s="553">
        <v>44266</v>
      </c>
      <c r="C1088" t="s">
        <v>1414</v>
      </c>
      <c r="D1088" s="28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0">
        <v>200</v>
      </c>
      <c r="K1088" s="560">
        <f t="shared" si="33"/>
        <v>36</v>
      </c>
      <c r="L1088" s="560">
        <f t="shared" si="34"/>
        <v>31</v>
      </c>
    </row>
    <row r="1089" spans="2:12">
      <c r="B1089" s="553">
        <v>44266</v>
      </c>
      <c r="C1089" t="s">
        <v>1414</v>
      </c>
      <c r="D1089" s="28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0">
        <v>130423</v>
      </c>
      <c r="K1089" s="560">
        <f t="shared" si="33"/>
        <v>36</v>
      </c>
      <c r="L1089" s="560">
        <f t="shared" si="34"/>
        <v>30</v>
      </c>
    </row>
    <row r="1090" spans="2:12">
      <c r="B1090" s="553">
        <v>44266</v>
      </c>
      <c r="C1090" t="s">
        <v>1414</v>
      </c>
      <c r="D1090" s="28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0">
        <v>4000</v>
      </c>
      <c r="K1090" s="560">
        <f t="shared" si="33"/>
        <v>36</v>
      </c>
      <c r="L1090" s="560">
        <f t="shared" si="34"/>
        <v>29</v>
      </c>
    </row>
    <row r="1091" spans="2:12">
      <c r="B1091" s="553">
        <v>44266</v>
      </c>
      <c r="C1091" t="s">
        <v>1414</v>
      </c>
      <c r="D1091" s="28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0">
        <v>15650.760000000002</v>
      </c>
      <c r="K1091" s="560">
        <f t="shared" si="33"/>
        <v>36</v>
      </c>
      <c r="L1091" s="560">
        <f t="shared" si="34"/>
        <v>28</v>
      </c>
    </row>
    <row r="1092" spans="2:12">
      <c r="B1092" s="553">
        <v>44266</v>
      </c>
      <c r="C1092" t="s">
        <v>1414</v>
      </c>
      <c r="D1092" s="28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0">
        <v>200</v>
      </c>
      <c r="K1092" s="560">
        <f t="shared" ref="K1092:K1155" si="35">COUNTIFS($C$3:$C$1556,C1092)</f>
        <v>36</v>
      </c>
      <c r="L1092" s="560">
        <f t="shared" si="34"/>
        <v>27</v>
      </c>
    </row>
    <row r="1093" spans="2:12">
      <c r="B1093" s="553">
        <v>44266</v>
      </c>
      <c r="C1093" t="s">
        <v>1414</v>
      </c>
      <c r="D1093" s="28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0">
        <v>1555.22</v>
      </c>
      <c r="K1093" s="560">
        <f t="shared" si="35"/>
        <v>36</v>
      </c>
      <c r="L1093" s="560">
        <f t="shared" si="34"/>
        <v>26</v>
      </c>
    </row>
    <row r="1094" spans="2:12">
      <c r="B1094" s="553">
        <v>44266</v>
      </c>
      <c r="C1094" t="s">
        <v>1414</v>
      </c>
      <c r="D1094" s="28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0">
        <v>200</v>
      </c>
      <c r="K1094" s="560">
        <f t="shared" si="35"/>
        <v>36</v>
      </c>
      <c r="L1094" s="560">
        <f t="shared" si="34"/>
        <v>25</v>
      </c>
    </row>
    <row r="1095" spans="2:12">
      <c r="B1095" s="553">
        <v>44266</v>
      </c>
      <c r="C1095" t="s">
        <v>1414</v>
      </c>
      <c r="D1095" s="28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0">
        <v>111742</v>
      </c>
      <c r="K1095" s="560">
        <f t="shared" si="35"/>
        <v>36</v>
      </c>
      <c r="L1095" s="560">
        <f t="shared" si="34"/>
        <v>24</v>
      </c>
    </row>
    <row r="1096" spans="2:12">
      <c r="B1096" s="553">
        <v>44266</v>
      </c>
      <c r="C1096" t="s">
        <v>1414</v>
      </c>
      <c r="D1096" s="28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0">
        <v>2000</v>
      </c>
      <c r="K1096" s="560">
        <f t="shared" si="35"/>
        <v>36</v>
      </c>
      <c r="L1096" s="560">
        <f t="shared" si="34"/>
        <v>23</v>
      </c>
    </row>
    <row r="1097" spans="2:12">
      <c r="B1097" s="553">
        <v>44266</v>
      </c>
      <c r="C1097" t="s">
        <v>1414</v>
      </c>
      <c r="D1097" s="28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0">
        <v>13409.04</v>
      </c>
      <c r="K1097" s="560">
        <f t="shared" si="35"/>
        <v>36</v>
      </c>
      <c r="L1097" s="560">
        <f t="shared" si="34"/>
        <v>22</v>
      </c>
    </row>
    <row r="1098" spans="2:12">
      <c r="B1098" s="553">
        <v>44266</v>
      </c>
      <c r="C1098" t="s">
        <v>1414</v>
      </c>
      <c r="D1098" s="28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0">
        <v>100</v>
      </c>
      <c r="K1098" s="560">
        <f t="shared" si="35"/>
        <v>36</v>
      </c>
      <c r="L1098" s="560">
        <f t="shared" si="34"/>
        <v>21</v>
      </c>
    </row>
    <row r="1099" spans="2:12">
      <c r="B1099" s="553">
        <v>44266</v>
      </c>
      <c r="C1099" t="s">
        <v>1414</v>
      </c>
      <c r="D1099" s="28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0">
        <v>900</v>
      </c>
      <c r="K1099" s="560">
        <f t="shared" si="35"/>
        <v>36</v>
      </c>
      <c r="L1099" s="560">
        <f t="shared" si="34"/>
        <v>20</v>
      </c>
    </row>
    <row r="1100" spans="2:12">
      <c r="B1100" s="553">
        <v>44266</v>
      </c>
      <c r="C1100" t="s">
        <v>1414</v>
      </c>
      <c r="D1100" s="28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0">
        <v>100</v>
      </c>
      <c r="K1100" s="560">
        <f t="shared" si="35"/>
        <v>36</v>
      </c>
      <c r="L1100" s="560">
        <f t="shared" si="34"/>
        <v>19</v>
      </c>
    </row>
    <row r="1101" spans="2:12">
      <c r="B1101" s="553">
        <v>44266</v>
      </c>
      <c r="C1101" t="s">
        <v>1414</v>
      </c>
      <c r="D1101" s="28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0">
        <v>134419</v>
      </c>
      <c r="K1101" s="560">
        <f t="shared" si="35"/>
        <v>36</v>
      </c>
      <c r="L1101" s="560">
        <f t="shared" si="34"/>
        <v>18</v>
      </c>
    </row>
    <row r="1102" spans="2:12">
      <c r="B1102" s="553">
        <v>44266</v>
      </c>
      <c r="C1102" t="s">
        <v>1414</v>
      </c>
      <c r="D1102" s="28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0">
        <v>4000</v>
      </c>
      <c r="K1102" s="560">
        <f t="shared" si="35"/>
        <v>36</v>
      </c>
      <c r="L1102" s="560">
        <f t="shared" si="34"/>
        <v>17</v>
      </c>
    </row>
    <row r="1103" spans="2:12">
      <c r="B1103" s="553">
        <v>44266</v>
      </c>
      <c r="C1103" t="s">
        <v>1414</v>
      </c>
      <c r="D1103" s="28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0">
        <v>16130.279999999999</v>
      </c>
      <c r="K1103" s="560">
        <f t="shared" si="35"/>
        <v>36</v>
      </c>
      <c r="L1103" s="560">
        <f t="shared" ref="L1103:L1166" si="36">COUNTIFS(C1103:C2656,C1103)</f>
        <v>16</v>
      </c>
    </row>
    <row r="1104" spans="2:12">
      <c r="B1104" s="553">
        <v>44266</v>
      </c>
      <c r="C1104" t="s">
        <v>1414</v>
      </c>
      <c r="D1104" s="28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0">
        <v>200</v>
      </c>
      <c r="K1104" s="560">
        <f t="shared" si="35"/>
        <v>36</v>
      </c>
      <c r="L1104" s="560">
        <f t="shared" si="36"/>
        <v>15</v>
      </c>
    </row>
    <row r="1105" spans="1:19">
      <c r="B1105" s="553">
        <v>44266</v>
      </c>
      <c r="C1105" t="s">
        <v>1414</v>
      </c>
      <c r="D1105" s="28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0">
        <v>1593.92</v>
      </c>
      <c r="K1105" s="560">
        <f t="shared" si="35"/>
        <v>36</v>
      </c>
      <c r="L1105" s="560">
        <f t="shared" si="36"/>
        <v>14</v>
      </c>
    </row>
    <row r="1106" spans="1:19">
      <c r="B1106" s="553">
        <v>44266</v>
      </c>
      <c r="C1106" t="s">
        <v>1414</v>
      </c>
      <c r="D1106" s="28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0">
        <v>200</v>
      </c>
      <c r="K1106" s="560">
        <f t="shared" si="35"/>
        <v>36</v>
      </c>
      <c r="L1106" s="560">
        <f t="shared" si="36"/>
        <v>13</v>
      </c>
    </row>
    <row r="1107" spans="1:19">
      <c r="B1107" s="553">
        <v>44266</v>
      </c>
      <c r="C1107" t="s">
        <v>1414</v>
      </c>
      <c r="D1107" s="28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0">
        <v>91522</v>
      </c>
      <c r="K1107" s="560">
        <f t="shared" si="35"/>
        <v>36</v>
      </c>
      <c r="L1107" s="560">
        <f t="shared" si="36"/>
        <v>12</v>
      </c>
    </row>
    <row r="1108" spans="1:19">
      <c r="B1108" s="553">
        <v>44266</v>
      </c>
      <c r="C1108" t="s">
        <v>1414</v>
      </c>
      <c r="D1108" s="28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0">
        <v>4000</v>
      </c>
      <c r="K1108" s="560">
        <f t="shared" si="35"/>
        <v>36</v>
      </c>
      <c r="L1108" s="560">
        <f t="shared" si="36"/>
        <v>11</v>
      </c>
    </row>
    <row r="1109" spans="1:19">
      <c r="B1109" s="553">
        <v>44266</v>
      </c>
      <c r="C1109" t="s">
        <v>1414</v>
      </c>
      <c r="D1109" s="28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0">
        <v>10982.64</v>
      </c>
      <c r="K1109" s="560">
        <f t="shared" si="35"/>
        <v>36</v>
      </c>
      <c r="L1109" s="560">
        <f t="shared" si="36"/>
        <v>10</v>
      </c>
    </row>
    <row r="1110" spans="1:19">
      <c r="B1110" s="553">
        <v>44266</v>
      </c>
      <c r="C1110" t="s">
        <v>1414</v>
      </c>
      <c r="D1110" s="28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0">
        <v>200</v>
      </c>
      <c r="K1110" s="560">
        <f t="shared" si="35"/>
        <v>36</v>
      </c>
      <c r="L1110" s="560">
        <f t="shared" si="36"/>
        <v>9</v>
      </c>
    </row>
    <row r="1111" spans="1:19">
      <c r="B1111" s="553">
        <v>44266</v>
      </c>
      <c r="C1111" t="s">
        <v>1414</v>
      </c>
      <c r="D1111" s="28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0">
        <v>1372.83</v>
      </c>
      <c r="K1111" s="560">
        <f t="shared" si="35"/>
        <v>36</v>
      </c>
      <c r="L1111" s="560">
        <f t="shared" si="36"/>
        <v>8</v>
      </c>
    </row>
    <row r="1112" spans="1:19">
      <c r="B1112" s="553">
        <v>44266</v>
      </c>
      <c r="C1112" t="s">
        <v>1414</v>
      </c>
      <c r="D1112" s="28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0">
        <v>200</v>
      </c>
      <c r="K1112" s="560">
        <f t="shared" si="35"/>
        <v>36</v>
      </c>
      <c r="L1112" s="560">
        <f t="shared" si="36"/>
        <v>7</v>
      </c>
    </row>
    <row r="1113" spans="1:19">
      <c r="B1113" s="553">
        <v>44266</v>
      </c>
      <c r="C1113" t="s">
        <v>1414</v>
      </c>
      <c r="D1113" s="28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0">
        <v>43681</v>
      </c>
      <c r="K1113" s="560">
        <f t="shared" si="35"/>
        <v>36</v>
      </c>
      <c r="L1113" s="560">
        <f t="shared" si="36"/>
        <v>6</v>
      </c>
    </row>
    <row r="1114" spans="1:19">
      <c r="B1114" s="553">
        <v>44266</v>
      </c>
      <c r="C1114" t="s">
        <v>1414</v>
      </c>
      <c r="D1114" s="28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0">
        <v>2000</v>
      </c>
      <c r="K1114" s="560">
        <f t="shared" si="35"/>
        <v>36</v>
      </c>
      <c r="L1114" s="560">
        <f t="shared" si="36"/>
        <v>5</v>
      </c>
    </row>
    <row r="1115" spans="1:19">
      <c r="B1115" s="553">
        <v>44266</v>
      </c>
      <c r="C1115" t="s">
        <v>1414</v>
      </c>
      <c r="D1115" s="28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0">
        <v>5241.72</v>
      </c>
      <c r="K1115" s="560">
        <f t="shared" si="35"/>
        <v>36</v>
      </c>
      <c r="L1115" s="560">
        <f t="shared" si="36"/>
        <v>4</v>
      </c>
    </row>
    <row r="1116" spans="1:19">
      <c r="B1116" s="553">
        <v>44266</v>
      </c>
      <c r="C1116" t="s">
        <v>1414</v>
      </c>
      <c r="D1116" s="28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0">
        <v>100</v>
      </c>
      <c r="K1116" s="560">
        <f t="shared" si="35"/>
        <v>36</v>
      </c>
      <c r="L1116" s="560">
        <f t="shared" si="36"/>
        <v>3</v>
      </c>
    </row>
    <row r="1117" spans="1:19">
      <c r="B1117" s="553">
        <v>44266</v>
      </c>
      <c r="C1117" t="s">
        <v>1414</v>
      </c>
      <c r="D1117" s="28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0">
        <v>655.22</v>
      </c>
      <c r="K1117" s="560">
        <f t="shared" si="35"/>
        <v>36</v>
      </c>
      <c r="L1117" s="560">
        <f t="shared" si="36"/>
        <v>2</v>
      </c>
    </row>
    <row r="1118" spans="1:19">
      <c r="A1118" t="s">
        <v>2264</v>
      </c>
      <c r="B1118" s="553">
        <v>44266</v>
      </c>
      <c r="C1118" t="s">
        <v>1414</v>
      </c>
      <c r="D1118" s="28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0">
        <v>100</v>
      </c>
      <c r="K1118" s="560">
        <f t="shared" si="35"/>
        <v>36</v>
      </c>
      <c r="L1118" s="560">
        <f t="shared" si="36"/>
        <v>1</v>
      </c>
      <c r="M1118" s="560" t="e">
        <f>SUMIFS('[1]MAIN-101'!$Z$1:$Z$3000,'[1]MAIN-101'!$X$1:$X$3000,S1118)</f>
        <v>#VALUE!</v>
      </c>
      <c r="N1118" s="560"/>
      <c r="O1118" s="560"/>
      <c r="S1118" t="str">
        <f>VLOOKUP(C1118,'Recon of ORS and DV'!$A$4:$B$358,2,FALSE)</f>
        <v>0385</v>
      </c>
    </row>
    <row r="1119" spans="1:19">
      <c r="A1119" t="s">
        <v>2265</v>
      </c>
      <c r="B1119" s="553">
        <v>44266</v>
      </c>
      <c r="C1119" t="s">
        <v>1415</v>
      </c>
      <c r="D1119" s="28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0">
        <v>0</v>
      </c>
      <c r="K1119" s="560">
        <f t="shared" si="35"/>
        <v>1</v>
      </c>
      <c r="L1119" s="560">
        <f t="shared" si="36"/>
        <v>1</v>
      </c>
      <c r="M1119" s="560" t="e">
        <f>SUMIFS('[1]MAIN-101'!$Z$1:$Z$3000,'[1]MAIN-101'!$X$1:$X$3000,S1119)</f>
        <v>#VALUE!</v>
      </c>
      <c r="N1119" s="560"/>
      <c r="O1119" s="560"/>
      <c r="S1119" t="str">
        <f>VLOOKUP(C1119,'Recon of ORS and DV'!$A$4:$B$358,2,FALSE)</f>
        <v>0461</v>
      </c>
    </row>
    <row r="1120" spans="1:19">
      <c r="A1120" t="s">
        <v>2266</v>
      </c>
      <c r="B1120" s="553">
        <v>44266</v>
      </c>
      <c r="C1120" t="s">
        <v>1417</v>
      </c>
      <c r="D1120" s="28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0">
        <v>22000</v>
      </c>
      <c r="K1120" s="560">
        <f t="shared" si="35"/>
        <v>1</v>
      </c>
      <c r="L1120" s="560">
        <f t="shared" si="36"/>
        <v>1</v>
      </c>
      <c r="M1120" s="560" t="e">
        <f>SUMIFS('[1]MAIN-101'!$Z$1:$Z$3000,'[1]MAIN-101'!$X$1:$X$3000,S1120)</f>
        <v>#VALUE!</v>
      </c>
      <c r="N1120" s="560"/>
      <c r="O1120" s="560"/>
      <c r="S1120" t="str">
        <f>VLOOKUP(C1120,'Recon of ORS and DV'!$A$4:$B$358,2,FALSE)</f>
        <v>0389</v>
      </c>
    </row>
    <row r="1121" spans="1:19">
      <c r="A1121" t="s">
        <v>2267</v>
      </c>
      <c r="B1121" s="553">
        <v>44271</v>
      </c>
      <c r="C1121" t="s">
        <v>1420</v>
      </c>
      <c r="D1121" s="28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0">
        <v>14000</v>
      </c>
      <c r="K1121" s="560">
        <f t="shared" si="35"/>
        <v>1</v>
      </c>
      <c r="L1121" s="560">
        <f t="shared" si="36"/>
        <v>1</v>
      </c>
      <c r="M1121" s="560" t="e">
        <f>SUMIFS('[1]MAIN-101'!$Z$1:$Z$3000,'[1]MAIN-101'!$X$1:$X$3000,S1121)</f>
        <v>#VALUE!</v>
      </c>
      <c r="N1121" s="560"/>
      <c r="O1121" s="560"/>
      <c r="S1121" t="str">
        <f>VLOOKUP(C1121,'Recon of ORS and DV'!$A$4:$B$358,2,FALSE)</f>
        <v>0399</v>
      </c>
    </row>
    <row r="1122" spans="1:19">
      <c r="A1122" t="s">
        <v>2268</v>
      </c>
      <c r="B1122" s="553">
        <v>44271</v>
      </c>
      <c r="C1122" t="s">
        <v>1422</v>
      </c>
      <c r="D1122" s="28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0">
        <v>7873</v>
      </c>
      <c r="K1122" s="560">
        <f t="shared" si="35"/>
        <v>1</v>
      </c>
      <c r="L1122" s="560">
        <f t="shared" si="36"/>
        <v>1</v>
      </c>
      <c r="M1122" s="560" t="e">
        <f>SUMIFS('[1]MAIN-101'!$Z$1:$Z$3000,'[1]MAIN-101'!$X$1:$X$3000,S1122)</f>
        <v>#VALUE!</v>
      </c>
      <c r="N1122" s="560"/>
      <c r="O1122" s="560"/>
      <c r="S1122" t="str">
        <f>VLOOKUP(C1122,'Recon of ORS and DV'!$A$4:$B$358,2,FALSE)</f>
        <v>0462</v>
      </c>
    </row>
    <row r="1123" spans="1:19">
      <c r="B1123" s="553">
        <v>44271</v>
      </c>
      <c r="C1123" t="s">
        <v>1424</v>
      </c>
      <c r="D1123" s="28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0">
        <v>57498</v>
      </c>
      <c r="K1123" s="560">
        <f t="shared" si="35"/>
        <v>4</v>
      </c>
      <c r="L1123" s="560">
        <f t="shared" si="36"/>
        <v>4</v>
      </c>
    </row>
    <row r="1124" spans="1:19">
      <c r="B1124" s="553">
        <v>44271</v>
      </c>
      <c r="C1124" t="s">
        <v>1424</v>
      </c>
      <c r="D1124" s="28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0">
        <v>525004</v>
      </c>
      <c r="K1124" s="560">
        <f t="shared" si="35"/>
        <v>4</v>
      </c>
      <c r="L1124" s="560">
        <f t="shared" si="36"/>
        <v>3</v>
      </c>
    </row>
    <row r="1125" spans="1:19">
      <c r="B1125" s="553">
        <v>44271</v>
      </c>
      <c r="C1125" t="s">
        <v>1424</v>
      </c>
      <c r="D1125" s="28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0">
        <v>19166</v>
      </c>
      <c r="K1125" s="560">
        <f t="shared" si="35"/>
        <v>4</v>
      </c>
      <c r="L1125" s="560">
        <f t="shared" si="36"/>
        <v>2</v>
      </c>
    </row>
    <row r="1126" spans="1:19">
      <c r="A1126" t="s">
        <v>2269</v>
      </c>
      <c r="B1126" s="553">
        <v>44271</v>
      </c>
      <c r="C1126" t="s">
        <v>1424</v>
      </c>
      <c r="D1126" s="28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0">
        <v>38332</v>
      </c>
      <c r="K1126" s="560">
        <f t="shared" si="35"/>
        <v>4</v>
      </c>
      <c r="L1126" s="560">
        <f t="shared" si="36"/>
        <v>1</v>
      </c>
      <c r="M1126" s="560" t="e">
        <f>SUMIFS('[1]MAIN-101'!$Z$1:$Z$3000,'[1]MAIN-101'!$X$1:$X$3000,S1126)</f>
        <v>#VALUE!</v>
      </c>
      <c r="N1126" s="560"/>
      <c r="O1126" s="560"/>
      <c r="S1126" t="str">
        <f>VLOOKUP(C1126,'Recon of ORS and DV'!$A$4:$B$358,2,FALSE)</f>
        <v>0391</v>
      </c>
    </row>
    <row r="1127" spans="1:19">
      <c r="B1127" s="553">
        <v>44271</v>
      </c>
      <c r="C1127" t="s">
        <v>1425</v>
      </c>
      <c r="D1127" s="28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0">
        <v>20000</v>
      </c>
      <c r="K1127" s="560">
        <f t="shared" si="35"/>
        <v>5</v>
      </c>
      <c r="L1127" s="560">
        <f t="shared" si="36"/>
        <v>5</v>
      </c>
    </row>
    <row r="1128" spans="1:19">
      <c r="B1128" s="553">
        <v>44271</v>
      </c>
      <c r="C1128" t="s">
        <v>1425</v>
      </c>
      <c r="D1128" s="28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0">
        <v>40000</v>
      </c>
      <c r="K1128" s="560">
        <f t="shared" si="35"/>
        <v>5</v>
      </c>
      <c r="L1128" s="560">
        <f t="shared" si="36"/>
        <v>4</v>
      </c>
    </row>
    <row r="1129" spans="1:19">
      <c r="B1129" s="553">
        <v>44271</v>
      </c>
      <c r="C1129" t="s">
        <v>1425</v>
      </c>
      <c r="D1129" s="28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0">
        <v>20000</v>
      </c>
      <c r="K1129" s="560">
        <f t="shared" si="35"/>
        <v>5</v>
      </c>
      <c r="L1129" s="560">
        <f t="shared" si="36"/>
        <v>3</v>
      </c>
    </row>
    <row r="1130" spans="1:19">
      <c r="B1130" s="553">
        <v>44271</v>
      </c>
      <c r="C1130" t="s">
        <v>1425</v>
      </c>
      <c r="D1130" s="28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0">
        <v>60000</v>
      </c>
      <c r="K1130" s="560">
        <f t="shared" si="35"/>
        <v>5</v>
      </c>
      <c r="L1130" s="560">
        <f t="shared" si="36"/>
        <v>2</v>
      </c>
    </row>
    <row r="1131" spans="1:19">
      <c r="A1131" t="s">
        <v>2270</v>
      </c>
      <c r="B1131" s="553">
        <v>44271</v>
      </c>
      <c r="C1131" t="s">
        <v>1425</v>
      </c>
      <c r="D1131" s="28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0">
        <v>20000</v>
      </c>
      <c r="K1131" s="560">
        <f t="shared" si="35"/>
        <v>5</v>
      </c>
      <c r="L1131" s="560">
        <f t="shared" si="36"/>
        <v>1</v>
      </c>
      <c r="M1131" s="560" t="e">
        <f>SUMIFS('[1]MAIN-101'!$Z$1:$Z$3000,'[1]MAIN-101'!$X$1:$X$3000,S1131)</f>
        <v>#VALUE!</v>
      </c>
      <c r="N1131" s="560"/>
      <c r="O1131" s="560"/>
      <c r="S1131" t="str">
        <f>VLOOKUP(C1131,'Recon of ORS and DV'!$A$4:$B$358,2,FALSE)</f>
        <v>0392</v>
      </c>
    </row>
    <row r="1132" spans="1:19">
      <c r="B1132" s="553">
        <v>44271</v>
      </c>
      <c r="C1132" t="s">
        <v>1426</v>
      </c>
      <c r="D1132" s="28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0">
        <v>16700</v>
      </c>
      <c r="K1132" s="560">
        <f t="shared" si="35"/>
        <v>6</v>
      </c>
      <c r="L1132" s="560">
        <f t="shared" si="36"/>
        <v>6</v>
      </c>
    </row>
    <row r="1133" spans="1:19">
      <c r="B1133" s="553">
        <v>44271</v>
      </c>
      <c r="C1133" t="s">
        <v>1426</v>
      </c>
      <c r="D1133" s="28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0">
        <v>73434</v>
      </c>
      <c r="K1133" s="560">
        <f t="shared" si="35"/>
        <v>6</v>
      </c>
      <c r="L1133" s="560">
        <f t="shared" si="36"/>
        <v>5</v>
      </c>
    </row>
    <row r="1134" spans="1:19">
      <c r="B1134" s="553">
        <v>44271</v>
      </c>
      <c r="C1134" t="s">
        <v>1426</v>
      </c>
      <c r="D1134" s="28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0">
        <v>2500</v>
      </c>
      <c r="K1134" s="560">
        <f t="shared" si="35"/>
        <v>6</v>
      </c>
      <c r="L1134" s="560">
        <f t="shared" si="36"/>
        <v>4</v>
      </c>
    </row>
    <row r="1135" spans="1:19">
      <c r="B1135" s="553">
        <v>44271</v>
      </c>
      <c r="C1135" t="s">
        <v>1426</v>
      </c>
      <c r="D1135" s="28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0">
        <v>1500</v>
      </c>
      <c r="K1135" s="560">
        <f t="shared" si="35"/>
        <v>6</v>
      </c>
      <c r="L1135" s="560">
        <f t="shared" si="36"/>
        <v>3</v>
      </c>
    </row>
    <row r="1136" spans="1:19">
      <c r="B1136" s="553">
        <v>44271</v>
      </c>
      <c r="C1136" t="s">
        <v>1426</v>
      </c>
      <c r="D1136" s="28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0">
        <v>24500</v>
      </c>
      <c r="K1136" s="560">
        <f t="shared" si="35"/>
        <v>6</v>
      </c>
      <c r="L1136" s="560">
        <f t="shared" si="36"/>
        <v>2</v>
      </c>
    </row>
    <row r="1137" spans="1:19">
      <c r="A1137" t="s">
        <v>2271</v>
      </c>
      <c r="B1137" s="553">
        <v>44271</v>
      </c>
      <c r="C1137" t="s">
        <v>1426</v>
      </c>
      <c r="D1137" s="28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0">
        <v>1000</v>
      </c>
      <c r="K1137" s="560">
        <f t="shared" si="35"/>
        <v>6</v>
      </c>
      <c r="L1137" s="560">
        <f t="shared" si="36"/>
        <v>1</v>
      </c>
      <c r="M1137" s="560" t="e">
        <f>SUMIFS('[1]MAIN-101'!$Z$1:$Z$3000,'[1]MAIN-101'!$X$1:$X$3000,S1137)</f>
        <v>#VALUE!</v>
      </c>
      <c r="N1137" s="560"/>
      <c r="O1137" s="560"/>
      <c r="S1137" t="str">
        <f>VLOOKUP(C1137,'Recon of ORS and DV'!$A$4:$B$358,2,FALSE)</f>
        <v>0393</v>
      </c>
    </row>
    <row r="1138" spans="1:19">
      <c r="B1138" s="553">
        <v>44271</v>
      </c>
      <c r="C1138" t="s">
        <v>1427</v>
      </c>
      <c r="D1138" s="28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0">
        <v>5000</v>
      </c>
      <c r="K1138" s="560">
        <f t="shared" si="35"/>
        <v>5</v>
      </c>
      <c r="L1138" s="560">
        <f t="shared" si="36"/>
        <v>5</v>
      </c>
    </row>
    <row r="1139" spans="1:19">
      <c r="B1139" s="553">
        <v>44271</v>
      </c>
      <c r="C1139" t="s">
        <v>1427</v>
      </c>
      <c r="D1139" s="28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0">
        <v>45000</v>
      </c>
      <c r="K1139" s="560">
        <f t="shared" si="35"/>
        <v>5</v>
      </c>
      <c r="L1139" s="560">
        <f t="shared" si="36"/>
        <v>4</v>
      </c>
    </row>
    <row r="1140" spans="1:19">
      <c r="B1140" s="553">
        <v>44271</v>
      </c>
      <c r="C1140" t="s">
        <v>1427</v>
      </c>
      <c r="D1140" s="28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0">
        <v>5000</v>
      </c>
      <c r="K1140" s="560">
        <f t="shared" si="35"/>
        <v>5</v>
      </c>
      <c r="L1140" s="560">
        <f t="shared" si="36"/>
        <v>3</v>
      </c>
    </row>
    <row r="1141" spans="1:19">
      <c r="B1141" s="553">
        <v>44271</v>
      </c>
      <c r="C1141" t="s">
        <v>1427</v>
      </c>
      <c r="D1141" s="28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0">
        <v>15000</v>
      </c>
      <c r="K1141" s="560">
        <f t="shared" si="35"/>
        <v>5</v>
      </c>
      <c r="L1141" s="560">
        <f t="shared" si="36"/>
        <v>2</v>
      </c>
    </row>
    <row r="1142" spans="1:19">
      <c r="A1142" t="s">
        <v>2272</v>
      </c>
      <c r="B1142" s="553">
        <v>44271</v>
      </c>
      <c r="C1142" t="s">
        <v>1427</v>
      </c>
      <c r="D1142" s="28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0">
        <v>24707.14</v>
      </c>
      <c r="K1142" s="560">
        <f t="shared" si="35"/>
        <v>5</v>
      </c>
      <c r="L1142" s="560">
        <f t="shared" si="36"/>
        <v>1</v>
      </c>
      <c r="M1142" s="560" t="e">
        <f>SUMIFS('[1]MAIN-101'!$Z$1:$Z$3000,'[1]MAIN-101'!$X$1:$X$3000,S1142)</f>
        <v>#VALUE!</v>
      </c>
      <c r="N1142" s="560"/>
      <c r="O1142" s="560"/>
      <c r="S1142" t="str">
        <f>VLOOKUP(C1142,'Recon of ORS and DV'!$A$4:$B$358,2,FALSE)</f>
        <v>0390</v>
      </c>
    </row>
    <row r="1143" spans="1:19">
      <c r="A1143" t="s">
        <v>2273</v>
      </c>
      <c r="B1143" s="553">
        <v>44271</v>
      </c>
      <c r="C1143" t="s">
        <v>1428</v>
      </c>
      <c r="D1143" s="28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0">
        <v>11000</v>
      </c>
      <c r="K1143" s="560">
        <f t="shared" si="35"/>
        <v>1</v>
      </c>
      <c r="L1143" s="560">
        <f t="shared" si="36"/>
        <v>1</v>
      </c>
      <c r="M1143" s="560" t="e">
        <f>SUMIFS('[1]MAIN-101'!$Z$1:$Z$3000,'[1]MAIN-101'!$X$1:$X$3000,S1143)</f>
        <v>#VALUE!</v>
      </c>
      <c r="N1143" s="560"/>
      <c r="O1143" s="560"/>
      <c r="S1143" t="str">
        <f>VLOOKUP(C1143,'Recon of ORS and DV'!$A$4:$B$358,2,FALSE)</f>
        <v>0463</v>
      </c>
    </row>
    <row r="1144" spans="1:19">
      <c r="A1144" t="s">
        <v>2274</v>
      </c>
      <c r="B1144" s="553">
        <v>44271</v>
      </c>
      <c r="C1144" t="s">
        <v>1430</v>
      </c>
      <c r="D1144" s="28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0">
        <v>3760</v>
      </c>
      <c r="K1144" s="560">
        <f t="shared" si="35"/>
        <v>1</v>
      </c>
      <c r="L1144" s="560">
        <f t="shared" si="36"/>
        <v>1</v>
      </c>
      <c r="M1144" s="560" t="e">
        <f>SUMIFS('[1]MAIN-101'!$Z$1:$Z$3000,'[1]MAIN-101'!$X$1:$X$3000,S1144)</f>
        <v>#VALUE!</v>
      </c>
      <c r="N1144" s="560"/>
      <c r="O1144" s="560"/>
      <c r="S1144" t="str">
        <f>VLOOKUP(C1144,'Recon of ORS and DV'!$A$4:$B$358,2,FALSE)</f>
        <v>0454</v>
      </c>
    </row>
    <row r="1145" spans="1:19">
      <c r="A1145" t="s">
        <v>2275</v>
      </c>
      <c r="B1145" s="553">
        <v>44271</v>
      </c>
      <c r="C1145" t="s">
        <v>1432</v>
      </c>
      <c r="D1145" s="28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0">
        <v>800</v>
      </c>
      <c r="K1145" s="560">
        <f t="shared" si="35"/>
        <v>1</v>
      </c>
      <c r="L1145" s="560">
        <f t="shared" si="36"/>
        <v>1</v>
      </c>
      <c r="M1145" s="560" t="e">
        <f>SUMIFS('[1]MAIN-101'!$Z$1:$Z$3000,'[1]MAIN-101'!$X$1:$X$3000,S1145)</f>
        <v>#VALUE!</v>
      </c>
      <c r="N1145" s="560"/>
      <c r="O1145" s="560"/>
      <c r="S1145" t="str">
        <f>VLOOKUP(C1145,'Recon of ORS and DV'!$A$4:$B$358,2,FALSE)</f>
        <v>0449</v>
      </c>
    </row>
    <row r="1146" spans="1:19">
      <c r="A1146" t="s">
        <v>2276</v>
      </c>
      <c r="B1146" s="553">
        <v>44271</v>
      </c>
      <c r="C1146" t="s">
        <v>1435</v>
      </c>
      <c r="D1146" s="28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0">
        <v>30000</v>
      </c>
      <c r="K1146" s="560">
        <f t="shared" si="35"/>
        <v>1</v>
      </c>
      <c r="L1146" s="560">
        <f t="shared" si="36"/>
        <v>1</v>
      </c>
      <c r="M1146" s="560" t="e">
        <f>SUMIFS('[1]MAIN-101'!$Z$1:$Z$3000,'[1]MAIN-101'!$X$1:$X$3000,S1146)</f>
        <v>#VALUE!</v>
      </c>
      <c r="N1146" s="560"/>
      <c r="O1146" s="560"/>
      <c r="S1146" t="str">
        <f>VLOOKUP(C1146,'Recon of ORS and DV'!$A$4:$B$358,2,FALSE)</f>
        <v>0455</v>
      </c>
    </row>
    <row r="1147" spans="1:19">
      <c r="B1147" s="553">
        <v>44271</v>
      </c>
      <c r="C1147" t="s">
        <v>1438</v>
      </c>
      <c r="D1147" s="28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0">
        <v>114000</v>
      </c>
      <c r="K1147" s="560">
        <f t="shared" si="35"/>
        <v>5</v>
      </c>
      <c r="L1147" s="560">
        <f t="shared" si="36"/>
        <v>5</v>
      </c>
    </row>
    <row r="1148" spans="1:19">
      <c r="B1148" s="553">
        <v>44271</v>
      </c>
      <c r="C1148" t="s">
        <v>1438</v>
      </c>
      <c r="D1148" s="28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0">
        <v>12000</v>
      </c>
      <c r="K1148" s="560">
        <f t="shared" si="35"/>
        <v>5</v>
      </c>
      <c r="L1148" s="560">
        <f t="shared" si="36"/>
        <v>4</v>
      </c>
    </row>
    <row r="1149" spans="1:19">
      <c r="B1149" s="553">
        <v>44271</v>
      </c>
      <c r="C1149" t="s">
        <v>1438</v>
      </c>
      <c r="D1149" s="28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0">
        <v>30000</v>
      </c>
      <c r="K1149" s="560">
        <f t="shared" si="35"/>
        <v>5</v>
      </c>
      <c r="L1149" s="560">
        <f t="shared" si="36"/>
        <v>3</v>
      </c>
    </row>
    <row r="1150" spans="1:19">
      <c r="B1150" s="553">
        <v>44271</v>
      </c>
      <c r="C1150" t="s">
        <v>1438</v>
      </c>
      <c r="D1150" s="28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0">
        <v>30000</v>
      </c>
      <c r="K1150" s="560">
        <f t="shared" si="35"/>
        <v>5</v>
      </c>
      <c r="L1150" s="560">
        <f t="shared" si="36"/>
        <v>2</v>
      </c>
    </row>
    <row r="1151" spans="1:19">
      <c r="A1151" t="s">
        <v>2563</v>
      </c>
      <c r="B1151" s="553">
        <v>44271</v>
      </c>
      <c r="C1151" t="s">
        <v>1438</v>
      </c>
      <c r="D1151" s="28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0">
        <v>30000</v>
      </c>
      <c r="K1151" s="560">
        <f t="shared" si="35"/>
        <v>5</v>
      </c>
      <c r="L1151" s="560">
        <f t="shared" si="36"/>
        <v>1</v>
      </c>
      <c r="M1151" s="560" t="e">
        <f>SUMIFS('[1]MAIN-101'!$Z$1:$Z$3000,'[1]MAIN-101'!$X$1:$X$3000,S1151)</f>
        <v>#VALUE!</v>
      </c>
      <c r="N1151" s="560"/>
      <c r="O1151" s="560"/>
      <c r="S1151" t="str">
        <f>VLOOKUP(C1151,'Recon of ORS and DV'!$A$4:$B$358,2,FALSE)</f>
        <v>0400</v>
      </c>
    </row>
    <row r="1152" spans="1:19">
      <c r="B1152" s="553">
        <v>44271</v>
      </c>
      <c r="C1152" t="s">
        <v>1440</v>
      </c>
      <c r="D1152" s="28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0">
        <v>12000</v>
      </c>
      <c r="K1152" s="560">
        <f t="shared" si="35"/>
        <v>6</v>
      </c>
      <c r="L1152" s="560">
        <f t="shared" si="36"/>
        <v>6</v>
      </c>
    </row>
    <row r="1153" spans="1:19">
      <c r="B1153" s="553">
        <v>44271</v>
      </c>
      <c r="C1153" t="s">
        <v>1440</v>
      </c>
      <c r="D1153" s="28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0">
        <v>12000</v>
      </c>
      <c r="K1153" s="560">
        <f t="shared" si="35"/>
        <v>6</v>
      </c>
      <c r="L1153" s="560">
        <f t="shared" si="36"/>
        <v>5</v>
      </c>
    </row>
    <row r="1154" spans="1:19">
      <c r="B1154" s="553">
        <v>44271</v>
      </c>
      <c r="C1154" t="s">
        <v>1440</v>
      </c>
      <c r="D1154" s="28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0">
        <v>6000</v>
      </c>
      <c r="K1154" s="560">
        <f t="shared" si="35"/>
        <v>6</v>
      </c>
      <c r="L1154" s="560">
        <f t="shared" si="36"/>
        <v>4</v>
      </c>
    </row>
    <row r="1155" spans="1:19">
      <c r="B1155" s="553">
        <v>44271</v>
      </c>
      <c r="C1155" t="s">
        <v>1440</v>
      </c>
      <c r="D1155" s="28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0">
        <v>12000</v>
      </c>
      <c r="K1155" s="560">
        <f t="shared" si="35"/>
        <v>6</v>
      </c>
      <c r="L1155" s="560">
        <f t="shared" si="36"/>
        <v>3</v>
      </c>
    </row>
    <row r="1156" spans="1:19">
      <c r="B1156" s="553">
        <v>44271</v>
      </c>
      <c r="C1156" t="s">
        <v>1440</v>
      </c>
      <c r="D1156" s="28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0">
        <v>12000</v>
      </c>
      <c r="K1156" s="560">
        <f t="shared" ref="K1156:K1219" si="37">COUNTIFS($C$3:$C$1556,C1156)</f>
        <v>6</v>
      </c>
      <c r="L1156" s="560">
        <f t="shared" si="36"/>
        <v>2</v>
      </c>
    </row>
    <row r="1157" spans="1:19">
      <c r="A1157" t="s">
        <v>2278</v>
      </c>
      <c r="B1157" s="553">
        <v>44271</v>
      </c>
      <c r="C1157" t="s">
        <v>1440</v>
      </c>
      <c r="D1157" s="28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0">
        <v>6000</v>
      </c>
      <c r="K1157" s="560">
        <f t="shared" si="37"/>
        <v>6</v>
      </c>
      <c r="L1157" s="560">
        <f t="shared" si="36"/>
        <v>1</v>
      </c>
      <c r="M1157" s="560" t="e">
        <f>SUMIFS('[1]MAIN-101'!$Z$1:$Z$3000,'[1]MAIN-101'!$X$1:$X$3000,S1157)</f>
        <v>#VALUE!</v>
      </c>
      <c r="N1157" s="560"/>
      <c r="O1157" s="560"/>
      <c r="S1157" t="str">
        <f>VLOOKUP(C1157,'Recon of ORS and DV'!$A$4:$B$358,2,FALSE)</f>
        <v>0394</v>
      </c>
    </row>
    <row r="1158" spans="1:19">
      <c r="B1158" s="553">
        <v>44271</v>
      </c>
      <c r="C1158" t="s">
        <v>1441</v>
      </c>
      <c r="D1158" s="28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0">
        <v>24000</v>
      </c>
      <c r="K1158" s="560">
        <f t="shared" si="37"/>
        <v>4</v>
      </c>
      <c r="L1158" s="560">
        <f t="shared" si="36"/>
        <v>4</v>
      </c>
    </row>
    <row r="1159" spans="1:19">
      <c r="B1159" s="553">
        <v>44271</v>
      </c>
      <c r="C1159" t="s">
        <v>1441</v>
      </c>
      <c r="D1159" s="28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0">
        <v>6000</v>
      </c>
      <c r="K1159" s="560">
        <f t="shared" si="37"/>
        <v>4</v>
      </c>
      <c r="L1159" s="560">
        <f t="shared" si="36"/>
        <v>3</v>
      </c>
    </row>
    <row r="1160" spans="1:19">
      <c r="B1160" s="553">
        <v>44271</v>
      </c>
      <c r="C1160" t="s">
        <v>1441</v>
      </c>
      <c r="D1160" s="28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0">
        <v>12000</v>
      </c>
      <c r="K1160" s="560">
        <f t="shared" si="37"/>
        <v>4</v>
      </c>
      <c r="L1160" s="560">
        <f t="shared" si="36"/>
        <v>2</v>
      </c>
    </row>
    <row r="1161" spans="1:19">
      <c r="A1161" t="s">
        <v>2279</v>
      </c>
      <c r="B1161" s="553">
        <v>44271</v>
      </c>
      <c r="C1161" t="s">
        <v>1441</v>
      </c>
      <c r="D1161" s="28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0">
        <v>18000</v>
      </c>
      <c r="K1161" s="560">
        <f t="shared" si="37"/>
        <v>4</v>
      </c>
      <c r="L1161" s="560">
        <f t="shared" si="36"/>
        <v>1</v>
      </c>
      <c r="M1161" s="560" t="e">
        <f>SUMIFS('[1]MAIN-101'!$Z$1:$Z$3000,'[1]MAIN-101'!$X$1:$X$3000,S1161)</f>
        <v>#VALUE!</v>
      </c>
      <c r="N1161" s="560"/>
      <c r="O1161" s="560"/>
      <c r="S1161" t="str">
        <f>VLOOKUP(C1161,'Recon of ORS and DV'!$A$4:$B$358,2,FALSE)</f>
        <v>0395</v>
      </c>
    </row>
    <row r="1162" spans="1:19">
      <c r="B1162" s="553">
        <v>44271</v>
      </c>
      <c r="C1162" t="s">
        <v>1442</v>
      </c>
      <c r="D1162" s="28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0">
        <v>24000</v>
      </c>
      <c r="K1162" s="560">
        <f t="shared" si="37"/>
        <v>4</v>
      </c>
      <c r="L1162" s="560">
        <f t="shared" si="36"/>
        <v>4</v>
      </c>
    </row>
    <row r="1163" spans="1:19">
      <c r="B1163" s="553">
        <v>44271</v>
      </c>
      <c r="C1163" t="s">
        <v>1442</v>
      </c>
      <c r="D1163" s="28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0">
        <v>6000</v>
      </c>
      <c r="K1163" s="560">
        <f t="shared" si="37"/>
        <v>4</v>
      </c>
      <c r="L1163" s="560">
        <f t="shared" si="36"/>
        <v>3</v>
      </c>
    </row>
    <row r="1164" spans="1:19">
      <c r="B1164" s="553">
        <v>44271</v>
      </c>
      <c r="C1164" t="s">
        <v>1442</v>
      </c>
      <c r="D1164" s="28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0">
        <v>18000</v>
      </c>
      <c r="K1164" s="560">
        <f t="shared" si="37"/>
        <v>4</v>
      </c>
      <c r="L1164" s="560">
        <f t="shared" si="36"/>
        <v>2</v>
      </c>
    </row>
    <row r="1165" spans="1:19">
      <c r="A1165" t="s">
        <v>2280</v>
      </c>
      <c r="B1165" s="553">
        <v>44271</v>
      </c>
      <c r="C1165" t="s">
        <v>1442</v>
      </c>
      <c r="D1165" s="28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0">
        <v>18000</v>
      </c>
      <c r="K1165" s="560">
        <f t="shared" si="37"/>
        <v>4</v>
      </c>
      <c r="L1165" s="560">
        <f t="shared" si="36"/>
        <v>1</v>
      </c>
      <c r="M1165" s="560" t="e">
        <f>SUMIFS('[1]MAIN-101'!$Z$1:$Z$3000,'[1]MAIN-101'!$X$1:$X$3000,S1165)</f>
        <v>#VALUE!</v>
      </c>
      <c r="N1165" s="560"/>
      <c r="O1165" s="560"/>
      <c r="S1165" t="str">
        <f>VLOOKUP(C1165,'Recon of ORS and DV'!$A$4:$B$358,2,FALSE)</f>
        <v>0396</v>
      </c>
    </row>
    <row r="1166" spans="1:19">
      <c r="B1166" s="553">
        <v>44271</v>
      </c>
      <c r="C1166" t="s">
        <v>1443</v>
      </c>
      <c r="D1166" s="28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0">
        <v>18000</v>
      </c>
      <c r="K1166" s="560">
        <f t="shared" si="37"/>
        <v>5</v>
      </c>
      <c r="L1166" s="560">
        <f t="shared" si="36"/>
        <v>5</v>
      </c>
    </row>
    <row r="1167" spans="1:19">
      <c r="B1167" s="553">
        <v>44271</v>
      </c>
      <c r="C1167" t="s">
        <v>1443</v>
      </c>
      <c r="D1167" s="28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0">
        <v>6000</v>
      </c>
      <c r="K1167" s="560">
        <f t="shared" si="37"/>
        <v>5</v>
      </c>
      <c r="L1167" s="560">
        <f t="shared" ref="L1167:L1230" si="38">COUNTIFS(C1167:C2720,C1167)</f>
        <v>4</v>
      </c>
    </row>
    <row r="1168" spans="1:19">
      <c r="B1168" s="553">
        <v>44271</v>
      </c>
      <c r="C1168" t="s">
        <v>1443</v>
      </c>
      <c r="D1168" s="28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0">
        <v>6000</v>
      </c>
      <c r="K1168" s="560">
        <f t="shared" si="37"/>
        <v>5</v>
      </c>
      <c r="L1168" s="560">
        <f t="shared" si="38"/>
        <v>3</v>
      </c>
    </row>
    <row r="1169" spans="1:19">
      <c r="B1169" s="553">
        <v>44271</v>
      </c>
      <c r="C1169" t="s">
        <v>1443</v>
      </c>
      <c r="D1169" s="28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0">
        <v>36000</v>
      </c>
      <c r="K1169" s="560">
        <f t="shared" si="37"/>
        <v>5</v>
      </c>
      <c r="L1169" s="560">
        <f t="shared" si="38"/>
        <v>2</v>
      </c>
    </row>
    <row r="1170" spans="1:19">
      <c r="A1170" t="s">
        <v>2281</v>
      </c>
      <c r="B1170" s="553">
        <v>44271</v>
      </c>
      <c r="C1170" t="s">
        <v>1443</v>
      </c>
      <c r="D1170" s="28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0">
        <v>6000</v>
      </c>
      <c r="K1170" s="560">
        <f t="shared" si="37"/>
        <v>5</v>
      </c>
      <c r="L1170" s="560">
        <f t="shared" si="38"/>
        <v>1</v>
      </c>
      <c r="M1170" s="560" t="e">
        <f>SUMIFS('[1]MAIN-101'!$Z$1:$Z$3000,'[1]MAIN-101'!$X$1:$X$3000,S1170)</f>
        <v>#VALUE!</v>
      </c>
      <c r="N1170" s="560"/>
      <c r="O1170" s="560"/>
      <c r="S1170" t="str">
        <f>VLOOKUP(C1170,'Recon of ORS and DV'!$A$4:$B$358,2,FALSE)</f>
        <v>0397</v>
      </c>
    </row>
    <row r="1171" spans="1:19">
      <c r="B1171" s="553">
        <v>44271</v>
      </c>
      <c r="C1171" t="s">
        <v>1444</v>
      </c>
      <c r="D1171" s="28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0">
        <v>12000</v>
      </c>
      <c r="K1171" s="560">
        <f t="shared" si="37"/>
        <v>4</v>
      </c>
      <c r="L1171" s="560">
        <f t="shared" si="38"/>
        <v>4</v>
      </c>
    </row>
    <row r="1172" spans="1:19">
      <c r="B1172" s="553">
        <v>44271</v>
      </c>
      <c r="C1172" t="s">
        <v>1444</v>
      </c>
      <c r="D1172" s="28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0">
        <v>6000</v>
      </c>
      <c r="K1172" s="560">
        <f t="shared" si="37"/>
        <v>4</v>
      </c>
      <c r="L1172" s="560">
        <f t="shared" si="38"/>
        <v>3</v>
      </c>
    </row>
    <row r="1173" spans="1:19">
      <c r="B1173" s="553">
        <v>44271</v>
      </c>
      <c r="C1173" t="s">
        <v>1444</v>
      </c>
      <c r="D1173" s="28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0">
        <v>18000</v>
      </c>
      <c r="K1173" s="560">
        <f t="shared" si="37"/>
        <v>4</v>
      </c>
      <c r="L1173" s="560">
        <f t="shared" si="38"/>
        <v>2</v>
      </c>
    </row>
    <row r="1174" spans="1:19">
      <c r="A1174" t="s">
        <v>2282</v>
      </c>
      <c r="B1174" s="553">
        <v>44271</v>
      </c>
      <c r="C1174" t="s">
        <v>1444</v>
      </c>
      <c r="D1174" s="28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0">
        <v>12000</v>
      </c>
      <c r="K1174" s="560">
        <f t="shared" si="37"/>
        <v>4</v>
      </c>
      <c r="L1174" s="560">
        <f t="shared" si="38"/>
        <v>1</v>
      </c>
      <c r="M1174" s="560" t="e">
        <f>SUMIFS('[1]MAIN-101'!$Z$1:$Z$3000,'[1]MAIN-101'!$X$1:$X$3000,S1174)</f>
        <v>#VALUE!</v>
      </c>
      <c r="N1174" s="560"/>
      <c r="O1174" s="560"/>
      <c r="S1174" t="str">
        <f>VLOOKUP(C1174,'Recon of ORS and DV'!$A$4:$B$358,2,FALSE)</f>
        <v>0398</v>
      </c>
    </row>
    <row r="1175" spans="1:19">
      <c r="A1175" t="s">
        <v>2283</v>
      </c>
      <c r="B1175" s="553">
        <v>44271</v>
      </c>
      <c r="C1175" t="s">
        <v>1445</v>
      </c>
      <c r="D1175" s="28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0">
        <v>3500</v>
      </c>
      <c r="K1175" s="560">
        <f t="shared" si="37"/>
        <v>1</v>
      </c>
      <c r="L1175" s="560">
        <f t="shared" si="38"/>
        <v>1</v>
      </c>
      <c r="M1175" s="560" t="e">
        <f>SUMIFS('[1]MAIN-101'!$Z$1:$Z$3000,'[1]MAIN-101'!$X$1:$X$3000,S1175)</f>
        <v>#VALUE!</v>
      </c>
      <c r="N1175" s="560"/>
      <c r="O1175" s="560"/>
      <c r="S1175" t="str">
        <f>VLOOKUP(C1175,'Recon of ORS and DV'!$A$4:$B$358,2,FALSE)</f>
        <v>0460</v>
      </c>
    </row>
    <row r="1176" spans="1:19">
      <c r="A1176" t="s">
        <v>2284</v>
      </c>
      <c r="B1176" s="553">
        <v>44271</v>
      </c>
      <c r="C1176" t="s">
        <v>1448</v>
      </c>
      <c r="D1176" s="28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0">
        <v>976560</v>
      </c>
      <c r="K1176" s="560">
        <f t="shared" si="37"/>
        <v>1</v>
      </c>
      <c r="L1176" s="560">
        <f t="shared" si="38"/>
        <v>1</v>
      </c>
      <c r="M1176" s="560" t="e">
        <f>SUMIFS('[1]MAIN-101'!$Z$1:$Z$3000,'[1]MAIN-101'!$X$1:$X$3000,S1176)</f>
        <v>#VALUE!</v>
      </c>
      <c r="N1176" s="560"/>
      <c r="O1176" s="560"/>
      <c r="S1176" t="str">
        <f>VLOOKUP(C1176,'Recon of ORS and DV'!$A$4:$B$358,2,FALSE)</f>
        <v>0467</v>
      </c>
    </row>
    <row r="1177" spans="1:19">
      <c r="A1177" t="s">
        <v>2285</v>
      </c>
      <c r="B1177" s="553">
        <v>44271</v>
      </c>
      <c r="C1177" t="s">
        <v>1451</v>
      </c>
      <c r="D1177" s="28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0">
        <v>2000</v>
      </c>
      <c r="K1177" s="560">
        <f t="shared" si="37"/>
        <v>1</v>
      </c>
      <c r="L1177" s="560">
        <f t="shared" si="38"/>
        <v>1</v>
      </c>
      <c r="M1177" s="560" t="e">
        <f>SUMIFS('[1]MAIN-101'!$Z$1:$Z$3000,'[1]MAIN-101'!$X$1:$X$3000,S1177)</f>
        <v>#VALUE!</v>
      </c>
      <c r="N1177" s="560"/>
      <c r="O1177" s="560"/>
      <c r="S1177" t="str">
        <f>VLOOKUP(C1177,'Recon of ORS and DV'!$A$4:$B$358,2,FALSE)</f>
        <v>0458</v>
      </c>
    </row>
    <row r="1178" spans="1:19">
      <c r="A1178" t="s">
        <v>2286</v>
      </c>
      <c r="B1178" s="553">
        <v>44271</v>
      </c>
      <c r="C1178" t="s">
        <v>1453</v>
      </c>
      <c r="D1178" s="28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0">
        <v>70905.22</v>
      </c>
      <c r="K1178" s="560">
        <f t="shared" si="37"/>
        <v>1</v>
      </c>
      <c r="L1178" s="560">
        <f t="shared" si="38"/>
        <v>1</v>
      </c>
      <c r="M1178" s="560" t="e">
        <f>SUMIFS('[1]MAIN-101'!$Z$1:$Z$3000,'[1]MAIN-101'!$X$1:$X$3000,S1178)</f>
        <v>#VALUE!</v>
      </c>
      <c r="N1178" s="560"/>
      <c r="O1178" s="560"/>
      <c r="S1178" t="str">
        <f>VLOOKUP(C1178,'Recon of ORS and DV'!$A$4:$B$358,2,FALSE)</f>
        <v>0417</v>
      </c>
    </row>
    <row r="1179" spans="1:19">
      <c r="A1179" t="s">
        <v>2287</v>
      </c>
      <c r="B1179" s="553">
        <v>44271</v>
      </c>
      <c r="C1179" t="s">
        <v>1455</v>
      </c>
      <c r="D1179" s="28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0">
        <v>82098.38</v>
      </c>
      <c r="K1179" s="560">
        <f t="shared" si="37"/>
        <v>1</v>
      </c>
      <c r="L1179" s="560">
        <f t="shared" si="38"/>
        <v>1</v>
      </c>
      <c r="M1179" s="560" t="e">
        <f>SUMIFS('[1]MAIN-101'!$Z$1:$Z$3000,'[1]MAIN-101'!$X$1:$X$3000,S1179)</f>
        <v>#VALUE!</v>
      </c>
      <c r="N1179" s="560"/>
      <c r="O1179" s="560"/>
      <c r="S1179" t="str">
        <f>VLOOKUP(C1179,'Recon of ORS and DV'!$A$4:$B$358,2,FALSE)</f>
        <v>0416</v>
      </c>
    </row>
    <row r="1180" spans="1:19">
      <c r="A1180" t="s">
        <v>2288</v>
      </c>
      <c r="B1180" s="553">
        <v>44271</v>
      </c>
      <c r="C1180" t="s">
        <v>1457</v>
      </c>
      <c r="D1180" s="28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0">
        <v>9600</v>
      </c>
      <c r="K1180" s="560">
        <f t="shared" si="37"/>
        <v>1</v>
      </c>
      <c r="L1180" s="560">
        <f t="shared" si="38"/>
        <v>1</v>
      </c>
      <c r="M1180" s="560" t="e">
        <f>SUMIFS('[1]MAIN-101'!$Z$1:$Z$3000,'[1]MAIN-101'!$X$1:$X$3000,S1180)</f>
        <v>#VALUE!</v>
      </c>
      <c r="N1180" s="560"/>
      <c r="O1180" s="560"/>
      <c r="S1180" t="str">
        <f>VLOOKUP(C1180,'Recon of ORS and DV'!$A$4:$B$358,2,FALSE)</f>
        <v>0459</v>
      </c>
    </row>
    <row r="1181" spans="1:19">
      <c r="A1181" t="s">
        <v>2289</v>
      </c>
      <c r="B1181" s="553">
        <v>44271</v>
      </c>
      <c r="C1181" t="s">
        <v>1459</v>
      </c>
      <c r="D1181" s="28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0">
        <v>10000</v>
      </c>
      <c r="K1181" s="560">
        <f t="shared" si="37"/>
        <v>1</v>
      </c>
      <c r="L1181" s="560">
        <f t="shared" si="38"/>
        <v>1</v>
      </c>
      <c r="M1181" s="560" t="e">
        <f>SUMIFS('[1]MAIN-101'!$Z$1:$Z$3000,'[1]MAIN-101'!$X$1:$X$3000,S1181)</f>
        <v>#VALUE!</v>
      </c>
      <c r="N1181" s="560"/>
      <c r="O1181" s="560"/>
      <c r="S1181" t="str">
        <f>VLOOKUP(C1181,'Recon of ORS and DV'!$A$4:$B$358,2,FALSE)</f>
        <v>0415</v>
      </c>
    </row>
    <row r="1182" spans="1:19">
      <c r="A1182" t="s">
        <v>2290</v>
      </c>
      <c r="B1182" s="553">
        <v>44271</v>
      </c>
      <c r="C1182" t="s">
        <v>1461</v>
      </c>
      <c r="D1182" s="28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0">
        <v>10000</v>
      </c>
      <c r="K1182" s="560">
        <f t="shared" si="37"/>
        <v>1</v>
      </c>
      <c r="L1182" s="560">
        <f t="shared" si="38"/>
        <v>1</v>
      </c>
      <c r="M1182" s="560" t="e">
        <f>SUMIFS('[1]MAIN-101'!$Z$1:$Z$3000,'[1]MAIN-101'!$X$1:$X$3000,S1182)</f>
        <v>#VALUE!</v>
      </c>
      <c r="N1182" s="560"/>
      <c r="O1182" s="560"/>
      <c r="S1182" t="str">
        <f>VLOOKUP(C1182,'Recon of ORS and DV'!$A$4:$B$358,2,FALSE)</f>
        <v>0418</v>
      </c>
    </row>
    <row r="1183" spans="1:19">
      <c r="A1183" t="s">
        <v>2291</v>
      </c>
      <c r="B1183" s="553">
        <v>44271</v>
      </c>
      <c r="C1183" t="s">
        <v>1464</v>
      </c>
      <c r="D1183" s="28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0">
        <v>6320</v>
      </c>
      <c r="K1183" s="560">
        <f t="shared" si="37"/>
        <v>1</v>
      </c>
      <c r="L1183" s="560">
        <f t="shared" si="38"/>
        <v>1</v>
      </c>
      <c r="M1183" s="560" t="e">
        <f>SUMIFS('[1]MAIN-101'!$Z$1:$Z$3000,'[1]MAIN-101'!$X$1:$X$3000,S1183)</f>
        <v>#VALUE!</v>
      </c>
      <c r="N1183" s="560"/>
      <c r="O1183" s="560"/>
      <c r="S1183" t="str">
        <f>VLOOKUP(C1183,'Recon of ORS and DV'!$A$4:$B$358,2,FALSE)</f>
        <v>0470</v>
      </c>
    </row>
    <row r="1184" spans="1:19">
      <c r="A1184" t="s">
        <v>2292</v>
      </c>
      <c r="B1184" s="553">
        <v>44271</v>
      </c>
      <c r="C1184" t="s">
        <v>1466</v>
      </c>
      <c r="D1184" s="28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0">
        <v>2800</v>
      </c>
      <c r="K1184" s="560">
        <f t="shared" si="37"/>
        <v>1</v>
      </c>
      <c r="L1184" s="560">
        <f t="shared" si="38"/>
        <v>1</v>
      </c>
      <c r="M1184" s="560" t="e">
        <f>SUMIFS('[1]MAIN-101'!$Z$1:$Z$3000,'[1]MAIN-101'!$X$1:$X$3000,S1184)</f>
        <v>#VALUE!</v>
      </c>
      <c r="N1184" s="560"/>
      <c r="O1184" s="560"/>
      <c r="S1184" t="str">
        <f>VLOOKUP(C1184,'Recon of ORS and DV'!$A$4:$B$358,2,FALSE)</f>
        <v>0471</v>
      </c>
    </row>
    <row r="1185" spans="1:19">
      <c r="A1185" t="s">
        <v>2293</v>
      </c>
      <c r="B1185" s="553">
        <v>44271</v>
      </c>
      <c r="C1185" t="s">
        <v>1468</v>
      </c>
      <c r="D1185" s="28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0">
        <v>5390.81</v>
      </c>
      <c r="K1185" s="560">
        <f t="shared" si="37"/>
        <v>1</v>
      </c>
      <c r="L1185" s="560">
        <f t="shared" si="38"/>
        <v>1</v>
      </c>
      <c r="M1185" s="560" t="e">
        <f>SUMIFS('[1]MAIN-101'!$Z$1:$Z$3000,'[1]MAIN-101'!$X$1:$X$3000,S1185)</f>
        <v>#VALUE!</v>
      </c>
      <c r="N1185" s="560"/>
      <c r="O1185" s="560"/>
      <c r="S1185" t="str">
        <f>VLOOKUP(C1185,'Recon of ORS and DV'!$A$4:$B$358,2,FALSE)</f>
        <v>0480</v>
      </c>
    </row>
    <row r="1186" spans="1:19">
      <c r="A1186" t="s">
        <v>2294</v>
      </c>
      <c r="B1186" s="553">
        <v>44271</v>
      </c>
      <c r="C1186" t="s">
        <v>1469</v>
      </c>
      <c r="D1186" s="28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0">
        <v>13600</v>
      </c>
      <c r="K1186" s="560">
        <f t="shared" si="37"/>
        <v>1</v>
      </c>
      <c r="L1186" s="560">
        <f t="shared" si="38"/>
        <v>1</v>
      </c>
      <c r="M1186" s="560" t="e">
        <f>SUMIFS('[1]MAIN-101'!$Z$1:$Z$3000,'[1]MAIN-101'!$X$1:$X$3000,S1186)</f>
        <v>#VALUE!</v>
      </c>
      <c r="N1186" s="560"/>
      <c r="O1186" s="560"/>
      <c r="S1186" t="str">
        <f>VLOOKUP(C1186,'Recon of ORS and DV'!$A$4:$B$358,2,FALSE)</f>
        <v>0486</v>
      </c>
    </row>
    <row r="1187" spans="1:19">
      <c r="B1187" s="553">
        <v>44271</v>
      </c>
      <c r="C1187" t="s">
        <v>1470</v>
      </c>
      <c r="D1187" s="28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0">
        <v>5534</v>
      </c>
      <c r="K1187" s="560">
        <f t="shared" si="37"/>
        <v>4</v>
      </c>
      <c r="L1187" s="560">
        <f t="shared" si="38"/>
        <v>4</v>
      </c>
    </row>
    <row r="1188" spans="1:19">
      <c r="B1188" s="553">
        <v>44271</v>
      </c>
      <c r="C1188" t="s">
        <v>1470</v>
      </c>
      <c r="D1188" s="28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0">
        <v>5534</v>
      </c>
      <c r="K1188" s="560">
        <f t="shared" si="37"/>
        <v>4</v>
      </c>
      <c r="L1188" s="560">
        <f t="shared" si="38"/>
        <v>3</v>
      </c>
    </row>
    <row r="1189" spans="1:19">
      <c r="B1189" s="553">
        <v>44271</v>
      </c>
      <c r="C1189" t="s">
        <v>1470</v>
      </c>
      <c r="D1189" s="28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0">
        <v>16188.91</v>
      </c>
      <c r="K1189" s="560">
        <f t="shared" si="37"/>
        <v>4</v>
      </c>
      <c r="L1189" s="560">
        <f t="shared" si="38"/>
        <v>2</v>
      </c>
    </row>
    <row r="1190" spans="1:19">
      <c r="A1190" t="s">
        <v>2295</v>
      </c>
      <c r="B1190" s="553">
        <v>44271</v>
      </c>
      <c r="C1190" t="s">
        <v>1470</v>
      </c>
      <c r="D1190" s="28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0">
        <v>13112.59</v>
      </c>
      <c r="K1190" s="560">
        <f t="shared" si="37"/>
        <v>4</v>
      </c>
      <c r="L1190" s="560">
        <f t="shared" si="38"/>
        <v>1</v>
      </c>
      <c r="M1190" s="560" t="e">
        <f>SUMIFS('[1]MAIN-101'!$Z$1:$Z$3000,'[1]MAIN-101'!$X$1:$X$3000,S1190)</f>
        <v>#VALUE!</v>
      </c>
      <c r="N1190" s="560"/>
      <c r="O1190" s="560"/>
      <c r="S1190" t="str">
        <f>VLOOKUP(C1190,'Recon of ORS and DV'!$A$4:$B$358,2,FALSE)</f>
        <v>0479</v>
      </c>
    </row>
    <row r="1191" spans="1:19">
      <c r="B1191" s="553">
        <v>44271</v>
      </c>
      <c r="C1191" t="s">
        <v>1471</v>
      </c>
      <c r="D1191" s="28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0">
        <v>9200</v>
      </c>
      <c r="K1191" s="560">
        <f t="shared" si="37"/>
        <v>2</v>
      </c>
      <c r="L1191" s="560">
        <f t="shared" si="38"/>
        <v>2</v>
      </c>
    </row>
    <row r="1192" spans="1:19">
      <c r="A1192" t="s">
        <v>2296</v>
      </c>
      <c r="B1192" s="553">
        <v>44271</v>
      </c>
      <c r="C1192" t="s">
        <v>1471</v>
      </c>
      <c r="D1192" s="28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0">
        <v>3100</v>
      </c>
      <c r="K1192" s="560">
        <f t="shared" si="37"/>
        <v>2</v>
      </c>
      <c r="L1192" s="560">
        <f t="shared" si="38"/>
        <v>1</v>
      </c>
      <c r="M1192" s="560" t="e">
        <f>SUMIFS('[1]MAIN-101'!$Z$1:$Z$3000,'[1]MAIN-101'!$X$1:$X$3000,S1192)</f>
        <v>#VALUE!</v>
      </c>
      <c r="N1192" s="560"/>
      <c r="O1192" s="560"/>
      <c r="S1192" t="str">
        <f>VLOOKUP(C1192,'Recon of ORS and DV'!$A$4:$B$358,2,FALSE)</f>
        <v>0478</v>
      </c>
    </row>
    <row r="1193" spans="1:19">
      <c r="B1193" s="553">
        <v>44271</v>
      </c>
      <c r="C1193" t="s">
        <v>1472</v>
      </c>
      <c r="D1193" s="28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0">
        <v>11088.130000000001</v>
      </c>
      <c r="K1193" s="560">
        <f t="shared" si="37"/>
        <v>4</v>
      </c>
      <c r="L1193" s="560">
        <f t="shared" si="38"/>
        <v>4</v>
      </c>
    </row>
    <row r="1194" spans="1:19">
      <c r="B1194" s="553">
        <v>44271</v>
      </c>
      <c r="C1194" t="s">
        <v>1472</v>
      </c>
      <c r="D1194" s="28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0">
        <v>5448.23</v>
      </c>
      <c r="K1194" s="560">
        <f t="shared" si="37"/>
        <v>4</v>
      </c>
      <c r="L1194" s="560">
        <f t="shared" si="38"/>
        <v>3</v>
      </c>
    </row>
    <row r="1195" spans="1:19">
      <c r="B1195" s="553">
        <v>44271</v>
      </c>
      <c r="C1195" t="s">
        <v>1472</v>
      </c>
      <c r="D1195" s="28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0">
        <v>1373.55</v>
      </c>
      <c r="K1195" s="560">
        <f t="shared" si="37"/>
        <v>4</v>
      </c>
      <c r="L1195" s="560">
        <f t="shared" si="38"/>
        <v>2</v>
      </c>
    </row>
    <row r="1196" spans="1:19">
      <c r="A1196" t="s">
        <v>2297</v>
      </c>
      <c r="B1196" s="553">
        <v>44271</v>
      </c>
      <c r="C1196" t="s">
        <v>1472</v>
      </c>
      <c r="D1196" s="28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0">
        <v>511.22</v>
      </c>
      <c r="K1196" s="560">
        <f t="shared" si="37"/>
        <v>4</v>
      </c>
      <c r="L1196" s="560">
        <f t="shared" si="38"/>
        <v>1</v>
      </c>
      <c r="M1196" s="560" t="e">
        <f>SUMIFS('[1]MAIN-101'!$Z$1:$Z$3000,'[1]MAIN-101'!$X$1:$X$3000,S1196)</f>
        <v>#VALUE!</v>
      </c>
      <c r="N1196" s="560"/>
      <c r="O1196" s="560"/>
      <c r="S1196" t="str">
        <f>VLOOKUP(C1196,'Recon of ORS and DV'!$A$4:$B$358,2,FALSE)</f>
        <v>0477</v>
      </c>
    </row>
    <row r="1197" spans="1:19">
      <c r="A1197" t="s">
        <v>2298</v>
      </c>
      <c r="B1197" s="553">
        <v>44271</v>
      </c>
      <c r="C1197" t="s">
        <v>1473</v>
      </c>
      <c r="D1197" s="28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0">
        <v>920</v>
      </c>
      <c r="K1197" s="560">
        <f t="shared" si="37"/>
        <v>1</v>
      </c>
      <c r="L1197" s="560">
        <f t="shared" si="38"/>
        <v>1</v>
      </c>
      <c r="M1197" s="560" t="e">
        <f>SUMIFS('[1]MAIN-101'!$Z$1:$Z$3000,'[1]MAIN-101'!$X$1:$X$3000,S1197)</f>
        <v>#VALUE!</v>
      </c>
      <c r="N1197" s="560"/>
      <c r="O1197" s="560"/>
      <c r="S1197" t="str">
        <f>VLOOKUP(C1197,'Recon of ORS and DV'!$A$4:$B$358,2,FALSE)</f>
        <v>0481</v>
      </c>
    </row>
    <row r="1198" spans="1:19">
      <c r="A1198" t="s">
        <v>2299</v>
      </c>
      <c r="B1198" s="553">
        <v>44271</v>
      </c>
      <c r="C1198" t="s">
        <v>1479</v>
      </c>
      <c r="D1198" s="28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0">
        <v>2486</v>
      </c>
      <c r="K1198" s="560">
        <f t="shared" si="37"/>
        <v>1</v>
      </c>
      <c r="L1198" s="560">
        <f t="shared" si="38"/>
        <v>1</v>
      </c>
      <c r="M1198" s="560" t="e">
        <f>SUMIFS('[1]MAIN-101'!$Z$1:$Z$3000,'[1]MAIN-101'!$X$1:$X$3000,S1198)</f>
        <v>#VALUE!</v>
      </c>
      <c r="N1198" s="560"/>
      <c r="O1198" s="560"/>
      <c r="S1198" t="str">
        <f>VLOOKUP(C1198,'Recon of ORS and DV'!$A$4:$B$358,2,FALSE)</f>
        <v>0472</v>
      </c>
    </row>
    <row r="1199" spans="1:19">
      <c r="A1199" t="s">
        <v>2300</v>
      </c>
      <c r="B1199" s="553">
        <v>44271</v>
      </c>
      <c r="C1199" t="s">
        <v>1482</v>
      </c>
      <c r="D1199" s="28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0">
        <v>1200</v>
      </c>
      <c r="K1199" s="560">
        <f t="shared" si="37"/>
        <v>1</v>
      </c>
      <c r="L1199" s="560">
        <f t="shared" si="38"/>
        <v>1</v>
      </c>
      <c r="M1199" s="560" t="e">
        <f>SUMIFS('[1]MAIN-101'!$Z$1:$Z$3000,'[1]MAIN-101'!$X$1:$X$3000,S1199)</f>
        <v>#VALUE!</v>
      </c>
      <c r="N1199" s="560"/>
      <c r="O1199" s="560"/>
      <c r="S1199" t="str">
        <f>VLOOKUP(C1199,'Recon of ORS and DV'!$A$4:$B$358,2,FALSE)</f>
        <v>0473</v>
      </c>
    </row>
    <row r="1200" spans="1:19">
      <c r="A1200" t="s">
        <v>2301</v>
      </c>
      <c r="B1200" s="553">
        <v>44271</v>
      </c>
      <c r="C1200" t="s">
        <v>1484</v>
      </c>
      <c r="D1200" s="28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0">
        <v>13034</v>
      </c>
      <c r="K1200" s="560">
        <f t="shared" si="37"/>
        <v>1</v>
      </c>
      <c r="L1200" s="560">
        <f t="shared" si="38"/>
        <v>1</v>
      </c>
      <c r="M1200" s="560" t="e">
        <f>SUMIFS('[1]MAIN-101'!$Z$1:$Z$3000,'[1]MAIN-101'!$X$1:$X$3000,S1200)</f>
        <v>#VALUE!</v>
      </c>
      <c r="N1200" s="560"/>
      <c r="O1200" s="560"/>
      <c r="S1200" t="str">
        <f>VLOOKUP(C1200,'Recon of ORS and DV'!$A$4:$B$358,2,FALSE)</f>
        <v>0474</v>
      </c>
    </row>
    <row r="1201" spans="1:19">
      <c r="B1201" s="553">
        <v>44271</v>
      </c>
      <c r="C1201" t="s">
        <v>1485</v>
      </c>
      <c r="D1201" s="28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0">
        <v>11158</v>
      </c>
      <c r="K1201" s="560">
        <f t="shared" si="37"/>
        <v>2</v>
      </c>
      <c r="L1201" s="560">
        <f t="shared" si="38"/>
        <v>2</v>
      </c>
    </row>
    <row r="1202" spans="1:19">
      <c r="A1202" t="s">
        <v>2302</v>
      </c>
      <c r="B1202" s="553">
        <v>44271</v>
      </c>
      <c r="C1202" t="s">
        <v>1485</v>
      </c>
      <c r="D1202" s="28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0">
        <v>10143.64</v>
      </c>
      <c r="K1202" s="560">
        <f t="shared" si="37"/>
        <v>2</v>
      </c>
      <c r="L1202" s="560">
        <f t="shared" si="38"/>
        <v>1</v>
      </c>
      <c r="M1202" s="560" t="e">
        <f>SUMIFS('[1]MAIN-101'!$Z$1:$Z$3000,'[1]MAIN-101'!$X$1:$X$3000,S1202)</f>
        <v>#VALUE!</v>
      </c>
      <c r="N1202" s="560"/>
      <c r="O1202" s="560"/>
      <c r="S1202" t="str">
        <f>VLOOKUP(C1202,'Recon of ORS and DV'!$A$4:$B$358,2,FALSE)</f>
        <v>0475</v>
      </c>
    </row>
    <row r="1203" spans="1:19">
      <c r="A1203" t="s">
        <v>2303</v>
      </c>
      <c r="B1203" s="553">
        <v>44271</v>
      </c>
      <c r="C1203" t="s">
        <v>1486</v>
      </c>
      <c r="D1203" s="28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0">
        <v>1200</v>
      </c>
      <c r="K1203" s="560">
        <f t="shared" si="37"/>
        <v>1</v>
      </c>
      <c r="L1203" s="560">
        <f t="shared" si="38"/>
        <v>1</v>
      </c>
      <c r="M1203" s="560" t="e">
        <f>SUMIFS('[1]MAIN-101'!$Z$1:$Z$3000,'[1]MAIN-101'!$X$1:$X$3000,S1203)</f>
        <v>#VALUE!</v>
      </c>
      <c r="N1203" s="560"/>
      <c r="O1203" s="560"/>
      <c r="S1203" t="str">
        <f>VLOOKUP(C1203,'Recon of ORS and DV'!$A$4:$B$358,2,FALSE)</f>
        <v>0476</v>
      </c>
    </row>
    <row r="1204" spans="1:19">
      <c r="A1204" t="s">
        <v>2304</v>
      </c>
      <c r="B1204" s="553">
        <v>44271</v>
      </c>
      <c r="C1204" t="s">
        <v>1488</v>
      </c>
      <c r="D1204" s="28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0">
        <v>1500</v>
      </c>
      <c r="K1204" s="560">
        <f t="shared" si="37"/>
        <v>1</v>
      </c>
      <c r="L1204" s="560">
        <f t="shared" si="38"/>
        <v>1</v>
      </c>
      <c r="M1204" s="560" t="e">
        <f>SUMIFS('[1]MAIN-101'!$Z$1:$Z$3000,'[1]MAIN-101'!$X$1:$X$3000,S1204)</f>
        <v>#VALUE!</v>
      </c>
      <c r="N1204" s="560"/>
      <c r="O1204" s="560"/>
      <c r="S1204" t="str">
        <f>VLOOKUP(C1204,'Recon of ORS and DV'!$A$4:$B$358,2,FALSE)</f>
        <v>0487</v>
      </c>
    </row>
    <row r="1205" spans="1:19">
      <c r="A1205" t="s">
        <v>2305</v>
      </c>
      <c r="B1205" s="553">
        <v>44271</v>
      </c>
      <c r="C1205" t="s">
        <v>1490</v>
      </c>
      <c r="D1205" s="28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0">
        <v>350</v>
      </c>
      <c r="K1205" s="560">
        <f t="shared" si="37"/>
        <v>1</v>
      </c>
      <c r="L1205" s="560">
        <f t="shared" si="38"/>
        <v>1</v>
      </c>
      <c r="M1205" s="560" t="e">
        <f>SUMIFS('[1]MAIN-101'!$Z$1:$Z$3000,'[1]MAIN-101'!$X$1:$X$3000,S1205)</f>
        <v>#VALUE!</v>
      </c>
      <c r="N1205" s="560"/>
      <c r="O1205" s="560"/>
      <c r="S1205" t="str">
        <f>VLOOKUP(C1205,'Recon of ORS and DV'!$A$4:$B$358,2,FALSE)</f>
        <v>0488</v>
      </c>
    </row>
    <row r="1206" spans="1:19">
      <c r="A1206" t="s">
        <v>2306</v>
      </c>
      <c r="B1206" s="553">
        <v>44271</v>
      </c>
      <c r="C1206" t="s">
        <v>1492</v>
      </c>
      <c r="D1206" s="28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0">
        <v>3800</v>
      </c>
      <c r="K1206" s="560">
        <f t="shared" si="37"/>
        <v>1</v>
      </c>
      <c r="L1206" s="560">
        <f t="shared" si="38"/>
        <v>1</v>
      </c>
      <c r="M1206" s="560" t="e">
        <f>SUMIFS('[1]MAIN-101'!$Z$1:$Z$3000,'[1]MAIN-101'!$X$1:$X$3000,S1206)</f>
        <v>#VALUE!</v>
      </c>
      <c r="N1206" s="560"/>
      <c r="O1206" s="560"/>
      <c r="S1206" t="str">
        <f>VLOOKUP(C1206,'Recon of ORS and DV'!$A$4:$B$358,2,FALSE)</f>
        <v>0570</v>
      </c>
    </row>
    <row r="1207" spans="1:19">
      <c r="A1207" t="s">
        <v>2307</v>
      </c>
      <c r="B1207" s="553">
        <v>44271</v>
      </c>
      <c r="C1207" t="s">
        <v>1494</v>
      </c>
      <c r="D1207" s="28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0">
        <v>31800</v>
      </c>
      <c r="K1207" s="560">
        <f t="shared" si="37"/>
        <v>1</v>
      </c>
      <c r="L1207" s="560">
        <f t="shared" si="38"/>
        <v>1</v>
      </c>
      <c r="M1207" s="560" t="e">
        <f>SUMIFS('[1]MAIN-101'!$Z$1:$Z$3000,'[1]MAIN-101'!$X$1:$X$3000,S1207)</f>
        <v>#VALUE!</v>
      </c>
      <c r="N1207" s="560"/>
      <c r="O1207" s="560"/>
      <c r="S1207" t="str">
        <f>VLOOKUP(C1207,'Recon of ORS and DV'!$A$4:$B$358,2,FALSE)</f>
        <v>0489</v>
      </c>
    </row>
    <row r="1208" spans="1:19">
      <c r="A1208" t="s">
        <v>2308</v>
      </c>
      <c r="B1208" s="553">
        <v>44271</v>
      </c>
      <c r="C1208" t="s">
        <v>1496</v>
      </c>
      <c r="D1208" s="28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0">
        <v>480</v>
      </c>
      <c r="K1208" s="560">
        <f t="shared" si="37"/>
        <v>1</v>
      </c>
      <c r="L1208" s="560">
        <f t="shared" si="38"/>
        <v>1</v>
      </c>
      <c r="M1208" s="560" t="e">
        <f>SUMIFS('[1]MAIN-101'!$Z$1:$Z$3000,'[1]MAIN-101'!$X$1:$X$3000,S1208)</f>
        <v>#VALUE!</v>
      </c>
      <c r="N1208" s="560"/>
      <c r="O1208" s="560"/>
      <c r="S1208" t="str">
        <f>VLOOKUP(C1208,'Recon of ORS and DV'!$A$4:$B$358,2,FALSE)</f>
        <v>0490</v>
      </c>
    </row>
    <row r="1209" spans="1:19">
      <c r="A1209" t="s">
        <v>2309</v>
      </c>
      <c r="B1209" s="553">
        <v>44271</v>
      </c>
      <c r="C1209" t="s">
        <v>1498</v>
      </c>
      <c r="D1209" s="28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0">
        <v>48000</v>
      </c>
      <c r="K1209" s="560">
        <f t="shared" si="37"/>
        <v>1</v>
      </c>
      <c r="L1209" s="560">
        <f t="shared" si="38"/>
        <v>1</v>
      </c>
      <c r="M1209" s="560" t="e">
        <f>SUMIFS('[1]MAIN-101'!$Z$1:$Z$3000,'[1]MAIN-101'!$X$1:$X$3000,S1209)</f>
        <v>#VALUE!</v>
      </c>
      <c r="N1209" s="560"/>
      <c r="O1209" s="560"/>
      <c r="S1209" t="str">
        <f>VLOOKUP(C1209,'Recon of ORS and DV'!$A$4:$B$358,2,FALSE)</f>
        <v>0491</v>
      </c>
    </row>
    <row r="1210" spans="1:19">
      <c r="A1210" t="s">
        <v>2310</v>
      </c>
      <c r="B1210" s="553">
        <v>44271</v>
      </c>
      <c r="C1210" t="s">
        <v>1501</v>
      </c>
      <c r="D1210" s="28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0">
        <v>45808.9</v>
      </c>
      <c r="K1210" s="560">
        <f t="shared" si="37"/>
        <v>1</v>
      </c>
      <c r="L1210" s="560">
        <f t="shared" si="38"/>
        <v>1</v>
      </c>
      <c r="M1210" s="560" t="e">
        <f>SUMIFS('[1]MAIN-101'!$Z$1:$Z$3000,'[1]MAIN-101'!$X$1:$X$3000,S1210)</f>
        <v>#VALUE!</v>
      </c>
      <c r="N1210" s="560"/>
      <c r="O1210" s="560"/>
      <c r="S1210" t="str">
        <f>VLOOKUP(C1210,'Recon of ORS and DV'!$A$4:$B$358,2,FALSE)</f>
        <v>0500</v>
      </c>
    </row>
    <row r="1211" spans="1:19">
      <c r="A1211" t="s">
        <v>2311</v>
      </c>
      <c r="B1211" s="553">
        <v>44271</v>
      </c>
      <c r="C1211" t="s">
        <v>1503</v>
      </c>
      <c r="D1211" s="28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0">
        <v>41497.269999999997</v>
      </c>
      <c r="K1211" s="560">
        <f t="shared" si="37"/>
        <v>1</v>
      </c>
      <c r="L1211" s="560">
        <f t="shared" si="38"/>
        <v>1</v>
      </c>
      <c r="M1211" s="560" t="e">
        <f>SUMIFS('[1]MAIN-101'!$Z$1:$Z$3000,'[1]MAIN-101'!$X$1:$X$3000,S1211)</f>
        <v>#VALUE!</v>
      </c>
      <c r="N1211" s="560"/>
      <c r="O1211" s="560"/>
      <c r="S1211" t="str">
        <f>VLOOKUP(C1211,'Recon of ORS and DV'!$A$4:$B$358,2,FALSE)</f>
        <v>0499</v>
      </c>
    </row>
    <row r="1212" spans="1:19">
      <c r="A1212" t="s">
        <v>2312</v>
      </c>
      <c r="B1212" s="553">
        <v>44279</v>
      </c>
      <c r="C1212" t="s">
        <v>1505</v>
      </c>
      <c r="D1212" s="28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0">
        <v>76000</v>
      </c>
      <c r="K1212" s="560">
        <f t="shared" si="37"/>
        <v>1</v>
      </c>
      <c r="L1212" s="560">
        <f t="shared" si="38"/>
        <v>1</v>
      </c>
      <c r="M1212" s="560" t="e">
        <f>SUMIFS('[1]MAIN-101'!$Z$1:$Z$3000,'[1]MAIN-101'!$X$1:$X$3000,S1212)</f>
        <v>#VALUE!</v>
      </c>
      <c r="N1212" s="560"/>
      <c r="O1212" s="560"/>
      <c r="S1212" t="str">
        <f>VLOOKUP(C1212,'Recon of ORS and DV'!$A$4:$B$358,2,FALSE)</f>
        <v>0534</v>
      </c>
    </row>
    <row r="1213" spans="1:19">
      <c r="A1213" t="s">
        <v>2313</v>
      </c>
      <c r="B1213" s="553">
        <v>44279</v>
      </c>
      <c r="C1213" t="s">
        <v>1508</v>
      </c>
      <c r="D1213" s="28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0">
        <v>2130</v>
      </c>
      <c r="K1213" s="560">
        <f t="shared" si="37"/>
        <v>1</v>
      </c>
      <c r="L1213" s="560">
        <f t="shared" si="38"/>
        <v>1</v>
      </c>
      <c r="M1213" s="560" t="e">
        <f>SUMIFS('[1]MAIN-101'!$Z$1:$Z$3000,'[1]MAIN-101'!$X$1:$X$3000,S1213)</f>
        <v>#VALUE!</v>
      </c>
      <c r="N1213" s="560"/>
      <c r="O1213" s="560"/>
      <c r="S1213" t="str">
        <f>VLOOKUP(C1213,'Recon of ORS and DV'!$A$4:$B$358,2,FALSE)</f>
        <v>0535</v>
      </c>
    </row>
    <row r="1214" spans="1:19">
      <c r="A1214" t="s">
        <v>2314</v>
      </c>
      <c r="B1214" s="553">
        <v>44279</v>
      </c>
      <c r="C1214" t="s">
        <v>1510</v>
      </c>
      <c r="D1214" s="28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0">
        <v>5175</v>
      </c>
      <c r="K1214" s="560">
        <f t="shared" si="37"/>
        <v>1</v>
      </c>
      <c r="L1214" s="560">
        <f t="shared" si="38"/>
        <v>1</v>
      </c>
      <c r="M1214" s="560" t="e">
        <f>SUMIFS('[1]MAIN-101'!$Z$1:$Z$3000,'[1]MAIN-101'!$X$1:$X$3000,S1214)</f>
        <v>#VALUE!</v>
      </c>
      <c r="N1214" s="560"/>
      <c r="O1214" s="560"/>
      <c r="S1214" t="str">
        <f>VLOOKUP(C1214,'Recon of ORS and DV'!$A$4:$B$358,2,FALSE)</f>
        <v>0536</v>
      </c>
    </row>
    <row r="1215" spans="1:19">
      <c r="B1215" s="553">
        <v>44279</v>
      </c>
      <c r="C1215" t="s">
        <v>1513</v>
      </c>
      <c r="D1215" s="28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0">
        <v>1200</v>
      </c>
      <c r="K1215" s="560">
        <f t="shared" si="37"/>
        <v>2</v>
      </c>
      <c r="L1215" s="560">
        <f t="shared" si="38"/>
        <v>2</v>
      </c>
    </row>
    <row r="1216" spans="1:19">
      <c r="A1216" t="s">
        <v>2315</v>
      </c>
      <c r="B1216" s="553">
        <v>44279</v>
      </c>
      <c r="C1216" t="s">
        <v>1513</v>
      </c>
      <c r="D1216" s="28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0">
        <v>3000</v>
      </c>
      <c r="K1216" s="560">
        <f t="shared" si="37"/>
        <v>2</v>
      </c>
      <c r="L1216" s="560">
        <f t="shared" si="38"/>
        <v>1</v>
      </c>
      <c r="M1216" s="560" t="e">
        <f>SUMIFS('[1]MAIN-101'!$Z$1:$Z$3000,'[1]MAIN-101'!$X$1:$X$3000,S1216)</f>
        <v>#VALUE!</v>
      </c>
      <c r="N1216" s="560"/>
      <c r="O1216" s="560"/>
      <c r="S1216" t="str">
        <f>VLOOKUP(C1216,'Recon of ORS and DV'!$A$4:$B$358,2,FALSE)</f>
        <v>0537</v>
      </c>
    </row>
    <row r="1217" spans="1:19">
      <c r="A1217" t="s">
        <v>2316</v>
      </c>
      <c r="B1217" s="553">
        <v>44279</v>
      </c>
      <c r="C1217" t="s">
        <v>1516</v>
      </c>
      <c r="D1217" s="28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0">
        <v>2688</v>
      </c>
      <c r="K1217" s="560">
        <f t="shared" si="37"/>
        <v>1</v>
      </c>
      <c r="L1217" s="560">
        <f t="shared" si="38"/>
        <v>1</v>
      </c>
      <c r="M1217" s="560" t="e">
        <f>SUMIFS('[1]MAIN-101'!$Z$1:$Z$3000,'[1]MAIN-101'!$X$1:$X$3000,S1217)</f>
        <v>#VALUE!</v>
      </c>
      <c r="N1217" s="560"/>
      <c r="O1217" s="560"/>
      <c r="S1217" t="str">
        <f>VLOOKUP(C1217,'Recon of ORS and DV'!$A$4:$B$358,2,FALSE)</f>
        <v>0538</v>
      </c>
    </row>
    <row r="1218" spans="1:19">
      <c r="A1218" t="s">
        <v>2317</v>
      </c>
      <c r="B1218" s="553">
        <v>44279</v>
      </c>
      <c r="C1218" t="s">
        <v>1518</v>
      </c>
      <c r="D1218" s="28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0">
        <v>2500</v>
      </c>
      <c r="K1218" s="560">
        <f t="shared" si="37"/>
        <v>1</v>
      </c>
      <c r="L1218" s="560">
        <f t="shared" si="38"/>
        <v>1</v>
      </c>
      <c r="M1218" s="560" t="e">
        <f>SUMIFS('[1]MAIN-101'!$Z$1:$Z$3000,'[1]MAIN-101'!$X$1:$X$3000,S1218)</f>
        <v>#VALUE!</v>
      </c>
      <c r="N1218" s="560"/>
      <c r="O1218" s="560"/>
      <c r="S1218" t="str">
        <f>VLOOKUP(C1218,'Recon of ORS and DV'!$A$4:$B$358,2,FALSE)</f>
        <v>0539</v>
      </c>
    </row>
    <row r="1219" spans="1:19">
      <c r="A1219" t="s">
        <v>2318</v>
      </c>
      <c r="B1219" s="553">
        <v>44279</v>
      </c>
      <c r="C1219" t="s">
        <v>1520</v>
      </c>
      <c r="D1219" s="28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0">
        <v>640</v>
      </c>
      <c r="K1219" s="560">
        <f t="shared" si="37"/>
        <v>1</v>
      </c>
      <c r="L1219" s="560">
        <f t="shared" si="38"/>
        <v>1</v>
      </c>
      <c r="M1219" s="560" t="e">
        <f>SUMIFS('[1]MAIN-101'!$Z$1:$Z$3000,'[1]MAIN-101'!$X$1:$X$3000,S1219)</f>
        <v>#VALUE!</v>
      </c>
      <c r="N1219" s="560"/>
      <c r="O1219" s="560"/>
      <c r="S1219" t="str">
        <f>VLOOKUP(C1219,'Recon of ORS and DV'!$A$4:$B$358,2,FALSE)</f>
        <v>0540</v>
      </c>
    </row>
    <row r="1220" spans="1:19">
      <c r="B1220" s="553">
        <v>44279</v>
      </c>
      <c r="C1220" t="s">
        <v>1522</v>
      </c>
      <c r="D1220" s="28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0">
        <v>11180</v>
      </c>
      <c r="K1220" s="560">
        <f t="shared" ref="K1220:K1283" si="39">COUNTIFS($C$3:$C$1556,C1220)</f>
        <v>2</v>
      </c>
      <c r="L1220" s="560">
        <f t="shared" si="38"/>
        <v>2</v>
      </c>
    </row>
    <row r="1221" spans="1:19">
      <c r="A1221" t="s">
        <v>2319</v>
      </c>
      <c r="B1221" s="553">
        <v>44279</v>
      </c>
      <c r="C1221" t="s">
        <v>1522</v>
      </c>
      <c r="D1221" s="28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0">
        <v>22000</v>
      </c>
      <c r="K1221" s="560">
        <f t="shared" si="39"/>
        <v>2</v>
      </c>
      <c r="L1221" s="560">
        <f t="shared" si="38"/>
        <v>1</v>
      </c>
      <c r="M1221" s="560" t="e">
        <f>SUMIFS('[1]MAIN-101'!$Z$1:$Z$3000,'[1]MAIN-101'!$X$1:$X$3000,S1221)</f>
        <v>#VALUE!</v>
      </c>
      <c r="N1221" s="560"/>
      <c r="O1221" s="560"/>
      <c r="S1221" t="str">
        <f>VLOOKUP(C1221,'Recon of ORS and DV'!$A$4:$B$358,2,FALSE)</f>
        <v>0541</v>
      </c>
    </row>
    <row r="1222" spans="1:19">
      <c r="B1222" s="553">
        <v>44279</v>
      </c>
      <c r="C1222" t="s">
        <v>1525</v>
      </c>
      <c r="D1222" s="28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0">
        <v>750.85</v>
      </c>
      <c r="K1222" s="560">
        <f t="shared" si="39"/>
        <v>5</v>
      </c>
      <c r="L1222" s="560">
        <f t="shared" si="38"/>
        <v>5</v>
      </c>
    </row>
    <row r="1223" spans="1:19">
      <c r="B1223" s="553">
        <v>44279</v>
      </c>
      <c r="C1223" t="s">
        <v>1525</v>
      </c>
      <c r="D1223" s="28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0">
        <v>450</v>
      </c>
      <c r="K1223" s="560">
        <f t="shared" si="39"/>
        <v>5</v>
      </c>
      <c r="L1223" s="560">
        <f t="shared" si="38"/>
        <v>4</v>
      </c>
    </row>
    <row r="1224" spans="1:19">
      <c r="B1224" s="553">
        <v>44279</v>
      </c>
      <c r="C1224" t="s">
        <v>1525</v>
      </c>
      <c r="D1224" s="28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0">
        <v>205</v>
      </c>
      <c r="K1224" s="560">
        <f t="shared" si="39"/>
        <v>5</v>
      </c>
      <c r="L1224" s="560">
        <f t="shared" si="38"/>
        <v>3</v>
      </c>
    </row>
    <row r="1225" spans="1:19">
      <c r="B1225" s="553">
        <v>44279</v>
      </c>
      <c r="C1225" t="s">
        <v>1525</v>
      </c>
      <c r="D1225" s="28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0">
        <v>2550</v>
      </c>
      <c r="K1225" s="560">
        <f t="shared" si="39"/>
        <v>5</v>
      </c>
      <c r="L1225" s="560">
        <f t="shared" si="38"/>
        <v>2</v>
      </c>
    </row>
    <row r="1226" spans="1:19">
      <c r="A1226" t="s">
        <v>2320</v>
      </c>
      <c r="B1226" s="553">
        <v>44279</v>
      </c>
      <c r="C1226" t="s">
        <v>1525</v>
      </c>
      <c r="D1226" s="28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0">
        <v>400</v>
      </c>
      <c r="K1226" s="560">
        <f t="shared" si="39"/>
        <v>5</v>
      </c>
      <c r="L1226" s="560">
        <f t="shared" si="38"/>
        <v>1</v>
      </c>
      <c r="M1226" s="560" t="e">
        <f>SUMIFS('[1]MAIN-101'!$Z$1:$Z$3000,'[1]MAIN-101'!$X$1:$X$3000,S1226)</f>
        <v>#VALUE!</v>
      </c>
      <c r="N1226" s="560"/>
      <c r="O1226" s="560"/>
      <c r="S1226" t="str">
        <f>VLOOKUP(C1226,'Recon of ORS and DV'!$A$4:$B$358,2,FALSE)</f>
        <v>0520</v>
      </c>
    </row>
    <row r="1227" spans="1:19">
      <c r="B1227" s="553">
        <v>44279</v>
      </c>
      <c r="C1227" t="s">
        <v>1527</v>
      </c>
      <c r="D1227" s="28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0">
        <v>2490</v>
      </c>
      <c r="K1227" s="560">
        <f t="shared" si="39"/>
        <v>26</v>
      </c>
      <c r="L1227" s="560">
        <f t="shared" si="38"/>
        <v>26</v>
      </c>
    </row>
    <row r="1228" spans="1:19">
      <c r="B1228" s="553">
        <v>44279</v>
      </c>
      <c r="C1228" t="s">
        <v>1527</v>
      </c>
      <c r="D1228" s="28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0">
        <v>16185</v>
      </c>
      <c r="K1228" s="560">
        <f t="shared" si="39"/>
        <v>26</v>
      </c>
      <c r="L1228" s="560">
        <f t="shared" si="38"/>
        <v>25</v>
      </c>
    </row>
    <row r="1229" spans="1:19">
      <c r="B1229" s="553">
        <v>44279</v>
      </c>
      <c r="C1229" t="s">
        <v>1527</v>
      </c>
      <c r="D1229" s="28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0">
        <v>12764.99</v>
      </c>
      <c r="K1229" s="560">
        <f t="shared" si="39"/>
        <v>26</v>
      </c>
      <c r="L1229" s="560">
        <f t="shared" si="38"/>
        <v>24</v>
      </c>
    </row>
    <row r="1230" spans="1:19">
      <c r="B1230" s="553">
        <v>44279</v>
      </c>
      <c r="C1230" t="s">
        <v>1527</v>
      </c>
      <c r="D1230" s="28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0">
        <v>7096.5</v>
      </c>
      <c r="K1230" s="560">
        <f t="shared" si="39"/>
        <v>26</v>
      </c>
      <c r="L1230" s="560">
        <f t="shared" si="38"/>
        <v>23</v>
      </c>
    </row>
    <row r="1231" spans="1:19">
      <c r="B1231" s="553">
        <v>44279</v>
      </c>
      <c r="C1231" t="s">
        <v>1527</v>
      </c>
      <c r="D1231" s="28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0">
        <v>64117.5</v>
      </c>
      <c r="K1231" s="560">
        <f t="shared" si="39"/>
        <v>26</v>
      </c>
      <c r="L1231" s="560">
        <f t="shared" ref="L1231:L1294" si="40">COUNTIFS(C1231:C2784,C1231)</f>
        <v>22</v>
      </c>
    </row>
    <row r="1232" spans="1:19">
      <c r="B1232" s="553">
        <v>44279</v>
      </c>
      <c r="C1232" t="s">
        <v>1527</v>
      </c>
      <c r="D1232" s="28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0">
        <v>3112.5</v>
      </c>
      <c r="K1232" s="560">
        <f t="shared" si="39"/>
        <v>26</v>
      </c>
      <c r="L1232" s="560">
        <f t="shared" si="40"/>
        <v>21</v>
      </c>
    </row>
    <row r="1233" spans="2:12">
      <c r="B1233" s="553">
        <v>44279</v>
      </c>
      <c r="C1233" t="s">
        <v>1527</v>
      </c>
      <c r="D1233" s="28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0">
        <v>1143.4100000000001</v>
      </c>
      <c r="K1233" s="560">
        <f t="shared" si="39"/>
        <v>26</v>
      </c>
      <c r="L1233" s="560">
        <f t="shared" si="40"/>
        <v>20</v>
      </c>
    </row>
    <row r="1234" spans="2:12">
      <c r="B1234" s="553">
        <v>44279</v>
      </c>
      <c r="C1234" t="s">
        <v>1527</v>
      </c>
      <c r="D1234" s="28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0">
        <v>10458</v>
      </c>
      <c r="K1234" s="560">
        <f t="shared" si="39"/>
        <v>26</v>
      </c>
      <c r="L1234" s="560">
        <f t="shared" si="40"/>
        <v>19</v>
      </c>
    </row>
    <row r="1235" spans="2:12">
      <c r="B1235" s="553">
        <v>44279</v>
      </c>
      <c r="C1235" t="s">
        <v>1527</v>
      </c>
      <c r="D1235" s="28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0">
        <v>809.25</v>
      </c>
      <c r="K1235" s="560">
        <f t="shared" si="39"/>
        <v>26</v>
      </c>
      <c r="L1235" s="560">
        <f t="shared" si="40"/>
        <v>18</v>
      </c>
    </row>
    <row r="1236" spans="2:12">
      <c r="B1236" s="553">
        <v>44279</v>
      </c>
      <c r="C1236" t="s">
        <v>1527</v>
      </c>
      <c r="D1236" s="28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0">
        <v>747</v>
      </c>
      <c r="K1236" s="560">
        <f t="shared" si="39"/>
        <v>26</v>
      </c>
      <c r="L1236" s="560">
        <f t="shared" si="40"/>
        <v>17</v>
      </c>
    </row>
    <row r="1237" spans="2:12">
      <c r="B1237" s="553">
        <v>44279</v>
      </c>
      <c r="C1237" t="s">
        <v>1527</v>
      </c>
      <c r="D1237" s="28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0">
        <v>254248.09000000003</v>
      </c>
      <c r="K1237" s="560">
        <f t="shared" si="39"/>
        <v>26</v>
      </c>
      <c r="L1237" s="560">
        <f t="shared" si="40"/>
        <v>16</v>
      </c>
    </row>
    <row r="1238" spans="2:12">
      <c r="B1238" s="553">
        <v>44279</v>
      </c>
      <c r="C1238" t="s">
        <v>1527</v>
      </c>
      <c r="D1238" s="28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0">
        <v>4150</v>
      </c>
      <c r="K1238" s="560">
        <f t="shared" si="39"/>
        <v>26</v>
      </c>
      <c r="L1238" s="560">
        <f t="shared" si="40"/>
        <v>15</v>
      </c>
    </row>
    <row r="1239" spans="2:12">
      <c r="B1239" s="553">
        <v>44279</v>
      </c>
      <c r="C1239" t="s">
        <v>1527</v>
      </c>
      <c r="D1239" s="28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0">
        <v>4150</v>
      </c>
      <c r="K1239" s="560">
        <f t="shared" si="39"/>
        <v>26</v>
      </c>
      <c r="L1239" s="560">
        <f t="shared" si="40"/>
        <v>14</v>
      </c>
    </row>
    <row r="1240" spans="2:12">
      <c r="B1240" s="553">
        <v>44279</v>
      </c>
      <c r="C1240" t="s">
        <v>1527</v>
      </c>
      <c r="D1240" s="28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0">
        <v>2075</v>
      </c>
      <c r="K1240" s="560">
        <f t="shared" si="39"/>
        <v>26</v>
      </c>
      <c r="L1240" s="560">
        <f t="shared" si="40"/>
        <v>13</v>
      </c>
    </row>
    <row r="1241" spans="2:12">
      <c r="B1241" s="553">
        <v>44279</v>
      </c>
      <c r="C1241" t="s">
        <v>1527</v>
      </c>
      <c r="D1241" s="28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0">
        <v>20750</v>
      </c>
      <c r="K1241" s="560">
        <f t="shared" si="39"/>
        <v>26</v>
      </c>
      <c r="L1241" s="560">
        <f t="shared" si="40"/>
        <v>12</v>
      </c>
    </row>
    <row r="1242" spans="2:12">
      <c r="B1242" s="553">
        <v>44279</v>
      </c>
      <c r="C1242" t="s">
        <v>1527</v>
      </c>
      <c r="D1242" s="28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0">
        <v>1037.5</v>
      </c>
      <c r="K1242" s="560">
        <f t="shared" si="39"/>
        <v>26</v>
      </c>
      <c r="L1242" s="560">
        <f t="shared" si="40"/>
        <v>11</v>
      </c>
    </row>
    <row r="1243" spans="2:12">
      <c r="B1243" s="553">
        <v>44279</v>
      </c>
      <c r="C1243" t="s">
        <v>1527</v>
      </c>
      <c r="D1243" s="28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0">
        <v>2864.28</v>
      </c>
      <c r="K1243" s="560">
        <f t="shared" si="39"/>
        <v>26</v>
      </c>
      <c r="L1243" s="560">
        <f t="shared" si="40"/>
        <v>10</v>
      </c>
    </row>
    <row r="1244" spans="2:12">
      <c r="B1244" s="553">
        <v>44279</v>
      </c>
      <c r="C1244" t="s">
        <v>1527</v>
      </c>
      <c r="D1244" s="28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0">
        <v>7215.47</v>
      </c>
      <c r="K1244" s="560">
        <f t="shared" si="39"/>
        <v>26</v>
      </c>
      <c r="L1244" s="560">
        <f t="shared" si="40"/>
        <v>9</v>
      </c>
    </row>
    <row r="1245" spans="2:12">
      <c r="B1245" s="553">
        <v>44279</v>
      </c>
      <c r="C1245" t="s">
        <v>1527</v>
      </c>
      <c r="D1245" s="28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0">
        <v>331287.87</v>
      </c>
      <c r="K1245" s="560">
        <f t="shared" si="39"/>
        <v>26</v>
      </c>
      <c r="L1245" s="560">
        <f t="shared" si="40"/>
        <v>8</v>
      </c>
    </row>
    <row r="1246" spans="2:12">
      <c r="B1246" s="553">
        <v>44279</v>
      </c>
      <c r="C1246" t="s">
        <v>1527</v>
      </c>
      <c r="D1246" s="28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0">
        <v>2282.5</v>
      </c>
      <c r="K1246" s="560">
        <f t="shared" si="39"/>
        <v>26</v>
      </c>
      <c r="L1246" s="560">
        <f t="shared" si="40"/>
        <v>7</v>
      </c>
    </row>
    <row r="1247" spans="2:12">
      <c r="B1247" s="553">
        <v>44279</v>
      </c>
      <c r="C1247" t="s">
        <v>1527</v>
      </c>
      <c r="D1247" s="28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0">
        <v>2075</v>
      </c>
      <c r="K1247" s="560">
        <f t="shared" si="39"/>
        <v>26</v>
      </c>
      <c r="L1247" s="560">
        <f t="shared" si="40"/>
        <v>6</v>
      </c>
    </row>
    <row r="1248" spans="2:12">
      <c r="B1248" s="553">
        <v>44279</v>
      </c>
      <c r="C1248" t="s">
        <v>1527</v>
      </c>
      <c r="D1248" s="28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0">
        <v>10375</v>
      </c>
      <c r="K1248" s="560">
        <f t="shared" si="39"/>
        <v>26</v>
      </c>
      <c r="L1248" s="560">
        <f t="shared" si="40"/>
        <v>5</v>
      </c>
    </row>
    <row r="1249" spans="1:19">
      <c r="B1249" s="553">
        <v>44279</v>
      </c>
      <c r="C1249" t="s">
        <v>1527</v>
      </c>
      <c r="D1249" s="28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0">
        <v>7470</v>
      </c>
      <c r="K1249" s="560">
        <f t="shared" si="39"/>
        <v>26</v>
      </c>
      <c r="L1249" s="560">
        <f t="shared" si="40"/>
        <v>4</v>
      </c>
    </row>
    <row r="1250" spans="1:19">
      <c r="B1250" s="553">
        <v>44279</v>
      </c>
      <c r="C1250" t="s">
        <v>1527</v>
      </c>
      <c r="D1250" s="28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0">
        <v>5312</v>
      </c>
      <c r="K1250" s="560">
        <f t="shared" si="39"/>
        <v>26</v>
      </c>
      <c r="L1250" s="560">
        <f t="shared" si="40"/>
        <v>3</v>
      </c>
    </row>
    <row r="1251" spans="1:19">
      <c r="B1251" s="553">
        <v>44279</v>
      </c>
      <c r="C1251" t="s">
        <v>1527</v>
      </c>
      <c r="D1251" s="28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0">
        <v>4980</v>
      </c>
      <c r="K1251" s="560">
        <f t="shared" si="39"/>
        <v>26</v>
      </c>
      <c r="L1251" s="560">
        <f t="shared" si="40"/>
        <v>2</v>
      </c>
    </row>
    <row r="1252" spans="1:19">
      <c r="A1252" t="s">
        <v>2321</v>
      </c>
      <c r="B1252" s="553">
        <v>44279</v>
      </c>
      <c r="C1252" t="s">
        <v>1527</v>
      </c>
      <c r="D1252" s="28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0">
        <v>12948</v>
      </c>
      <c r="K1252" s="560">
        <f t="shared" si="39"/>
        <v>26</v>
      </c>
      <c r="L1252" s="560">
        <f t="shared" si="40"/>
        <v>1</v>
      </c>
      <c r="M1252" s="560" t="e">
        <f>SUMIFS('[1]MAIN-101'!$Z$1:$Z$3000,'[1]MAIN-101'!$X$1:$X$3000,S1252)</f>
        <v>#VALUE!</v>
      </c>
      <c r="N1252" s="560"/>
      <c r="O1252" s="560"/>
      <c r="S1252" t="str">
        <f>VLOOKUP(C1252,'Recon of ORS and DV'!$A$4:$B$358,2,FALSE)</f>
        <v>0512</v>
      </c>
    </row>
    <row r="1253" spans="1:19">
      <c r="B1253" s="553">
        <v>44279</v>
      </c>
      <c r="C1253" t="s">
        <v>1528</v>
      </c>
      <c r="D1253" s="28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0">
        <v>2490</v>
      </c>
      <c r="K1253" s="560">
        <f t="shared" si="39"/>
        <v>25</v>
      </c>
      <c r="L1253" s="560">
        <f t="shared" si="40"/>
        <v>25</v>
      </c>
    </row>
    <row r="1254" spans="1:19">
      <c r="B1254" s="553">
        <v>44279</v>
      </c>
      <c r="C1254" t="s">
        <v>1528</v>
      </c>
      <c r="D1254" s="28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0">
        <v>14940</v>
      </c>
      <c r="K1254" s="560">
        <f t="shared" si="39"/>
        <v>25</v>
      </c>
      <c r="L1254" s="560">
        <f t="shared" si="40"/>
        <v>24</v>
      </c>
    </row>
    <row r="1255" spans="1:19">
      <c r="B1255" s="553">
        <v>44279</v>
      </c>
      <c r="C1255" t="s">
        <v>1528</v>
      </c>
      <c r="D1255" s="28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0">
        <v>16600</v>
      </c>
      <c r="K1255" s="560">
        <f t="shared" si="39"/>
        <v>25</v>
      </c>
      <c r="L1255" s="560">
        <f t="shared" si="40"/>
        <v>23</v>
      </c>
    </row>
    <row r="1256" spans="1:19">
      <c r="B1256" s="553">
        <v>44279</v>
      </c>
      <c r="C1256" t="s">
        <v>1528</v>
      </c>
      <c r="D1256" s="28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0">
        <v>3237</v>
      </c>
      <c r="K1256" s="560">
        <f t="shared" si="39"/>
        <v>25</v>
      </c>
      <c r="L1256" s="560">
        <f t="shared" si="40"/>
        <v>22</v>
      </c>
    </row>
    <row r="1257" spans="1:19">
      <c r="B1257" s="553">
        <v>44279</v>
      </c>
      <c r="C1257" t="s">
        <v>1528</v>
      </c>
      <c r="D1257" s="28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0">
        <v>57270</v>
      </c>
      <c r="K1257" s="560">
        <f t="shared" si="39"/>
        <v>25</v>
      </c>
      <c r="L1257" s="560">
        <f t="shared" si="40"/>
        <v>21</v>
      </c>
    </row>
    <row r="1258" spans="1:19">
      <c r="B1258" s="553">
        <v>44279</v>
      </c>
      <c r="C1258" t="s">
        <v>1528</v>
      </c>
      <c r="D1258" s="28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0">
        <v>6225</v>
      </c>
      <c r="K1258" s="560">
        <f t="shared" si="39"/>
        <v>25</v>
      </c>
      <c r="L1258" s="560">
        <f t="shared" si="40"/>
        <v>20</v>
      </c>
    </row>
    <row r="1259" spans="1:19">
      <c r="B1259" s="553">
        <v>44279</v>
      </c>
      <c r="C1259" t="s">
        <v>1528</v>
      </c>
      <c r="D1259" s="28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0">
        <v>4482</v>
      </c>
      <c r="K1259" s="560">
        <f t="shared" si="39"/>
        <v>25</v>
      </c>
      <c r="L1259" s="560">
        <f t="shared" si="40"/>
        <v>19</v>
      </c>
    </row>
    <row r="1260" spans="1:19">
      <c r="B1260" s="553">
        <v>44279</v>
      </c>
      <c r="C1260" t="s">
        <v>1528</v>
      </c>
      <c r="D1260" s="28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0">
        <v>1245</v>
      </c>
      <c r="K1260" s="560">
        <f t="shared" si="39"/>
        <v>25</v>
      </c>
      <c r="L1260" s="560">
        <f t="shared" si="40"/>
        <v>18</v>
      </c>
    </row>
    <row r="1261" spans="1:19">
      <c r="B1261" s="553">
        <v>44279</v>
      </c>
      <c r="C1261" t="s">
        <v>1528</v>
      </c>
      <c r="D1261" s="28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0">
        <v>747</v>
      </c>
      <c r="K1261" s="560">
        <f t="shared" si="39"/>
        <v>25</v>
      </c>
      <c r="L1261" s="560">
        <f t="shared" si="40"/>
        <v>17</v>
      </c>
    </row>
    <row r="1262" spans="1:19">
      <c r="B1262" s="553">
        <v>44279</v>
      </c>
      <c r="C1262" t="s">
        <v>1528</v>
      </c>
      <c r="D1262" s="28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0">
        <v>20770.75</v>
      </c>
      <c r="K1262" s="560">
        <f t="shared" si="39"/>
        <v>25</v>
      </c>
      <c r="L1262" s="560">
        <f t="shared" si="40"/>
        <v>16</v>
      </c>
    </row>
    <row r="1263" spans="1:19">
      <c r="B1263" s="553">
        <v>44279</v>
      </c>
      <c r="C1263" t="s">
        <v>1528</v>
      </c>
      <c r="D1263" s="28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0">
        <v>100174.36</v>
      </c>
      <c r="K1263" s="560">
        <f t="shared" si="39"/>
        <v>25</v>
      </c>
      <c r="L1263" s="560">
        <f t="shared" si="40"/>
        <v>15</v>
      </c>
    </row>
    <row r="1264" spans="1:19">
      <c r="B1264" s="553">
        <v>44279</v>
      </c>
      <c r="C1264" t="s">
        <v>1528</v>
      </c>
      <c r="D1264" s="28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0">
        <v>59711.86</v>
      </c>
      <c r="K1264" s="560">
        <f t="shared" si="39"/>
        <v>25</v>
      </c>
      <c r="L1264" s="560">
        <f t="shared" si="40"/>
        <v>14</v>
      </c>
    </row>
    <row r="1265" spans="1:19">
      <c r="B1265" s="553">
        <v>44279</v>
      </c>
      <c r="C1265" t="s">
        <v>1528</v>
      </c>
      <c r="D1265" s="28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0">
        <v>4150</v>
      </c>
      <c r="K1265" s="560">
        <f t="shared" si="39"/>
        <v>25</v>
      </c>
      <c r="L1265" s="560">
        <f t="shared" si="40"/>
        <v>13</v>
      </c>
    </row>
    <row r="1266" spans="1:19">
      <c r="B1266" s="553">
        <v>44279</v>
      </c>
      <c r="C1266" t="s">
        <v>1528</v>
      </c>
      <c r="D1266" s="28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0">
        <v>4150</v>
      </c>
      <c r="K1266" s="560">
        <f t="shared" si="39"/>
        <v>25</v>
      </c>
      <c r="L1266" s="560">
        <f t="shared" si="40"/>
        <v>12</v>
      </c>
    </row>
    <row r="1267" spans="1:19">
      <c r="B1267" s="553">
        <v>44279</v>
      </c>
      <c r="C1267" t="s">
        <v>1528</v>
      </c>
      <c r="D1267" s="28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0">
        <v>2075</v>
      </c>
      <c r="K1267" s="560">
        <f t="shared" si="39"/>
        <v>25</v>
      </c>
      <c r="L1267" s="560">
        <f t="shared" si="40"/>
        <v>11</v>
      </c>
    </row>
    <row r="1268" spans="1:19">
      <c r="B1268" s="553">
        <v>44279</v>
      </c>
      <c r="C1268" t="s">
        <v>1528</v>
      </c>
      <c r="D1268" s="28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0">
        <v>20750</v>
      </c>
      <c r="K1268" s="560">
        <f t="shared" si="39"/>
        <v>25</v>
      </c>
      <c r="L1268" s="560">
        <f t="shared" si="40"/>
        <v>10</v>
      </c>
    </row>
    <row r="1269" spans="1:19">
      <c r="B1269" s="553">
        <v>44279</v>
      </c>
      <c r="C1269" t="s">
        <v>1528</v>
      </c>
      <c r="D1269" s="28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0">
        <v>1037.5</v>
      </c>
      <c r="K1269" s="560">
        <f t="shared" si="39"/>
        <v>25</v>
      </c>
      <c r="L1269" s="560">
        <f t="shared" si="40"/>
        <v>9</v>
      </c>
    </row>
    <row r="1270" spans="1:19">
      <c r="B1270" s="553">
        <v>44279</v>
      </c>
      <c r="C1270" t="s">
        <v>1528</v>
      </c>
      <c r="D1270" s="28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0">
        <v>2697.5</v>
      </c>
      <c r="K1270" s="560">
        <f t="shared" si="39"/>
        <v>25</v>
      </c>
      <c r="L1270" s="560">
        <f t="shared" si="40"/>
        <v>8</v>
      </c>
    </row>
    <row r="1271" spans="1:19">
      <c r="B1271" s="553">
        <v>44279</v>
      </c>
      <c r="C1271" t="s">
        <v>1528</v>
      </c>
      <c r="D1271" s="28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0">
        <v>5414.73</v>
      </c>
      <c r="K1271" s="560">
        <f t="shared" si="39"/>
        <v>25</v>
      </c>
      <c r="L1271" s="560">
        <f t="shared" si="40"/>
        <v>7</v>
      </c>
    </row>
    <row r="1272" spans="1:19">
      <c r="B1272" s="553">
        <v>44279</v>
      </c>
      <c r="C1272" t="s">
        <v>1528</v>
      </c>
      <c r="D1272" s="28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0">
        <v>2075</v>
      </c>
      <c r="K1272" s="560">
        <f t="shared" si="39"/>
        <v>25</v>
      </c>
      <c r="L1272" s="560">
        <f t="shared" si="40"/>
        <v>6</v>
      </c>
    </row>
    <row r="1273" spans="1:19">
      <c r="B1273" s="553">
        <v>44279</v>
      </c>
      <c r="C1273" t="s">
        <v>1528</v>
      </c>
      <c r="D1273" s="28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0">
        <v>10375</v>
      </c>
      <c r="K1273" s="560">
        <f t="shared" si="39"/>
        <v>25</v>
      </c>
      <c r="L1273" s="560">
        <f t="shared" si="40"/>
        <v>5</v>
      </c>
    </row>
    <row r="1274" spans="1:19">
      <c r="B1274" s="553">
        <v>44279</v>
      </c>
      <c r="C1274" t="s">
        <v>1528</v>
      </c>
      <c r="D1274" s="28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0">
        <v>3112.5</v>
      </c>
      <c r="K1274" s="560">
        <f t="shared" si="39"/>
        <v>25</v>
      </c>
      <c r="L1274" s="560">
        <f t="shared" si="40"/>
        <v>4</v>
      </c>
    </row>
    <row r="1275" spans="1:19">
      <c r="B1275" s="553">
        <v>44279</v>
      </c>
      <c r="C1275" t="s">
        <v>1528</v>
      </c>
      <c r="D1275" s="28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0">
        <v>5063</v>
      </c>
      <c r="K1275" s="560">
        <f t="shared" si="39"/>
        <v>25</v>
      </c>
      <c r="L1275" s="560">
        <f t="shared" si="40"/>
        <v>3</v>
      </c>
    </row>
    <row r="1276" spans="1:19">
      <c r="B1276" s="553">
        <v>44279</v>
      </c>
      <c r="C1276" t="s">
        <v>1528</v>
      </c>
      <c r="D1276" s="28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0">
        <v>1037.5</v>
      </c>
      <c r="K1276" s="560">
        <f t="shared" si="39"/>
        <v>25</v>
      </c>
      <c r="L1276" s="560">
        <f t="shared" si="40"/>
        <v>2</v>
      </c>
    </row>
    <row r="1277" spans="1:19">
      <c r="A1277" t="s">
        <v>2322</v>
      </c>
      <c r="B1277" s="553">
        <v>44279</v>
      </c>
      <c r="C1277" t="s">
        <v>1528</v>
      </c>
      <c r="D1277" s="28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0">
        <v>11952</v>
      </c>
      <c r="K1277" s="560">
        <f t="shared" si="39"/>
        <v>25</v>
      </c>
      <c r="L1277" s="560">
        <f t="shared" si="40"/>
        <v>1</v>
      </c>
      <c r="M1277" s="560" t="e">
        <f>SUMIFS('[1]MAIN-101'!$Z$1:$Z$3000,'[1]MAIN-101'!$X$1:$X$3000,S1277)</f>
        <v>#VALUE!</v>
      </c>
      <c r="N1277" s="560"/>
      <c r="O1277" s="560"/>
      <c r="S1277" t="str">
        <f>VLOOKUP(C1277,'Recon of ORS and DV'!$A$4:$B$358,2,FALSE)</f>
        <v>0513</v>
      </c>
    </row>
    <row r="1278" spans="1:19">
      <c r="B1278" s="553">
        <v>44279</v>
      </c>
      <c r="C1278" t="s">
        <v>1529</v>
      </c>
      <c r="D1278" s="28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0">
        <v>1867.5</v>
      </c>
      <c r="K1278" s="560">
        <f t="shared" si="39"/>
        <v>27</v>
      </c>
      <c r="L1278" s="560">
        <f t="shared" si="40"/>
        <v>27</v>
      </c>
    </row>
    <row r="1279" spans="1:19">
      <c r="B1279" s="553">
        <v>44279</v>
      </c>
      <c r="C1279" t="s">
        <v>1529</v>
      </c>
      <c r="D1279" s="28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0">
        <v>14940</v>
      </c>
      <c r="K1279" s="560">
        <f t="shared" si="39"/>
        <v>27</v>
      </c>
      <c r="L1279" s="560">
        <f t="shared" si="40"/>
        <v>26</v>
      </c>
    </row>
    <row r="1280" spans="1:19">
      <c r="B1280" s="553">
        <v>44279</v>
      </c>
      <c r="C1280" t="s">
        <v>1529</v>
      </c>
      <c r="D1280" s="28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0">
        <v>10816.66</v>
      </c>
      <c r="K1280" s="560">
        <f t="shared" si="39"/>
        <v>27</v>
      </c>
      <c r="L1280" s="560">
        <f t="shared" si="40"/>
        <v>25</v>
      </c>
    </row>
    <row r="1281" spans="2:12">
      <c r="B1281" s="553">
        <v>44279</v>
      </c>
      <c r="C1281" t="s">
        <v>1529</v>
      </c>
      <c r="D1281" s="28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0">
        <v>2118.15</v>
      </c>
      <c r="K1281" s="560">
        <f t="shared" si="39"/>
        <v>27</v>
      </c>
      <c r="L1281" s="560">
        <f t="shared" si="40"/>
        <v>24</v>
      </c>
    </row>
    <row r="1282" spans="2:12">
      <c r="B1282" s="553">
        <v>44279</v>
      </c>
      <c r="C1282" t="s">
        <v>1529</v>
      </c>
      <c r="D1282" s="28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0">
        <v>47087.72</v>
      </c>
      <c r="K1282" s="560">
        <f t="shared" si="39"/>
        <v>27</v>
      </c>
      <c r="L1282" s="560">
        <f t="shared" si="40"/>
        <v>23</v>
      </c>
    </row>
    <row r="1283" spans="2:12">
      <c r="B1283" s="553">
        <v>44279</v>
      </c>
      <c r="C1283" t="s">
        <v>1529</v>
      </c>
      <c r="D1283" s="28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0">
        <v>1245</v>
      </c>
      <c r="K1283" s="560">
        <f t="shared" si="39"/>
        <v>27</v>
      </c>
      <c r="L1283" s="560">
        <f t="shared" si="40"/>
        <v>22</v>
      </c>
    </row>
    <row r="1284" spans="2:12">
      <c r="B1284" s="553">
        <v>44279</v>
      </c>
      <c r="C1284" t="s">
        <v>1529</v>
      </c>
      <c r="D1284" s="28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0">
        <v>7586.8</v>
      </c>
      <c r="K1284" s="560">
        <f t="shared" ref="K1284:K1347" si="41">COUNTIFS($C$3:$C$1556,C1284)</f>
        <v>27</v>
      </c>
      <c r="L1284" s="560">
        <f t="shared" si="40"/>
        <v>21</v>
      </c>
    </row>
    <row r="1285" spans="2:12">
      <c r="B1285" s="553">
        <v>44279</v>
      </c>
      <c r="C1285" t="s">
        <v>1529</v>
      </c>
      <c r="D1285" s="28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0">
        <v>4482</v>
      </c>
      <c r="K1285" s="560">
        <f t="shared" si="41"/>
        <v>27</v>
      </c>
      <c r="L1285" s="560">
        <f t="shared" si="40"/>
        <v>20</v>
      </c>
    </row>
    <row r="1286" spans="2:12">
      <c r="B1286" s="553">
        <v>44279</v>
      </c>
      <c r="C1286" t="s">
        <v>1529</v>
      </c>
      <c r="D1286" s="28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0">
        <v>871.5</v>
      </c>
      <c r="K1286" s="560">
        <f t="shared" si="41"/>
        <v>27</v>
      </c>
      <c r="L1286" s="560">
        <f t="shared" si="40"/>
        <v>19</v>
      </c>
    </row>
    <row r="1287" spans="2:12">
      <c r="B1287" s="553">
        <v>44279</v>
      </c>
      <c r="C1287" t="s">
        <v>1529</v>
      </c>
      <c r="D1287" s="28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0">
        <v>747</v>
      </c>
      <c r="K1287" s="560">
        <f t="shared" si="41"/>
        <v>27</v>
      </c>
      <c r="L1287" s="560">
        <f t="shared" si="40"/>
        <v>18</v>
      </c>
    </row>
    <row r="1288" spans="2:12">
      <c r="B1288" s="553">
        <v>44279</v>
      </c>
      <c r="C1288" t="s">
        <v>1529</v>
      </c>
      <c r="D1288" s="28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0">
        <v>21580</v>
      </c>
      <c r="K1288" s="560">
        <f t="shared" si="41"/>
        <v>27</v>
      </c>
      <c r="L1288" s="560">
        <f t="shared" si="40"/>
        <v>17</v>
      </c>
    </row>
    <row r="1289" spans="2:12">
      <c r="B1289" s="553">
        <v>44279</v>
      </c>
      <c r="C1289" t="s">
        <v>1529</v>
      </c>
      <c r="D1289" s="28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0">
        <v>164374.85999999999</v>
      </c>
      <c r="K1289" s="560">
        <f t="shared" si="41"/>
        <v>27</v>
      </c>
      <c r="L1289" s="560">
        <f t="shared" si="40"/>
        <v>16</v>
      </c>
    </row>
    <row r="1290" spans="2:12">
      <c r="B1290" s="553">
        <v>44279</v>
      </c>
      <c r="C1290" t="s">
        <v>1529</v>
      </c>
      <c r="D1290" s="28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0">
        <v>24900</v>
      </c>
      <c r="K1290" s="560">
        <f t="shared" si="41"/>
        <v>27</v>
      </c>
      <c r="L1290" s="560">
        <f t="shared" si="40"/>
        <v>15</v>
      </c>
    </row>
    <row r="1291" spans="2:12">
      <c r="B1291" s="553">
        <v>44279</v>
      </c>
      <c r="C1291" t="s">
        <v>1529</v>
      </c>
      <c r="D1291" s="28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0">
        <v>4150</v>
      </c>
      <c r="K1291" s="560">
        <f t="shared" si="41"/>
        <v>27</v>
      </c>
      <c r="L1291" s="560">
        <f t="shared" si="40"/>
        <v>14</v>
      </c>
    </row>
    <row r="1292" spans="2:12">
      <c r="B1292" s="553">
        <v>44279</v>
      </c>
      <c r="C1292" t="s">
        <v>1529</v>
      </c>
      <c r="D1292" s="28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0">
        <v>4150</v>
      </c>
      <c r="K1292" s="560">
        <f t="shared" si="41"/>
        <v>27</v>
      </c>
      <c r="L1292" s="560">
        <f t="shared" si="40"/>
        <v>13</v>
      </c>
    </row>
    <row r="1293" spans="2:12">
      <c r="B1293" s="553">
        <v>44279</v>
      </c>
      <c r="C1293" t="s">
        <v>1529</v>
      </c>
      <c r="D1293" s="28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0">
        <v>2075</v>
      </c>
      <c r="K1293" s="560">
        <f t="shared" si="41"/>
        <v>27</v>
      </c>
      <c r="L1293" s="560">
        <f t="shared" si="40"/>
        <v>12</v>
      </c>
    </row>
    <row r="1294" spans="2:12">
      <c r="B1294" s="553">
        <v>44279</v>
      </c>
      <c r="C1294" t="s">
        <v>1529</v>
      </c>
      <c r="D1294" s="28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0">
        <v>20750</v>
      </c>
      <c r="K1294" s="560">
        <f t="shared" si="41"/>
        <v>27</v>
      </c>
      <c r="L1294" s="560">
        <f t="shared" si="40"/>
        <v>11</v>
      </c>
    </row>
    <row r="1295" spans="2:12">
      <c r="B1295" s="553">
        <v>44279</v>
      </c>
      <c r="C1295" t="s">
        <v>1529</v>
      </c>
      <c r="D1295" s="28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0">
        <v>1556.25</v>
      </c>
      <c r="K1295" s="560">
        <f t="shared" si="41"/>
        <v>27</v>
      </c>
      <c r="L1295" s="560">
        <f t="shared" ref="L1295:L1358" si="42">COUNTIFS(C1295:C2848,C1295)</f>
        <v>10</v>
      </c>
    </row>
    <row r="1296" spans="2:12">
      <c r="B1296" s="553">
        <v>44279</v>
      </c>
      <c r="C1296" t="s">
        <v>1529</v>
      </c>
      <c r="D1296" s="28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0">
        <v>2085.38</v>
      </c>
      <c r="K1296" s="560">
        <f t="shared" si="41"/>
        <v>27</v>
      </c>
      <c r="L1296" s="560">
        <f t="shared" si="42"/>
        <v>9</v>
      </c>
    </row>
    <row r="1297" spans="1:19">
      <c r="B1297" s="553">
        <v>44279</v>
      </c>
      <c r="C1297" t="s">
        <v>1529</v>
      </c>
      <c r="D1297" s="28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0">
        <v>4565</v>
      </c>
      <c r="K1297" s="560">
        <f t="shared" si="41"/>
        <v>27</v>
      </c>
      <c r="L1297" s="560">
        <f t="shared" si="42"/>
        <v>8</v>
      </c>
    </row>
    <row r="1298" spans="1:19">
      <c r="B1298" s="553">
        <v>44279</v>
      </c>
      <c r="C1298" t="s">
        <v>1529</v>
      </c>
      <c r="D1298" s="28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0">
        <v>128235</v>
      </c>
      <c r="K1298" s="560">
        <f t="shared" si="41"/>
        <v>27</v>
      </c>
      <c r="L1298" s="560">
        <f t="shared" si="42"/>
        <v>7</v>
      </c>
    </row>
    <row r="1299" spans="1:19">
      <c r="B1299" s="553">
        <v>44279</v>
      </c>
      <c r="C1299" t="s">
        <v>1529</v>
      </c>
      <c r="D1299" s="28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0">
        <v>2075</v>
      </c>
      <c r="K1299" s="560">
        <f t="shared" si="41"/>
        <v>27</v>
      </c>
      <c r="L1299" s="560">
        <f t="shared" si="42"/>
        <v>6</v>
      </c>
    </row>
    <row r="1300" spans="1:19">
      <c r="B1300" s="553">
        <v>44279</v>
      </c>
      <c r="C1300" t="s">
        <v>1529</v>
      </c>
      <c r="D1300" s="28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0">
        <v>10375</v>
      </c>
      <c r="K1300" s="560">
        <f t="shared" si="41"/>
        <v>27</v>
      </c>
      <c r="L1300" s="560">
        <f t="shared" si="42"/>
        <v>5</v>
      </c>
    </row>
    <row r="1301" spans="1:19">
      <c r="B1301" s="553">
        <v>44279</v>
      </c>
      <c r="C1301" t="s">
        <v>1529</v>
      </c>
      <c r="D1301" s="28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0">
        <v>1037.5</v>
      </c>
      <c r="K1301" s="560">
        <f t="shared" si="41"/>
        <v>27</v>
      </c>
      <c r="L1301" s="560">
        <f t="shared" si="42"/>
        <v>4</v>
      </c>
    </row>
    <row r="1302" spans="1:19">
      <c r="B1302" s="553">
        <v>44279</v>
      </c>
      <c r="C1302" t="s">
        <v>1529</v>
      </c>
      <c r="D1302" s="28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0">
        <v>5063</v>
      </c>
      <c r="K1302" s="560">
        <f t="shared" si="41"/>
        <v>27</v>
      </c>
      <c r="L1302" s="560">
        <f t="shared" si="42"/>
        <v>3</v>
      </c>
    </row>
    <row r="1303" spans="1:19">
      <c r="B1303" s="553">
        <v>44279</v>
      </c>
      <c r="C1303" t="s">
        <v>1529</v>
      </c>
      <c r="D1303" s="28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0">
        <v>4980</v>
      </c>
      <c r="K1303" s="560">
        <f t="shared" si="41"/>
        <v>27</v>
      </c>
      <c r="L1303" s="560">
        <f t="shared" si="42"/>
        <v>2</v>
      </c>
    </row>
    <row r="1304" spans="1:19">
      <c r="A1304" t="s">
        <v>2640</v>
      </c>
      <c r="B1304" s="553">
        <v>44279</v>
      </c>
      <c r="C1304" t="s">
        <v>1529</v>
      </c>
      <c r="D1304" s="28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0">
        <v>11952</v>
      </c>
      <c r="K1304" s="560">
        <f t="shared" si="41"/>
        <v>27</v>
      </c>
      <c r="L1304" s="560">
        <f t="shared" si="42"/>
        <v>1</v>
      </c>
      <c r="M1304" s="560" t="e">
        <f>SUMIFS('[1]MAIN-101'!$Z$1:$Z$3000,'[1]MAIN-101'!$X$1:$X$3000,S1304)</f>
        <v>#VALUE!</v>
      </c>
      <c r="N1304" s="560"/>
      <c r="O1304" s="560"/>
      <c r="S1304" t="str">
        <f>VLOOKUP(C1304,'Recon of ORS and DV'!$A$4:$B$358,2,FALSE)</f>
        <v>0514</v>
      </c>
    </row>
    <row r="1305" spans="1:19">
      <c r="B1305" s="553">
        <v>44279</v>
      </c>
      <c r="C1305" t="s">
        <v>1530</v>
      </c>
      <c r="D1305" s="28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0">
        <v>2490</v>
      </c>
      <c r="K1305" s="560">
        <f t="shared" si="41"/>
        <v>27</v>
      </c>
      <c r="L1305" s="560">
        <f t="shared" si="42"/>
        <v>27</v>
      </c>
    </row>
    <row r="1306" spans="1:19">
      <c r="B1306" s="553">
        <v>44279</v>
      </c>
      <c r="C1306" t="s">
        <v>1530</v>
      </c>
      <c r="D1306" s="28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0">
        <v>14940</v>
      </c>
      <c r="K1306" s="560">
        <f t="shared" si="41"/>
        <v>27</v>
      </c>
      <c r="L1306" s="560">
        <f t="shared" si="42"/>
        <v>26</v>
      </c>
    </row>
    <row r="1307" spans="1:19">
      <c r="B1307" s="553">
        <v>44279</v>
      </c>
      <c r="C1307" t="s">
        <v>1530</v>
      </c>
      <c r="D1307" s="28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0">
        <v>7470</v>
      </c>
      <c r="K1307" s="560">
        <f t="shared" si="41"/>
        <v>27</v>
      </c>
      <c r="L1307" s="560">
        <f t="shared" si="42"/>
        <v>25</v>
      </c>
    </row>
    <row r="1308" spans="1:19">
      <c r="B1308" s="553">
        <v>44279</v>
      </c>
      <c r="C1308" t="s">
        <v>1530</v>
      </c>
      <c r="D1308" s="28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0">
        <v>1992</v>
      </c>
      <c r="K1308" s="560">
        <f t="shared" si="41"/>
        <v>27</v>
      </c>
      <c r="L1308" s="560">
        <f t="shared" si="42"/>
        <v>24</v>
      </c>
    </row>
    <row r="1309" spans="1:19">
      <c r="B1309" s="553">
        <v>44279</v>
      </c>
      <c r="C1309" t="s">
        <v>1530</v>
      </c>
      <c r="D1309" s="28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0">
        <v>72625</v>
      </c>
      <c r="K1309" s="560">
        <f t="shared" si="41"/>
        <v>27</v>
      </c>
      <c r="L1309" s="560">
        <f t="shared" si="42"/>
        <v>23</v>
      </c>
    </row>
    <row r="1310" spans="1:19">
      <c r="B1310" s="553">
        <v>44279</v>
      </c>
      <c r="C1310" t="s">
        <v>1530</v>
      </c>
      <c r="D1310" s="28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0">
        <v>12450</v>
      </c>
      <c r="K1310" s="560">
        <f t="shared" si="41"/>
        <v>27</v>
      </c>
      <c r="L1310" s="560">
        <f t="shared" si="42"/>
        <v>22</v>
      </c>
    </row>
    <row r="1311" spans="1:19">
      <c r="B1311" s="553">
        <v>44279</v>
      </c>
      <c r="C1311" t="s">
        <v>1530</v>
      </c>
      <c r="D1311" s="28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0">
        <v>3735</v>
      </c>
      <c r="K1311" s="560">
        <f t="shared" si="41"/>
        <v>27</v>
      </c>
      <c r="L1311" s="560">
        <f t="shared" si="42"/>
        <v>21</v>
      </c>
    </row>
    <row r="1312" spans="1:19">
      <c r="B1312" s="553">
        <v>44279</v>
      </c>
      <c r="C1312" t="s">
        <v>1530</v>
      </c>
      <c r="D1312" s="28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0">
        <v>7470</v>
      </c>
      <c r="K1312" s="560">
        <f t="shared" si="41"/>
        <v>27</v>
      </c>
      <c r="L1312" s="560">
        <f t="shared" si="42"/>
        <v>20</v>
      </c>
    </row>
    <row r="1313" spans="2:12">
      <c r="B1313" s="553">
        <v>44279</v>
      </c>
      <c r="C1313" t="s">
        <v>1530</v>
      </c>
      <c r="D1313" s="28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0">
        <v>2502.4499999999998</v>
      </c>
      <c r="K1313" s="560">
        <f t="shared" si="41"/>
        <v>27</v>
      </c>
      <c r="L1313" s="560">
        <f t="shared" si="42"/>
        <v>19</v>
      </c>
    </row>
    <row r="1314" spans="2:12">
      <c r="B1314" s="553">
        <v>44279</v>
      </c>
      <c r="C1314" t="s">
        <v>1530</v>
      </c>
      <c r="D1314" s="28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0">
        <v>498</v>
      </c>
      <c r="K1314" s="560">
        <f t="shared" si="41"/>
        <v>27</v>
      </c>
      <c r="L1314" s="560">
        <f t="shared" si="42"/>
        <v>18</v>
      </c>
    </row>
    <row r="1315" spans="2:12">
      <c r="B1315" s="553">
        <v>44279</v>
      </c>
      <c r="C1315" t="s">
        <v>1530</v>
      </c>
      <c r="D1315" s="28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0">
        <v>41541.5</v>
      </c>
      <c r="K1315" s="560">
        <f t="shared" si="41"/>
        <v>27</v>
      </c>
      <c r="L1315" s="560">
        <f t="shared" si="42"/>
        <v>17</v>
      </c>
    </row>
    <row r="1316" spans="2:12">
      <c r="B1316" s="553">
        <v>44279</v>
      </c>
      <c r="C1316" t="s">
        <v>1530</v>
      </c>
      <c r="D1316" s="28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0">
        <v>167342.10999999999</v>
      </c>
      <c r="K1316" s="560">
        <f t="shared" si="41"/>
        <v>27</v>
      </c>
      <c r="L1316" s="560">
        <f t="shared" si="42"/>
        <v>16</v>
      </c>
    </row>
    <row r="1317" spans="2:12">
      <c r="B1317" s="553">
        <v>44279</v>
      </c>
      <c r="C1317" t="s">
        <v>1530</v>
      </c>
      <c r="D1317" s="28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0">
        <v>4150</v>
      </c>
      <c r="K1317" s="560">
        <f t="shared" si="41"/>
        <v>27</v>
      </c>
      <c r="L1317" s="560">
        <f t="shared" si="42"/>
        <v>15</v>
      </c>
    </row>
    <row r="1318" spans="2:12">
      <c r="B1318" s="553">
        <v>44279</v>
      </c>
      <c r="C1318" t="s">
        <v>1530</v>
      </c>
      <c r="D1318" s="28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0">
        <v>4150</v>
      </c>
      <c r="K1318" s="560">
        <f t="shared" si="41"/>
        <v>27</v>
      </c>
      <c r="L1318" s="560">
        <f t="shared" si="42"/>
        <v>14</v>
      </c>
    </row>
    <row r="1319" spans="2:12">
      <c r="B1319" s="553">
        <v>44279</v>
      </c>
      <c r="C1319" t="s">
        <v>1530</v>
      </c>
      <c r="D1319" s="28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0">
        <v>2075</v>
      </c>
      <c r="K1319" s="560">
        <f t="shared" si="41"/>
        <v>27</v>
      </c>
      <c r="L1319" s="560">
        <f t="shared" si="42"/>
        <v>13</v>
      </c>
    </row>
    <row r="1320" spans="2:12">
      <c r="B1320" s="553">
        <v>44279</v>
      </c>
      <c r="C1320" t="s">
        <v>1530</v>
      </c>
      <c r="D1320" s="28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0">
        <v>16600</v>
      </c>
      <c r="K1320" s="560">
        <f t="shared" si="41"/>
        <v>27</v>
      </c>
      <c r="L1320" s="560">
        <f t="shared" si="42"/>
        <v>12</v>
      </c>
    </row>
    <row r="1321" spans="2:12">
      <c r="B1321" s="553">
        <v>44279</v>
      </c>
      <c r="C1321" t="s">
        <v>1530</v>
      </c>
      <c r="D1321" s="28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0">
        <v>1037.5</v>
      </c>
      <c r="K1321" s="560">
        <f t="shared" si="41"/>
        <v>27</v>
      </c>
      <c r="L1321" s="560">
        <f t="shared" si="42"/>
        <v>11</v>
      </c>
    </row>
    <row r="1322" spans="2:12">
      <c r="B1322" s="553">
        <v>44279</v>
      </c>
      <c r="C1322" t="s">
        <v>1530</v>
      </c>
      <c r="D1322" s="28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0">
        <v>2075</v>
      </c>
      <c r="K1322" s="560">
        <f t="shared" si="41"/>
        <v>27</v>
      </c>
      <c r="L1322" s="560">
        <f t="shared" si="42"/>
        <v>10</v>
      </c>
    </row>
    <row r="1323" spans="2:12">
      <c r="B1323" s="553">
        <v>44279</v>
      </c>
      <c r="C1323" t="s">
        <v>1530</v>
      </c>
      <c r="D1323" s="28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0">
        <v>4565</v>
      </c>
      <c r="K1323" s="560">
        <f t="shared" si="41"/>
        <v>27</v>
      </c>
      <c r="L1323" s="560">
        <f t="shared" si="42"/>
        <v>9</v>
      </c>
    </row>
    <row r="1324" spans="2:12">
      <c r="B1324" s="553">
        <v>44279</v>
      </c>
      <c r="C1324" t="s">
        <v>1530</v>
      </c>
      <c r="D1324" s="28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0">
        <v>123670</v>
      </c>
      <c r="K1324" s="560">
        <f t="shared" si="41"/>
        <v>27</v>
      </c>
      <c r="L1324" s="560">
        <f t="shared" si="42"/>
        <v>8</v>
      </c>
    </row>
    <row r="1325" spans="2:12">
      <c r="B1325" s="553">
        <v>44279</v>
      </c>
      <c r="C1325" t="s">
        <v>1530</v>
      </c>
      <c r="D1325" s="28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0">
        <v>2490</v>
      </c>
      <c r="K1325" s="560">
        <f t="shared" si="41"/>
        <v>27</v>
      </c>
      <c r="L1325" s="560">
        <f t="shared" si="42"/>
        <v>7</v>
      </c>
    </row>
    <row r="1326" spans="2:12">
      <c r="B1326" s="553">
        <v>44279</v>
      </c>
      <c r="C1326" t="s">
        <v>1530</v>
      </c>
      <c r="D1326" s="28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0">
        <v>2075</v>
      </c>
      <c r="K1326" s="560">
        <f t="shared" si="41"/>
        <v>27</v>
      </c>
      <c r="L1326" s="560">
        <f t="shared" si="42"/>
        <v>6</v>
      </c>
    </row>
    <row r="1327" spans="2:12">
      <c r="B1327" s="553">
        <v>44279</v>
      </c>
      <c r="C1327" t="s">
        <v>1530</v>
      </c>
      <c r="D1327" s="28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0">
        <v>10375</v>
      </c>
      <c r="K1327" s="560">
        <f t="shared" si="41"/>
        <v>27</v>
      </c>
      <c r="L1327" s="560">
        <f t="shared" si="42"/>
        <v>5</v>
      </c>
    </row>
    <row r="1328" spans="2:12">
      <c r="B1328" s="553">
        <v>44279</v>
      </c>
      <c r="C1328" t="s">
        <v>1530</v>
      </c>
      <c r="D1328" s="28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0">
        <v>2075</v>
      </c>
      <c r="K1328" s="560">
        <f t="shared" si="41"/>
        <v>27</v>
      </c>
      <c r="L1328" s="560">
        <f t="shared" si="42"/>
        <v>4</v>
      </c>
    </row>
    <row r="1329" spans="1:19">
      <c r="B1329" s="553">
        <v>44279</v>
      </c>
      <c r="C1329" t="s">
        <v>1530</v>
      </c>
      <c r="D1329" s="28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0">
        <v>5063</v>
      </c>
      <c r="K1329" s="560">
        <f t="shared" si="41"/>
        <v>27</v>
      </c>
      <c r="L1329" s="560">
        <f t="shared" si="42"/>
        <v>3</v>
      </c>
    </row>
    <row r="1330" spans="1:19">
      <c r="B1330" s="553">
        <v>44279</v>
      </c>
      <c r="C1330" t="s">
        <v>1530</v>
      </c>
      <c r="D1330" s="28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0">
        <v>4980</v>
      </c>
      <c r="K1330" s="560">
        <f t="shared" si="41"/>
        <v>27</v>
      </c>
      <c r="L1330" s="560">
        <f t="shared" si="42"/>
        <v>2</v>
      </c>
    </row>
    <row r="1331" spans="1:19">
      <c r="A1331" t="s">
        <v>2323</v>
      </c>
      <c r="B1331" s="553">
        <v>44279</v>
      </c>
      <c r="C1331" t="s">
        <v>1530</v>
      </c>
      <c r="D1331" s="28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0">
        <v>11952</v>
      </c>
      <c r="K1331" s="560">
        <f t="shared" si="41"/>
        <v>27</v>
      </c>
      <c r="L1331" s="560">
        <f t="shared" si="42"/>
        <v>1</v>
      </c>
      <c r="M1331" s="560" t="e">
        <f>SUMIFS('[1]MAIN-101'!$Z$1:$Z$3000,'[1]MAIN-101'!$X$1:$X$3000,S1331)</f>
        <v>#VALUE!</v>
      </c>
      <c r="N1331" s="560"/>
      <c r="O1331" s="560"/>
      <c r="S1331" t="str">
        <f>VLOOKUP(C1331,'Recon of ORS and DV'!$A$4:$B$358,2,FALSE)</f>
        <v>0515</v>
      </c>
    </row>
    <row r="1332" spans="1:19">
      <c r="B1332" s="553">
        <v>44279</v>
      </c>
      <c r="C1332" t="s">
        <v>1531</v>
      </c>
      <c r="D1332" s="28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0">
        <v>1494</v>
      </c>
      <c r="K1332" s="560">
        <f t="shared" si="41"/>
        <v>26</v>
      </c>
      <c r="L1332" s="560">
        <f t="shared" si="42"/>
        <v>26</v>
      </c>
    </row>
    <row r="1333" spans="1:19">
      <c r="B1333" s="553">
        <v>44279</v>
      </c>
      <c r="C1333" t="s">
        <v>1531</v>
      </c>
      <c r="D1333" s="28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0">
        <v>11205</v>
      </c>
      <c r="K1333" s="560">
        <f t="shared" si="41"/>
        <v>26</v>
      </c>
      <c r="L1333" s="560">
        <f t="shared" si="42"/>
        <v>25</v>
      </c>
    </row>
    <row r="1334" spans="1:19">
      <c r="B1334" s="553">
        <v>44279</v>
      </c>
      <c r="C1334" t="s">
        <v>1531</v>
      </c>
      <c r="D1334" s="28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0">
        <v>6225</v>
      </c>
      <c r="K1334" s="560">
        <f t="shared" si="41"/>
        <v>26</v>
      </c>
      <c r="L1334" s="560">
        <f t="shared" si="42"/>
        <v>24</v>
      </c>
    </row>
    <row r="1335" spans="1:19">
      <c r="B1335" s="553">
        <v>44279</v>
      </c>
      <c r="C1335" t="s">
        <v>1531</v>
      </c>
      <c r="D1335" s="28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0">
        <v>2490</v>
      </c>
      <c r="K1335" s="560">
        <f t="shared" si="41"/>
        <v>26</v>
      </c>
      <c r="L1335" s="560">
        <f t="shared" si="42"/>
        <v>23</v>
      </c>
    </row>
    <row r="1336" spans="1:19">
      <c r="B1336" s="553">
        <v>44279</v>
      </c>
      <c r="C1336" t="s">
        <v>1531</v>
      </c>
      <c r="D1336" s="28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0">
        <v>9960</v>
      </c>
      <c r="K1336" s="560">
        <f t="shared" si="41"/>
        <v>26</v>
      </c>
      <c r="L1336" s="560">
        <f t="shared" si="42"/>
        <v>22</v>
      </c>
    </row>
    <row r="1337" spans="1:19">
      <c r="B1337" s="553">
        <v>44279</v>
      </c>
      <c r="C1337" t="s">
        <v>1531</v>
      </c>
      <c r="D1337" s="28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0">
        <v>4980</v>
      </c>
      <c r="K1337" s="560">
        <f t="shared" si="41"/>
        <v>26</v>
      </c>
      <c r="L1337" s="560">
        <f t="shared" si="42"/>
        <v>21</v>
      </c>
    </row>
    <row r="1338" spans="1:19">
      <c r="B1338" s="553">
        <v>44279</v>
      </c>
      <c r="C1338" t="s">
        <v>1531</v>
      </c>
      <c r="D1338" s="28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0">
        <v>2490</v>
      </c>
      <c r="K1338" s="560">
        <f t="shared" si="41"/>
        <v>26</v>
      </c>
      <c r="L1338" s="560">
        <f t="shared" si="42"/>
        <v>20</v>
      </c>
    </row>
    <row r="1339" spans="1:19">
      <c r="B1339" s="553">
        <v>44279</v>
      </c>
      <c r="C1339" t="s">
        <v>1531</v>
      </c>
      <c r="D1339" s="28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0">
        <v>4482</v>
      </c>
      <c r="K1339" s="560">
        <f t="shared" si="41"/>
        <v>26</v>
      </c>
      <c r="L1339" s="560">
        <f t="shared" si="42"/>
        <v>19</v>
      </c>
    </row>
    <row r="1340" spans="1:19">
      <c r="B1340" s="553">
        <v>44279</v>
      </c>
      <c r="C1340" t="s">
        <v>1531</v>
      </c>
      <c r="D1340" s="28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0">
        <v>871.5</v>
      </c>
      <c r="K1340" s="560">
        <f t="shared" si="41"/>
        <v>26</v>
      </c>
      <c r="L1340" s="560">
        <f t="shared" si="42"/>
        <v>18</v>
      </c>
    </row>
    <row r="1341" spans="1:19">
      <c r="B1341" s="553">
        <v>44279</v>
      </c>
      <c r="C1341" t="s">
        <v>1531</v>
      </c>
      <c r="D1341" s="28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0">
        <v>2386.25</v>
      </c>
      <c r="K1341" s="560">
        <f t="shared" si="41"/>
        <v>26</v>
      </c>
      <c r="L1341" s="560">
        <f t="shared" si="42"/>
        <v>17</v>
      </c>
    </row>
    <row r="1342" spans="1:19">
      <c r="B1342" s="553">
        <v>44279</v>
      </c>
      <c r="C1342" t="s">
        <v>1531</v>
      </c>
      <c r="D1342" s="28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0">
        <v>23738</v>
      </c>
      <c r="K1342" s="560">
        <f t="shared" si="41"/>
        <v>26</v>
      </c>
      <c r="L1342" s="560">
        <f t="shared" si="42"/>
        <v>16</v>
      </c>
    </row>
    <row r="1343" spans="1:19">
      <c r="B1343" s="553">
        <v>44279</v>
      </c>
      <c r="C1343" t="s">
        <v>1531</v>
      </c>
      <c r="D1343" s="28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0">
        <v>129846.86</v>
      </c>
      <c r="K1343" s="560">
        <f t="shared" si="41"/>
        <v>26</v>
      </c>
      <c r="L1343" s="560">
        <f t="shared" si="42"/>
        <v>15</v>
      </c>
    </row>
    <row r="1344" spans="1:19">
      <c r="B1344" s="553">
        <v>44279</v>
      </c>
      <c r="C1344" t="s">
        <v>1531</v>
      </c>
      <c r="D1344" s="28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0">
        <v>10375</v>
      </c>
      <c r="K1344" s="560">
        <f t="shared" si="41"/>
        <v>26</v>
      </c>
      <c r="L1344" s="560">
        <f t="shared" si="42"/>
        <v>14</v>
      </c>
    </row>
    <row r="1345" spans="1:19">
      <c r="B1345" s="553">
        <v>44279</v>
      </c>
      <c r="C1345" t="s">
        <v>1531</v>
      </c>
      <c r="D1345" s="28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0">
        <v>4150</v>
      </c>
      <c r="K1345" s="560">
        <f t="shared" si="41"/>
        <v>26</v>
      </c>
      <c r="L1345" s="560">
        <f t="shared" si="42"/>
        <v>13</v>
      </c>
    </row>
    <row r="1346" spans="1:19">
      <c r="B1346" s="553">
        <v>44279</v>
      </c>
      <c r="C1346" t="s">
        <v>1531</v>
      </c>
      <c r="D1346" s="28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0">
        <v>2075</v>
      </c>
      <c r="K1346" s="560">
        <f t="shared" si="41"/>
        <v>26</v>
      </c>
      <c r="L1346" s="560">
        <f t="shared" si="42"/>
        <v>12</v>
      </c>
    </row>
    <row r="1347" spans="1:19">
      <c r="B1347" s="553">
        <v>44279</v>
      </c>
      <c r="C1347" t="s">
        <v>1531</v>
      </c>
      <c r="D1347" s="28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0">
        <v>31125</v>
      </c>
      <c r="K1347" s="560">
        <f t="shared" si="41"/>
        <v>26</v>
      </c>
      <c r="L1347" s="560">
        <f t="shared" si="42"/>
        <v>11</v>
      </c>
    </row>
    <row r="1348" spans="1:19">
      <c r="B1348" s="553">
        <v>44279</v>
      </c>
      <c r="C1348" t="s">
        <v>1531</v>
      </c>
      <c r="D1348" s="28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0">
        <v>1037.5</v>
      </c>
      <c r="K1348" s="560">
        <f t="shared" ref="K1348:K1411" si="43">COUNTIFS($C$3:$C$1556,C1348)</f>
        <v>26</v>
      </c>
      <c r="L1348" s="560">
        <f t="shared" si="42"/>
        <v>10</v>
      </c>
    </row>
    <row r="1349" spans="1:19">
      <c r="B1349" s="553">
        <v>44279</v>
      </c>
      <c r="C1349" t="s">
        <v>1531</v>
      </c>
      <c r="D1349" s="28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0">
        <v>2619.69</v>
      </c>
      <c r="K1349" s="560">
        <f t="shared" si="43"/>
        <v>26</v>
      </c>
      <c r="L1349" s="560">
        <f t="shared" si="42"/>
        <v>9</v>
      </c>
    </row>
    <row r="1350" spans="1:19">
      <c r="B1350" s="553">
        <v>44279</v>
      </c>
      <c r="C1350" t="s">
        <v>1531</v>
      </c>
      <c r="D1350" s="28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0">
        <v>4565</v>
      </c>
      <c r="K1350" s="560">
        <f t="shared" si="43"/>
        <v>26</v>
      </c>
      <c r="L1350" s="560">
        <f t="shared" si="42"/>
        <v>8</v>
      </c>
    </row>
    <row r="1351" spans="1:19">
      <c r="B1351" s="553">
        <v>44279</v>
      </c>
      <c r="C1351" t="s">
        <v>1531</v>
      </c>
      <c r="D1351" s="28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0">
        <v>54780</v>
      </c>
      <c r="K1351" s="560">
        <f t="shared" si="43"/>
        <v>26</v>
      </c>
      <c r="L1351" s="560">
        <f t="shared" si="42"/>
        <v>7</v>
      </c>
    </row>
    <row r="1352" spans="1:19">
      <c r="B1352" s="553">
        <v>44279</v>
      </c>
      <c r="C1352" t="s">
        <v>1531</v>
      </c>
      <c r="D1352" s="28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0">
        <v>2075</v>
      </c>
      <c r="K1352" s="560">
        <f t="shared" si="43"/>
        <v>26</v>
      </c>
      <c r="L1352" s="560">
        <f t="shared" si="42"/>
        <v>6</v>
      </c>
    </row>
    <row r="1353" spans="1:19">
      <c r="B1353" s="553">
        <v>44279</v>
      </c>
      <c r="C1353" t="s">
        <v>1531</v>
      </c>
      <c r="D1353" s="28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0">
        <v>10375</v>
      </c>
      <c r="K1353" s="560">
        <f t="shared" si="43"/>
        <v>26</v>
      </c>
      <c r="L1353" s="560">
        <f t="shared" si="42"/>
        <v>5</v>
      </c>
    </row>
    <row r="1354" spans="1:19">
      <c r="B1354" s="553">
        <v>44279</v>
      </c>
      <c r="C1354" t="s">
        <v>1531</v>
      </c>
      <c r="D1354" s="28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0">
        <v>1037.5</v>
      </c>
      <c r="K1354" s="560">
        <f t="shared" si="43"/>
        <v>26</v>
      </c>
      <c r="L1354" s="560">
        <f t="shared" si="42"/>
        <v>4</v>
      </c>
    </row>
    <row r="1355" spans="1:19">
      <c r="B1355" s="553">
        <v>44279</v>
      </c>
      <c r="C1355" t="s">
        <v>1531</v>
      </c>
      <c r="D1355" s="28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0">
        <v>4316</v>
      </c>
      <c r="K1355" s="560">
        <f t="shared" si="43"/>
        <v>26</v>
      </c>
      <c r="L1355" s="560">
        <f t="shared" si="42"/>
        <v>3</v>
      </c>
    </row>
    <row r="1356" spans="1:19">
      <c r="B1356" s="553">
        <v>44279</v>
      </c>
      <c r="C1356" t="s">
        <v>1531</v>
      </c>
      <c r="D1356" s="28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0">
        <v>8300</v>
      </c>
      <c r="K1356" s="560">
        <f t="shared" si="43"/>
        <v>26</v>
      </c>
      <c r="L1356" s="560">
        <f t="shared" si="42"/>
        <v>2</v>
      </c>
    </row>
    <row r="1357" spans="1:19">
      <c r="A1357" t="s">
        <v>2324</v>
      </c>
      <c r="B1357" s="553">
        <v>44279</v>
      </c>
      <c r="C1357" t="s">
        <v>1531</v>
      </c>
      <c r="D1357" s="28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0">
        <v>8964</v>
      </c>
      <c r="K1357" s="560">
        <f t="shared" si="43"/>
        <v>26</v>
      </c>
      <c r="L1357" s="560">
        <f t="shared" si="42"/>
        <v>1</v>
      </c>
      <c r="M1357" s="560" t="e">
        <f>SUMIFS('[1]MAIN-101'!$Z$1:$Z$3000,'[1]MAIN-101'!$X$1:$X$3000,S1357)</f>
        <v>#VALUE!</v>
      </c>
      <c r="N1357" s="560"/>
      <c r="O1357" s="560"/>
      <c r="S1357" t="str">
        <f>VLOOKUP(C1357,'Recon of ORS and DV'!$A$4:$B$358,2,FALSE)</f>
        <v>0516</v>
      </c>
    </row>
    <row r="1358" spans="1:19">
      <c r="B1358" s="553">
        <v>44279</v>
      </c>
      <c r="C1358" t="s">
        <v>1534</v>
      </c>
      <c r="D1358" s="28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0">
        <v>57498</v>
      </c>
      <c r="K1358" s="560">
        <f t="shared" si="43"/>
        <v>4</v>
      </c>
      <c r="L1358" s="560">
        <f t="shared" si="42"/>
        <v>4</v>
      </c>
    </row>
    <row r="1359" spans="1:19">
      <c r="B1359" s="553">
        <v>44279</v>
      </c>
      <c r="C1359" t="s">
        <v>1534</v>
      </c>
      <c r="D1359" s="28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0">
        <v>785004</v>
      </c>
      <c r="K1359" s="560">
        <f t="shared" si="43"/>
        <v>4</v>
      </c>
      <c r="L1359" s="560">
        <f t="shared" ref="L1359:L1422" si="44">COUNTIFS(C1359:C2912,C1359)</f>
        <v>3</v>
      </c>
    </row>
    <row r="1360" spans="1:19">
      <c r="B1360" s="553">
        <v>44279</v>
      </c>
      <c r="C1360" t="s">
        <v>1534</v>
      </c>
      <c r="D1360" s="28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0">
        <v>19166</v>
      </c>
      <c r="K1360" s="560">
        <f t="shared" si="43"/>
        <v>4</v>
      </c>
      <c r="L1360" s="560">
        <f t="shared" si="44"/>
        <v>2</v>
      </c>
    </row>
    <row r="1361" spans="1:19">
      <c r="A1361" t="s">
        <v>2325</v>
      </c>
      <c r="B1361" s="553">
        <v>44279</v>
      </c>
      <c r="C1361" t="s">
        <v>1534</v>
      </c>
      <c r="D1361" s="28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0">
        <v>38332</v>
      </c>
      <c r="K1361" s="560">
        <f t="shared" si="43"/>
        <v>4</v>
      </c>
      <c r="L1361" s="560">
        <f t="shared" si="44"/>
        <v>1</v>
      </c>
      <c r="M1361" s="560" t="e">
        <f>SUMIFS('[1]MAIN-101'!$Z$1:$Z$3000,'[1]MAIN-101'!$X$1:$X$3000,S1361)</f>
        <v>#VALUE!</v>
      </c>
      <c r="N1361" s="560"/>
      <c r="O1361" s="560"/>
      <c r="S1361" t="str">
        <f>VLOOKUP(C1361,'Recon of ORS and DV'!$A$4:$B$358,2,FALSE)</f>
        <v>0517</v>
      </c>
    </row>
    <row r="1362" spans="1:19">
      <c r="B1362" s="553">
        <v>44280</v>
      </c>
      <c r="C1362" t="s">
        <v>1536</v>
      </c>
      <c r="D1362" s="28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0">
        <v>15000</v>
      </c>
      <c r="K1362" s="560">
        <f t="shared" si="43"/>
        <v>9</v>
      </c>
      <c r="L1362" s="560">
        <f t="shared" si="44"/>
        <v>9</v>
      </c>
    </row>
    <row r="1363" spans="1:19">
      <c r="B1363" s="553">
        <v>44280</v>
      </c>
      <c r="C1363" t="s">
        <v>1536</v>
      </c>
      <c r="D1363" s="28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0">
        <v>23000</v>
      </c>
      <c r="K1363" s="560">
        <f t="shared" si="43"/>
        <v>9</v>
      </c>
      <c r="L1363" s="560">
        <f t="shared" si="44"/>
        <v>8</v>
      </c>
    </row>
    <row r="1364" spans="1:19">
      <c r="B1364" s="553">
        <v>44280</v>
      </c>
      <c r="C1364" t="s">
        <v>1536</v>
      </c>
      <c r="D1364" s="28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0">
        <v>5000</v>
      </c>
      <c r="K1364" s="560">
        <f t="shared" si="43"/>
        <v>9</v>
      </c>
      <c r="L1364" s="560">
        <f t="shared" si="44"/>
        <v>7</v>
      </c>
    </row>
    <row r="1365" spans="1:19">
      <c r="B1365" s="553">
        <v>44280</v>
      </c>
      <c r="C1365" t="s">
        <v>1536</v>
      </c>
      <c r="D1365" s="28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0">
        <v>30000</v>
      </c>
      <c r="K1365" s="560">
        <f t="shared" si="43"/>
        <v>9</v>
      </c>
      <c r="L1365" s="560">
        <f t="shared" si="44"/>
        <v>6</v>
      </c>
    </row>
    <row r="1366" spans="1:19">
      <c r="B1366" s="553">
        <v>44280</v>
      </c>
      <c r="C1366" t="s">
        <v>1536</v>
      </c>
      <c r="D1366" s="28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0">
        <v>20000</v>
      </c>
      <c r="K1366" s="560">
        <f t="shared" si="43"/>
        <v>9</v>
      </c>
      <c r="L1366" s="560">
        <f t="shared" si="44"/>
        <v>5</v>
      </c>
    </row>
    <row r="1367" spans="1:19">
      <c r="B1367" s="553">
        <v>44280</v>
      </c>
      <c r="C1367" t="s">
        <v>1536</v>
      </c>
      <c r="D1367" s="28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0">
        <v>147500</v>
      </c>
      <c r="K1367" s="560">
        <f t="shared" si="43"/>
        <v>9</v>
      </c>
      <c r="L1367" s="560">
        <f t="shared" si="44"/>
        <v>4</v>
      </c>
    </row>
    <row r="1368" spans="1:19">
      <c r="B1368" s="553">
        <v>44280</v>
      </c>
      <c r="C1368" t="s">
        <v>1536</v>
      </c>
      <c r="D1368" s="28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0">
        <v>25000</v>
      </c>
      <c r="K1368" s="560">
        <f t="shared" si="43"/>
        <v>9</v>
      </c>
      <c r="L1368" s="560">
        <f t="shared" si="44"/>
        <v>3</v>
      </c>
    </row>
    <row r="1369" spans="1:19">
      <c r="B1369" s="553">
        <v>44280</v>
      </c>
      <c r="C1369" t="s">
        <v>1536</v>
      </c>
      <c r="D1369" s="28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0">
        <v>40000</v>
      </c>
      <c r="K1369" s="560">
        <f t="shared" si="43"/>
        <v>9</v>
      </c>
      <c r="L1369" s="560">
        <f t="shared" si="44"/>
        <v>2</v>
      </c>
    </row>
    <row r="1370" spans="1:19">
      <c r="A1370" t="s">
        <v>2326</v>
      </c>
      <c r="B1370" s="553">
        <v>44280</v>
      </c>
      <c r="C1370" t="s">
        <v>1536</v>
      </c>
      <c r="D1370" s="28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0">
        <v>40000</v>
      </c>
      <c r="K1370" s="560">
        <f t="shared" si="43"/>
        <v>9</v>
      </c>
      <c r="L1370" s="560">
        <f t="shared" si="44"/>
        <v>1</v>
      </c>
      <c r="M1370" s="560" t="e">
        <f>SUMIFS('[1]MAIN-101'!$Z$1:$Z$3000,'[1]MAIN-101'!$X$1:$X$3000,S1370)</f>
        <v>#VALUE!</v>
      </c>
      <c r="N1370" s="560"/>
      <c r="O1370" s="560"/>
      <c r="S1370" t="str">
        <f>VLOOKUP(C1370,'Recon of ORS and DV'!$A$4:$B$358,2,FALSE)</f>
        <v>0525</v>
      </c>
    </row>
    <row r="1371" spans="1:19">
      <c r="B1371" s="553">
        <v>44280</v>
      </c>
      <c r="C1371" t="s">
        <v>1541</v>
      </c>
      <c r="D1371" s="28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0">
        <v>30000</v>
      </c>
      <c r="K1371" s="560">
        <f t="shared" si="43"/>
        <v>9</v>
      </c>
      <c r="L1371" s="560">
        <f t="shared" si="44"/>
        <v>9</v>
      </c>
    </row>
    <row r="1372" spans="1:19">
      <c r="B1372" s="553">
        <v>44280</v>
      </c>
      <c r="C1372" t="s">
        <v>1541</v>
      </c>
      <c r="D1372" s="28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0">
        <v>20000</v>
      </c>
      <c r="K1372" s="560">
        <f t="shared" si="43"/>
        <v>9</v>
      </c>
      <c r="L1372" s="560">
        <f t="shared" si="44"/>
        <v>8</v>
      </c>
    </row>
    <row r="1373" spans="1:19">
      <c r="B1373" s="553">
        <v>44280</v>
      </c>
      <c r="C1373" t="s">
        <v>1541</v>
      </c>
      <c r="D1373" s="28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0">
        <v>10000</v>
      </c>
      <c r="K1373" s="560">
        <f t="shared" si="43"/>
        <v>9</v>
      </c>
      <c r="L1373" s="560">
        <f t="shared" si="44"/>
        <v>7</v>
      </c>
    </row>
    <row r="1374" spans="1:19">
      <c r="B1374" s="553">
        <v>44280</v>
      </c>
      <c r="C1374" t="s">
        <v>1541</v>
      </c>
      <c r="D1374" s="28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0">
        <v>25000</v>
      </c>
      <c r="K1374" s="560">
        <f t="shared" si="43"/>
        <v>9</v>
      </c>
      <c r="L1374" s="560">
        <f t="shared" si="44"/>
        <v>6</v>
      </c>
    </row>
    <row r="1375" spans="1:19">
      <c r="B1375" s="553">
        <v>44280</v>
      </c>
      <c r="C1375" t="s">
        <v>1541</v>
      </c>
      <c r="D1375" s="28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0">
        <v>10000</v>
      </c>
      <c r="K1375" s="560">
        <f t="shared" si="43"/>
        <v>9</v>
      </c>
      <c r="L1375" s="560">
        <f t="shared" si="44"/>
        <v>5</v>
      </c>
    </row>
    <row r="1376" spans="1:19">
      <c r="B1376" s="553">
        <v>44280</v>
      </c>
      <c r="C1376" t="s">
        <v>1541</v>
      </c>
      <c r="D1376" s="28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0">
        <v>241200</v>
      </c>
      <c r="K1376" s="560">
        <f t="shared" si="43"/>
        <v>9</v>
      </c>
      <c r="L1376" s="560">
        <f t="shared" si="44"/>
        <v>4</v>
      </c>
    </row>
    <row r="1377" spans="1:19">
      <c r="B1377" s="553">
        <v>44280</v>
      </c>
      <c r="C1377" t="s">
        <v>1541</v>
      </c>
      <c r="D1377" s="28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0">
        <v>30000</v>
      </c>
      <c r="K1377" s="560">
        <f t="shared" si="43"/>
        <v>9</v>
      </c>
      <c r="L1377" s="560">
        <f t="shared" si="44"/>
        <v>3</v>
      </c>
    </row>
    <row r="1378" spans="1:19">
      <c r="B1378" s="553">
        <v>44280</v>
      </c>
      <c r="C1378" t="s">
        <v>1541</v>
      </c>
      <c r="D1378" s="28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0">
        <v>30000</v>
      </c>
      <c r="K1378" s="560">
        <f t="shared" si="43"/>
        <v>9</v>
      </c>
      <c r="L1378" s="560">
        <f t="shared" si="44"/>
        <v>2</v>
      </c>
    </row>
    <row r="1379" spans="1:19">
      <c r="A1379" t="s">
        <v>2327</v>
      </c>
      <c r="B1379" s="553">
        <v>44280</v>
      </c>
      <c r="C1379" t="s">
        <v>1541</v>
      </c>
      <c r="D1379" s="28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0">
        <v>70000</v>
      </c>
      <c r="K1379" s="560">
        <f t="shared" si="43"/>
        <v>9</v>
      </c>
      <c r="L1379" s="560">
        <f t="shared" si="44"/>
        <v>1</v>
      </c>
      <c r="M1379" s="560" t="e">
        <f>SUMIFS('[1]MAIN-101'!$Z$1:$Z$3000,'[1]MAIN-101'!$X$1:$X$3000,S1379)</f>
        <v>#VALUE!</v>
      </c>
      <c r="N1379" s="560"/>
      <c r="O1379" s="560"/>
      <c r="S1379" t="str">
        <f>VLOOKUP(C1379,'Recon of ORS and DV'!$A$4:$B$358,2,FALSE)</f>
        <v>0526</v>
      </c>
    </row>
    <row r="1380" spans="1:19">
      <c r="B1380" s="553">
        <v>44280</v>
      </c>
      <c r="C1380" t="s">
        <v>1542</v>
      </c>
      <c r="D1380" s="28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0">
        <v>10000</v>
      </c>
      <c r="K1380" s="560">
        <f t="shared" si="43"/>
        <v>9</v>
      </c>
      <c r="L1380" s="560">
        <f t="shared" si="44"/>
        <v>9</v>
      </c>
    </row>
    <row r="1381" spans="1:19">
      <c r="B1381" s="553">
        <v>44280</v>
      </c>
      <c r="C1381" t="s">
        <v>1542</v>
      </c>
      <c r="D1381" s="28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0">
        <v>5000</v>
      </c>
      <c r="K1381" s="560">
        <f t="shared" si="43"/>
        <v>9</v>
      </c>
      <c r="L1381" s="560">
        <f t="shared" si="44"/>
        <v>8</v>
      </c>
    </row>
    <row r="1382" spans="1:19">
      <c r="B1382" s="553">
        <v>44280</v>
      </c>
      <c r="C1382" t="s">
        <v>1542</v>
      </c>
      <c r="D1382" s="28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0">
        <v>5000</v>
      </c>
      <c r="K1382" s="560">
        <f t="shared" si="43"/>
        <v>9</v>
      </c>
      <c r="L1382" s="560">
        <f t="shared" si="44"/>
        <v>7</v>
      </c>
    </row>
    <row r="1383" spans="1:19">
      <c r="B1383" s="553">
        <v>44280</v>
      </c>
      <c r="C1383" t="s">
        <v>1542</v>
      </c>
      <c r="D1383" s="28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0">
        <v>20000</v>
      </c>
      <c r="K1383" s="560">
        <f t="shared" si="43"/>
        <v>9</v>
      </c>
      <c r="L1383" s="560">
        <f t="shared" si="44"/>
        <v>6</v>
      </c>
    </row>
    <row r="1384" spans="1:19">
      <c r="B1384" s="553">
        <v>44280</v>
      </c>
      <c r="C1384" t="s">
        <v>1542</v>
      </c>
      <c r="D1384" s="28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0">
        <v>5000</v>
      </c>
      <c r="K1384" s="560">
        <f t="shared" si="43"/>
        <v>9</v>
      </c>
      <c r="L1384" s="560">
        <f t="shared" si="44"/>
        <v>5</v>
      </c>
    </row>
    <row r="1385" spans="1:19">
      <c r="B1385" s="553">
        <v>44280</v>
      </c>
      <c r="C1385" t="s">
        <v>1542</v>
      </c>
      <c r="D1385" s="28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0">
        <v>80000</v>
      </c>
      <c r="K1385" s="560">
        <f t="shared" si="43"/>
        <v>9</v>
      </c>
      <c r="L1385" s="560">
        <f t="shared" si="44"/>
        <v>4</v>
      </c>
    </row>
    <row r="1386" spans="1:19">
      <c r="B1386" s="553">
        <v>44280</v>
      </c>
      <c r="C1386" t="s">
        <v>1542</v>
      </c>
      <c r="D1386" s="28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0">
        <v>20000</v>
      </c>
      <c r="K1386" s="560">
        <f t="shared" si="43"/>
        <v>9</v>
      </c>
      <c r="L1386" s="560">
        <f t="shared" si="44"/>
        <v>3</v>
      </c>
    </row>
    <row r="1387" spans="1:19">
      <c r="B1387" s="553">
        <v>44280</v>
      </c>
      <c r="C1387" t="s">
        <v>1542</v>
      </c>
      <c r="D1387" s="28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0">
        <v>20000</v>
      </c>
      <c r="K1387" s="560">
        <f t="shared" si="43"/>
        <v>9</v>
      </c>
      <c r="L1387" s="560">
        <f t="shared" si="44"/>
        <v>2</v>
      </c>
    </row>
    <row r="1388" spans="1:19">
      <c r="A1388" t="s">
        <v>2328</v>
      </c>
      <c r="B1388" s="553">
        <v>44280</v>
      </c>
      <c r="C1388" t="s">
        <v>1542</v>
      </c>
      <c r="D1388" s="28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0">
        <v>40000</v>
      </c>
      <c r="K1388" s="560">
        <f t="shared" si="43"/>
        <v>9</v>
      </c>
      <c r="L1388" s="560">
        <f t="shared" si="44"/>
        <v>1</v>
      </c>
      <c r="M1388" s="560" t="e">
        <f>SUMIFS('[1]MAIN-101'!$Z$1:$Z$3000,'[1]MAIN-101'!$X$1:$X$3000,S1388)</f>
        <v>#VALUE!</v>
      </c>
      <c r="N1388" s="560"/>
      <c r="O1388" s="560"/>
      <c r="S1388" t="str">
        <f>VLOOKUP(C1388,'Recon of ORS and DV'!$A$4:$B$358,2,FALSE)</f>
        <v>0527</v>
      </c>
    </row>
    <row r="1389" spans="1:19">
      <c r="B1389" s="553">
        <v>44280</v>
      </c>
      <c r="C1389" t="s">
        <v>1544</v>
      </c>
      <c r="D1389" s="28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0">
        <v>10000</v>
      </c>
      <c r="K1389" s="560">
        <f t="shared" si="43"/>
        <v>6</v>
      </c>
      <c r="L1389" s="560">
        <f t="shared" si="44"/>
        <v>6</v>
      </c>
    </row>
    <row r="1390" spans="1:19">
      <c r="B1390" s="553">
        <v>44280</v>
      </c>
      <c r="C1390" t="s">
        <v>1544</v>
      </c>
      <c r="D1390" s="28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0">
        <v>150000</v>
      </c>
      <c r="K1390" s="560">
        <f t="shared" si="43"/>
        <v>6</v>
      </c>
      <c r="L1390" s="560">
        <f t="shared" si="44"/>
        <v>5</v>
      </c>
    </row>
    <row r="1391" spans="1:19">
      <c r="B1391" s="553">
        <v>44280</v>
      </c>
      <c r="C1391" t="s">
        <v>1544</v>
      </c>
      <c r="D1391" s="28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0">
        <v>60000</v>
      </c>
      <c r="K1391" s="560">
        <f t="shared" si="43"/>
        <v>6</v>
      </c>
      <c r="L1391" s="560">
        <f t="shared" si="44"/>
        <v>4</v>
      </c>
    </row>
    <row r="1392" spans="1:19">
      <c r="B1392" s="553">
        <v>44280</v>
      </c>
      <c r="C1392" t="s">
        <v>1544</v>
      </c>
      <c r="D1392" s="28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0">
        <v>15000</v>
      </c>
      <c r="K1392" s="560">
        <f t="shared" si="43"/>
        <v>6</v>
      </c>
      <c r="L1392" s="560">
        <f t="shared" si="44"/>
        <v>3</v>
      </c>
    </row>
    <row r="1393" spans="1:19">
      <c r="B1393" s="553">
        <v>44280</v>
      </c>
      <c r="C1393" t="s">
        <v>1544</v>
      </c>
      <c r="D1393" s="28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0">
        <v>200000</v>
      </c>
      <c r="K1393" s="560">
        <f t="shared" si="43"/>
        <v>6</v>
      </c>
      <c r="L1393" s="560">
        <f t="shared" si="44"/>
        <v>2</v>
      </c>
    </row>
    <row r="1394" spans="1:19">
      <c r="A1394" t="s">
        <v>2329</v>
      </c>
      <c r="B1394" s="553">
        <v>44280</v>
      </c>
      <c r="C1394" t="s">
        <v>1544</v>
      </c>
      <c r="D1394" s="28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0">
        <v>20476.189999999999</v>
      </c>
      <c r="K1394" s="560">
        <f t="shared" si="43"/>
        <v>6</v>
      </c>
      <c r="L1394" s="560">
        <f t="shared" si="44"/>
        <v>1</v>
      </c>
      <c r="M1394" s="560" t="e">
        <f>SUMIFS('[1]MAIN-101'!$Z$1:$Z$3000,'[1]MAIN-101'!$X$1:$X$3000,S1394)</f>
        <v>#VALUE!</v>
      </c>
      <c r="N1394" s="560"/>
      <c r="O1394" s="560"/>
      <c r="S1394" t="str">
        <f>VLOOKUP(C1394,'Recon of ORS and DV'!$A$4:$B$358,2,FALSE)</f>
        <v>0528</v>
      </c>
    </row>
    <row r="1395" spans="1:19">
      <c r="B1395" s="553">
        <v>44280</v>
      </c>
      <c r="C1395" t="s">
        <v>1546</v>
      </c>
      <c r="D1395" s="28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0">
        <v>30000</v>
      </c>
      <c r="K1395" s="560">
        <f t="shared" si="43"/>
        <v>5</v>
      </c>
      <c r="L1395" s="560">
        <f t="shared" si="44"/>
        <v>5</v>
      </c>
    </row>
    <row r="1396" spans="1:19">
      <c r="B1396" s="553">
        <v>44280</v>
      </c>
      <c r="C1396" t="s">
        <v>1546</v>
      </c>
      <c r="D1396" s="28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0">
        <v>120000</v>
      </c>
      <c r="K1396" s="560">
        <f t="shared" si="43"/>
        <v>5</v>
      </c>
      <c r="L1396" s="560">
        <f t="shared" si="44"/>
        <v>4</v>
      </c>
    </row>
    <row r="1397" spans="1:19">
      <c r="B1397" s="553">
        <v>44280</v>
      </c>
      <c r="C1397" t="s">
        <v>1546</v>
      </c>
      <c r="D1397" s="28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0">
        <v>30000</v>
      </c>
      <c r="K1397" s="560">
        <f t="shared" si="43"/>
        <v>5</v>
      </c>
      <c r="L1397" s="560">
        <f t="shared" si="44"/>
        <v>3</v>
      </c>
    </row>
    <row r="1398" spans="1:19">
      <c r="B1398" s="553">
        <v>44280</v>
      </c>
      <c r="C1398" t="s">
        <v>1546</v>
      </c>
      <c r="D1398" s="28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0">
        <v>80000</v>
      </c>
      <c r="K1398" s="560">
        <f t="shared" si="43"/>
        <v>5</v>
      </c>
      <c r="L1398" s="560">
        <f t="shared" si="44"/>
        <v>2</v>
      </c>
    </row>
    <row r="1399" spans="1:19">
      <c r="A1399" t="s">
        <v>2330</v>
      </c>
      <c r="B1399" s="553">
        <v>44280</v>
      </c>
      <c r="C1399" t="s">
        <v>1546</v>
      </c>
      <c r="D1399" s="28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0">
        <v>24121.43</v>
      </c>
      <c r="K1399" s="560">
        <f t="shared" si="43"/>
        <v>5</v>
      </c>
      <c r="L1399" s="560">
        <f t="shared" si="44"/>
        <v>1</v>
      </c>
      <c r="M1399" s="560" t="e">
        <f>SUMIFS('[1]MAIN-101'!$Z$1:$Z$3000,'[1]MAIN-101'!$X$1:$X$3000,S1399)</f>
        <v>#VALUE!</v>
      </c>
      <c r="N1399" s="560"/>
      <c r="O1399" s="560"/>
      <c r="S1399" t="str">
        <f>VLOOKUP(C1399,'Recon of ORS and DV'!$A$4:$B$358,2,FALSE)</f>
        <v>0529</v>
      </c>
    </row>
    <row r="1400" spans="1:19">
      <c r="B1400" s="553">
        <v>44280</v>
      </c>
      <c r="C1400" t="s">
        <v>1547</v>
      </c>
      <c r="D1400" s="28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0">
        <v>50000</v>
      </c>
      <c r="K1400" s="560">
        <f t="shared" si="43"/>
        <v>5</v>
      </c>
      <c r="L1400" s="560">
        <f t="shared" si="44"/>
        <v>5</v>
      </c>
    </row>
    <row r="1401" spans="1:19">
      <c r="B1401" s="553">
        <v>44280</v>
      </c>
      <c r="C1401" t="s">
        <v>1547</v>
      </c>
      <c r="D1401" s="28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0">
        <v>50000</v>
      </c>
      <c r="K1401" s="560">
        <f t="shared" si="43"/>
        <v>5</v>
      </c>
      <c r="L1401" s="560">
        <f t="shared" si="44"/>
        <v>4</v>
      </c>
    </row>
    <row r="1402" spans="1:19">
      <c r="B1402" s="553">
        <v>44280</v>
      </c>
      <c r="C1402" t="s">
        <v>1547</v>
      </c>
      <c r="D1402" s="28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0">
        <v>50000</v>
      </c>
      <c r="K1402" s="560">
        <f t="shared" si="43"/>
        <v>5</v>
      </c>
      <c r="L1402" s="560">
        <f t="shared" si="44"/>
        <v>3</v>
      </c>
    </row>
    <row r="1403" spans="1:19">
      <c r="B1403" s="553">
        <v>44280</v>
      </c>
      <c r="C1403" t="s">
        <v>1547</v>
      </c>
      <c r="D1403" s="28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0">
        <v>67000</v>
      </c>
      <c r="K1403" s="560">
        <f t="shared" si="43"/>
        <v>5</v>
      </c>
      <c r="L1403" s="560">
        <f t="shared" si="44"/>
        <v>2</v>
      </c>
    </row>
    <row r="1404" spans="1:19">
      <c r="A1404" t="s">
        <v>2331</v>
      </c>
      <c r="B1404" s="553">
        <v>44280</v>
      </c>
      <c r="C1404" t="s">
        <v>1547</v>
      </c>
      <c r="D1404" s="28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0">
        <v>24007.14</v>
      </c>
      <c r="K1404" s="560">
        <f t="shared" si="43"/>
        <v>5</v>
      </c>
      <c r="L1404" s="560">
        <f t="shared" si="44"/>
        <v>1</v>
      </c>
      <c r="M1404" s="560" t="e">
        <f>SUMIFS('[1]MAIN-101'!$Z$1:$Z$3000,'[1]MAIN-101'!$X$1:$X$3000,S1404)</f>
        <v>#VALUE!</v>
      </c>
      <c r="N1404" s="560"/>
      <c r="O1404" s="560"/>
      <c r="S1404" t="str">
        <f>VLOOKUP(C1404,'Recon of ORS and DV'!$A$4:$B$358,2,FALSE)</f>
        <v>0530</v>
      </c>
    </row>
    <row r="1405" spans="1:19">
      <c r="B1405" s="553">
        <v>44280</v>
      </c>
      <c r="C1405" t="s">
        <v>1548</v>
      </c>
      <c r="D1405" s="28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0">
        <v>50000</v>
      </c>
      <c r="K1405" s="560">
        <f t="shared" si="43"/>
        <v>5</v>
      </c>
      <c r="L1405" s="560">
        <f t="shared" si="44"/>
        <v>5</v>
      </c>
    </row>
    <row r="1406" spans="1:19">
      <c r="B1406" s="553">
        <v>44280</v>
      </c>
      <c r="C1406" t="s">
        <v>1548</v>
      </c>
      <c r="D1406" s="28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0">
        <v>50000</v>
      </c>
      <c r="K1406" s="560">
        <f t="shared" si="43"/>
        <v>5</v>
      </c>
      <c r="L1406" s="560">
        <f t="shared" si="44"/>
        <v>4</v>
      </c>
    </row>
    <row r="1407" spans="1:19">
      <c r="B1407" s="553">
        <v>44280</v>
      </c>
      <c r="C1407" t="s">
        <v>1548</v>
      </c>
      <c r="D1407" s="28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0">
        <v>50000</v>
      </c>
      <c r="K1407" s="560">
        <f t="shared" si="43"/>
        <v>5</v>
      </c>
      <c r="L1407" s="560">
        <f t="shared" si="44"/>
        <v>3</v>
      </c>
    </row>
    <row r="1408" spans="1:19">
      <c r="B1408" s="553">
        <v>44280</v>
      </c>
      <c r="C1408" t="s">
        <v>1548</v>
      </c>
      <c r="D1408" s="28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0">
        <v>147000</v>
      </c>
      <c r="K1408" s="560">
        <f t="shared" si="43"/>
        <v>5</v>
      </c>
      <c r="L1408" s="560">
        <f t="shared" si="44"/>
        <v>2</v>
      </c>
    </row>
    <row r="1409" spans="1:19">
      <c r="A1409" t="s">
        <v>2332</v>
      </c>
      <c r="B1409" s="553">
        <v>44280</v>
      </c>
      <c r="C1409" t="s">
        <v>1548</v>
      </c>
      <c r="D1409" s="28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0">
        <v>24342.85</v>
      </c>
      <c r="K1409" s="560">
        <f t="shared" si="43"/>
        <v>5</v>
      </c>
      <c r="L1409" s="560">
        <f t="shared" si="44"/>
        <v>1</v>
      </c>
      <c r="M1409" s="560" t="e">
        <f>SUMIFS('[1]MAIN-101'!$Z$1:$Z$3000,'[1]MAIN-101'!$X$1:$X$3000,S1409)</f>
        <v>#VALUE!</v>
      </c>
      <c r="N1409" s="560"/>
      <c r="O1409" s="560"/>
      <c r="S1409" t="str">
        <f>VLOOKUP(C1409,'Recon of ORS and DV'!$A$4:$B$358,2,FALSE)</f>
        <v>0531</v>
      </c>
    </row>
    <row r="1410" spans="1:19">
      <c r="B1410" s="553">
        <v>44280</v>
      </c>
      <c r="C1410" t="s">
        <v>1549</v>
      </c>
      <c r="D1410" s="28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0">
        <v>10400</v>
      </c>
      <c r="K1410" s="560">
        <f t="shared" si="43"/>
        <v>2</v>
      </c>
      <c r="L1410" s="560">
        <f t="shared" si="44"/>
        <v>2</v>
      </c>
    </row>
    <row r="1411" spans="1:19">
      <c r="A1411" t="s">
        <v>2333</v>
      </c>
      <c r="B1411" s="553">
        <v>44280</v>
      </c>
      <c r="C1411" t="s">
        <v>1549</v>
      </c>
      <c r="D1411" s="28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0">
        <v>3720</v>
      </c>
      <c r="K1411" s="560">
        <f t="shared" si="43"/>
        <v>2</v>
      </c>
      <c r="L1411" s="560">
        <f t="shared" si="44"/>
        <v>1</v>
      </c>
      <c r="M1411" s="560" t="e">
        <f>SUMIFS('[1]MAIN-101'!$Z$1:$Z$3000,'[1]MAIN-101'!$X$1:$X$3000,S1411)</f>
        <v>#VALUE!</v>
      </c>
      <c r="N1411" s="560"/>
      <c r="O1411" s="560"/>
      <c r="S1411" t="str">
        <f>VLOOKUP(C1411,'Recon of ORS and DV'!$A$4:$B$358,2,FALSE)</f>
        <v>0577</v>
      </c>
    </row>
    <row r="1412" spans="1:19">
      <c r="B1412" s="553">
        <v>44280</v>
      </c>
      <c r="C1412" t="s">
        <v>1550</v>
      </c>
      <c r="D1412" s="28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0">
        <v>5534</v>
      </c>
      <c r="K1412" s="560">
        <f t="shared" ref="K1412:K1475" si="45">COUNTIFS($C$3:$C$1556,C1412)</f>
        <v>4</v>
      </c>
      <c r="L1412" s="560">
        <f t="shared" si="44"/>
        <v>4</v>
      </c>
    </row>
    <row r="1413" spans="1:19">
      <c r="B1413" s="553">
        <v>44280</v>
      </c>
      <c r="C1413" t="s">
        <v>1550</v>
      </c>
      <c r="D1413" s="28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0">
        <v>5534</v>
      </c>
      <c r="K1413" s="560">
        <f t="shared" si="45"/>
        <v>4</v>
      </c>
      <c r="L1413" s="560">
        <f t="shared" si="44"/>
        <v>3</v>
      </c>
    </row>
    <row r="1414" spans="1:19">
      <c r="B1414" s="553">
        <v>44280</v>
      </c>
      <c r="C1414" t="s">
        <v>1550</v>
      </c>
      <c r="D1414" s="28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0">
        <v>16692</v>
      </c>
      <c r="K1414" s="560">
        <f t="shared" si="45"/>
        <v>4</v>
      </c>
      <c r="L1414" s="560">
        <f t="shared" si="44"/>
        <v>2</v>
      </c>
    </row>
    <row r="1415" spans="1:19">
      <c r="A1415" t="s">
        <v>2334</v>
      </c>
      <c r="B1415" s="553">
        <v>44280</v>
      </c>
      <c r="C1415" t="s">
        <v>1550</v>
      </c>
      <c r="D1415" s="28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0">
        <v>16026.5</v>
      </c>
      <c r="K1415" s="560">
        <f t="shared" si="45"/>
        <v>4</v>
      </c>
      <c r="L1415" s="560">
        <f t="shared" si="44"/>
        <v>1</v>
      </c>
      <c r="M1415" s="560" t="e">
        <f>SUMIFS('[1]MAIN-101'!$Z$1:$Z$3000,'[1]MAIN-101'!$X$1:$X$3000,S1415)</f>
        <v>#VALUE!</v>
      </c>
      <c r="N1415" s="560"/>
      <c r="O1415" s="560"/>
      <c r="S1415" t="str">
        <f>VLOOKUP(C1415,'Recon of ORS and DV'!$A$4:$B$358,2,FALSE)</f>
        <v>0578</v>
      </c>
    </row>
    <row r="1416" spans="1:19">
      <c r="A1416" t="s">
        <v>2335</v>
      </c>
      <c r="B1416" s="553">
        <v>44280</v>
      </c>
      <c r="C1416" t="s">
        <v>1552</v>
      </c>
      <c r="D1416" s="28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0">
        <v>1200</v>
      </c>
      <c r="K1416" s="560">
        <f t="shared" si="45"/>
        <v>1</v>
      </c>
      <c r="L1416" s="560">
        <f t="shared" si="44"/>
        <v>1</v>
      </c>
      <c r="M1416" s="560" t="e">
        <f>SUMIFS('[1]MAIN-101'!$Z$1:$Z$3000,'[1]MAIN-101'!$X$1:$X$3000,S1416)</f>
        <v>#VALUE!</v>
      </c>
      <c r="N1416" s="560"/>
      <c r="O1416" s="560"/>
      <c r="S1416" t="str">
        <f>VLOOKUP(C1416,'Recon of ORS and DV'!$A$4:$B$358,2,FALSE)</f>
        <v>0532</v>
      </c>
    </row>
    <row r="1417" spans="1:19">
      <c r="B1417" s="553">
        <v>44280</v>
      </c>
      <c r="C1417" t="s">
        <v>1554</v>
      </c>
      <c r="D1417" s="28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0">
        <v>180000</v>
      </c>
      <c r="K1417" s="560">
        <f t="shared" si="45"/>
        <v>8</v>
      </c>
      <c r="L1417" s="560">
        <f t="shared" si="44"/>
        <v>8</v>
      </c>
    </row>
    <row r="1418" spans="1:19">
      <c r="B1418" s="553">
        <v>44280</v>
      </c>
      <c r="C1418" t="s">
        <v>1554</v>
      </c>
      <c r="D1418" s="28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0">
        <v>20000</v>
      </c>
      <c r="K1418" s="560">
        <f t="shared" si="45"/>
        <v>8</v>
      </c>
      <c r="L1418" s="560">
        <f t="shared" si="44"/>
        <v>7</v>
      </c>
    </row>
    <row r="1419" spans="1:19">
      <c r="B1419" s="553">
        <v>44280</v>
      </c>
      <c r="C1419" t="s">
        <v>1554</v>
      </c>
      <c r="D1419" s="28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0">
        <v>6000</v>
      </c>
      <c r="K1419" s="560">
        <f t="shared" si="45"/>
        <v>8</v>
      </c>
      <c r="L1419" s="560">
        <f t="shared" si="44"/>
        <v>6</v>
      </c>
    </row>
    <row r="1420" spans="1:19">
      <c r="B1420" s="553">
        <v>44280</v>
      </c>
      <c r="C1420" t="s">
        <v>1554</v>
      </c>
      <c r="D1420" s="28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0">
        <v>10000</v>
      </c>
      <c r="K1420" s="560">
        <f t="shared" si="45"/>
        <v>8</v>
      </c>
      <c r="L1420" s="560">
        <f t="shared" si="44"/>
        <v>5</v>
      </c>
    </row>
    <row r="1421" spans="1:19">
      <c r="B1421" s="553">
        <v>44280</v>
      </c>
      <c r="C1421" t="s">
        <v>1554</v>
      </c>
      <c r="D1421" s="28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0">
        <v>120000</v>
      </c>
      <c r="K1421" s="560">
        <f t="shared" si="45"/>
        <v>8</v>
      </c>
      <c r="L1421" s="560">
        <f t="shared" si="44"/>
        <v>4</v>
      </c>
    </row>
    <row r="1422" spans="1:19">
      <c r="B1422" s="553">
        <v>44280</v>
      </c>
      <c r="C1422" t="s">
        <v>1554</v>
      </c>
      <c r="D1422" s="28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0">
        <v>140000</v>
      </c>
      <c r="K1422" s="560">
        <f t="shared" si="45"/>
        <v>8</v>
      </c>
      <c r="L1422" s="560">
        <f t="shared" si="44"/>
        <v>3</v>
      </c>
    </row>
    <row r="1423" spans="1:19">
      <c r="B1423" s="553">
        <v>44280</v>
      </c>
      <c r="C1423" t="s">
        <v>1554</v>
      </c>
      <c r="D1423" s="28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0">
        <v>40000</v>
      </c>
      <c r="K1423" s="560">
        <f t="shared" si="45"/>
        <v>8</v>
      </c>
      <c r="L1423" s="560">
        <f t="shared" ref="L1423:L1486" si="46">COUNTIFS(C1423:C2976,C1423)</f>
        <v>2</v>
      </c>
    </row>
    <row r="1424" spans="1:19">
      <c r="A1424" t="s">
        <v>2336</v>
      </c>
      <c r="B1424" s="553">
        <v>44280</v>
      </c>
      <c r="C1424" t="s">
        <v>1554</v>
      </c>
      <c r="D1424" s="28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0">
        <v>34000</v>
      </c>
      <c r="K1424" s="560">
        <f t="shared" si="45"/>
        <v>8</v>
      </c>
      <c r="L1424" s="560">
        <f t="shared" si="46"/>
        <v>1</v>
      </c>
      <c r="M1424" s="560" t="e">
        <f>SUMIFS('[1]MAIN-101'!$Z$1:$Z$3000,'[1]MAIN-101'!$X$1:$X$3000,S1424)</f>
        <v>#VALUE!</v>
      </c>
      <c r="N1424" s="560"/>
      <c r="O1424" s="560"/>
      <c r="S1424" t="str">
        <f>VLOOKUP(C1424,'Recon of ORS and DV'!$A$4:$B$358,2,FALSE)</f>
        <v>0543</v>
      </c>
    </row>
    <row r="1425" spans="1:19">
      <c r="B1425" s="553">
        <v>44280</v>
      </c>
      <c r="C1425" t="s">
        <v>1557</v>
      </c>
      <c r="D1425" s="28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0">
        <v>190000</v>
      </c>
      <c r="K1425" s="560">
        <f t="shared" si="45"/>
        <v>8</v>
      </c>
      <c r="L1425" s="560">
        <f t="shared" si="46"/>
        <v>8</v>
      </c>
    </row>
    <row r="1426" spans="1:19">
      <c r="B1426" s="553">
        <v>44280</v>
      </c>
      <c r="C1426" t="s">
        <v>1557</v>
      </c>
      <c r="D1426" s="28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0">
        <v>20000</v>
      </c>
      <c r="K1426" s="560">
        <f t="shared" si="45"/>
        <v>8</v>
      </c>
      <c r="L1426" s="560">
        <f t="shared" si="46"/>
        <v>7</v>
      </c>
    </row>
    <row r="1427" spans="1:19">
      <c r="B1427" s="553">
        <v>44280</v>
      </c>
      <c r="C1427" t="s">
        <v>1557</v>
      </c>
      <c r="D1427" s="28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0">
        <v>6000</v>
      </c>
      <c r="K1427" s="560">
        <f t="shared" si="45"/>
        <v>8</v>
      </c>
      <c r="L1427" s="560">
        <f t="shared" si="46"/>
        <v>6</v>
      </c>
    </row>
    <row r="1428" spans="1:19">
      <c r="B1428" s="553">
        <v>44280</v>
      </c>
      <c r="C1428" t="s">
        <v>1557</v>
      </c>
      <c r="D1428" s="28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0">
        <v>10000</v>
      </c>
      <c r="K1428" s="560">
        <f t="shared" si="45"/>
        <v>8</v>
      </c>
      <c r="L1428" s="560">
        <f t="shared" si="46"/>
        <v>5</v>
      </c>
    </row>
    <row r="1429" spans="1:19">
      <c r="B1429" s="553">
        <v>44280</v>
      </c>
      <c r="C1429" t="s">
        <v>1557</v>
      </c>
      <c r="D1429" s="28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0">
        <v>120000</v>
      </c>
      <c r="K1429" s="560">
        <f t="shared" si="45"/>
        <v>8</v>
      </c>
      <c r="L1429" s="560">
        <f t="shared" si="46"/>
        <v>4</v>
      </c>
    </row>
    <row r="1430" spans="1:19">
      <c r="B1430" s="553">
        <v>44280</v>
      </c>
      <c r="C1430" t="s">
        <v>1557</v>
      </c>
      <c r="D1430" s="28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0">
        <v>140000</v>
      </c>
      <c r="K1430" s="560">
        <f t="shared" si="45"/>
        <v>8</v>
      </c>
      <c r="L1430" s="560">
        <f t="shared" si="46"/>
        <v>3</v>
      </c>
    </row>
    <row r="1431" spans="1:19">
      <c r="B1431" s="553">
        <v>44280</v>
      </c>
      <c r="C1431" t="s">
        <v>1557</v>
      </c>
      <c r="D1431" s="28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0">
        <v>60000</v>
      </c>
      <c r="K1431" s="560">
        <f t="shared" si="45"/>
        <v>8</v>
      </c>
      <c r="L1431" s="560">
        <f t="shared" si="46"/>
        <v>2</v>
      </c>
    </row>
    <row r="1432" spans="1:19">
      <c r="A1432" t="s">
        <v>2337</v>
      </c>
      <c r="B1432" s="553">
        <v>44280</v>
      </c>
      <c r="C1432" t="s">
        <v>1557</v>
      </c>
      <c r="D1432" s="28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0">
        <v>4000</v>
      </c>
      <c r="K1432" s="560">
        <f t="shared" si="45"/>
        <v>8</v>
      </c>
      <c r="L1432" s="560">
        <f t="shared" si="46"/>
        <v>1</v>
      </c>
      <c r="M1432" s="560" t="e">
        <f>SUMIFS('[1]MAIN-101'!$Z$1:$Z$3000,'[1]MAIN-101'!$X$1:$X$3000,S1432)</f>
        <v>#VALUE!</v>
      </c>
      <c r="N1432" s="560"/>
      <c r="O1432" s="560"/>
      <c r="S1432" t="str">
        <f>VLOOKUP(C1432,'Recon of ORS and DV'!$A$4:$B$358,2,FALSE)</f>
        <v>0544</v>
      </c>
    </row>
    <row r="1433" spans="1:19">
      <c r="B1433" s="553">
        <v>44280</v>
      </c>
      <c r="C1433" t="s">
        <v>1558</v>
      </c>
      <c r="D1433" s="28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0">
        <v>200000</v>
      </c>
      <c r="K1433" s="560">
        <f t="shared" si="45"/>
        <v>8</v>
      </c>
      <c r="L1433" s="560">
        <f t="shared" si="46"/>
        <v>8</v>
      </c>
    </row>
    <row r="1434" spans="1:19">
      <c r="B1434" s="553">
        <v>44280</v>
      </c>
      <c r="C1434" t="s">
        <v>1558</v>
      </c>
      <c r="D1434" s="28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0">
        <v>20000</v>
      </c>
      <c r="K1434" s="560">
        <f t="shared" si="45"/>
        <v>8</v>
      </c>
      <c r="L1434" s="560">
        <f t="shared" si="46"/>
        <v>7</v>
      </c>
    </row>
    <row r="1435" spans="1:19">
      <c r="B1435" s="553">
        <v>44280</v>
      </c>
      <c r="C1435" t="s">
        <v>1558</v>
      </c>
      <c r="D1435" s="28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0">
        <v>6000</v>
      </c>
      <c r="K1435" s="560">
        <f t="shared" si="45"/>
        <v>8</v>
      </c>
      <c r="L1435" s="560">
        <f t="shared" si="46"/>
        <v>6</v>
      </c>
    </row>
    <row r="1436" spans="1:19">
      <c r="B1436" s="553">
        <v>44280</v>
      </c>
      <c r="C1436" t="s">
        <v>1558</v>
      </c>
      <c r="D1436" s="28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0">
        <v>10000</v>
      </c>
      <c r="K1436" s="560">
        <f t="shared" si="45"/>
        <v>8</v>
      </c>
      <c r="L1436" s="560">
        <f t="shared" si="46"/>
        <v>5</v>
      </c>
    </row>
    <row r="1437" spans="1:19">
      <c r="B1437" s="553">
        <v>44280</v>
      </c>
      <c r="C1437" t="s">
        <v>1558</v>
      </c>
      <c r="D1437" s="28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0">
        <v>120000</v>
      </c>
      <c r="K1437" s="560">
        <f t="shared" si="45"/>
        <v>8</v>
      </c>
      <c r="L1437" s="560">
        <f t="shared" si="46"/>
        <v>4</v>
      </c>
    </row>
    <row r="1438" spans="1:19">
      <c r="B1438" s="553">
        <v>44280</v>
      </c>
      <c r="C1438" t="s">
        <v>1558</v>
      </c>
      <c r="D1438" s="28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0">
        <v>140000</v>
      </c>
      <c r="K1438" s="560">
        <f t="shared" si="45"/>
        <v>8</v>
      </c>
      <c r="L1438" s="560">
        <f t="shared" si="46"/>
        <v>3</v>
      </c>
    </row>
    <row r="1439" spans="1:19">
      <c r="B1439" s="553">
        <v>44280</v>
      </c>
      <c r="C1439" t="s">
        <v>1558</v>
      </c>
      <c r="D1439" s="28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0">
        <v>40000</v>
      </c>
      <c r="K1439" s="560">
        <f t="shared" si="45"/>
        <v>8</v>
      </c>
      <c r="L1439" s="560">
        <f t="shared" si="46"/>
        <v>2</v>
      </c>
    </row>
    <row r="1440" spans="1:19">
      <c r="A1440" t="s">
        <v>2338</v>
      </c>
      <c r="B1440" s="553">
        <v>44280</v>
      </c>
      <c r="C1440" t="s">
        <v>1558</v>
      </c>
      <c r="D1440" s="28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0">
        <v>64000</v>
      </c>
      <c r="K1440" s="560">
        <f t="shared" si="45"/>
        <v>8</v>
      </c>
      <c r="L1440" s="560">
        <f t="shared" si="46"/>
        <v>1</v>
      </c>
      <c r="M1440" s="560" t="e">
        <f>SUMIFS('[1]MAIN-101'!$Z$1:$Z$3000,'[1]MAIN-101'!$X$1:$X$3000,S1440)</f>
        <v>#VALUE!</v>
      </c>
      <c r="N1440" s="560"/>
      <c r="O1440" s="560"/>
      <c r="S1440" t="str">
        <f>VLOOKUP(C1440,'Recon of ORS and DV'!$A$4:$B$358,2,FALSE)</f>
        <v>0545</v>
      </c>
    </row>
    <row r="1441" spans="1:19">
      <c r="B1441" s="553">
        <v>44280</v>
      </c>
      <c r="C1441" t="s">
        <v>1559</v>
      </c>
      <c r="D1441" s="28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0">
        <v>190000</v>
      </c>
      <c r="K1441" s="560">
        <f t="shared" si="45"/>
        <v>8</v>
      </c>
      <c r="L1441" s="560">
        <f t="shared" si="46"/>
        <v>8</v>
      </c>
    </row>
    <row r="1442" spans="1:19">
      <c r="B1442" s="553">
        <v>44280</v>
      </c>
      <c r="C1442" t="s">
        <v>1559</v>
      </c>
      <c r="D1442" s="28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0">
        <v>20000</v>
      </c>
      <c r="K1442" s="560">
        <f t="shared" si="45"/>
        <v>8</v>
      </c>
      <c r="L1442" s="560">
        <f t="shared" si="46"/>
        <v>7</v>
      </c>
    </row>
    <row r="1443" spans="1:19">
      <c r="B1443" s="553">
        <v>44280</v>
      </c>
      <c r="C1443" t="s">
        <v>1559</v>
      </c>
      <c r="D1443" s="28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0">
        <v>6000</v>
      </c>
      <c r="K1443" s="560">
        <f t="shared" si="45"/>
        <v>8</v>
      </c>
      <c r="L1443" s="560">
        <f t="shared" si="46"/>
        <v>6</v>
      </c>
    </row>
    <row r="1444" spans="1:19">
      <c r="B1444" s="553">
        <v>44280</v>
      </c>
      <c r="C1444" t="s">
        <v>1559</v>
      </c>
      <c r="D1444" s="28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0">
        <v>10000</v>
      </c>
      <c r="K1444" s="560">
        <f t="shared" si="45"/>
        <v>8</v>
      </c>
      <c r="L1444" s="560">
        <f t="shared" si="46"/>
        <v>5</v>
      </c>
    </row>
    <row r="1445" spans="1:19">
      <c r="B1445" s="553">
        <v>44280</v>
      </c>
      <c r="C1445" t="s">
        <v>1559</v>
      </c>
      <c r="D1445" s="28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0">
        <v>120000</v>
      </c>
      <c r="K1445" s="560">
        <f t="shared" si="45"/>
        <v>8</v>
      </c>
      <c r="L1445" s="560">
        <f t="shared" si="46"/>
        <v>4</v>
      </c>
    </row>
    <row r="1446" spans="1:19">
      <c r="B1446" s="553">
        <v>44280</v>
      </c>
      <c r="C1446" t="s">
        <v>1559</v>
      </c>
      <c r="D1446" s="28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0">
        <v>140000</v>
      </c>
      <c r="K1446" s="560">
        <f t="shared" si="45"/>
        <v>8</v>
      </c>
      <c r="L1446" s="560">
        <f t="shared" si="46"/>
        <v>3</v>
      </c>
    </row>
    <row r="1447" spans="1:19">
      <c r="B1447" s="553">
        <v>44280</v>
      </c>
      <c r="C1447" t="s">
        <v>1559</v>
      </c>
      <c r="D1447" s="28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0">
        <v>40000</v>
      </c>
      <c r="K1447" s="560">
        <f t="shared" si="45"/>
        <v>8</v>
      </c>
      <c r="L1447" s="560">
        <f t="shared" si="46"/>
        <v>2</v>
      </c>
    </row>
    <row r="1448" spans="1:19">
      <c r="A1448" t="s">
        <v>2339</v>
      </c>
      <c r="B1448" s="553">
        <v>44280</v>
      </c>
      <c r="C1448" t="s">
        <v>1559</v>
      </c>
      <c r="D1448" s="28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0">
        <v>24000</v>
      </c>
      <c r="K1448" s="560">
        <f t="shared" si="45"/>
        <v>8</v>
      </c>
      <c r="L1448" s="560">
        <f t="shared" si="46"/>
        <v>1</v>
      </c>
      <c r="M1448" s="560" t="e">
        <f>SUMIFS('[1]MAIN-101'!$Z$1:$Z$3000,'[1]MAIN-101'!$X$1:$X$3000,S1448)</f>
        <v>#VALUE!</v>
      </c>
      <c r="N1448" s="560"/>
      <c r="O1448" s="560"/>
      <c r="S1448" t="str">
        <f>VLOOKUP(C1448,'Recon of ORS and DV'!$A$4:$B$358,2,FALSE)</f>
        <v>0546</v>
      </c>
    </row>
    <row r="1449" spans="1:19">
      <c r="B1449" s="553">
        <v>44280</v>
      </c>
      <c r="C1449" t="s">
        <v>1560</v>
      </c>
      <c r="D1449" s="28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0">
        <v>180000</v>
      </c>
      <c r="K1449" s="560">
        <f t="shared" si="45"/>
        <v>8</v>
      </c>
      <c r="L1449" s="560">
        <f t="shared" si="46"/>
        <v>8</v>
      </c>
    </row>
    <row r="1450" spans="1:19">
      <c r="B1450" s="553">
        <v>44280</v>
      </c>
      <c r="C1450" t="s">
        <v>1560</v>
      </c>
      <c r="D1450" s="28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0">
        <v>20000</v>
      </c>
      <c r="K1450" s="560">
        <f t="shared" si="45"/>
        <v>8</v>
      </c>
      <c r="L1450" s="560">
        <f t="shared" si="46"/>
        <v>7</v>
      </c>
    </row>
    <row r="1451" spans="1:19">
      <c r="B1451" s="553">
        <v>44280</v>
      </c>
      <c r="C1451" t="s">
        <v>1560</v>
      </c>
      <c r="D1451" s="28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0">
        <v>6000</v>
      </c>
      <c r="K1451" s="560">
        <f t="shared" si="45"/>
        <v>8</v>
      </c>
      <c r="L1451" s="560">
        <f t="shared" si="46"/>
        <v>6</v>
      </c>
    </row>
    <row r="1452" spans="1:19">
      <c r="B1452" s="553">
        <v>44280</v>
      </c>
      <c r="C1452" t="s">
        <v>1560</v>
      </c>
      <c r="D1452" s="28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0">
        <v>10000</v>
      </c>
      <c r="K1452" s="560">
        <f t="shared" si="45"/>
        <v>8</v>
      </c>
      <c r="L1452" s="560">
        <f t="shared" si="46"/>
        <v>5</v>
      </c>
    </row>
    <row r="1453" spans="1:19">
      <c r="B1453" s="553">
        <v>44280</v>
      </c>
      <c r="C1453" t="s">
        <v>1560</v>
      </c>
      <c r="D1453" s="28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0">
        <v>120000</v>
      </c>
      <c r="K1453" s="560">
        <f t="shared" si="45"/>
        <v>8</v>
      </c>
      <c r="L1453" s="560">
        <f t="shared" si="46"/>
        <v>4</v>
      </c>
    </row>
    <row r="1454" spans="1:19">
      <c r="B1454" s="553">
        <v>44280</v>
      </c>
      <c r="C1454" t="s">
        <v>1560</v>
      </c>
      <c r="D1454" s="28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0">
        <v>140000</v>
      </c>
      <c r="K1454" s="560">
        <f t="shared" si="45"/>
        <v>8</v>
      </c>
      <c r="L1454" s="560">
        <f t="shared" si="46"/>
        <v>3</v>
      </c>
    </row>
    <row r="1455" spans="1:19">
      <c r="B1455" s="553">
        <v>44280</v>
      </c>
      <c r="C1455" t="s">
        <v>1560</v>
      </c>
      <c r="D1455" s="28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0">
        <v>40000</v>
      </c>
      <c r="K1455" s="560">
        <f t="shared" si="45"/>
        <v>8</v>
      </c>
      <c r="L1455" s="560">
        <f t="shared" si="46"/>
        <v>2</v>
      </c>
    </row>
    <row r="1456" spans="1:19">
      <c r="A1456" t="s">
        <v>2340</v>
      </c>
      <c r="B1456" s="553">
        <v>44280</v>
      </c>
      <c r="C1456" t="s">
        <v>1560</v>
      </c>
      <c r="D1456" s="28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0">
        <v>34000</v>
      </c>
      <c r="K1456" s="560">
        <f t="shared" si="45"/>
        <v>8</v>
      </c>
      <c r="L1456" s="560">
        <f t="shared" si="46"/>
        <v>1</v>
      </c>
      <c r="M1456" s="560" t="e">
        <f>SUMIFS('[1]MAIN-101'!$Z$1:$Z$3000,'[1]MAIN-101'!$X$1:$X$3000,S1456)</f>
        <v>#VALUE!</v>
      </c>
      <c r="N1456" s="560"/>
      <c r="O1456" s="560"/>
      <c r="S1456" t="str">
        <f>VLOOKUP(C1456,'Recon of ORS and DV'!$A$4:$B$358,2,FALSE)</f>
        <v>0547</v>
      </c>
    </row>
    <row r="1457" spans="1:19">
      <c r="A1457" t="s">
        <v>2341</v>
      </c>
      <c r="B1457" s="553">
        <v>44280</v>
      </c>
      <c r="C1457" t="s">
        <v>1561</v>
      </c>
      <c r="D1457" s="28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0">
        <v>20000</v>
      </c>
      <c r="K1457" s="560">
        <f t="shared" si="45"/>
        <v>1</v>
      </c>
      <c r="L1457" s="560">
        <f t="shared" si="46"/>
        <v>1</v>
      </c>
      <c r="M1457" s="560" t="e">
        <f>SUMIFS('[1]MAIN-101'!$Z$1:$Z$3000,'[1]MAIN-101'!$X$1:$X$3000,S1457)</f>
        <v>#VALUE!</v>
      </c>
      <c r="N1457" s="560"/>
      <c r="O1457" s="560"/>
      <c r="S1457" t="str">
        <f>VLOOKUP(C1457,'Recon of ORS and DV'!$A$4:$B$358,2,FALSE)</f>
        <v>0533</v>
      </c>
    </row>
    <row r="1458" spans="1:19">
      <c r="A1458">
        <v>0</v>
      </c>
      <c r="B1458" s="553">
        <v>44280</v>
      </c>
      <c r="C1458" t="s">
        <v>1564</v>
      </c>
      <c r="D1458" s="28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0">
        <v>0</v>
      </c>
      <c r="K1458" s="560">
        <f t="shared" si="45"/>
        <v>1</v>
      </c>
      <c r="L1458" s="560">
        <f t="shared" si="46"/>
        <v>1</v>
      </c>
      <c r="M1458" s="560" t="e">
        <f>SUMIFS('[1]MAIN-101'!$Z$1:$Z$3000,'[1]MAIN-101'!$X$1:$X$3000,S1458)</f>
        <v>#VALUE!</v>
      </c>
      <c r="N1458" s="560"/>
      <c r="O1458" s="560"/>
      <c r="S1458">
        <f>VLOOKUP(C1458,'Recon of ORS and DV'!$A$4:$B$358,2,FALSE)</f>
        <v>0</v>
      </c>
    </row>
    <row r="1459" spans="1:19">
      <c r="A1459" t="s">
        <v>2342</v>
      </c>
      <c r="B1459" s="553">
        <v>44280</v>
      </c>
      <c r="C1459" t="s">
        <v>1567</v>
      </c>
      <c r="D1459" s="28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0">
        <v>101505.45</v>
      </c>
      <c r="K1459" s="560">
        <f t="shared" si="45"/>
        <v>1</v>
      </c>
      <c r="L1459" s="560">
        <f t="shared" si="46"/>
        <v>1</v>
      </c>
      <c r="M1459" s="560" t="e">
        <f>SUMIFS('[1]MAIN-101'!$Z$1:$Z$3000,'[1]MAIN-101'!$X$1:$X$3000,S1459)</f>
        <v>#VALUE!</v>
      </c>
      <c r="N1459" s="560"/>
      <c r="O1459" s="560"/>
      <c r="S1459" t="str">
        <f>VLOOKUP(C1459,'Recon of ORS and DV'!$A$4:$B$358,2,FALSE)</f>
        <v>0558</v>
      </c>
    </row>
    <row r="1460" spans="1:19">
      <c r="A1460" t="s">
        <v>2343</v>
      </c>
      <c r="B1460" s="553">
        <v>44280</v>
      </c>
      <c r="C1460" t="s">
        <v>1569</v>
      </c>
      <c r="D1460" s="28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0">
        <v>13034</v>
      </c>
      <c r="K1460" s="560">
        <f t="shared" si="45"/>
        <v>1</v>
      </c>
      <c r="L1460" s="560">
        <f t="shared" si="46"/>
        <v>1</v>
      </c>
      <c r="M1460" s="560" t="e">
        <f>SUMIFS('[1]MAIN-101'!$Z$1:$Z$3000,'[1]MAIN-101'!$X$1:$X$3000,S1460)</f>
        <v>#VALUE!</v>
      </c>
      <c r="N1460" s="560"/>
      <c r="O1460" s="560"/>
      <c r="S1460" t="str">
        <f>VLOOKUP(C1460,'Recon of ORS and DV'!$A$4:$B$358,2,FALSE)</f>
        <v>0556</v>
      </c>
    </row>
    <row r="1461" spans="1:19">
      <c r="A1461" t="s">
        <v>2344</v>
      </c>
      <c r="B1461" s="553">
        <v>44280</v>
      </c>
      <c r="C1461" t="s">
        <v>1571</v>
      </c>
      <c r="D1461" s="28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0">
        <v>6850</v>
      </c>
      <c r="K1461" s="560">
        <f t="shared" si="45"/>
        <v>1</v>
      </c>
      <c r="L1461" s="560">
        <f t="shared" si="46"/>
        <v>1</v>
      </c>
      <c r="M1461" s="560" t="e">
        <f>SUMIFS('[1]MAIN-101'!$Z$1:$Z$3000,'[1]MAIN-101'!$X$1:$X$3000,S1461)</f>
        <v>#VALUE!</v>
      </c>
      <c r="N1461" s="560"/>
      <c r="O1461" s="560"/>
      <c r="S1461" t="str">
        <f>VLOOKUP(C1461,'Recon of ORS and DV'!$A$4:$B$358,2,FALSE)</f>
        <v>0557</v>
      </c>
    </row>
    <row r="1462" spans="1:19">
      <c r="A1462" t="s">
        <v>2345</v>
      </c>
      <c r="B1462" s="553">
        <v>44280</v>
      </c>
      <c r="C1462" t="s">
        <v>1574</v>
      </c>
      <c r="D1462" s="28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0">
        <v>2500</v>
      </c>
      <c r="K1462" s="560">
        <f t="shared" si="45"/>
        <v>1</v>
      </c>
      <c r="L1462" s="560">
        <f t="shared" si="46"/>
        <v>1</v>
      </c>
      <c r="M1462" s="560" t="e">
        <f>SUMIFS('[1]MAIN-101'!$Z$1:$Z$3000,'[1]MAIN-101'!$X$1:$X$3000,S1462)</f>
        <v>#VALUE!</v>
      </c>
      <c r="N1462" s="560"/>
      <c r="O1462" s="560"/>
      <c r="S1462" t="str">
        <f>VLOOKUP(C1462,'Recon of ORS and DV'!$A$4:$B$358,2,FALSE)</f>
        <v>0562</v>
      </c>
    </row>
    <row r="1463" spans="1:19">
      <c r="A1463" t="s">
        <v>2346</v>
      </c>
      <c r="B1463" s="553">
        <v>44280</v>
      </c>
      <c r="C1463" t="s">
        <v>1576</v>
      </c>
      <c r="D1463" s="28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0">
        <v>2511.36</v>
      </c>
      <c r="K1463" s="560">
        <f t="shared" si="45"/>
        <v>1</v>
      </c>
      <c r="L1463" s="560">
        <f t="shared" si="46"/>
        <v>1</v>
      </c>
      <c r="M1463" s="560" t="e">
        <f>SUMIFS('[1]MAIN-101'!$Z$1:$Z$3000,'[1]MAIN-101'!$X$1:$X$3000,S1463)</f>
        <v>#VALUE!</v>
      </c>
      <c r="N1463" s="560"/>
      <c r="O1463" s="560"/>
      <c r="S1463" t="str">
        <f>VLOOKUP(C1463,'Recon of ORS and DV'!$A$4:$B$358,2,FALSE)</f>
        <v>0563</v>
      </c>
    </row>
    <row r="1464" spans="1:19">
      <c r="A1464" t="s">
        <v>2347</v>
      </c>
      <c r="B1464" s="553">
        <v>44280</v>
      </c>
      <c r="C1464" t="s">
        <v>1579</v>
      </c>
      <c r="D1464" s="28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0">
        <v>10000</v>
      </c>
      <c r="K1464" s="560">
        <f t="shared" si="45"/>
        <v>1</v>
      </c>
      <c r="L1464" s="560">
        <f t="shared" si="46"/>
        <v>1</v>
      </c>
      <c r="M1464" s="560" t="e">
        <f>SUMIFS('[1]MAIN-101'!$Z$1:$Z$3000,'[1]MAIN-101'!$X$1:$X$3000,S1464)</f>
        <v>#VALUE!</v>
      </c>
      <c r="N1464" s="560"/>
      <c r="O1464" s="560"/>
      <c r="S1464" t="str">
        <f>VLOOKUP(C1464,'Recon of ORS and DV'!$A$4:$B$358,2,FALSE)</f>
        <v>0564</v>
      </c>
    </row>
    <row r="1465" spans="1:19">
      <c r="A1465" t="s">
        <v>2348</v>
      </c>
      <c r="B1465" s="553">
        <v>44280</v>
      </c>
      <c r="C1465" t="s">
        <v>1580</v>
      </c>
      <c r="D1465" s="28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0">
        <v>170501.47</v>
      </c>
      <c r="K1465" s="560">
        <f t="shared" si="45"/>
        <v>1</v>
      </c>
      <c r="L1465" s="560">
        <f t="shared" si="46"/>
        <v>1</v>
      </c>
      <c r="M1465" s="560" t="e">
        <f>SUMIFS('[1]MAIN-101'!$Z$1:$Z$3000,'[1]MAIN-101'!$X$1:$X$3000,S1465)</f>
        <v>#VALUE!</v>
      </c>
      <c r="N1465" s="560"/>
      <c r="O1465" s="560"/>
      <c r="S1465" t="str">
        <f>VLOOKUP(C1465,'Recon of ORS and DV'!$A$4:$B$358,2,FALSE)</f>
        <v>0565</v>
      </c>
    </row>
    <row r="1466" spans="1:19">
      <c r="A1466" t="s">
        <v>2349</v>
      </c>
      <c r="B1466" s="553">
        <v>44280</v>
      </c>
      <c r="C1466" t="s">
        <v>1582</v>
      </c>
      <c r="D1466" s="28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0">
        <v>7712.46</v>
      </c>
      <c r="K1466" s="560">
        <f t="shared" si="45"/>
        <v>1</v>
      </c>
      <c r="L1466" s="560">
        <f t="shared" si="46"/>
        <v>1</v>
      </c>
      <c r="M1466" s="560" t="e">
        <f>SUMIFS('[1]MAIN-101'!$Z$1:$Z$3000,'[1]MAIN-101'!$X$1:$X$3000,S1466)</f>
        <v>#VALUE!</v>
      </c>
      <c r="N1466" s="560"/>
      <c r="O1466" s="560"/>
      <c r="S1466" t="str">
        <f>VLOOKUP(C1466,'Recon of ORS and DV'!$A$4:$B$358,2,FALSE)</f>
        <v>0566</v>
      </c>
    </row>
    <row r="1467" spans="1:19">
      <c r="A1467" t="s">
        <v>2350</v>
      </c>
      <c r="B1467" s="553">
        <v>44280</v>
      </c>
      <c r="C1467" t="s">
        <v>1584</v>
      </c>
      <c r="D1467" s="28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0">
        <v>9559.2900000000009</v>
      </c>
      <c r="K1467" s="560">
        <f t="shared" si="45"/>
        <v>1</v>
      </c>
      <c r="L1467" s="560">
        <f t="shared" si="46"/>
        <v>1</v>
      </c>
      <c r="M1467" s="560" t="e">
        <f>SUMIFS('[1]MAIN-101'!$Z$1:$Z$3000,'[1]MAIN-101'!$X$1:$X$3000,S1467)</f>
        <v>#VALUE!</v>
      </c>
      <c r="N1467" s="560"/>
      <c r="O1467" s="560"/>
      <c r="S1467" t="str">
        <f>VLOOKUP(C1467,'Recon of ORS and DV'!$A$4:$B$358,2,FALSE)</f>
        <v>0567</v>
      </c>
    </row>
    <row r="1468" spans="1:19">
      <c r="A1468" t="s">
        <v>2351</v>
      </c>
      <c r="B1468" s="553">
        <v>44280</v>
      </c>
      <c r="C1468" t="s">
        <v>1586</v>
      </c>
      <c r="D1468" s="28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0">
        <v>51050</v>
      </c>
      <c r="K1468" s="560">
        <f t="shared" si="45"/>
        <v>1</v>
      </c>
      <c r="L1468" s="560">
        <f t="shared" si="46"/>
        <v>1</v>
      </c>
      <c r="M1468" s="560" t="e">
        <f>SUMIFS('[1]MAIN-101'!$Z$1:$Z$3000,'[1]MAIN-101'!$X$1:$X$3000,S1468)</f>
        <v>#VALUE!</v>
      </c>
      <c r="N1468" s="560"/>
      <c r="O1468" s="560"/>
      <c r="S1468" t="str">
        <f>VLOOKUP(C1468,'Recon of ORS and DV'!$A$4:$B$358,2,FALSE)</f>
        <v>0552</v>
      </c>
    </row>
    <row r="1469" spans="1:19">
      <c r="A1469" t="s">
        <v>2352</v>
      </c>
      <c r="B1469" s="553">
        <v>44280</v>
      </c>
      <c r="C1469" t="s">
        <v>1588</v>
      </c>
      <c r="D1469" s="28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0">
        <v>100000</v>
      </c>
      <c r="K1469" s="560">
        <f t="shared" si="45"/>
        <v>1</v>
      </c>
      <c r="L1469" s="560">
        <f t="shared" si="46"/>
        <v>1</v>
      </c>
      <c r="M1469" s="560" t="e">
        <f>SUMIFS('[1]MAIN-101'!$Z$1:$Z$3000,'[1]MAIN-101'!$X$1:$X$3000,S1469)</f>
        <v>#VALUE!</v>
      </c>
      <c r="N1469" s="560"/>
      <c r="O1469" s="560"/>
      <c r="S1469" t="str">
        <f>VLOOKUP(C1469,'Recon of ORS and DV'!$A$4:$B$358,2,FALSE)</f>
        <v>0553</v>
      </c>
    </row>
    <row r="1470" spans="1:19">
      <c r="A1470" t="s">
        <v>2353</v>
      </c>
      <c r="B1470" s="553">
        <v>44280</v>
      </c>
      <c r="C1470" t="s">
        <v>1589</v>
      </c>
      <c r="D1470" s="28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0">
        <v>99030</v>
      </c>
      <c r="K1470" s="560">
        <f t="shared" si="45"/>
        <v>1</v>
      </c>
      <c r="L1470" s="560">
        <f t="shared" si="46"/>
        <v>1</v>
      </c>
      <c r="M1470" s="560" t="e">
        <f>SUMIFS('[1]MAIN-101'!$Z$1:$Z$3000,'[1]MAIN-101'!$X$1:$X$3000,S1470)</f>
        <v>#VALUE!</v>
      </c>
      <c r="N1470" s="560"/>
      <c r="O1470" s="560"/>
      <c r="S1470" t="str">
        <f>VLOOKUP(C1470,'Recon of ORS and DV'!$A$4:$B$358,2,FALSE)</f>
        <v>0554</v>
      </c>
    </row>
    <row r="1471" spans="1:19">
      <c r="A1471" t="s">
        <v>2354</v>
      </c>
      <c r="B1471" s="553">
        <v>44280</v>
      </c>
      <c r="C1471" t="s">
        <v>1591</v>
      </c>
      <c r="D1471" s="28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0">
        <v>10250</v>
      </c>
      <c r="K1471" s="560">
        <f t="shared" si="45"/>
        <v>1</v>
      </c>
      <c r="L1471" s="560">
        <f t="shared" si="46"/>
        <v>1</v>
      </c>
      <c r="M1471" s="560" t="e">
        <f>SUMIFS('[1]MAIN-101'!$Z$1:$Z$3000,'[1]MAIN-101'!$X$1:$X$3000,S1471)</f>
        <v>#VALUE!</v>
      </c>
      <c r="N1471" s="560"/>
      <c r="O1471" s="560"/>
      <c r="S1471" t="str">
        <f>VLOOKUP(C1471,'Recon of ORS and DV'!$A$4:$B$358,2,FALSE)</f>
        <v>0555</v>
      </c>
    </row>
    <row r="1472" spans="1:19">
      <c r="B1472" s="553">
        <v>44280</v>
      </c>
      <c r="C1472" t="s">
        <v>1592</v>
      </c>
      <c r="D1472" s="28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0">
        <v>11380.25</v>
      </c>
      <c r="K1472" s="560">
        <f t="shared" si="45"/>
        <v>2</v>
      </c>
      <c r="L1472" s="560">
        <f t="shared" si="46"/>
        <v>2</v>
      </c>
    </row>
    <row r="1473" spans="1:19">
      <c r="A1473" t="s">
        <v>2355</v>
      </c>
      <c r="B1473" s="553">
        <v>44280</v>
      </c>
      <c r="C1473" t="s">
        <v>1592</v>
      </c>
      <c r="D1473" s="28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0">
        <v>75</v>
      </c>
      <c r="K1473" s="560">
        <f t="shared" si="45"/>
        <v>2</v>
      </c>
      <c r="L1473" s="560">
        <f t="shared" si="46"/>
        <v>1</v>
      </c>
      <c r="M1473" s="560" t="e">
        <f>SUMIFS('[1]MAIN-101'!$Z$1:$Z$3000,'[1]MAIN-101'!$X$1:$X$3000,S1473)</f>
        <v>#VALUE!</v>
      </c>
      <c r="N1473" s="560"/>
      <c r="O1473" s="560"/>
      <c r="S1473" t="str">
        <f>VLOOKUP(C1473,'Recon of ORS and DV'!$A$4:$B$358,2,FALSE)</f>
        <v>0560</v>
      </c>
    </row>
    <row r="1474" spans="1:19">
      <c r="A1474" t="s">
        <v>2356</v>
      </c>
      <c r="B1474" s="553">
        <v>44280</v>
      </c>
      <c r="C1474" t="s">
        <v>1594</v>
      </c>
      <c r="D1474" s="28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0">
        <v>8164.75</v>
      </c>
      <c r="K1474" s="560">
        <f t="shared" si="45"/>
        <v>1</v>
      </c>
      <c r="L1474" s="560">
        <f t="shared" si="46"/>
        <v>1</v>
      </c>
      <c r="M1474" s="560" t="e">
        <f>SUMIFS('[1]MAIN-101'!$Z$1:$Z$3000,'[1]MAIN-101'!$X$1:$X$3000,S1474)</f>
        <v>#VALUE!</v>
      </c>
      <c r="N1474" s="560"/>
      <c r="O1474" s="560"/>
      <c r="S1474" t="str">
        <f>VLOOKUP(C1474,'Recon of ORS and DV'!$A$4:$B$358,2,FALSE)</f>
        <v>0561</v>
      </c>
    </row>
    <row r="1475" spans="1:19">
      <c r="B1475" s="553">
        <v>44284</v>
      </c>
      <c r="C1475" t="s">
        <v>1596</v>
      </c>
      <c r="D1475" s="28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0">
        <v>11158</v>
      </c>
      <c r="K1475" s="560">
        <f t="shared" si="45"/>
        <v>2</v>
      </c>
      <c r="L1475" s="560">
        <f t="shared" si="46"/>
        <v>2</v>
      </c>
    </row>
    <row r="1476" spans="1:19">
      <c r="A1476" t="s">
        <v>2357</v>
      </c>
      <c r="B1476" s="553">
        <v>44284</v>
      </c>
      <c r="C1476" t="s">
        <v>1596</v>
      </c>
      <c r="D1476" s="28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0">
        <v>11158</v>
      </c>
      <c r="K1476" s="560">
        <f t="shared" ref="K1476:K1539" si="47">COUNTIFS($C$3:$C$1556,C1476)</f>
        <v>2</v>
      </c>
      <c r="L1476" s="560">
        <f t="shared" si="46"/>
        <v>1</v>
      </c>
      <c r="M1476" s="560" t="e">
        <f>SUMIFS('[1]MAIN-101'!$Z$1:$Z$3000,'[1]MAIN-101'!$X$1:$X$3000,S1476)</f>
        <v>#VALUE!</v>
      </c>
      <c r="N1476" s="560"/>
      <c r="O1476" s="560"/>
      <c r="S1476" t="str">
        <f>VLOOKUP(C1476,'Recon of ORS and DV'!$A$4:$B$358,2,FALSE)</f>
        <v>0576</v>
      </c>
    </row>
    <row r="1477" spans="1:19">
      <c r="B1477" s="553">
        <v>44284</v>
      </c>
      <c r="C1477" t="s">
        <v>1598</v>
      </c>
      <c r="D1477" s="28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0">
        <v>52700</v>
      </c>
      <c r="K1477" s="560">
        <f t="shared" si="47"/>
        <v>7</v>
      </c>
      <c r="L1477" s="560">
        <f t="shared" si="46"/>
        <v>7</v>
      </c>
    </row>
    <row r="1478" spans="1:19">
      <c r="B1478" s="553">
        <v>44284</v>
      </c>
      <c r="C1478" t="s">
        <v>1598</v>
      </c>
      <c r="D1478" s="28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0">
        <v>86250</v>
      </c>
      <c r="K1478" s="560">
        <f t="shared" si="47"/>
        <v>7</v>
      </c>
      <c r="L1478" s="560">
        <f t="shared" si="46"/>
        <v>6</v>
      </c>
    </row>
    <row r="1479" spans="1:19">
      <c r="B1479" s="553">
        <v>44284</v>
      </c>
      <c r="C1479" t="s">
        <v>1598</v>
      </c>
      <c r="D1479" s="28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0">
        <v>3750</v>
      </c>
      <c r="K1479" s="560">
        <f t="shared" si="47"/>
        <v>7</v>
      </c>
      <c r="L1479" s="560">
        <f t="shared" si="46"/>
        <v>5</v>
      </c>
    </row>
    <row r="1480" spans="1:19">
      <c r="B1480" s="553">
        <v>44284</v>
      </c>
      <c r="C1480" t="s">
        <v>1598</v>
      </c>
      <c r="D1480" s="28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0">
        <v>1125</v>
      </c>
      <c r="K1480" s="560">
        <f t="shared" si="47"/>
        <v>7</v>
      </c>
      <c r="L1480" s="560">
        <f t="shared" si="46"/>
        <v>4</v>
      </c>
    </row>
    <row r="1481" spans="1:19">
      <c r="B1481" s="553">
        <v>44284</v>
      </c>
      <c r="C1481" t="s">
        <v>1598</v>
      </c>
      <c r="D1481" s="28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0">
        <v>400</v>
      </c>
      <c r="K1481" s="560">
        <f t="shared" si="47"/>
        <v>7</v>
      </c>
      <c r="L1481" s="560">
        <f t="shared" si="46"/>
        <v>3</v>
      </c>
    </row>
    <row r="1482" spans="1:19">
      <c r="B1482" s="553">
        <v>44284</v>
      </c>
      <c r="C1482" t="s">
        <v>1598</v>
      </c>
      <c r="D1482" s="28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0">
        <v>110876</v>
      </c>
      <c r="K1482" s="560">
        <f t="shared" si="47"/>
        <v>7</v>
      </c>
      <c r="L1482" s="560">
        <f t="shared" si="46"/>
        <v>2</v>
      </c>
    </row>
    <row r="1483" spans="1:19">
      <c r="A1483" t="s">
        <v>2358</v>
      </c>
      <c r="B1483" s="553">
        <v>44284</v>
      </c>
      <c r="C1483" t="s">
        <v>1598</v>
      </c>
      <c r="D1483" s="28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0">
        <v>1000</v>
      </c>
      <c r="K1483" s="560">
        <f t="shared" si="47"/>
        <v>7</v>
      </c>
      <c r="L1483" s="560">
        <f t="shared" si="46"/>
        <v>1</v>
      </c>
      <c r="M1483" s="560" t="e">
        <f>SUMIFS('[1]MAIN-101'!$Z$1:$Z$3000,'[1]MAIN-101'!$X$1:$X$3000,S1483)</f>
        <v>#VALUE!</v>
      </c>
      <c r="N1483" s="560"/>
      <c r="O1483" s="560"/>
      <c r="S1483" t="str">
        <f>VLOOKUP(C1483,'Recon of ORS and DV'!$A$4:$B$358,2,FALSE)</f>
        <v>0574</v>
      </c>
    </row>
    <row r="1484" spans="1:19">
      <c r="B1484" s="553">
        <v>44284</v>
      </c>
      <c r="C1484" t="s">
        <v>1599</v>
      </c>
      <c r="D1484" s="28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0">
        <v>37300</v>
      </c>
      <c r="K1484" s="560">
        <f t="shared" si="47"/>
        <v>7</v>
      </c>
      <c r="L1484" s="560">
        <f t="shared" si="46"/>
        <v>7</v>
      </c>
    </row>
    <row r="1485" spans="1:19">
      <c r="B1485" s="553">
        <v>44284</v>
      </c>
      <c r="C1485" t="s">
        <v>1599</v>
      </c>
      <c r="D1485" s="28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0">
        <v>40965</v>
      </c>
      <c r="K1485" s="560">
        <f t="shared" si="47"/>
        <v>7</v>
      </c>
      <c r="L1485" s="560">
        <f t="shared" si="46"/>
        <v>6</v>
      </c>
    </row>
    <row r="1486" spans="1:19">
      <c r="B1486" s="553">
        <v>44284</v>
      </c>
      <c r="C1486" t="s">
        <v>1599</v>
      </c>
      <c r="D1486" s="28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0">
        <v>5000</v>
      </c>
      <c r="K1486" s="560">
        <f t="shared" si="47"/>
        <v>7</v>
      </c>
      <c r="L1486" s="560">
        <f t="shared" si="46"/>
        <v>5</v>
      </c>
    </row>
    <row r="1487" spans="1:19">
      <c r="B1487" s="553">
        <v>44284</v>
      </c>
      <c r="C1487" t="s">
        <v>1599</v>
      </c>
      <c r="D1487" s="28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0">
        <v>1500</v>
      </c>
      <c r="K1487" s="560">
        <f t="shared" si="47"/>
        <v>7</v>
      </c>
      <c r="L1487" s="560">
        <f t="shared" ref="L1487:L1550" si="48">COUNTIFS(C1487:C3040,C1487)</f>
        <v>4</v>
      </c>
    </row>
    <row r="1488" spans="1:19">
      <c r="B1488" s="553">
        <v>44284</v>
      </c>
      <c r="C1488" t="s">
        <v>1599</v>
      </c>
      <c r="D1488" s="28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0">
        <v>400</v>
      </c>
      <c r="K1488" s="560">
        <f t="shared" si="47"/>
        <v>7</v>
      </c>
      <c r="L1488" s="560">
        <f t="shared" si="48"/>
        <v>3</v>
      </c>
    </row>
    <row r="1489" spans="1:19">
      <c r="B1489" s="553">
        <v>44284</v>
      </c>
      <c r="C1489" t="s">
        <v>1599</v>
      </c>
      <c r="D1489" s="28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0">
        <v>98299</v>
      </c>
      <c r="K1489" s="560">
        <f t="shared" si="47"/>
        <v>7</v>
      </c>
      <c r="L1489" s="560">
        <f t="shared" si="48"/>
        <v>2</v>
      </c>
    </row>
    <row r="1490" spans="1:19">
      <c r="A1490" t="s">
        <v>2359</v>
      </c>
      <c r="B1490" s="553">
        <v>44284</v>
      </c>
      <c r="C1490" t="s">
        <v>1599</v>
      </c>
      <c r="D1490" s="28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0">
        <v>1000</v>
      </c>
      <c r="K1490" s="560">
        <f t="shared" si="47"/>
        <v>7</v>
      </c>
      <c r="L1490" s="560">
        <f t="shared" si="48"/>
        <v>1</v>
      </c>
      <c r="M1490" s="560" t="e">
        <f>SUMIFS('[1]MAIN-101'!$Z$1:$Z$3000,'[1]MAIN-101'!$X$1:$X$3000,S1490)</f>
        <v>#VALUE!</v>
      </c>
      <c r="N1490" s="560"/>
      <c r="O1490" s="560"/>
      <c r="S1490" t="str">
        <f>VLOOKUP(C1490,'Recon of ORS and DV'!$A$4:$B$358,2,FALSE)</f>
        <v>0575</v>
      </c>
    </row>
    <row r="1491" spans="1:19">
      <c r="B1491" s="553">
        <v>44284</v>
      </c>
      <c r="C1491" t="s">
        <v>1601</v>
      </c>
      <c r="D1491" s="28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0">
        <v>100000</v>
      </c>
      <c r="K1491" s="560">
        <f t="shared" si="47"/>
        <v>5</v>
      </c>
      <c r="L1491" s="560">
        <f t="shared" si="48"/>
        <v>5</v>
      </c>
    </row>
    <row r="1492" spans="1:19">
      <c r="B1492" s="553">
        <v>44284</v>
      </c>
      <c r="C1492" t="s">
        <v>1601</v>
      </c>
      <c r="D1492" s="28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0">
        <v>300000</v>
      </c>
      <c r="K1492" s="560">
        <f t="shared" si="47"/>
        <v>5</v>
      </c>
      <c r="L1492" s="560">
        <f t="shared" si="48"/>
        <v>4</v>
      </c>
    </row>
    <row r="1493" spans="1:19">
      <c r="B1493" s="553">
        <v>44284</v>
      </c>
      <c r="C1493" t="s">
        <v>1601</v>
      </c>
      <c r="D1493" s="28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0">
        <v>50000</v>
      </c>
      <c r="K1493" s="560">
        <f t="shared" si="47"/>
        <v>5</v>
      </c>
      <c r="L1493" s="560">
        <f t="shared" si="48"/>
        <v>3</v>
      </c>
    </row>
    <row r="1494" spans="1:19">
      <c r="B1494" s="553">
        <v>44284</v>
      </c>
      <c r="C1494" t="s">
        <v>1601</v>
      </c>
      <c r="D1494" s="28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0">
        <v>914950</v>
      </c>
      <c r="K1494" s="560">
        <f t="shared" si="47"/>
        <v>5</v>
      </c>
      <c r="L1494" s="560">
        <f t="shared" si="48"/>
        <v>2</v>
      </c>
    </row>
    <row r="1495" spans="1:19">
      <c r="A1495" t="s">
        <v>2360</v>
      </c>
      <c r="B1495" s="553">
        <v>44284</v>
      </c>
      <c r="C1495" t="s">
        <v>1601</v>
      </c>
      <c r="D1495" s="28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0">
        <v>100000</v>
      </c>
      <c r="K1495" s="560">
        <f t="shared" si="47"/>
        <v>5</v>
      </c>
      <c r="L1495" s="560">
        <f t="shared" si="48"/>
        <v>1</v>
      </c>
      <c r="M1495" s="560" t="e">
        <f>SUMIFS('[1]MAIN-101'!$Z$1:$Z$3000,'[1]MAIN-101'!$X$1:$X$3000,S1495)</f>
        <v>#VALUE!</v>
      </c>
      <c r="N1495" s="560"/>
      <c r="O1495" s="560"/>
      <c r="S1495" t="str">
        <f>VLOOKUP(C1495,'Recon of ORS and DV'!$A$4:$B$358,2,FALSE)</f>
        <v>0580</v>
      </c>
    </row>
    <row r="1496" spans="1:19">
      <c r="B1496" s="553">
        <v>44284</v>
      </c>
      <c r="C1496" t="s">
        <v>1603</v>
      </c>
      <c r="D1496" s="28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0">
        <v>50000</v>
      </c>
      <c r="K1496" s="560">
        <f t="shared" si="47"/>
        <v>5</v>
      </c>
      <c r="L1496" s="560">
        <f t="shared" si="48"/>
        <v>5</v>
      </c>
    </row>
    <row r="1497" spans="1:19">
      <c r="B1497" s="553">
        <v>44284</v>
      </c>
      <c r="C1497" t="s">
        <v>1603</v>
      </c>
      <c r="D1497" s="28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0">
        <v>150000</v>
      </c>
      <c r="K1497" s="560">
        <f t="shared" si="47"/>
        <v>5</v>
      </c>
      <c r="L1497" s="560">
        <f t="shared" si="48"/>
        <v>4</v>
      </c>
    </row>
    <row r="1498" spans="1:19">
      <c r="B1498" s="553">
        <v>44284</v>
      </c>
      <c r="C1498" t="s">
        <v>1603</v>
      </c>
      <c r="D1498" s="28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0">
        <v>25000</v>
      </c>
      <c r="K1498" s="560">
        <f t="shared" si="47"/>
        <v>5</v>
      </c>
      <c r="L1498" s="560">
        <f t="shared" si="48"/>
        <v>3</v>
      </c>
    </row>
    <row r="1499" spans="1:19">
      <c r="B1499" s="553">
        <v>44284</v>
      </c>
      <c r="C1499" t="s">
        <v>1603</v>
      </c>
      <c r="D1499" s="28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0">
        <v>1016031.21</v>
      </c>
      <c r="K1499" s="560">
        <f t="shared" si="47"/>
        <v>5</v>
      </c>
      <c r="L1499" s="560">
        <f t="shared" si="48"/>
        <v>2</v>
      </c>
    </row>
    <row r="1500" spans="1:19">
      <c r="A1500" t="s">
        <v>2361</v>
      </c>
      <c r="B1500" s="553">
        <v>44284</v>
      </c>
      <c r="C1500" t="s">
        <v>1603</v>
      </c>
      <c r="D1500" s="28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0">
        <v>25000</v>
      </c>
      <c r="K1500" s="560">
        <f t="shared" si="47"/>
        <v>5</v>
      </c>
      <c r="L1500" s="560">
        <f t="shared" si="48"/>
        <v>1</v>
      </c>
      <c r="M1500" s="560" t="e">
        <f>SUMIFS('[1]MAIN-101'!$Z$1:$Z$3000,'[1]MAIN-101'!$X$1:$X$3000,S1500)</f>
        <v>#VALUE!</v>
      </c>
      <c r="N1500" s="560"/>
      <c r="O1500" s="560"/>
      <c r="S1500" t="str">
        <f>VLOOKUP(C1500,'Recon of ORS and DV'!$A$4:$B$358,2,FALSE)</f>
        <v>0581</v>
      </c>
    </row>
    <row r="1501" spans="1:19">
      <c r="B1501" s="553">
        <v>44284</v>
      </c>
      <c r="C1501" t="s">
        <v>1604</v>
      </c>
      <c r="D1501" s="28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0">
        <v>70000</v>
      </c>
      <c r="K1501" s="560">
        <f t="shared" si="47"/>
        <v>9</v>
      </c>
      <c r="L1501" s="560">
        <f t="shared" si="48"/>
        <v>9</v>
      </c>
    </row>
    <row r="1502" spans="1:19">
      <c r="B1502" s="553">
        <v>44284</v>
      </c>
      <c r="C1502" t="s">
        <v>1604</v>
      </c>
      <c r="D1502" s="28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0">
        <v>15000</v>
      </c>
      <c r="K1502" s="560">
        <f t="shared" si="47"/>
        <v>9</v>
      </c>
      <c r="L1502" s="560">
        <f t="shared" si="48"/>
        <v>8</v>
      </c>
    </row>
    <row r="1503" spans="1:19">
      <c r="B1503" s="553">
        <v>44284</v>
      </c>
      <c r="C1503" t="s">
        <v>1604</v>
      </c>
      <c r="D1503" s="28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0">
        <v>10000</v>
      </c>
      <c r="K1503" s="560">
        <f t="shared" si="47"/>
        <v>9</v>
      </c>
      <c r="L1503" s="560">
        <f t="shared" si="48"/>
        <v>7</v>
      </c>
    </row>
    <row r="1504" spans="1:19">
      <c r="B1504" s="553">
        <v>44284</v>
      </c>
      <c r="C1504" t="s">
        <v>1604</v>
      </c>
      <c r="D1504" s="28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0">
        <v>50000</v>
      </c>
      <c r="K1504" s="560">
        <f t="shared" si="47"/>
        <v>9</v>
      </c>
      <c r="L1504" s="560">
        <f t="shared" si="48"/>
        <v>6</v>
      </c>
    </row>
    <row r="1505" spans="1:19">
      <c r="B1505" s="553">
        <v>44284</v>
      </c>
      <c r="C1505" t="s">
        <v>1604</v>
      </c>
      <c r="D1505" s="28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0">
        <v>40000</v>
      </c>
      <c r="K1505" s="560">
        <f t="shared" si="47"/>
        <v>9</v>
      </c>
      <c r="L1505" s="560">
        <f t="shared" si="48"/>
        <v>5</v>
      </c>
    </row>
    <row r="1506" spans="1:19">
      <c r="B1506" s="553">
        <v>44284</v>
      </c>
      <c r="C1506" t="s">
        <v>1604</v>
      </c>
      <c r="D1506" s="28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0">
        <v>63243.76</v>
      </c>
      <c r="K1506" s="560">
        <f t="shared" si="47"/>
        <v>9</v>
      </c>
      <c r="L1506" s="560">
        <f t="shared" si="48"/>
        <v>4</v>
      </c>
    </row>
    <row r="1507" spans="1:19">
      <c r="B1507" s="553">
        <v>44284</v>
      </c>
      <c r="C1507" t="s">
        <v>1604</v>
      </c>
      <c r="D1507" s="28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0">
        <v>25000</v>
      </c>
      <c r="K1507" s="560">
        <f t="shared" si="47"/>
        <v>9</v>
      </c>
      <c r="L1507" s="560">
        <f t="shared" si="48"/>
        <v>3</v>
      </c>
    </row>
    <row r="1508" spans="1:19">
      <c r="B1508" s="553">
        <v>44284</v>
      </c>
      <c r="C1508" t="s">
        <v>1604</v>
      </c>
      <c r="D1508" s="28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0">
        <v>25000</v>
      </c>
      <c r="K1508" s="560">
        <f t="shared" si="47"/>
        <v>9</v>
      </c>
      <c r="L1508" s="560">
        <f t="shared" si="48"/>
        <v>2</v>
      </c>
    </row>
    <row r="1509" spans="1:19">
      <c r="A1509" t="s">
        <v>2362</v>
      </c>
      <c r="B1509" s="553">
        <v>44284</v>
      </c>
      <c r="C1509" t="s">
        <v>1604</v>
      </c>
      <c r="D1509" s="28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0">
        <v>50000</v>
      </c>
      <c r="K1509" s="560">
        <f t="shared" si="47"/>
        <v>9</v>
      </c>
      <c r="L1509" s="560">
        <f t="shared" si="48"/>
        <v>1</v>
      </c>
      <c r="M1509" s="560" t="e">
        <f>SUMIFS('[1]MAIN-101'!$Z$1:$Z$3000,'[1]MAIN-101'!$X$1:$X$3000,S1509)</f>
        <v>#VALUE!</v>
      </c>
      <c r="N1509" s="560"/>
      <c r="O1509" s="560"/>
      <c r="S1509" t="str">
        <f>VLOOKUP(C1509,'Recon of ORS and DV'!$A$4:$B$358,2,FALSE)</f>
        <v>0582</v>
      </c>
    </row>
    <row r="1510" spans="1:19">
      <c r="B1510" s="553">
        <v>44284</v>
      </c>
      <c r="C1510" t="s">
        <v>1606</v>
      </c>
      <c r="D1510" s="28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0">
        <v>70000</v>
      </c>
      <c r="K1510" s="560">
        <f t="shared" si="47"/>
        <v>9</v>
      </c>
      <c r="L1510" s="560">
        <f t="shared" si="48"/>
        <v>9</v>
      </c>
    </row>
    <row r="1511" spans="1:19">
      <c r="B1511" s="553">
        <v>44284</v>
      </c>
      <c r="C1511" t="s">
        <v>1606</v>
      </c>
      <c r="D1511" s="28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0">
        <v>15000</v>
      </c>
      <c r="K1511" s="560">
        <f t="shared" si="47"/>
        <v>9</v>
      </c>
      <c r="L1511" s="560">
        <f t="shared" si="48"/>
        <v>8</v>
      </c>
    </row>
    <row r="1512" spans="1:19">
      <c r="B1512" s="553">
        <v>44284</v>
      </c>
      <c r="C1512" t="s">
        <v>1606</v>
      </c>
      <c r="D1512" s="28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0">
        <v>10000</v>
      </c>
      <c r="K1512" s="560">
        <f t="shared" si="47"/>
        <v>9</v>
      </c>
      <c r="L1512" s="560">
        <f t="shared" si="48"/>
        <v>7</v>
      </c>
    </row>
    <row r="1513" spans="1:19">
      <c r="B1513" s="553">
        <v>44284</v>
      </c>
      <c r="C1513" t="s">
        <v>1606</v>
      </c>
      <c r="D1513" s="28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0">
        <v>50000</v>
      </c>
      <c r="K1513" s="560">
        <f t="shared" si="47"/>
        <v>9</v>
      </c>
      <c r="L1513" s="560">
        <f t="shared" si="48"/>
        <v>6</v>
      </c>
    </row>
    <row r="1514" spans="1:19">
      <c r="B1514" s="553">
        <v>44284</v>
      </c>
      <c r="C1514" t="s">
        <v>1606</v>
      </c>
      <c r="D1514" s="28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0">
        <v>40000</v>
      </c>
      <c r="K1514" s="560">
        <f t="shared" si="47"/>
        <v>9</v>
      </c>
      <c r="L1514" s="560">
        <f t="shared" si="48"/>
        <v>5</v>
      </c>
    </row>
    <row r="1515" spans="1:19">
      <c r="B1515" s="553">
        <v>44284</v>
      </c>
      <c r="C1515" t="s">
        <v>1606</v>
      </c>
      <c r="D1515" s="28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0">
        <v>48817.760000000002</v>
      </c>
      <c r="K1515" s="560">
        <f t="shared" si="47"/>
        <v>9</v>
      </c>
      <c r="L1515" s="560">
        <f t="shared" si="48"/>
        <v>4</v>
      </c>
    </row>
    <row r="1516" spans="1:19">
      <c r="B1516" s="553">
        <v>44284</v>
      </c>
      <c r="C1516" t="s">
        <v>1606</v>
      </c>
      <c r="D1516" s="28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0">
        <v>25000</v>
      </c>
      <c r="K1516" s="560">
        <f t="shared" si="47"/>
        <v>9</v>
      </c>
      <c r="L1516" s="560">
        <f t="shared" si="48"/>
        <v>3</v>
      </c>
    </row>
    <row r="1517" spans="1:19">
      <c r="B1517" s="553">
        <v>44284</v>
      </c>
      <c r="C1517" t="s">
        <v>1606</v>
      </c>
      <c r="D1517" s="28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0">
        <v>25000</v>
      </c>
      <c r="K1517" s="560">
        <f t="shared" si="47"/>
        <v>9</v>
      </c>
      <c r="L1517" s="560">
        <f t="shared" si="48"/>
        <v>2</v>
      </c>
    </row>
    <row r="1518" spans="1:19">
      <c r="A1518" t="s">
        <v>2363</v>
      </c>
      <c r="B1518" s="553">
        <v>44284</v>
      </c>
      <c r="C1518" t="s">
        <v>1606</v>
      </c>
      <c r="D1518" s="28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0">
        <v>50000</v>
      </c>
      <c r="K1518" s="560">
        <f t="shared" si="47"/>
        <v>9</v>
      </c>
      <c r="L1518" s="560">
        <f t="shared" si="48"/>
        <v>1</v>
      </c>
      <c r="M1518" s="560" t="e">
        <f>SUMIFS('[1]MAIN-101'!$Z$1:$Z$3000,'[1]MAIN-101'!$X$1:$X$3000,S1518)</f>
        <v>#VALUE!</v>
      </c>
      <c r="N1518" s="560"/>
      <c r="O1518" s="560"/>
      <c r="S1518" t="str">
        <f>VLOOKUP(C1518,'Recon of ORS and DV'!$A$4:$B$358,2,FALSE)</f>
        <v>0583</v>
      </c>
    </row>
    <row r="1519" spans="1:19">
      <c r="B1519" s="553">
        <v>44284</v>
      </c>
      <c r="C1519" t="s">
        <v>1607</v>
      </c>
      <c r="D1519" s="28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0">
        <v>70000</v>
      </c>
      <c r="K1519" s="560">
        <f t="shared" si="47"/>
        <v>9</v>
      </c>
      <c r="L1519" s="560">
        <f t="shared" si="48"/>
        <v>9</v>
      </c>
    </row>
    <row r="1520" spans="1:19">
      <c r="B1520" s="553">
        <v>44284</v>
      </c>
      <c r="C1520" t="s">
        <v>1607</v>
      </c>
      <c r="D1520" s="28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0">
        <v>15000</v>
      </c>
      <c r="K1520" s="560">
        <f t="shared" si="47"/>
        <v>9</v>
      </c>
      <c r="L1520" s="560">
        <f t="shared" si="48"/>
        <v>8</v>
      </c>
    </row>
    <row r="1521" spans="1:19">
      <c r="B1521" s="553">
        <v>44284</v>
      </c>
      <c r="C1521" t="s">
        <v>1607</v>
      </c>
      <c r="D1521" s="28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0">
        <v>10000</v>
      </c>
      <c r="K1521" s="560">
        <f t="shared" si="47"/>
        <v>9</v>
      </c>
      <c r="L1521" s="560">
        <f t="shared" si="48"/>
        <v>7</v>
      </c>
    </row>
    <row r="1522" spans="1:19">
      <c r="B1522" s="553">
        <v>44284</v>
      </c>
      <c r="C1522" t="s">
        <v>1607</v>
      </c>
      <c r="D1522" s="28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0">
        <v>50000</v>
      </c>
      <c r="K1522" s="560">
        <f t="shared" si="47"/>
        <v>9</v>
      </c>
      <c r="L1522" s="560">
        <f t="shared" si="48"/>
        <v>6</v>
      </c>
    </row>
    <row r="1523" spans="1:19">
      <c r="B1523" s="553">
        <v>44284</v>
      </c>
      <c r="C1523" t="s">
        <v>1607</v>
      </c>
      <c r="D1523" s="28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0">
        <v>40000</v>
      </c>
      <c r="K1523" s="560">
        <f t="shared" si="47"/>
        <v>9</v>
      </c>
      <c r="L1523" s="560">
        <f t="shared" si="48"/>
        <v>5</v>
      </c>
    </row>
    <row r="1524" spans="1:19">
      <c r="B1524" s="553">
        <v>44284</v>
      </c>
      <c r="C1524" t="s">
        <v>1607</v>
      </c>
      <c r="D1524" s="28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0">
        <v>63243.76</v>
      </c>
      <c r="K1524" s="560">
        <f t="shared" si="47"/>
        <v>9</v>
      </c>
      <c r="L1524" s="560">
        <f t="shared" si="48"/>
        <v>4</v>
      </c>
    </row>
    <row r="1525" spans="1:19">
      <c r="B1525" s="553">
        <v>44284</v>
      </c>
      <c r="C1525" t="s">
        <v>1607</v>
      </c>
      <c r="D1525" s="28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0">
        <v>25000</v>
      </c>
      <c r="K1525" s="560">
        <f t="shared" si="47"/>
        <v>9</v>
      </c>
      <c r="L1525" s="560">
        <f t="shared" si="48"/>
        <v>3</v>
      </c>
    </row>
    <row r="1526" spans="1:19">
      <c r="B1526" s="553">
        <v>44284</v>
      </c>
      <c r="C1526" t="s">
        <v>1607</v>
      </c>
      <c r="D1526" s="28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0">
        <v>25000</v>
      </c>
      <c r="K1526" s="560">
        <f t="shared" si="47"/>
        <v>9</v>
      </c>
      <c r="L1526" s="560">
        <f t="shared" si="48"/>
        <v>2</v>
      </c>
    </row>
    <row r="1527" spans="1:19">
      <c r="A1527" t="s">
        <v>2364</v>
      </c>
      <c r="B1527" s="553">
        <v>44284</v>
      </c>
      <c r="C1527" t="s">
        <v>1607</v>
      </c>
      <c r="D1527" s="28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0">
        <v>50000</v>
      </c>
      <c r="K1527" s="560">
        <f t="shared" si="47"/>
        <v>9</v>
      </c>
      <c r="L1527" s="560">
        <f t="shared" si="48"/>
        <v>1</v>
      </c>
      <c r="M1527" s="560" t="e">
        <f>SUMIFS('[1]MAIN-101'!$Z$1:$Z$3000,'[1]MAIN-101'!$X$1:$X$3000,S1527)</f>
        <v>#VALUE!</v>
      </c>
      <c r="N1527" s="560"/>
      <c r="O1527" s="560"/>
      <c r="S1527" t="str">
        <f>VLOOKUP(C1527,'Recon of ORS and DV'!$A$4:$B$358,2,FALSE)</f>
        <v>0584</v>
      </c>
    </row>
    <row r="1528" spans="1:19">
      <c r="B1528" s="553">
        <v>44284</v>
      </c>
      <c r="C1528" t="s">
        <v>1608</v>
      </c>
      <c r="D1528" s="28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0">
        <v>100000</v>
      </c>
      <c r="K1528" s="560">
        <f t="shared" si="47"/>
        <v>5</v>
      </c>
      <c r="L1528" s="560">
        <f t="shared" si="48"/>
        <v>5</v>
      </c>
    </row>
    <row r="1529" spans="1:19">
      <c r="B1529" s="553">
        <v>44284</v>
      </c>
      <c r="C1529" t="s">
        <v>1608</v>
      </c>
      <c r="D1529" s="28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0">
        <v>200000</v>
      </c>
      <c r="K1529" s="560">
        <f t="shared" si="47"/>
        <v>5</v>
      </c>
      <c r="L1529" s="560">
        <f t="shared" si="48"/>
        <v>4</v>
      </c>
    </row>
    <row r="1530" spans="1:19">
      <c r="B1530" s="553">
        <v>44284</v>
      </c>
      <c r="C1530" t="s">
        <v>1608</v>
      </c>
      <c r="D1530" s="28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0">
        <v>50000</v>
      </c>
      <c r="K1530" s="560">
        <f t="shared" si="47"/>
        <v>5</v>
      </c>
      <c r="L1530" s="560">
        <f t="shared" si="48"/>
        <v>3</v>
      </c>
    </row>
    <row r="1531" spans="1:19">
      <c r="B1531" s="553">
        <v>44284</v>
      </c>
      <c r="C1531" t="s">
        <v>1608</v>
      </c>
      <c r="D1531" s="28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0">
        <v>360350</v>
      </c>
      <c r="K1531" s="560">
        <f t="shared" si="47"/>
        <v>5</v>
      </c>
      <c r="L1531" s="560">
        <f t="shared" si="48"/>
        <v>2</v>
      </c>
    </row>
    <row r="1532" spans="1:19">
      <c r="A1532" t="s">
        <v>2365</v>
      </c>
      <c r="B1532" s="553">
        <v>44284</v>
      </c>
      <c r="C1532" t="s">
        <v>1608</v>
      </c>
      <c r="D1532" s="28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0">
        <v>50000</v>
      </c>
      <c r="K1532" s="560">
        <f t="shared" si="47"/>
        <v>5</v>
      </c>
      <c r="L1532" s="560">
        <f t="shared" si="48"/>
        <v>1</v>
      </c>
      <c r="M1532" s="560" t="e">
        <f>SUMIFS('[1]MAIN-101'!$Z$1:$Z$3000,'[1]MAIN-101'!$X$1:$X$3000,S1532)</f>
        <v>#VALUE!</v>
      </c>
      <c r="N1532" s="560"/>
      <c r="O1532" s="560"/>
      <c r="S1532" t="str">
        <f>VLOOKUP(C1532,'Recon of ORS and DV'!$A$4:$B$358,2,FALSE)</f>
        <v>0586</v>
      </c>
    </row>
    <row r="1533" spans="1:19">
      <c r="B1533" s="553">
        <v>44284</v>
      </c>
      <c r="C1533" t="s">
        <v>1609</v>
      </c>
      <c r="D1533" s="28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0">
        <v>30000</v>
      </c>
      <c r="K1533" s="560">
        <f t="shared" si="47"/>
        <v>4</v>
      </c>
      <c r="L1533" s="560">
        <f t="shared" si="48"/>
        <v>4</v>
      </c>
    </row>
    <row r="1534" spans="1:19">
      <c r="B1534" s="553">
        <v>44284</v>
      </c>
      <c r="C1534" t="s">
        <v>1609</v>
      </c>
      <c r="D1534" s="28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0">
        <v>50000</v>
      </c>
      <c r="K1534" s="560">
        <f t="shared" si="47"/>
        <v>4</v>
      </c>
      <c r="L1534" s="560">
        <f t="shared" si="48"/>
        <v>3</v>
      </c>
    </row>
    <row r="1535" spans="1:19">
      <c r="B1535" s="553">
        <v>44284</v>
      </c>
      <c r="C1535" t="s">
        <v>1609</v>
      </c>
      <c r="D1535" s="28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0">
        <v>10000</v>
      </c>
      <c r="K1535" s="560">
        <f t="shared" si="47"/>
        <v>4</v>
      </c>
      <c r="L1535" s="560">
        <f t="shared" si="48"/>
        <v>2</v>
      </c>
    </row>
    <row r="1536" spans="1:19">
      <c r="A1536" t="s">
        <v>2366</v>
      </c>
      <c r="B1536" s="553">
        <v>44284</v>
      </c>
      <c r="C1536" t="s">
        <v>1609</v>
      </c>
      <c r="D1536" s="28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0">
        <v>104400</v>
      </c>
      <c r="K1536" s="560">
        <f t="shared" si="47"/>
        <v>4</v>
      </c>
      <c r="L1536" s="560">
        <f t="shared" si="48"/>
        <v>1</v>
      </c>
      <c r="M1536" s="560" t="e">
        <f>SUMIFS('[1]MAIN-101'!$Z$1:$Z$3000,'[1]MAIN-101'!$X$1:$X$3000,S1536)</f>
        <v>#VALUE!</v>
      </c>
      <c r="N1536" s="560"/>
      <c r="O1536" s="560"/>
      <c r="S1536" t="str">
        <f>VLOOKUP(C1536,'Recon of ORS and DV'!$A$4:$B$358,2,FALSE)</f>
        <v>0587</v>
      </c>
    </row>
    <row r="1537" spans="1:19">
      <c r="B1537" s="553">
        <v>44284</v>
      </c>
      <c r="C1537" t="s">
        <v>1611</v>
      </c>
      <c r="D1537" s="28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0">
        <v>30000</v>
      </c>
      <c r="K1537" s="560">
        <f t="shared" si="47"/>
        <v>4</v>
      </c>
      <c r="L1537" s="560">
        <f t="shared" si="48"/>
        <v>4</v>
      </c>
    </row>
    <row r="1538" spans="1:19">
      <c r="B1538" s="553">
        <v>44284</v>
      </c>
      <c r="C1538" t="s">
        <v>1611</v>
      </c>
      <c r="D1538" s="28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0">
        <v>50000</v>
      </c>
      <c r="K1538" s="560">
        <f t="shared" si="47"/>
        <v>4</v>
      </c>
      <c r="L1538" s="560">
        <f t="shared" si="48"/>
        <v>3</v>
      </c>
    </row>
    <row r="1539" spans="1:19">
      <c r="B1539" s="553">
        <v>44284</v>
      </c>
      <c r="C1539" t="s">
        <v>1611</v>
      </c>
      <c r="D1539" s="28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0">
        <v>10000</v>
      </c>
      <c r="K1539" s="560">
        <f t="shared" si="47"/>
        <v>4</v>
      </c>
      <c r="L1539" s="560">
        <f t="shared" si="48"/>
        <v>2</v>
      </c>
    </row>
    <row r="1540" spans="1:19">
      <c r="A1540" t="s">
        <v>2367</v>
      </c>
      <c r="B1540" s="553">
        <v>44284</v>
      </c>
      <c r="C1540" t="s">
        <v>1611</v>
      </c>
      <c r="D1540" s="28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0">
        <v>104400</v>
      </c>
      <c r="K1540" s="560">
        <f t="shared" ref="K1540:K1556" si="49">COUNTIFS($C$3:$C$1556,C1540)</f>
        <v>4</v>
      </c>
      <c r="L1540" s="560">
        <f t="shared" si="48"/>
        <v>1</v>
      </c>
      <c r="M1540" s="560" t="e">
        <f>SUMIFS('[1]MAIN-101'!$Z$1:$Z$3000,'[1]MAIN-101'!$X$1:$X$3000,S1540)</f>
        <v>#VALUE!</v>
      </c>
      <c r="N1540" s="560"/>
      <c r="O1540" s="560"/>
      <c r="S1540" t="str">
        <f>VLOOKUP(C1540,'Recon of ORS and DV'!$A$4:$B$358,2,FALSE)</f>
        <v>0588</v>
      </c>
    </row>
    <row r="1541" spans="1:19">
      <c r="B1541" s="553">
        <v>44284</v>
      </c>
      <c r="C1541" t="s">
        <v>1612</v>
      </c>
      <c r="D1541" s="28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0">
        <v>30000</v>
      </c>
      <c r="K1541" s="560">
        <f t="shared" si="49"/>
        <v>4</v>
      </c>
      <c r="L1541" s="560">
        <f t="shared" si="48"/>
        <v>4</v>
      </c>
    </row>
    <row r="1542" spans="1:19">
      <c r="B1542" s="553">
        <v>44284</v>
      </c>
      <c r="C1542" t="s">
        <v>1612</v>
      </c>
      <c r="D1542" s="28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0">
        <v>50000</v>
      </c>
      <c r="K1542" s="560">
        <f t="shared" si="49"/>
        <v>4</v>
      </c>
      <c r="L1542" s="560">
        <f t="shared" si="48"/>
        <v>3</v>
      </c>
    </row>
    <row r="1543" spans="1:19">
      <c r="B1543" s="553">
        <v>44284</v>
      </c>
      <c r="C1543" t="s">
        <v>1612</v>
      </c>
      <c r="D1543" s="28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0">
        <v>10000</v>
      </c>
      <c r="K1543" s="560">
        <f t="shared" si="49"/>
        <v>4</v>
      </c>
      <c r="L1543" s="560">
        <f t="shared" si="48"/>
        <v>2</v>
      </c>
    </row>
    <row r="1544" spans="1:19">
      <c r="A1544" t="s">
        <v>2368</v>
      </c>
      <c r="B1544" s="553">
        <v>44284</v>
      </c>
      <c r="C1544" t="s">
        <v>1612</v>
      </c>
      <c r="D1544" s="28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0">
        <v>104400</v>
      </c>
      <c r="K1544" s="560">
        <f t="shared" si="49"/>
        <v>4</v>
      </c>
      <c r="L1544" s="560">
        <f t="shared" si="48"/>
        <v>1</v>
      </c>
      <c r="M1544" s="560" t="e">
        <f>SUMIFS('[1]MAIN-101'!$Z$1:$Z$3000,'[1]MAIN-101'!$X$1:$X$3000,S1544)</f>
        <v>#VALUE!</v>
      </c>
      <c r="N1544" s="560"/>
      <c r="O1544" s="560"/>
      <c r="S1544" t="str">
        <f>VLOOKUP(C1544,'Recon of ORS and DV'!$A$4:$B$358,2,FALSE)</f>
        <v>0589</v>
      </c>
    </row>
    <row r="1545" spans="1:19">
      <c r="B1545" s="553">
        <v>44285</v>
      </c>
      <c r="C1545" t="s">
        <v>1614</v>
      </c>
      <c r="D1545" s="28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0">
        <v>57498</v>
      </c>
      <c r="K1545" s="560">
        <f t="shared" si="49"/>
        <v>4</v>
      </c>
      <c r="L1545" s="560">
        <f t="shared" si="48"/>
        <v>4</v>
      </c>
    </row>
    <row r="1546" spans="1:19">
      <c r="B1546" s="553">
        <v>44285</v>
      </c>
      <c r="C1546" t="s">
        <v>1614</v>
      </c>
      <c r="D1546" s="28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0">
        <v>525004</v>
      </c>
      <c r="K1546" s="560">
        <f t="shared" si="49"/>
        <v>4</v>
      </c>
      <c r="L1546" s="560">
        <f t="shared" si="48"/>
        <v>3</v>
      </c>
    </row>
    <row r="1547" spans="1:19">
      <c r="B1547" s="553">
        <v>44285</v>
      </c>
      <c r="C1547" t="s">
        <v>1614</v>
      </c>
      <c r="D1547" s="28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0">
        <v>19166</v>
      </c>
      <c r="K1547" s="560">
        <f t="shared" si="49"/>
        <v>4</v>
      </c>
      <c r="L1547" s="560">
        <f t="shared" si="48"/>
        <v>2</v>
      </c>
    </row>
    <row r="1548" spans="1:19">
      <c r="A1548" t="s">
        <v>2369</v>
      </c>
      <c r="B1548" s="553">
        <v>44285</v>
      </c>
      <c r="C1548" t="s">
        <v>1614</v>
      </c>
      <c r="D1548" s="28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0">
        <v>38332</v>
      </c>
      <c r="K1548" s="560">
        <f t="shared" si="49"/>
        <v>4</v>
      </c>
      <c r="L1548" s="560">
        <f t="shared" si="48"/>
        <v>1</v>
      </c>
      <c r="M1548" s="560" t="e">
        <f>SUMIFS('[1]MAIN-101'!$Z$1:$Z$3000,'[1]MAIN-101'!$X$1:$X$3000,S1548)</f>
        <v>#VALUE!</v>
      </c>
      <c r="N1548" s="560"/>
      <c r="O1548" s="560"/>
      <c r="S1548" t="str">
        <f>VLOOKUP(C1548,'Recon of ORS and DV'!$A$4:$B$358,2,FALSE)</f>
        <v>0590</v>
      </c>
    </row>
    <row r="1549" spans="1:19">
      <c r="B1549" s="553">
        <v>44285</v>
      </c>
      <c r="C1549" t="s">
        <v>1616</v>
      </c>
      <c r="D1549" s="28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0">
        <v>10000</v>
      </c>
      <c r="K1549" s="560">
        <f t="shared" si="49"/>
        <v>5</v>
      </c>
      <c r="L1549" s="560">
        <f t="shared" si="48"/>
        <v>5</v>
      </c>
    </row>
    <row r="1550" spans="1:19">
      <c r="B1550" s="553">
        <v>44285</v>
      </c>
      <c r="C1550" t="s">
        <v>1616</v>
      </c>
      <c r="D1550" s="28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0">
        <v>80000</v>
      </c>
      <c r="K1550" s="560">
        <f t="shared" si="49"/>
        <v>5</v>
      </c>
      <c r="L1550" s="560">
        <f t="shared" si="48"/>
        <v>4</v>
      </c>
    </row>
    <row r="1551" spans="1:19">
      <c r="B1551" s="553">
        <v>44285</v>
      </c>
      <c r="C1551" t="s">
        <v>1616</v>
      </c>
      <c r="D1551" s="28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0">
        <v>30000</v>
      </c>
      <c r="K1551" s="560">
        <f t="shared" si="49"/>
        <v>5</v>
      </c>
      <c r="L1551" s="560">
        <f t="shared" ref="L1551:L1556" si="50">COUNTIFS(C1551:C3104,C1551)</f>
        <v>3</v>
      </c>
    </row>
    <row r="1552" spans="1:19">
      <c r="B1552" s="553">
        <v>44285</v>
      </c>
      <c r="C1552" t="s">
        <v>1616</v>
      </c>
      <c r="D1552" s="28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0">
        <v>20000</v>
      </c>
      <c r="K1552" s="560">
        <f t="shared" si="49"/>
        <v>5</v>
      </c>
      <c r="L1552" s="560">
        <f t="shared" si="50"/>
        <v>2</v>
      </c>
    </row>
    <row r="1553" spans="1:19">
      <c r="A1553" t="s">
        <v>2370</v>
      </c>
      <c r="B1553" s="553">
        <v>44285</v>
      </c>
      <c r="C1553" t="s">
        <v>1616</v>
      </c>
      <c r="D1553" s="28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0">
        <v>147809.53</v>
      </c>
      <c r="K1553" s="560">
        <f t="shared" si="49"/>
        <v>5</v>
      </c>
      <c r="L1553" s="560">
        <f t="shared" si="50"/>
        <v>1</v>
      </c>
      <c r="M1553" s="560" t="e">
        <f>SUMIFS('[1]MAIN-101'!$Z$1:$Z$3000,'[1]MAIN-101'!$X$1:$X$3000,S1553)</f>
        <v>#VALUE!</v>
      </c>
      <c r="N1553" s="560"/>
      <c r="O1553" s="560"/>
      <c r="S1553" t="str">
        <f>VLOOKUP(C1553,'Recon of ORS and DV'!$A$4:$B$358,2,FALSE)</f>
        <v>0591</v>
      </c>
    </row>
    <row r="1554" spans="1:19">
      <c r="A1554" t="s">
        <v>2371</v>
      </c>
      <c r="B1554" s="553">
        <v>44285</v>
      </c>
      <c r="C1554" t="s">
        <v>1618</v>
      </c>
      <c r="D1554" s="28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0">
        <v>3500</v>
      </c>
      <c r="K1554" s="560">
        <f t="shared" si="49"/>
        <v>1</v>
      </c>
      <c r="L1554" s="560">
        <f t="shared" si="50"/>
        <v>1</v>
      </c>
      <c r="M1554" s="560" t="e">
        <f>SUMIFS('[1]MAIN-101'!$Z$1:$Z$3000,'[1]MAIN-101'!$X$1:$X$3000,S1554)</f>
        <v>#VALUE!</v>
      </c>
      <c r="N1554" s="560"/>
      <c r="O1554" s="560"/>
      <c r="S1554" t="str">
        <f>VLOOKUP(C1554,'Recon of ORS and DV'!$A$4:$B$358,2,FALSE)</f>
        <v>0594</v>
      </c>
    </row>
    <row r="1555" spans="1:19">
      <c r="A1555" t="s">
        <v>2372</v>
      </c>
      <c r="B1555" s="553">
        <v>44285</v>
      </c>
      <c r="C1555" t="s">
        <v>1619</v>
      </c>
      <c r="D1555" s="28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0">
        <v>12000</v>
      </c>
      <c r="K1555" s="560">
        <f t="shared" si="49"/>
        <v>1</v>
      </c>
      <c r="L1555" s="560">
        <f t="shared" si="50"/>
        <v>1</v>
      </c>
      <c r="M1555" s="560" t="e">
        <f>SUMIFS('[1]MAIN-101'!$Z$1:$Z$3000,'[1]MAIN-101'!$X$1:$X$3000,S1555)</f>
        <v>#VALUE!</v>
      </c>
      <c r="N1555" s="560"/>
      <c r="O1555" s="560"/>
      <c r="S1555" t="str">
        <f>VLOOKUP(C1555,'Recon of ORS and DV'!$A$4:$B$358,2,FALSE)</f>
        <v>0595</v>
      </c>
    </row>
    <row r="1556" spans="1:19">
      <c r="A1556" t="s">
        <v>2373</v>
      </c>
      <c r="B1556" s="553">
        <v>44285</v>
      </c>
      <c r="C1556" t="s">
        <v>1622</v>
      </c>
      <c r="D1556" s="28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0">
        <v>4800</v>
      </c>
      <c r="K1556" s="560">
        <f t="shared" si="49"/>
        <v>1</v>
      </c>
      <c r="L1556" s="560">
        <f t="shared" si="50"/>
        <v>1</v>
      </c>
      <c r="M1556" s="560" t="e">
        <f>SUMIFS('[1]MAIN-101'!$Z$1:$Z$3000,'[1]MAIN-101'!$X$1:$X$3000,S1556)</f>
        <v>#VALUE!</v>
      </c>
      <c r="N1556" s="560"/>
      <c r="O1556" s="560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0" t="s">
        <v>2374</v>
      </c>
      <c r="F1568" s="540" t="s">
        <v>2375</v>
      </c>
    </row>
    <row r="1569" spans="2:9">
      <c r="B1569">
        <v>1</v>
      </c>
      <c r="E1569" s="281" t="s">
        <v>11</v>
      </c>
      <c r="F1569" s="281" t="s">
        <v>2054</v>
      </c>
      <c r="G1569" s="562">
        <f>SUMIFS(J:J,C:C,E1569)</f>
        <v>150000</v>
      </c>
      <c r="H1569" s="562" t="e">
        <f>SUMIFS(M:M,S:S,F1569)</f>
        <v>#VALUE!</v>
      </c>
      <c r="I1569" s="276" t="e">
        <f>G1569-H1569</f>
        <v>#VALUE!</v>
      </c>
    </row>
    <row r="1570" spans="2:9">
      <c r="B1570">
        <v>1</v>
      </c>
      <c r="E1570" s="281" t="s">
        <v>8</v>
      </c>
      <c r="F1570" s="281" t="s">
        <v>2055</v>
      </c>
      <c r="G1570" s="562">
        <f t="shared" ref="G1570:G1633" si="51">SUMIFS(J:J,C:C,E1570)</f>
        <v>10000</v>
      </c>
      <c r="H1570" s="562" t="e">
        <f t="shared" ref="H1570:H1633" si="52">SUMIFS(M:M,S:S,F1570)</f>
        <v>#VALUE!</v>
      </c>
      <c r="I1570" s="276" t="e">
        <f t="shared" ref="I1570:I1633" si="53">G1570-H1570</f>
        <v>#VALUE!</v>
      </c>
    </row>
    <row r="1571" spans="2:9">
      <c r="B1571">
        <v>1</v>
      </c>
      <c r="E1571" s="281" t="s">
        <v>4</v>
      </c>
      <c r="F1571" s="281" t="s">
        <v>2056</v>
      </c>
      <c r="G1571" s="562">
        <f t="shared" si="51"/>
        <v>1935301.23</v>
      </c>
      <c r="H1571" s="562" t="e">
        <f t="shared" si="52"/>
        <v>#VALUE!</v>
      </c>
      <c r="I1571" s="276" t="e">
        <f t="shared" si="53"/>
        <v>#VALUE!</v>
      </c>
    </row>
    <row r="1572" spans="2:9">
      <c r="B1572">
        <v>1</v>
      </c>
      <c r="E1572" s="281" t="s">
        <v>763</v>
      </c>
      <c r="F1572" s="281" t="s">
        <v>2057</v>
      </c>
      <c r="G1572" s="562">
        <f t="shared" si="51"/>
        <v>452644.64</v>
      </c>
      <c r="H1572" s="562" t="e">
        <f t="shared" si="52"/>
        <v>#VALUE!</v>
      </c>
      <c r="I1572" s="276" t="e">
        <f t="shared" si="53"/>
        <v>#VALUE!</v>
      </c>
    </row>
    <row r="1573" spans="2:9">
      <c r="B1573">
        <v>1</v>
      </c>
      <c r="E1573" s="281" t="s">
        <v>766</v>
      </c>
      <c r="F1573" s="281" t="s">
        <v>2058</v>
      </c>
      <c r="G1573" s="562">
        <f t="shared" si="51"/>
        <v>325034.35000000003</v>
      </c>
      <c r="H1573" s="562" t="e">
        <f t="shared" si="52"/>
        <v>#VALUE!</v>
      </c>
      <c r="I1573" s="276" t="e">
        <f t="shared" si="53"/>
        <v>#VALUE!</v>
      </c>
    </row>
    <row r="1574" spans="2:9">
      <c r="B1574">
        <v>1</v>
      </c>
      <c r="E1574" s="281" t="s">
        <v>767</v>
      </c>
      <c r="F1574" s="281" t="s">
        <v>2059</v>
      </c>
      <c r="G1574" s="562">
        <f t="shared" si="51"/>
        <v>666774.09000000008</v>
      </c>
      <c r="H1574" s="562" t="e">
        <f t="shared" si="52"/>
        <v>#VALUE!</v>
      </c>
      <c r="I1574" s="276" t="e">
        <f t="shared" si="53"/>
        <v>#VALUE!</v>
      </c>
    </row>
    <row r="1575" spans="2:9">
      <c r="B1575">
        <v>1</v>
      </c>
      <c r="E1575" s="281" t="s">
        <v>772</v>
      </c>
      <c r="F1575" s="281" t="s">
        <v>2060</v>
      </c>
      <c r="G1575" s="562">
        <f t="shared" si="51"/>
        <v>5000</v>
      </c>
      <c r="H1575" s="562" t="e">
        <f t="shared" si="52"/>
        <v>#VALUE!</v>
      </c>
      <c r="I1575" s="276" t="e">
        <f t="shared" si="53"/>
        <v>#VALUE!</v>
      </c>
    </row>
    <row r="1576" spans="2:9">
      <c r="B1576">
        <v>1</v>
      </c>
      <c r="E1576" s="281" t="s">
        <v>775</v>
      </c>
      <c r="F1576" s="281" t="s">
        <v>2061</v>
      </c>
      <c r="G1576" s="562">
        <f t="shared" si="51"/>
        <v>452126.62</v>
      </c>
      <c r="H1576" s="562" t="e">
        <f t="shared" si="52"/>
        <v>#VALUE!</v>
      </c>
      <c r="I1576" s="276" t="e">
        <f t="shared" si="53"/>
        <v>#VALUE!</v>
      </c>
    </row>
    <row r="1577" spans="2:9">
      <c r="B1577">
        <v>1</v>
      </c>
      <c r="E1577" s="281" t="s">
        <v>778</v>
      </c>
      <c r="F1577" s="281" t="s">
        <v>2062</v>
      </c>
      <c r="G1577" s="562">
        <f t="shared" si="51"/>
        <v>160190.04</v>
      </c>
      <c r="H1577" s="562" t="e">
        <f t="shared" si="52"/>
        <v>#VALUE!</v>
      </c>
      <c r="I1577" s="276" t="e">
        <f t="shared" si="53"/>
        <v>#VALUE!</v>
      </c>
    </row>
    <row r="1578" spans="2:9">
      <c r="B1578">
        <v>1</v>
      </c>
      <c r="E1578" s="281" t="s">
        <v>849</v>
      </c>
      <c r="F1578" s="281" t="s">
        <v>2063</v>
      </c>
      <c r="G1578" s="562">
        <f t="shared" si="51"/>
        <v>10311.43</v>
      </c>
      <c r="H1578" s="562" t="e">
        <f t="shared" si="52"/>
        <v>#VALUE!</v>
      </c>
      <c r="I1578" s="276" t="e">
        <f t="shared" si="53"/>
        <v>#VALUE!</v>
      </c>
    </row>
    <row r="1579" spans="2:9">
      <c r="B1579">
        <v>1</v>
      </c>
      <c r="E1579" s="281" t="s">
        <v>781</v>
      </c>
      <c r="F1579" s="281" t="s">
        <v>2064</v>
      </c>
      <c r="G1579" s="562">
        <f t="shared" si="51"/>
        <v>11250</v>
      </c>
      <c r="H1579" s="562" t="e">
        <f t="shared" si="52"/>
        <v>#VALUE!</v>
      </c>
      <c r="I1579" s="276" t="e">
        <f t="shared" si="53"/>
        <v>#VALUE!</v>
      </c>
    </row>
    <row r="1580" spans="2:9">
      <c r="B1580">
        <v>1</v>
      </c>
      <c r="E1580" s="281" t="s">
        <v>787</v>
      </c>
      <c r="F1580" s="281" t="s">
        <v>2065</v>
      </c>
      <c r="G1580" s="562">
        <f t="shared" si="51"/>
        <v>574114.94999999995</v>
      </c>
      <c r="H1580" s="562" t="e">
        <f t="shared" si="52"/>
        <v>#VALUE!</v>
      </c>
      <c r="I1580" s="276" t="e">
        <f t="shared" si="53"/>
        <v>#VALUE!</v>
      </c>
    </row>
    <row r="1581" spans="2:9">
      <c r="B1581">
        <v>1</v>
      </c>
      <c r="E1581" s="281" t="s">
        <v>790</v>
      </c>
      <c r="F1581" s="281" t="s">
        <v>2066</v>
      </c>
      <c r="G1581" s="562">
        <f t="shared" si="51"/>
        <v>2500</v>
      </c>
      <c r="H1581" s="562" t="e">
        <f t="shared" si="52"/>
        <v>#VALUE!</v>
      </c>
      <c r="I1581" s="276" t="e">
        <f t="shared" si="53"/>
        <v>#VALUE!</v>
      </c>
    </row>
    <row r="1582" spans="2:9">
      <c r="B1582">
        <v>1</v>
      </c>
      <c r="E1582" s="281" t="s">
        <v>793</v>
      </c>
      <c r="F1582" s="281" t="s">
        <v>2067</v>
      </c>
      <c r="G1582" s="562">
        <f t="shared" si="51"/>
        <v>0</v>
      </c>
      <c r="H1582" s="562" t="e">
        <f t="shared" si="52"/>
        <v>#VALUE!</v>
      </c>
      <c r="I1582" s="276" t="e">
        <f t="shared" si="53"/>
        <v>#VALUE!</v>
      </c>
    </row>
    <row r="1583" spans="2:9">
      <c r="B1583">
        <v>1</v>
      </c>
      <c r="E1583" s="281" t="s">
        <v>807</v>
      </c>
      <c r="F1583" s="281"/>
      <c r="G1583" s="562">
        <f t="shared" si="51"/>
        <v>4313.25</v>
      </c>
      <c r="H1583" s="562" t="e">
        <f t="shared" si="52"/>
        <v>#VALUE!</v>
      </c>
      <c r="I1583" s="276" t="e">
        <f t="shared" si="53"/>
        <v>#VALUE!</v>
      </c>
    </row>
    <row r="1584" spans="2:9">
      <c r="B1584">
        <v>1</v>
      </c>
      <c r="E1584" s="281" t="s">
        <v>809</v>
      </c>
      <c r="F1584" s="281" t="s">
        <v>2068</v>
      </c>
      <c r="G1584" s="562">
        <f t="shared" si="51"/>
        <v>22550.49</v>
      </c>
      <c r="H1584" s="562" t="e">
        <f t="shared" si="52"/>
        <v>#VALUE!</v>
      </c>
      <c r="I1584" s="276" t="e">
        <f t="shared" si="53"/>
        <v>#VALUE!</v>
      </c>
    </row>
    <row r="1585" spans="2:9">
      <c r="B1585">
        <v>1</v>
      </c>
      <c r="E1585" s="281" t="s">
        <v>817</v>
      </c>
      <c r="F1585" s="281"/>
      <c r="G1585" s="562">
        <f t="shared" si="51"/>
        <v>7800</v>
      </c>
      <c r="H1585" s="562" t="e">
        <f t="shared" si="52"/>
        <v>#VALUE!</v>
      </c>
      <c r="I1585" s="276" t="e">
        <f t="shared" si="53"/>
        <v>#VALUE!</v>
      </c>
    </row>
    <row r="1586" spans="2:9">
      <c r="B1586">
        <v>1</v>
      </c>
      <c r="E1586" s="281" t="s">
        <v>824</v>
      </c>
      <c r="F1586" s="281" t="s">
        <v>2069</v>
      </c>
      <c r="G1586" s="562">
        <f t="shared" si="51"/>
        <v>7800</v>
      </c>
      <c r="H1586" s="562" t="e">
        <f t="shared" si="52"/>
        <v>#VALUE!</v>
      </c>
      <c r="I1586" s="276" t="e">
        <f t="shared" si="53"/>
        <v>#VALUE!</v>
      </c>
    </row>
    <row r="1587" spans="2:9">
      <c r="B1587">
        <v>1</v>
      </c>
      <c r="E1587" s="281" t="s">
        <v>825</v>
      </c>
      <c r="F1587" s="281" t="s">
        <v>2070</v>
      </c>
      <c r="G1587" s="562">
        <f t="shared" si="51"/>
        <v>7800</v>
      </c>
      <c r="H1587" s="562" t="e">
        <f t="shared" si="52"/>
        <v>#VALUE!</v>
      </c>
      <c r="I1587" s="276" t="e">
        <f t="shared" si="53"/>
        <v>#VALUE!</v>
      </c>
    </row>
    <row r="1588" spans="2:9">
      <c r="B1588">
        <v>1</v>
      </c>
      <c r="E1588" s="281" t="s">
        <v>826</v>
      </c>
      <c r="F1588" s="281" t="s">
        <v>2071</v>
      </c>
      <c r="G1588" s="562">
        <f t="shared" si="51"/>
        <v>7800</v>
      </c>
      <c r="H1588" s="562" t="e">
        <f t="shared" si="52"/>
        <v>#VALUE!</v>
      </c>
      <c r="I1588" s="276" t="e">
        <f t="shared" si="53"/>
        <v>#VALUE!</v>
      </c>
    </row>
    <row r="1589" spans="2:9">
      <c r="B1589">
        <v>1</v>
      </c>
      <c r="E1589" s="281" t="s">
        <v>827</v>
      </c>
      <c r="F1589" s="281" t="s">
        <v>2072</v>
      </c>
      <c r="G1589" s="562">
        <f t="shared" si="51"/>
        <v>7800</v>
      </c>
      <c r="H1589" s="562" t="e">
        <f t="shared" si="52"/>
        <v>#VALUE!</v>
      </c>
      <c r="I1589" s="276" t="e">
        <f t="shared" si="53"/>
        <v>#VALUE!</v>
      </c>
    </row>
    <row r="1590" spans="2:9">
      <c r="B1590">
        <v>1</v>
      </c>
      <c r="E1590" s="281" t="s">
        <v>829</v>
      </c>
      <c r="F1590" s="281" t="s">
        <v>2073</v>
      </c>
      <c r="G1590" s="562">
        <f t="shared" si="51"/>
        <v>59500</v>
      </c>
      <c r="H1590" s="562" t="e">
        <f t="shared" si="52"/>
        <v>#VALUE!</v>
      </c>
      <c r="I1590" s="276" t="e">
        <f t="shared" si="53"/>
        <v>#VALUE!</v>
      </c>
    </row>
    <row r="1591" spans="2:9">
      <c r="B1591">
        <v>1</v>
      </c>
      <c r="E1591" s="281" t="s">
        <v>832</v>
      </c>
      <c r="F1591" s="281" t="s">
        <v>2074</v>
      </c>
      <c r="G1591" s="562">
        <f t="shared" si="51"/>
        <v>18046.37</v>
      </c>
      <c r="H1591" s="562" t="e">
        <f t="shared" si="52"/>
        <v>#VALUE!</v>
      </c>
      <c r="I1591" s="276" t="e">
        <f t="shared" si="53"/>
        <v>#VALUE!</v>
      </c>
    </row>
    <row r="1592" spans="2:9">
      <c r="B1592">
        <v>1</v>
      </c>
      <c r="E1592" s="281" t="s">
        <v>835</v>
      </c>
      <c r="F1592" s="281" t="s">
        <v>2075</v>
      </c>
      <c r="G1592" s="562">
        <f t="shared" si="51"/>
        <v>3675</v>
      </c>
      <c r="H1592" s="562" t="e">
        <f t="shared" si="52"/>
        <v>#VALUE!</v>
      </c>
      <c r="I1592" s="276" t="e">
        <f t="shared" si="53"/>
        <v>#VALUE!</v>
      </c>
    </row>
    <row r="1593" spans="2:9">
      <c r="B1593">
        <v>1</v>
      </c>
      <c r="E1593" s="281" t="s">
        <v>838</v>
      </c>
      <c r="F1593" s="281" t="s">
        <v>2076</v>
      </c>
      <c r="G1593" s="562">
        <f t="shared" si="51"/>
        <v>10895.41</v>
      </c>
      <c r="H1593" s="562" t="e">
        <f t="shared" si="52"/>
        <v>#VALUE!</v>
      </c>
      <c r="I1593" s="276" t="e">
        <f t="shared" si="53"/>
        <v>#VALUE!</v>
      </c>
    </row>
    <row r="1594" spans="2:9">
      <c r="B1594">
        <v>1</v>
      </c>
      <c r="E1594" s="281" t="s">
        <v>841</v>
      </c>
      <c r="F1594" s="281" t="s">
        <v>2077</v>
      </c>
      <c r="G1594" s="562">
        <f t="shared" si="51"/>
        <v>14080</v>
      </c>
      <c r="H1594" s="562" t="e">
        <f t="shared" si="52"/>
        <v>#VALUE!</v>
      </c>
      <c r="I1594" s="276" t="e">
        <f t="shared" si="53"/>
        <v>#VALUE!</v>
      </c>
    </row>
    <row r="1595" spans="2:9">
      <c r="B1595">
        <v>1</v>
      </c>
      <c r="E1595" s="281" t="s">
        <v>846</v>
      </c>
      <c r="F1595" s="281" t="s">
        <v>2078</v>
      </c>
      <c r="G1595" s="562">
        <f t="shared" si="51"/>
        <v>1880</v>
      </c>
      <c r="H1595" s="562" t="e">
        <f t="shared" si="52"/>
        <v>#VALUE!</v>
      </c>
      <c r="I1595" s="276" t="e">
        <f t="shared" si="53"/>
        <v>#VALUE!</v>
      </c>
    </row>
    <row r="1596" spans="2:9">
      <c r="B1596">
        <v>1</v>
      </c>
      <c r="E1596" s="281" t="s">
        <v>851</v>
      </c>
      <c r="F1596" s="281" t="s">
        <v>2079</v>
      </c>
      <c r="G1596" s="562">
        <f t="shared" si="51"/>
        <v>0</v>
      </c>
      <c r="H1596" s="562" t="e">
        <f t="shared" si="52"/>
        <v>#VALUE!</v>
      </c>
      <c r="I1596" s="276" t="e">
        <f t="shared" si="53"/>
        <v>#VALUE!</v>
      </c>
    </row>
    <row r="1597" spans="2:9">
      <c r="B1597">
        <v>1</v>
      </c>
      <c r="E1597" s="281" t="s">
        <v>854</v>
      </c>
      <c r="F1597" s="281" t="s">
        <v>2080</v>
      </c>
      <c r="G1597" s="562">
        <f t="shared" si="51"/>
        <v>20061.82</v>
      </c>
      <c r="H1597" s="562" t="e">
        <f t="shared" si="52"/>
        <v>#VALUE!</v>
      </c>
      <c r="I1597" s="276" t="e">
        <f t="shared" si="53"/>
        <v>#VALUE!</v>
      </c>
    </row>
    <row r="1598" spans="2:9">
      <c r="B1598">
        <v>1</v>
      </c>
      <c r="E1598" s="281" t="s">
        <v>856</v>
      </c>
      <c r="F1598" s="281" t="s">
        <v>2081</v>
      </c>
      <c r="G1598" s="562">
        <f t="shared" si="51"/>
        <v>33474</v>
      </c>
      <c r="H1598" s="562" t="e">
        <f t="shared" si="52"/>
        <v>#VALUE!</v>
      </c>
      <c r="I1598" s="276" t="e">
        <f t="shared" si="53"/>
        <v>#VALUE!</v>
      </c>
    </row>
    <row r="1599" spans="2:9">
      <c r="B1599">
        <v>1</v>
      </c>
      <c r="E1599" s="281" t="s">
        <v>858</v>
      </c>
      <c r="F1599" s="281"/>
      <c r="G1599" s="562">
        <f t="shared" si="51"/>
        <v>0</v>
      </c>
      <c r="H1599" s="562" t="e">
        <f t="shared" si="52"/>
        <v>#VALUE!</v>
      </c>
      <c r="I1599" s="276" t="e">
        <f t="shared" si="53"/>
        <v>#VALUE!</v>
      </c>
    </row>
    <row r="1600" spans="2:9">
      <c r="B1600">
        <v>1</v>
      </c>
      <c r="E1600" s="281" t="s">
        <v>861</v>
      </c>
      <c r="F1600" s="281" t="s">
        <v>2082</v>
      </c>
      <c r="G1600" s="562">
        <f t="shared" si="51"/>
        <v>51777.94</v>
      </c>
      <c r="H1600" s="562" t="e">
        <f t="shared" si="52"/>
        <v>#VALUE!</v>
      </c>
      <c r="I1600" s="276" t="e">
        <f t="shared" si="53"/>
        <v>#VALUE!</v>
      </c>
    </row>
    <row r="1601" spans="2:9">
      <c r="B1601">
        <v>1</v>
      </c>
      <c r="E1601" s="281" t="s">
        <v>865</v>
      </c>
      <c r="F1601" s="281" t="s">
        <v>2083</v>
      </c>
      <c r="G1601" s="562">
        <f t="shared" si="51"/>
        <v>92085.57</v>
      </c>
      <c r="H1601" s="562" t="e">
        <f t="shared" si="52"/>
        <v>#VALUE!</v>
      </c>
      <c r="I1601" s="276" t="e">
        <f t="shared" si="53"/>
        <v>#VALUE!</v>
      </c>
    </row>
    <row r="1602" spans="2:9">
      <c r="B1602">
        <v>1</v>
      </c>
      <c r="E1602" s="281" t="s">
        <v>866</v>
      </c>
      <c r="F1602" s="281" t="s">
        <v>2084</v>
      </c>
      <c r="G1602" s="562">
        <f t="shared" si="51"/>
        <v>40307.629999999997</v>
      </c>
      <c r="H1602" s="562" t="e">
        <f t="shared" si="52"/>
        <v>#VALUE!</v>
      </c>
      <c r="I1602" s="276" t="e">
        <f t="shared" si="53"/>
        <v>#VALUE!</v>
      </c>
    </row>
    <row r="1603" spans="2:9">
      <c r="B1603">
        <v>1</v>
      </c>
      <c r="E1603" s="281" t="s">
        <v>868</v>
      </c>
      <c r="F1603" s="281" t="s">
        <v>2085</v>
      </c>
      <c r="G1603" s="562">
        <f t="shared" si="51"/>
        <v>40307.629999999997</v>
      </c>
      <c r="H1603" s="562" t="e">
        <f t="shared" si="52"/>
        <v>#VALUE!</v>
      </c>
      <c r="I1603" s="276" t="e">
        <f t="shared" si="53"/>
        <v>#VALUE!</v>
      </c>
    </row>
    <row r="1604" spans="2:9">
      <c r="B1604">
        <v>1</v>
      </c>
      <c r="E1604" s="281" t="s">
        <v>870</v>
      </c>
      <c r="F1604" s="281" t="s">
        <v>2086</v>
      </c>
      <c r="G1604" s="562">
        <f t="shared" si="51"/>
        <v>92085.57</v>
      </c>
      <c r="H1604" s="562" t="e">
        <f t="shared" si="52"/>
        <v>#VALUE!</v>
      </c>
      <c r="I1604" s="276" t="e">
        <f t="shared" si="53"/>
        <v>#VALUE!</v>
      </c>
    </row>
    <row r="1605" spans="2:9">
      <c r="B1605">
        <v>1</v>
      </c>
      <c r="E1605" s="281" t="s">
        <v>871</v>
      </c>
      <c r="F1605" s="281" t="s">
        <v>2087</v>
      </c>
      <c r="G1605" s="562">
        <f t="shared" si="51"/>
        <v>40307.629999999997</v>
      </c>
      <c r="H1605" s="562" t="e">
        <f t="shared" si="52"/>
        <v>#VALUE!</v>
      </c>
      <c r="I1605" s="276" t="e">
        <f t="shared" si="53"/>
        <v>#VALUE!</v>
      </c>
    </row>
    <row r="1606" spans="2:9">
      <c r="B1606">
        <v>1</v>
      </c>
      <c r="E1606" s="281" t="s">
        <v>1029</v>
      </c>
      <c r="F1606" s="281" t="s">
        <v>2088</v>
      </c>
      <c r="G1606" s="562">
        <f t="shared" si="51"/>
        <v>150000</v>
      </c>
      <c r="H1606" s="562" t="e">
        <f t="shared" si="52"/>
        <v>#VALUE!</v>
      </c>
      <c r="I1606" s="276" t="e">
        <f t="shared" si="53"/>
        <v>#VALUE!</v>
      </c>
    </row>
    <row r="1607" spans="2:9">
      <c r="B1607">
        <v>1</v>
      </c>
      <c r="E1607" s="281" t="s">
        <v>1032</v>
      </c>
      <c r="F1607" s="281" t="s">
        <v>2089</v>
      </c>
      <c r="G1607" s="562">
        <f t="shared" si="51"/>
        <v>10000</v>
      </c>
      <c r="H1607" s="562" t="e">
        <f t="shared" si="52"/>
        <v>#VALUE!</v>
      </c>
      <c r="I1607" s="276" t="e">
        <f t="shared" si="53"/>
        <v>#VALUE!</v>
      </c>
    </row>
    <row r="1608" spans="2:9">
      <c r="B1608">
        <v>1</v>
      </c>
      <c r="E1608" s="281" t="s">
        <v>1034</v>
      </c>
      <c r="F1608" s="281" t="s">
        <v>2090</v>
      </c>
      <c r="G1608" s="562">
        <f t="shared" si="51"/>
        <v>28636.36</v>
      </c>
      <c r="H1608" s="562" t="e">
        <f t="shared" si="52"/>
        <v>#VALUE!</v>
      </c>
      <c r="I1608" s="276" t="e">
        <f t="shared" si="53"/>
        <v>#VALUE!</v>
      </c>
    </row>
    <row r="1609" spans="2:9">
      <c r="B1609">
        <v>1</v>
      </c>
      <c r="E1609" s="281" t="s">
        <v>1046</v>
      </c>
      <c r="F1609" s="281" t="s">
        <v>2091</v>
      </c>
      <c r="G1609" s="562">
        <f t="shared" si="51"/>
        <v>2073.09</v>
      </c>
      <c r="H1609" s="562" t="e">
        <f t="shared" si="52"/>
        <v>#VALUE!</v>
      </c>
      <c r="I1609" s="276" t="e">
        <f t="shared" si="53"/>
        <v>#VALUE!</v>
      </c>
    </row>
    <row r="1610" spans="2:9">
      <c r="B1610">
        <v>1</v>
      </c>
      <c r="E1610" s="281" t="s">
        <v>1047</v>
      </c>
      <c r="F1610" s="281" t="s">
        <v>2092</v>
      </c>
      <c r="G1610" s="562">
        <f t="shared" si="51"/>
        <v>0</v>
      </c>
      <c r="H1610" s="562" t="e">
        <f t="shared" si="52"/>
        <v>#VALUE!</v>
      </c>
      <c r="I1610" s="276" t="e">
        <f t="shared" si="53"/>
        <v>#VALUE!</v>
      </c>
    </row>
    <row r="1611" spans="2:9">
      <c r="B1611">
        <v>1</v>
      </c>
      <c r="E1611" s="281" t="s">
        <v>1264</v>
      </c>
      <c r="F1611" s="281"/>
      <c r="G1611" s="562">
        <f t="shared" si="51"/>
        <v>17600</v>
      </c>
      <c r="H1611" s="562" t="e">
        <f t="shared" si="52"/>
        <v>#VALUE!</v>
      </c>
      <c r="I1611" s="276" t="e">
        <f t="shared" si="53"/>
        <v>#VALUE!</v>
      </c>
    </row>
    <row r="1612" spans="2:9">
      <c r="B1612">
        <v>1</v>
      </c>
      <c r="E1612" s="281" t="s">
        <v>1048</v>
      </c>
      <c r="F1612" s="281" t="s">
        <v>2093</v>
      </c>
      <c r="G1612" s="562">
        <f t="shared" si="51"/>
        <v>80000</v>
      </c>
      <c r="H1612" s="562" t="e">
        <f t="shared" si="52"/>
        <v>#VALUE!</v>
      </c>
      <c r="I1612" s="276" t="e">
        <f t="shared" si="53"/>
        <v>#VALUE!</v>
      </c>
    </row>
    <row r="1613" spans="2:9">
      <c r="B1613">
        <v>1</v>
      </c>
      <c r="E1613" s="281" t="s">
        <v>1049</v>
      </c>
      <c r="F1613" s="281" t="s">
        <v>2094</v>
      </c>
      <c r="G1613" s="562">
        <f t="shared" si="51"/>
        <v>750</v>
      </c>
      <c r="H1613" s="562" t="e">
        <f t="shared" si="52"/>
        <v>#VALUE!</v>
      </c>
      <c r="I1613" s="276" t="e">
        <f t="shared" si="53"/>
        <v>#VALUE!</v>
      </c>
    </row>
    <row r="1614" spans="2:9">
      <c r="B1614">
        <v>1</v>
      </c>
      <c r="E1614" s="281" t="s">
        <v>1050</v>
      </c>
      <c r="F1614" s="281" t="s">
        <v>2095</v>
      </c>
      <c r="G1614" s="562">
        <f t="shared" si="51"/>
        <v>750</v>
      </c>
      <c r="H1614" s="562" t="e">
        <f t="shared" si="52"/>
        <v>#VALUE!</v>
      </c>
      <c r="I1614" s="276" t="e">
        <f t="shared" si="53"/>
        <v>#VALUE!</v>
      </c>
    </row>
    <row r="1615" spans="2:9">
      <c r="B1615">
        <v>1</v>
      </c>
      <c r="E1615" s="281" t="s">
        <v>1051</v>
      </c>
      <c r="F1615" s="281" t="s">
        <v>2096</v>
      </c>
      <c r="G1615" s="562">
        <f t="shared" si="51"/>
        <v>750</v>
      </c>
      <c r="H1615" s="562" t="e">
        <f t="shared" si="52"/>
        <v>#VALUE!</v>
      </c>
      <c r="I1615" s="276" t="e">
        <f t="shared" si="53"/>
        <v>#VALUE!</v>
      </c>
    </row>
    <row r="1616" spans="2:9">
      <c r="B1616">
        <v>1</v>
      </c>
      <c r="E1616" s="281" t="s">
        <v>1052</v>
      </c>
      <c r="F1616" s="281" t="s">
        <v>2097</v>
      </c>
      <c r="G1616" s="562">
        <f t="shared" si="51"/>
        <v>97200</v>
      </c>
      <c r="H1616" s="562" t="e">
        <f t="shared" si="52"/>
        <v>#VALUE!</v>
      </c>
      <c r="I1616" s="276" t="e">
        <f t="shared" si="53"/>
        <v>#VALUE!</v>
      </c>
    </row>
    <row r="1617" spans="2:9">
      <c r="B1617">
        <v>1</v>
      </c>
      <c r="E1617" s="281" t="s">
        <v>1053</v>
      </c>
      <c r="F1617" s="281" t="s">
        <v>2098</v>
      </c>
      <c r="G1617" s="562">
        <f t="shared" si="51"/>
        <v>97200</v>
      </c>
      <c r="H1617" s="562" t="e">
        <f t="shared" si="52"/>
        <v>#VALUE!</v>
      </c>
      <c r="I1617" s="276" t="e">
        <f t="shared" si="53"/>
        <v>#VALUE!</v>
      </c>
    </row>
    <row r="1618" spans="2:9">
      <c r="B1618">
        <v>1</v>
      </c>
      <c r="E1618" s="281" t="s">
        <v>1054</v>
      </c>
      <c r="F1618" s="281" t="s">
        <v>2099</v>
      </c>
      <c r="G1618" s="562">
        <f t="shared" si="51"/>
        <v>97200</v>
      </c>
      <c r="H1618" s="562" t="e">
        <f t="shared" si="52"/>
        <v>#VALUE!</v>
      </c>
      <c r="I1618" s="276" t="e">
        <f t="shared" si="53"/>
        <v>#VALUE!</v>
      </c>
    </row>
    <row r="1619" spans="2:9">
      <c r="B1619">
        <v>1</v>
      </c>
      <c r="E1619" s="281" t="s">
        <v>1055</v>
      </c>
      <c r="F1619" s="281" t="s">
        <v>2100</v>
      </c>
      <c r="G1619" s="562">
        <f t="shared" si="51"/>
        <v>97200</v>
      </c>
      <c r="H1619" s="562" t="e">
        <f t="shared" si="52"/>
        <v>#VALUE!</v>
      </c>
      <c r="I1619" s="276" t="e">
        <f t="shared" si="53"/>
        <v>#VALUE!</v>
      </c>
    </row>
    <row r="1620" spans="2:9">
      <c r="B1620">
        <v>1</v>
      </c>
      <c r="E1620" s="281" t="s">
        <v>1056</v>
      </c>
      <c r="F1620" s="281" t="s">
        <v>2101</v>
      </c>
      <c r="G1620" s="562">
        <f t="shared" si="51"/>
        <v>97200</v>
      </c>
      <c r="H1620" s="562" t="e">
        <f t="shared" si="52"/>
        <v>#VALUE!</v>
      </c>
      <c r="I1620" s="276" t="e">
        <f t="shared" si="53"/>
        <v>#VALUE!</v>
      </c>
    </row>
    <row r="1621" spans="2:9">
      <c r="B1621">
        <v>1</v>
      </c>
      <c r="E1621" s="281" t="s">
        <v>1057</v>
      </c>
      <c r="F1621" s="281" t="s">
        <v>2102</v>
      </c>
      <c r="G1621" s="562">
        <f t="shared" si="51"/>
        <v>62500</v>
      </c>
      <c r="H1621" s="562" t="e">
        <f t="shared" si="52"/>
        <v>#VALUE!</v>
      </c>
      <c r="I1621" s="276" t="e">
        <f t="shared" si="53"/>
        <v>#VALUE!</v>
      </c>
    </row>
    <row r="1622" spans="2:9">
      <c r="B1622">
        <v>1</v>
      </c>
      <c r="E1622" s="281" t="s">
        <v>1058</v>
      </c>
      <c r="F1622" s="281" t="s">
        <v>2103</v>
      </c>
      <c r="G1622" s="562">
        <f t="shared" si="51"/>
        <v>50000</v>
      </c>
      <c r="H1622" s="562" t="e">
        <f t="shared" si="52"/>
        <v>#VALUE!</v>
      </c>
      <c r="I1622" s="276" t="e">
        <f t="shared" si="53"/>
        <v>#VALUE!</v>
      </c>
    </row>
    <row r="1623" spans="2:9">
      <c r="B1623">
        <v>1</v>
      </c>
      <c r="E1623" s="281" t="s">
        <v>1059</v>
      </c>
      <c r="F1623" s="281" t="s">
        <v>2104</v>
      </c>
      <c r="G1623" s="562">
        <f t="shared" si="51"/>
        <v>50000</v>
      </c>
      <c r="H1623" s="562" t="e">
        <f t="shared" si="52"/>
        <v>#VALUE!</v>
      </c>
      <c r="I1623" s="276" t="e">
        <f t="shared" si="53"/>
        <v>#VALUE!</v>
      </c>
    </row>
    <row r="1624" spans="2:9">
      <c r="B1624">
        <v>1</v>
      </c>
      <c r="E1624" s="281" t="s">
        <v>1060</v>
      </c>
      <c r="F1624" s="281" t="s">
        <v>2105</v>
      </c>
      <c r="G1624" s="562">
        <f t="shared" si="51"/>
        <v>50000</v>
      </c>
      <c r="H1624" s="562" t="e">
        <f t="shared" si="52"/>
        <v>#VALUE!</v>
      </c>
      <c r="I1624" s="276" t="e">
        <f t="shared" si="53"/>
        <v>#VALUE!</v>
      </c>
    </row>
    <row r="1625" spans="2:9">
      <c r="B1625">
        <v>1</v>
      </c>
      <c r="E1625" s="281" t="s">
        <v>1061</v>
      </c>
      <c r="F1625" s="281" t="s">
        <v>2106</v>
      </c>
      <c r="G1625" s="562">
        <f t="shared" si="51"/>
        <v>50000</v>
      </c>
      <c r="H1625" s="562" t="e">
        <f t="shared" si="52"/>
        <v>#VALUE!</v>
      </c>
      <c r="I1625" s="276" t="e">
        <f t="shared" si="53"/>
        <v>#VALUE!</v>
      </c>
    </row>
    <row r="1626" spans="2:9">
      <c r="B1626">
        <v>1</v>
      </c>
      <c r="E1626" s="281" t="s">
        <v>1063</v>
      </c>
      <c r="F1626" s="281" t="s">
        <v>2107</v>
      </c>
      <c r="G1626" s="562">
        <f t="shared" si="51"/>
        <v>4734.25</v>
      </c>
      <c r="H1626" s="562" t="e">
        <f t="shared" si="52"/>
        <v>#VALUE!</v>
      </c>
      <c r="I1626" s="276" t="e">
        <f t="shared" si="53"/>
        <v>#VALUE!</v>
      </c>
    </row>
    <row r="1627" spans="2:9">
      <c r="B1627">
        <v>1</v>
      </c>
      <c r="E1627" s="281" t="s">
        <v>1077</v>
      </c>
      <c r="F1627" s="281" t="s">
        <v>2108</v>
      </c>
      <c r="G1627" s="562">
        <f t="shared" si="51"/>
        <v>1350</v>
      </c>
      <c r="H1627" s="562" t="e">
        <f t="shared" si="52"/>
        <v>#VALUE!</v>
      </c>
      <c r="I1627" s="276" t="e">
        <f t="shared" si="53"/>
        <v>#VALUE!</v>
      </c>
    </row>
    <row r="1628" spans="2:9">
      <c r="B1628">
        <v>1</v>
      </c>
      <c r="E1628" s="281" t="s">
        <v>1078</v>
      </c>
      <c r="F1628" s="281" t="s">
        <v>2109</v>
      </c>
      <c r="G1628" s="562">
        <f t="shared" si="51"/>
        <v>528841.48</v>
      </c>
      <c r="H1628" s="562" t="e">
        <f t="shared" si="52"/>
        <v>#VALUE!</v>
      </c>
      <c r="I1628" s="276" t="e">
        <f t="shared" si="53"/>
        <v>#VALUE!</v>
      </c>
    </row>
    <row r="1629" spans="2:9">
      <c r="B1629">
        <v>1</v>
      </c>
      <c r="E1629" s="281" t="s">
        <v>1079</v>
      </c>
      <c r="F1629" s="281" t="s">
        <v>2110</v>
      </c>
      <c r="G1629" s="562">
        <f t="shared" si="51"/>
        <v>241528.69</v>
      </c>
      <c r="H1629" s="562" t="e">
        <f t="shared" si="52"/>
        <v>#VALUE!</v>
      </c>
      <c r="I1629" s="276" t="e">
        <f t="shared" si="53"/>
        <v>#VALUE!</v>
      </c>
    </row>
    <row r="1630" spans="2:9">
      <c r="B1630">
        <v>1</v>
      </c>
      <c r="E1630" s="281" t="s">
        <v>1080</v>
      </c>
      <c r="F1630" s="281" t="s">
        <v>2111</v>
      </c>
      <c r="G1630" s="562">
        <f t="shared" si="51"/>
        <v>337586.4</v>
      </c>
      <c r="H1630" s="562" t="e">
        <f t="shared" si="52"/>
        <v>#VALUE!</v>
      </c>
      <c r="I1630" s="276" t="e">
        <f t="shared" si="53"/>
        <v>#VALUE!</v>
      </c>
    </row>
    <row r="1631" spans="2:9">
      <c r="B1631">
        <v>1</v>
      </c>
      <c r="E1631" s="281" t="s">
        <v>1081</v>
      </c>
      <c r="F1631" s="281" t="s">
        <v>2112</v>
      </c>
      <c r="G1631" s="562">
        <f t="shared" si="51"/>
        <v>355426.3600000001</v>
      </c>
      <c r="H1631" s="562" t="e">
        <f t="shared" si="52"/>
        <v>#VALUE!</v>
      </c>
      <c r="I1631" s="276" t="e">
        <f t="shared" si="53"/>
        <v>#VALUE!</v>
      </c>
    </row>
    <row r="1632" spans="2:9">
      <c r="B1632">
        <v>1</v>
      </c>
      <c r="E1632" s="281" t="s">
        <v>1082</v>
      </c>
      <c r="F1632" s="281" t="s">
        <v>2113</v>
      </c>
      <c r="G1632" s="562">
        <f t="shared" si="51"/>
        <v>230967.52</v>
      </c>
      <c r="H1632" s="562" t="e">
        <f t="shared" si="52"/>
        <v>#VALUE!</v>
      </c>
      <c r="I1632" s="276" t="e">
        <f t="shared" si="53"/>
        <v>#VALUE!</v>
      </c>
    </row>
    <row r="1633" spans="2:9">
      <c r="B1633">
        <v>1</v>
      </c>
      <c r="E1633" s="281" t="s">
        <v>1083</v>
      </c>
      <c r="F1633" s="281" t="s">
        <v>2114</v>
      </c>
      <c r="G1633" s="562">
        <f t="shared" si="51"/>
        <v>65016.91</v>
      </c>
      <c r="H1633" s="562" t="e">
        <f t="shared" si="52"/>
        <v>#VALUE!</v>
      </c>
      <c r="I1633" s="276" t="e">
        <f t="shared" si="53"/>
        <v>#VALUE!</v>
      </c>
    </row>
    <row r="1634" spans="2:9">
      <c r="B1634">
        <v>1</v>
      </c>
      <c r="E1634" s="281" t="s">
        <v>1084</v>
      </c>
      <c r="F1634" s="281" t="s">
        <v>2115</v>
      </c>
      <c r="G1634" s="562">
        <f t="shared" ref="G1634:G1697" si="54">SUMIFS(J:J,C:C,E1634)</f>
        <v>16881.330000000002</v>
      </c>
      <c r="H1634" s="562" t="e">
        <f t="shared" ref="H1634:H1697" si="55">SUMIFS(M:M,S:S,F1634)</f>
        <v>#VALUE!</v>
      </c>
      <c r="I1634" s="276" t="e">
        <f t="shared" ref="I1634:I1697" si="56">G1634-H1634</f>
        <v>#VALUE!</v>
      </c>
    </row>
    <row r="1635" spans="2:9">
      <c r="B1635">
        <v>1</v>
      </c>
      <c r="E1635" s="281" t="s">
        <v>1085</v>
      </c>
      <c r="F1635" s="281" t="s">
        <v>2116</v>
      </c>
      <c r="G1635" s="562">
        <f t="shared" si="54"/>
        <v>4194.7300000000005</v>
      </c>
      <c r="H1635" s="562" t="e">
        <f t="shared" si="55"/>
        <v>#VALUE!</v>
      </c>
      <c r="I1635" s="276" t="e">
        <f t="shared" si="56"/>
        <v>#VALUE!</v>
      </c>
    </row>
    <row r="1636" spans="2:9">
      <c r="B1636">
        <v>1</v>
      </c>
      <c r="E1636" s="281" t="s">
        <v>1087</v>
      </c>
      <c r="F1636" s="281" t="s">
        <v>2117</v>
      </c>
      <c r="G1636" s="562">
        <f t="shared" si="54"/>
        <v>36158</v>
      </c>
      <c r="H1636" s="562" t="e">
        <f t="shared" si="55"/>
        <v>#VALUE!</v>
      </c>
      <c r="I1636" s="276" t="e">
        <f t="shared" si="56"/>
        <v>#VALUE!</v>
      </c>
    </row>
    <row r="1637" spans="2:9">
      <c r="B1637">
        <v>1</v>
      </c>
      <c r="E1637" s="281" t="s">
        <v>1088</v>
      </c>
      <c r="F1637" s="281" t="s">
        <v>2118</v>
      </c>
      <c r="G1637" s="562">
        <f t="shared" si="54"/>
        <v>1046300</v>
      </c>
      <c r="H1637" s="562" t="e">
        <f t="shared" si="55"/>
        <v>#VALUE!</v>
      </c>
      <c r="I1637" s="276" t="e">
        <f t="shared" si="56"/>
        <v>#VALUE!</v>
      </c>
    </row>
    <row r="1638" spans="2:9">
      <c r="B1638">
        <v>1</v>
      </c>
      <c r="E1638" s="281" t="s">
        <v>1090</v>
      </c>
      <c r="F1638" s="281" t="s">
        <v>2119</v>
      </c>
      <c r="G1638" s="562">
        <f t="shared" si="54"/>
        <v>535050</v>
      </c>
      <c r="H1638" s="562" t="e">
        <f t="shared" si="55"/>
        <v>#VALUE!</v>
      </c>
      <c r="I1638" s="276" t="e">
        <f t="shared" si="56"/>
        <v>#VALUE!</v>
      </c>
    </row>
    <row r="1639" spans="2:9">
      <c r="B1639">
        <v>1</v>
      </c>
      <c r="E1639" s="281" t="s">
        <v>1091</v>
      </c>
      <c r="F1639" s="281" t="s">
        <v>2120</v>
      </c>
      <c r="G1639" s="562">
        <f t="shared" si="54"/>
        <v>963500</v>
      </c>
      <c r="H1639" s="562" t="e">
        <f t="shared" si="55"/>
        <v>#VALUE!</v>
      </c>
      <c r="I1639" s="276" t="e">
        <f t="shared" si="56"/>
        <v>#VALUE!</v>
      </c>
    </row>
    <row r="1640" spans="2:9">
      <c r="B1640">
        <v>1</v>
      </c>
      <c r="E1640" s="281" t="s">
        <v>1092</v>
      </c>
      <c r="F1640" s="281" t="s">
        <v>2121</v>
      </c>
      <c r="G1640" s="562">
        <f t="shared" si="54"/>
        <v>870350</v>
      </c>
      <c r="H1640" s="562" t="e">
        <f t="shared" si="55"/>
        <v>#VALUE!</v>
      </c>
      <c r="I1640" s="276" t="e">
        <f t="shared" si="56"/>
        <v>#VALUE!</v>
      </c>
    </row>
    <row r="1641" spans="2:9">
      <c r="B1641">
        <v>1</v>
      </c>
      <c r="E1641" s="281" t="s">
        <v>1093</v>
      </c>
      <c r="F1641" s="281" t="s">
        <v>2122</v>
      </c>
      <c r="G1641" s="562">
        <f t="shared" si="54"/>
        <v>815900</v>
      </c>
      <c r="H1641" s="562" t="e">
        <f t="shared" si="55"/>
        <v>#VALUE!</v>
      </c>
      <c r="I1641" s="276" t="e">
        <f t="shared" si="56"/>
        <v>#VALUE!</v>
      </c>
    </row>
    <row r="1642" spans="2:9">
      <c r="B1642">
        <v>1</v>
      </c>
      <c r="E1642" s="281" t="s">
        <v>1094</v>
      </c>
      <c r="F1642" s="281" t="s">
        <v>2123</v>
      </c>
      <c r="G1642" s="562">
        <f t="shared" si="54"/>
        <v>62014.22</v>
      </c>
      <c r="H1642" s="562" t="e">
        <f t="shared" si="55"/>
        <v>#VALUE!</v>
      </c>
      <c r="I1642" s="276" t="e">
        <f t="shared" si="56"/>
        <v>#VALUE!</v>
      </c>
    </row>
    <row r="1643" spans="2:9">
      <c r="B1643">
        <v>1</v>
      </c>
      <c r="E1643" s="281" t="s">
        <v>1096</v>
      </c>
      <c r="F1643" s="281" t="s">
        <v>2124</v>
      </c>
      <c r="G1643" s="562">
        <f t="shared" si="54"/>
        <v>17167.73</v>
      </c>
      <c r="H1643" s="562" t="e">
        <f t="shared" si="55"/>
        <v>#VALUE!</v>
      </c>
      <c r="I1643" s="276" t="e">
        <f t="shared" si="56"/>
        <v>#VALUE!</v>
      </c>
    </row>
    <row r="1644" spans="2:9">
      <c r="B1644">
        <v>1</v>
      </c>
      <c r="E1644" s="281" t="s">
        <v>1097</v>
      </c>
      <c r="F1644" s="281" t="s">
        <v>2125</v>
      </c>
      <c r="G1644" s="562">
        <f t="shared" si="54"/>
        <v>17698.68</v>
      </c>
      <c r="H1644" s="562" t="e">
        <f t="shared" si="55"/>
        <v>#VALUE!</v>
      </c>
      <c r="I1644" s="276" t="e">
        <f t="shared" si="56"/>
        <v>#VALUE!</v>
      </c>
    </row>
    <row r="1645" spans="2:9">
      <c r="B1645">
        <v>1</v>
      </c>
      <c r="E1645" s="281" t="s">
        <v>1098</v>
      </c>
      <c r="F1645" s="281" t="s">
        <v>2126</v>
      </c>
      <c r="G1645" s="562">
        <f t="shared" si="54"/>
        <v>18167.440000000002</v>
      </c>
      <c r="H1645" s="562" t="e">
        <f t="shared" si="55"/>
        <v>#VALUE!</v>
      </c>
      <c r="I1645" s="276" t="e">
        <f t="shared" si="56"/>
        <v>#VALUE!</v>
      </c>
    </row>
    <row r="1646" spans="2:9">
      <c r="B1646">
        <v>1</v>
      </c>
      <c r="E1646" s="281" t="s">
        <v>1099</v>
      </c>
      <c r="F1646" s="281" t="s">
        <v>2127</v>
      </c>
      <c r="G1646" s="562">
        <f t="shared" si="54"/>
        <v>21594.01</v>
      </c>
      <c r="H1646" s="562" t="e">
        <f t="shared" si="55"/>
        <v>#VALUE!</v>
      </c>
      <c r="I1646" s="276" t="e">
        <f t="shared" si="56"/>
        <v>#VALUE!</v>
      </c>
    </row>
    <row r="1647" spans="2:9">
      <c r="B1647">
        <v>1</v>
      </c>
      <c r="E1647" s="281" t="s">
        <v>1100</v>
      </c>
      <c r="F1647" s="281" t="s">
        <v>2128</v>
      </c>
      <c r="G1647" s="562">
        <f t="shared" si="54"/>
        <v>12904.51</v>
      </c>
      <c r="H1647" s="562" t="e">
        <f t="shared" si="55"/>
        <v>#VALUE!</v>
      </c>
      <c r="I1647" s="276" t="e">
        <f t="shared" si="56"/>
        <v>#VALUE!</v>
      </c>
    </row>
    <row r="1648" spans="2:9">
      <c r="B1648">
        <v>1</v>
      </c>
      <c r="E1648" s="281" t="s">
        <v>1101</v>
      </c>
      <c r="F1648" s="281" t="s">
        <v>2129</v>
      </c>
      <c r="G1648" s="562">
        <f t="shared" si="54"/>
        <v>1200</v>
      </c>
      <c r="H1648" s="562" t="e">
        <f t="shared" si="55"/>
        <v>#VALUE!</v>
      </c>
      <c r="I1648" s="276" t="e">
        <f t="shared" si="56"/>
        <v>#VALUE!</v>
      </c>
    </row>
    <row r="1649" spans="2:9">
      <c r="B1649">
        <v>1</v>
      </c>
      <c r="E1649" s="281" t="s">
        <v>1104</v>
      </c>
      <c r="F1649" s="281" t="s">
        <v>2130</v>
      </c>
      <c r="G1649" s="562">
        <f t="shared" si="54"/>
        <v>8885.08</v>
      </c>
      <c r="H1649" s="562" t="e">
        <f t="shared" si="55"/>
        <v>#VALUE!</v>
      </c>
      <c r="I1649" s="276" t="e">
        <f t="shared" si="56"/>
        <v>#VALUE!</v>
      </c>
    </row>
    <row r="1650" spans="2:9">
      <c r="B1650">
        <v>1</v>
      </c>
      <c r="E1650" s="281" t="s">
        <v>1107</v>
      </c>
      <c r="F1650" s="281" t="s">
        <v>2131</v>
      </c>
      <c r="G1650" s="562">
        <f t="shared" si="54"/>
        <v>10600</v>
      </c>
      <c r="H1650" s="562" t="e">
        <f t="shared" si="55"/>
        <v>#VALUE!</v>
      </c>
      <c r="I1650" s="276" t="e">
        <f t="shared" si="56"/>
        <v>#VALUE!</v>
      </c>
    </row>
    <row r="1651" spans="2:9">
      <c r="B1651">
        <v>1</v>
      </c>
      <c r="E1651" s="281" t="s">
        <v>1110</v>
      </c>
      <c r="F1651" s="281" t="s">
        <v>2132</v>
      </c>
      <c r="G1651" s="562">
        <f t="shared" si="54"/>
        <v>2400</v>
      </c>
      <c r="H1651" s="562" t="e">
        <f t="shared" si="55"/>
        <v>#VALUE!</v>
      </c>
      <c r="I1651" s="276" t="e">
        <f t="shared" si="56"/>
        <v>#VALUE!</v>
      </c>
    </row>
    <row r="1652" spans="2:9">
      <c r="B1652">
        <v>1</v>
      </c>
      <c r="E1652" s="281" t="s">
        <v>1112</v>
      </c>
      <c r="F1652" s="281" t="s">
        <v>2133</v>
      </c>
      <c r="G1652" s="562">
        <f t="shared" si="54"/>
        <v>2049964.0999999999</v>
      </c>
      <c r="H1652" s="562" t="e">
        <f t="shared" si="55"/>
        <v>#VALUE!</v>
      </c>
      <c r="I1652" s="276" t="e">
        <f t="shared" si="56"/>
        <v>#VALUE!</v>
      </c>
    </row>
    <row r="1653" spans="2:9">
      <c r="B1653">
        <v>1</v>
      </c>
      <c r="E1653" s="281" t="s">
        <v>1114</v>
      </c>
      <c r="F1653" s="281" t="s">
        <v>2134</v>
      </c>
      <c r="G1653" s="562">
        <f t="shared" si="54"/>
        <v>429402.37</v>
      </c>
      <c r="H1653" s="562" t="e">
        <f t="shared" si="55"/>
        <v>#VALUE!</v>
      </c>
      <c r="I1653" s="276" t="e">
        <f t="shared" si="56"/>
        <v>#VALUE!</v>
      </c>
    </row>
    <row r="1654" spans="2:9">
      <c r="B1654">
        <v>1</v>
      </c>
      <c r="E1654" s="281" t="s">
        <v>1115</v>
      </c>
      <c r="F1654" s="281" t="s">
        <v>2135</v>
      </c>
      <c r="G1654" s="562">
        <f t="shared" si="54"/>
        <v>389716.8</v>
      </c>
      <c r="H1654" s="562" t="e">
        <f t="shared" si="55"/>
        <v>#VALUE!</v>
      </c>
      <c r="I1654" s="276" t="e">
        <f t="shared" si="56"/>
        <v>#VALUE!</v>
      </c>
    </row>
    <row r="1655" spans="2:9">
      <c r="B1655">
        <v>1</v>
      </c>
      <c r="E1655" s="281" t="s">
        <v>1116</v>
      </c>
      <c r="F1655" s="281" t="s">
        <v>2136</v>
      </c>
      <c r="G1655" s="562">
        <f t="shared" si="54"/>
        <v>457.27</v>
      </c>
      <c r="H1655" s="562" t="e">
        <f t="shared" si="55"/>
        <v>#VALUE!</v>
      </c>
      <c r="I1655" s="276" t="e">
        <f t="shared" si="56"/>
        <v>#VALUE!</v>
      </c>
    </row>
    <row r="1656" spans="2:9">
      <c r="B1656">
        <v>1</v>
      </c>
      <c r="E1656" s="281" t="s">
        <v>1118</v>
      </c>
      <c r="F1656" s="281" t="s">
        <v>2137</v>
      </c>
      <c r="G1656" s="562">
        <f t="shared" si="54"/>
        <v>258.18</v>
      </c>
      <c r="H1656" s="562" t="e">
        <f t="shared" si="55"/>
        <v>#VALUE!</v>
      </c>
      <c r="I1656" s="276" t="e">
        <f t="shared" si="56"/>
        <v>#VALUE!</v>
      </c>
    </row>
    <row r="1657" spans="2:9">
      <c r="B1657">
        <v>1</v>
      </c>
      <c r="E1657" s="281" t="s">
        <v>1120</v>
      </c>
      <c r="F1657" s="281" t="s">
        <v>2138</v>
      </c>
      <c r="G1657" s="562">
        <f t="shared" si="54"/>
        <v>614.54999999999995</v>
      </c>
      <c r="H1657" s="562" t="e">
        <f t="shared" si="55"/>
        <v>#VALUE!</v>
      </c>
      <c r="I1657" s="276" t="e">
        <f t="shared" si="56"/>
        <v>#VALUE!</v>
      </c>
    </row>
    <row r="1658" spans="2:9">
      <c r="B1658">
        <v>1</v>
      </c>
      <c r="E1658" s="281" t="s">
        <v>1122</v>
      </c>
      <c r="F1658" s="281" t="s">
        <v>2139</v>
      </c>
      <c r="G1658" s="562">
        <f t="shared" si="54"/>
        <v>105049.54</v>
      </c>
      <c r="H1658" s="562" t="e">
        <f t="shared" si="55"/>
        <v>#VALUE!</v>
      </c>
      <c r="I1658" s="276" t="e">
        <f t="shared" si="56"/>
        <v>#VALUE!</v>
      </c>
    </row>
    <row r="1659" spans="2:9">
      <c r="B1659">
        <v>1</v>
      </c>
      <c r="E1659" s="281" t="s">
        <v>1124</v>
      </c>
      <c r="F1659" s="281" t="s">
        <v>2140</v>
      </c>
      <c r="G1659" s="562">
        <f t="shared" si="54"/>
        <v>40307.629999999997</v>
      </c>
      <c r="H1659" s="562" t="e">
        <f t="shared" si="55"/>
        <v>#VALUE!</v>
      </c>
      <c r="I1659" s="276" t="e">
        <f t="shared" si="56"/>
        <v>#VALUE!</v>
      </c>
    </row>
    <row r="1660" spans="2:9">
      <c r="B1660">
        <v>1</v>
      </c>
      <c r="E1660" s="281" t="s">
        <v>1126</v>
      </c>
      <c r="F1660" s="281" t="s">
        <v>2141</v>
      </c>
      <c r="G1660" s="562">
        <f t="shared" si="54"/>
        <v>51777.93</v>
      </c>
      <c r="H1660" s="562" t="e">
        <f t="shared" si="55"/>
        <v>#VALUE!</v>
      </c>
      <c r="I1660" s="276" t="e">
        <f t="shared" si="56"/>
        <v>#VALUE!</v>
      </c>
    </row>
    <row r="1661" spans="2:9">
      <c r="B1661">
        <v>1</v>
      </c>
      <c r="E1661" s="281" t="s">
        <v>1127</v>
      </c>
      <c r="F1661" s="281"/>
      <c r="G1661" s="562">
        <f t="shared" si="54"/>
        <v>0</v>
      </c>
      <c r="H1661" s="562" t="e">
        <f t="shared" si="55"/>
        <v>#VALUE!</v>
      </c>
      <c r="I1661" s="276" t="e">
        <f t="shared" si="56"/>
        <v>#VALUE!</v>
      </c>
    </row>
    <row r="1662" spans="2:9">
      <c r="B1662">
        <v>1</v>
      </c>
      <c r="E1662" s="281" t="s">
        <v>1130</v>
      </c>
      <c r="F1662" s="281" t="s">
        <v>2142</v>
      </c>
      <c r="G1662" s="562">
        <f t="shared" si="54"/>
        <v>25000</v>
      </c>
      <c r="H1662" s="562" t="e">
        <f t="shared" si="55"/>
        <v>#VALUE!</v>
      </c>
      <c r="I1662" s="276" t="e">
        <f t="shared" si="56"/>
        <v>#VALUE!</v>
      </c>
    </row>
    <row r="1663" spans="2:9">
      <c r="B1663">
        <v>1</v>
      </c>
      <c r="E1663" s="281" t="s">
        <v>1133</v>
      </c>
      <c r="F1663" s="281" t="s">
        <v>2143</v>
      </c>
      <c r="G1663" s="562">
        <f t="shared" si="54"/>
        <v>1990</v>
      </c>
      <c r="H1663" s="562" t="e">
        <f t="shared" si="55"/>
        <v>#VALUE!</v>
      </c>
      <c r="I1663" s="276" t="e">
        <f t="shared" si="56"/>
        <v>#VALUE!</v>
      </c>
    </row>
    <row r="1664" spans="2:9">
      <c r="B1664">
        <v>1</v>
      </c>
      <c r="E1664" s="281" t="s">
        <v>1136</v>
      </c>
      <c r="F1664" s="281" t="s">
        <v>2144</v>
      </c>
      <c r="G1664" s="562">
        <f t="shared" si="54"/>
        <v>170501.47</v>
      </c>
      <c r="H1664" s="562" t="e">
        <f t="shared" si="55"/>
        <v>#VALUE!</v>
      </c>
      <c r="I1664" s="276" t="e">
        <f t="shared" si="56"/>
        <v>#VALUE!</v>
      </c>
    </row>
    <row r="1665" spans="2:9">
      <c r="B1665">
        <v>1</v>
      </c>
      <c r="E1665" s="281" t="s">
        <v>1138</v>
      </c>
      <c r="F1665" s="281" t="s">
        <v>2145</v>
      </c>
      <c r="G1665" s="562">
        <f t="shared" si="54"/>
        <v>0</v>
      </c>
      <c r="H1665" s="562" t="e">
        <f t="shared" si="55"/>
        <v>#VALUE!</v>
      </c>
      <c r="I1665" s="276" t="e">
        <f t="shared" si="56"/>
        <v>#VALUE!</v>
      </c>
    </row>
    <row r="1666" spans="2:9">
      <c r="B1666">
        <v>1</v>
      </c>
      <c r="E1666" s="281" t="s">
        <v>1140</v>
      </c>
      <c r="F1666" s="281" t="s">
        <v>2146</v>
      </c>
      <c r="G1666" s="562">
        <f t="shared" si="54"/>
        <v>640000</v>
      </c>
      <c r="H1666" s="562" t="e">
        <f t="shared" si="55"/>
        <v>#VALUE!</v>
      </c>
      <c r="I1666" s="276" t="e">
        <f t="shared" si="56"/>
        <v>#VALUE!</v>
      </c>
    </row>
    <row r="1667" spans="2:9">
      <c r="B1667">
        <v>1</v>
      </c>
      <c r="E1667" s="281" t="s">
        <v>1141</v>
      </c>
      <c r="F1667" s="281" t="s">
        <v>2147</v>
      </c>
      <c r="G1667" s="562">
        <f t="shared" si="54"/>
        <v>0</v>
      </c>
      <c r="H1667" s="562" t="e">
        <f t="shared" si="55"/>
        <v>#VALUE!</v>
      </c>
      <c r="I1667" s="276" t="e">
        <f t="shared" si="56"/>
        <v>#VALUE!</v>
      </c>
    </row>
    <row r="1668" spans="2:9">
      <c r="B1668">
        <v>1</v>
      </c>
      <c r="E1668" s="281" t="s">
        <v>1142</v>
      </c>
      <c r="F1668" s="281" t="s">
        <v>2148</v>
      </c>
      <c r="G1668" s="562">
        <f t="shared" si="54"/>
        <v>0</v>
      </c>
      <c r="H1668" s="562" t="e">
        <f t="shared" si="55"/>
        <v>#VALUE!</v>
      </c>
      <c r="I1668" s="276" t="e">
        <f t="shared" si="56"/>
        <v>#VALUE!</v>
      </c>
    </row>
    <row r="1669" spans="2:9">
      <c r="B1669">
        <v>1</v>
      </c>
      <c r="E1669" s="281" t="s">
        <v>1143</v>
      </c>
      <c r="F1669" s="281" t="s">
        <v>2149</v>
      </c>
      <c r="G1669" s="562">
        <f t="shared" si="54"/>
        <v>0</v>
      </c>
      <c r="H1669" s="562" t="e">
        <f t="shared" si="55"/>
        <v>#VALUE!</v>
      </c>
      <c r="I1669" s="276" t="e">
        <f t="shared" si="56"/>
        <v>#VALUE!</v>
      </c>
    </row>
    <row r="1670" spans="2:9">
      <c r="B1670">
        <v>1</v>
      </c>
      <c r="E1670" s="281" t="s">
        <v>1144</v>
      </c>
      <c r="F1670" s="281"/>
      <c r="G1670" s="562">
        <f t="shared" si="54"/>
        <v>0</v>
      </c>
      <c r="H1670" s="562" t="e">
        <f t="shared" si="55"/>
        <v>#VALUE!</v>
      </c>
      <c r="I1670" s="276" t="e">
        <f t="shared" si="56"/>
        <v>#VALUE!</v>
      </c>
    </row>
    <row r="1671" spans="2:9">
      <c r="B1671">
        <v>1</v>
      </c>
      <c r="E1671" s="281" t="s">
        <v>1146</v>
      </c>
      <c r="F1671" s="281"/>
      <c r="G1671" s="562">
        <f t="shared" si="54"/>
        <v>0</v>
      </c>
      <c r="H1671" s="562" t="e">
        <f t="shared" si="55"/>
        <v>#VALUE!</v>
      </c>
      <c r="I1671" s="276" t="e">
        <f t="shared" si="56"/>
        <v>#VALUE!</v>
      </c>
    </row>
    <row r="1672" spans="2:9">
      <c r="B1672">
        <v>1</v>
      </c>
      <c r="E1672" s="281" t="s">
        <v>1147</v>
      </c>
      <c r="F1672" s="281" t="s">
        <v>2150</v>
      </c>
      <c r="G1672" s="562">
        <f t="shared" si="54"/>
        <v>80335.709999999992</v>
      </c>
      <c r="H1672" s="562" t="e">
        <f t="shared" si="55"/>
        <v>#VALUE!</v>
      </c>
      <c r="I1672" s="276" t="e">
        <f t="shared" si="56"/>
        <v>#VALUE!</v>
      </c>
    </row>
    <row r="1673" spans="2:9">
      <c r="B1673">
        <v>1</v>
      </c>
      <c r="E1673" s="281" t="s">
        <v>1148</v>
      </c>
      <c r="F1673" s="281"/>
      <c r="G1673" s="562">
        <f t="shared" si="54"/>
        <v>0</v>
      </c>
      <c r="H1673" s="562" t="e">
        <f t="shared" si="55"/>
        <v>#VALUE!</v>
      </c>
      <c r="I1673" s="276" t="e">
        <f t="shared" si="56"/>
        <v>#VALUE!</v>
      </c>
    </row>
    <row r="1674" spans="2:9">
      <c r="B1674">
        <v>1</v>
      </c>
      <c r="E1674" s="281" t="s">
        <v>1149</v>
      </c>
      <c r="F1674" s="281"/>
      <c r="G1674" s="562">
        <f t="shared" si="54"/>
        <v>0</v>
      </c>
      <c r="H1674" s="562" t="e">
        <f t="shared" si="55"/>
        <v>#VALUE!</v>
      </c>
      <c r="I1674" s="276" t="e">
        <f t="shared" si="56"/>
        <v>#VALUE!</v>
      </c>
    </row>
    <row r="1675" spans="2:9">
      <c r="B1675">
        <v>1</v>
      </c>
      <c r="E1675" s="281" t="s">
        <v>1151</v>
      </c>
      <c r="F1675" s="281"/>
      <c r="G1675" s="562">
        <f t="shared" si="54"/>
        <v>0</v>
      </c>
      <c r="H1675" s="562" t="e">
        <f t="shared" si="55"/>
        <v>#VALUE!</v>
      </c>
      <c r="I1675" s="276" t="e">
        <f t="shared" si="56"/>
        <v>#VALUE!</v>
      </c>
    </row>
    <row r="1676" spans="2:9">
      <c r="B1676">
        <v>1</v>
      </c>
      <c r="E1676" s="281" t="s">
        <v>1152</v>
      </c>
      <c r="F1676" s="281" t="s">
        <v>2151</v>
      </c>
      <c r="G1676" s="562">
        <f t="shared" si="54"/>
        <v>31356</v>
      </c>
      <c r="H1676" s="562" t="e">
        <f t="shared" si="55"/>
        <v>#VALUE!</v>
      </c>
      <c r="I1676" s="276" t="e">
        <f t="shared" si="56"/>
        <v>#VALUE!</v>
      </c>
    </row>
    <row r="1677" spans="2:9">
      <c r="B1677">
        <v>1</v>
      </c>
      <c r="E1677" s="281" t="s">
        <v>1153</v>
      </c>
      <c r="F1677" s="281"/>
      <c r="G1677" s="562">
        <f t="shared" si="54"/>
        <v>0</v>
      </c>
      <c r="H1677" s="562" t="e">
        <f t="shared" si="55"/>
        <v>#VALUE!</v>
      </c>
      <c r="I1677" s="276" t="e">
        <f t="shared" si="56"/>
        <v>#VALUE!</v>
      </c>
    </row>
    <row r="1678" spans="2:9">
      <c r="B1678">
        <v>1</v>
      </c>
      <c r="E1678" s="281" t="s">
        <v>1154</v>
      </c>
      <c r="F1678" s="281"/>
      <c r="G1678" s="562">
        <f t="shared" si="54"/>
        <v>0</v>
      </c>
      <c r="H1678" s="562" t="e">
        <f t="shared" si="55"/>
        <v>#VALUE!</v>
      </c>
      <c r="I1678" s="276" t="e">
        <f t="shared" si="56"/>
        <v>#VALUE!</v>
      </c>
    </row>
    <row r="1679" spans="2:9">
      <c r="B1679">
        <v>1</v>
      </c>
      <c r="E1679" s="281" t="s">
        <v>1155</v>
      </c>
      <c r="F1679" s="281"/>
      <c r="G1679" s="562">
        <f t="shared" si="54"/>
        <v>0</v>
      </c>
      <c r="H1679" s="562" t="e">
        <f t="shared" si="55"/>
        <v>#VALUE!</v>
      </c>
      <c r="I1679" s="276" t="e">
        <f t="shared" si="56"/>
        <v>#VALUE!</v>
      </c>
    </row>
    <row r="1680" spans="2:9">
      <c r="B1680">
        <v>1</v>
      </c>
      <c r="E1680" s="281" t="s">
        <v>1156</v>
      </c>
      <c r="F1680" s="281" t="s">
        <v>2152</v>
      </c>
      <c r="G1680" s="562">
        <f t="shared" si="54"/>
        <v>11500</v>
      </c>
      <c r="H1680" s="562" t="e">
        <f t="shared" si="55"/>
        <v>#VALUE!</v>
      </c>
      <c r="I1680" s="276" t="e">
        <f t="shared" si="56"/>
        <v>#VALUE!</v>
      </c>
    </row>
    <row r="1681" spans="2:9">
      <c r="B1681">
        <v>1</v>
      </c>
      <c r="E1681" s="281" t="s">
        <v>1159</v>
      </c>
      <c r="F1681" s="281" t="s">
        <v>2153</v>
      </c>
      <c r="G1681" s="562">
        <f t="shared" si="54"/>
        <v>666486.65999999992</v>
      </c>
      <c r="H1681" s="562" t="e">
        <f t="shared" si="55"/>
        <v>#VALUE!</v>
      </c>
      <c r="I1681" s="276" t="e">
        <f t="shared" si="56"/>
        <v>#VALUE!</v>
      </c>
    </row>
    <row r="1682" spans="2:9">
      <c r="B1682">
        <v>1</v>
      </c>
      <c r="E1682" s="281" t="s">
        <v>1160</v>
      </c>
      <c r="F1682" s="281" t="s">
        <v>2154</v>
      </c>
      <c r="G1682" s="562">
        <f t="shared" si="54"/>
        <v>92085.57</v>
      </c>
      <c r="H1682" s="562" t="e">
        <f t="shared" si="55"/>
        <v>#VALUE!</v>
      </c>
      <c r="I1682" s="276" t="e">
        <f t="shared" si="56"/>
        <v>#VALUE!</v>
      </c>
    </row>
    <row r="1683" spans="2:9">
      <c r="B1683">
        <v>1</v>
      </c>
      <c r="E1683" s="281" t="s">
        <v>1161</v>
      </c>
      <c r="F1683" s="281" t="s">
        <v>2155</v>
      </c>
      <c r="G1683" s="562">
        <f t="shared" si="54"/>
        <v>688368.09</v>
      </c>
      <c r="H1683" s="562" t="e">
        <f t="shared" si="55"/>
        <v>#VALUE!</v>
      </c>
      <c r="I1683" s="276" t="e">
        <f t="shared" si="56"/>
        <v>#VALUE!</v>
      </c>
    </row>
    <row r="1684" spans="2:9">
      <c r="B1684">
        <v>1</v>
      </c>
      <c r="E1684" s="281" t="s">
        <v>1162</v>
      </c>
      <c r="F1684" s="281" t="s">
        <v>2156</v>
      </c>
      <c r="G1684" s="562">
        <f t="shared" si="54"/>
        <v>92085.57</v>
      </c>
      <c r="H1684" s="562" t="e">
        <f t="shared" si="55"/>
        <v>#VALUE!</v>
      </c>
      <c r="I1684" s="276" t="e">
        <f t="shared" si="56"/>
        <v>#VALUE!</v>
      </c>
    </row>
    <row r="1685" spans="2:9">
      <c r="B1685">
        <v>1</v>
      </c>
      <c r="E1685" s="281" t="s">
        <v>1163</v>
      </c>
      <c r="F1685" s="281" t="s">
        <v>2157</v>
      </c>
      <c r="G1685" s="562">
        <f t="shared" si="54"/>
        <v>40307.629999999997</v>
      </c>
      <c r="H1685" s="562" t="e">
        <f t="shared" si="55"/>
        <v>#VALUE!</v>
      </c>
      <c r="I1685" s="276" t="e">
        <f t="shared" si="56"/>
        <v>#VALUE!</v>
      </c>
    </row>
    <row r="1686" spans="2:9">
      <c r="B1686">
        <v>1</v>
      </c>
      <c r="E1686" s="281" t="s">
        <v>1164</v>
      </c>
      <c r="F1686" s="281" t="s">
        <v>2158</v>
      </c>
      <c r="G1686" s="562">
        <f t="shared" si="54"/>
        <v>470812.07</v>
      </c>
      <c r="H1686" s="562" t="e">
        <f t="shared" si="55"/>
        <v>#VALUE!</v>
      </c>
      <c r="I1686" s="276" t="e">
        <f t="shared" si="56"/>
        <v>#VALUE!</v>
      </c>
    </row>
    <row r="1687" spans="2:9">
      <c r="B1687">
        <v>1</v>
      </c>
      <c r="E1687" s="281" t="s">
        <v>1167</v>
      </c>
      <c r="F1687" s="281" t="s">
        <v>2159</v>
      </c>
      <c r="G1687" s="562">
        <f t="shared" si="54"/>
        <v>40307.629999999997</v>
      </c>
      <c r="H1687" s="562" t="e">
        <f t="shared" si="55"/>
        <v>#VALUE!</v>
      </c>
      <c r="I1687" s="276" t="e">
        <f t="shared" si="56"/>
        <v>#VALUE!</v>
      </c>
    </row>
    <row r="1688" spans="2:9">
      <c r="B1688">
        <v>1</v>
      </c>
      <c r="E1688" s="281" t="s">
        <v>1168</v>
      </c>
      <c r="F1688" s="281" t="s">
        <v>2160</v>
      </c>
      <c r="G1688" s="562">
        <f t="shared" si="54"/>
        <v>13614.41</v>
      </c>
      <c r="H1688" s="562" t="e">
        <f t="shared" si="55"/>
        <v>#VALUE!</v>
      </c>
      <c r="I1688" s="276" t="e">
        <f t="shared" si="56"/>
        <v>#VALUE!</v>
      </c>
    </row>
    <row r="1689" spans="2:9">
      <c r="B1689">
        <v>1</v>
      </c>
      <c r="E1689" s="281" t="s">
        <v>1169</v>
      </c>
      <c r="F1689" s="281" t="s">
        <v>2161</v>
      </c>
      <c r="G1689" s="562">
        <f t="shared" si="54"/>
        <v>13614.41</v>
      </c>
      <c r="H1689" s="562" t="e">
        <f t="shared" si="55"/>
        <v>#VALUE!</v>
      </c>
      <c r="I1689" s="276" t="e">
        <f t="shared" si="56"/>
        <v>#VALUE!</v>
      </c>
    </row>
    <row r="1690" spans="2:9">
      <c r="B1690">
        <v>1</v>
      </c>
      <c r="E1690" s="281" t="s">
        <v>1171</v>
      </c>
      <c r="F1690" s="281" t="s">
        <v>2162</v>
      </c>
      <c r="G1690" s="562">
        <f t="shared" si="54"/>
        <v>13614.41</v>
      </c>
      <c r="H1690" s="562" t="e">
        <f t="shared" si="55"/>
        <v>#VALUE!</v>
      </c>
      <c r="I1690" s="276" t="e">
        <f t="shared" si="56"/>
        <v>#VALUE!</v>
      </c>
    </row>
    <row r="1691" spans="2:9">
      <c r="B1691">
        <v>1</v>
      </c>
      <c r="E1691" s="281" t="s">
        <v>1173</v>
      </c>
      <c r="F1691" s="281" t="s">
        <v>2163</v>
      </c>
      <c r="G1691" s="562">
        <f t="shared" si="54"/>
        <v>13614.41</v>
      </c>
      <c r="H1691" s="562" t="e">
        <f t="shared" si="55"/>
        <v>#VALUE!</v>
      </c>
      <c r="I1691" s="276" t="e">
        <f t="shared" si="56"/>
        <v>#VALUE!</v>
      </c>
    </row>
    <row r="1692" spans="2:9">
      <c r="B1692">
        <v>1</v>
      </c>
      <c r="E1692" s="281" t="s">
        <v>1175</v>
      </c>
      <c r="F1692" s="281" t="s">
        <v>2164</v>
      </c>
      <c r="G1692" s="562">
        <f t="shared" si="54"/>
        <v>13614.41</v>
      </c>
      <c r="H1692" s="562" t="e">
        <f t="shared" si="55"/>
        <v>#VALUE!</v>
      </c>
      <c r="I1692" s="276" t="e">
        <f t="shared" si="56"/>
        <v>#VALUE!</v>
      </c>
    </row>
    <row r="1693" spans="2:9">
      <c r="B1693">
        <v>1</v>
      </c>
      <c r="E1693" s="281" t="s">
        <v>1177</v>
      </c>
      <c r="F1693" s="281" t="s">
        <v>2165</v>
      </c>
      <c r="G1693" s="562">
        <f t="shared" si="54"/>
        <v>29300.399999999998</v>
      </c>
      <c r="H1693" s="562" t="e">
        <f t="shared" si="55"/>
        <v>#VALUE!</v>
      </c>
      <c r="I1693" s="276" t="e">
        <f t="shared" si="56"/>
        <v>#VALUE!</v>
      </c>
    </row>
    <row r="1694" spans="2:9">
      <c r="B1694">
        <v>1</v>
      </c>
      <c r="E1694" s="281" t="s">
        <v>1179</v>
      </c>
      <c r="F1694" s="281" t="s">
        <v>2166</v>
      </c>
      <c r="G1694" s="562">
        <f t="shared" si="54"/>
        <v>28839.81</v>
      </c>
      <c r="H1694" s="562" t="e">
        <f t="shared" si="55"/>
        <v>#VALUE!</v>
      </c>
      <c r="I1694" s="276" t="e">
        <f t="shared" si="56"/>
        <v>#VALUE!</v>
      </c>
    </row>
    <row r="1695" spans="2:9">
      <c r="B1695">
        <v>1</v>
      </c>
      <c r="E1695" s="281" t="s">
        <v>1182</v>
      </c>
      <c r="F1695" s="281" t="s">
        <v>2167</v>
      </c>
      <c r="G1695" s="562">
        <f t="shared" si="54"/>
        <v>18000</v>
      </c>
      <c r="H1695" s="562" t="e">
        <f t="shared" si="55"/>
        <v>#VALUE!</v>
      </c>
      <c r="I1695" s="276" t="e">
        <f t="shared" si="56"/>
        <v>#VALUE!</v>
      </c>
    </row>
    <row r="1696" spans="2:9">
      <c r="B1696">
        <v>1</v>
      </c>
      <c r="E1696" s="281" t="s">
        <v>1184</v>
      </c>
      <c r="F1696" s="281" t="s">
        <v>2168</v>
      </c>
      <c r="G1696" s="562">
        <f t="shared" si="54"/>
        <v>560</v>
      </c>
      <c r="H1696" s="562" t="e">
        <f t="shared" si="55"/>
        <v>#VALUE!</v>
      </c>
      <c r="I1696" s="276" t="e">
        <f t="shared" si="56"/>
        <v>#VALUE!</v>
      </c>
    </row>
    <row r="1697" spans="2:9">
      <c r="B1697">
        <v>1</v>
      </c>
      <c r="E1697" s="281" t="s">
        <v>1186</v>
      </c>
      <c r="F1697" s="281" t="s">
        <v>2169</v>
      </c>
      <c r="G1697" s="562">
        <f t="shared" si="54"/>
        <v>918.4</v>
      </c>
      <c r="H1697" s="562" t="e">
        <f t="shared" si="55"/>
        <v>#VALUE!</v>
      </c>
      <c r="I1697" s="276" t="e">
        <f t="shared" si="56"/>
        <v>#VALUE!</v>
      </c>
    </row>
    <row r="1698" spans="2:9">
      <c r="B1698">
        <v>1</v>
      </c>
      <c r="E1698" s="281" t="s">
        <v>1188</v>
      </c>
      <c r="F1698" s="281" t="s">
        <v>2170</v>
      </c>
      <c r="G1698" s="562">
        <f t="shared" ref="G1698:G1761" si="57">SUMIFS(J:J,C:C,E1698)</f>
        <v>14000</v>
      </c>
      <c r="H1698" s="562" t="e">
        <f t="shared" ref="H1698:H1761" si="58">SUMIFS(M:M,S:S,F1698)</f>
        <v>#VALUE!</v>
      </c>
      <c r="I1698" s="276" t="e">
        <f t="shared" ref="I1698:I1761" si="59">G1698-H1698</f>
        <v>#VALUE!</v>
      </c>
    </row>
    <row r="1699" spans="2:9">
      <c r="B1699">
        <v>1</v>
      </c>
      <c r="E1699" s="281" t="s">
        <v>1191</v>
      </c>
      <c r="F1699" s="281" t="s">
        <v>2171</v>
      </c>
      <c r="G1699" s="562">
        <f t="shared" si="57"/>
        <v>8774</v>
      </c>
      <c r="H1699" s="562" t="e">
        <f t="shared" si="58"/>
        <v>#VALUE!</v>
      </c>
      <c r="I1699" s="276" t="e">
        <f t="shared" si="59"/>
        <v>#VALUE!</v>
      </c>
    </row>
    <row r="1700" spans="2:9">
      <c r="B1700">
        <v>1</v>
      </c>
      <c r="E1700" s="281" t="s">
        <v>1194</v>
      </c>
      <c r="F1700" s="281" t="s">
        <v>2172</v>
      </c>
      <c r="G1700" s="562">
        <f t="shared" si="57"/>
        <v>2850</v>
      </c>
      <c r="H1700" s="562" t="e">
        <f t="shared" si="58"/>
        <v>#VALUE!</v>
      </c>
      <c r="I1700" s="276" t="e">
        <f t="shared" si="59"/>
        <v>#VALUE!</v>
      </c>
    </row>
    <row r="1701" spans="2:9">
      <c r="B1701">
        <v>1</v>
      </c>
      <c r="E1701" s="281" t="s">
        <v>1197</v>
      </c>
      <c r="F1701" s="281" t="s">
        <v>2173</v>
      </c>
      <c r="G1701" s="562">
        <f t="shared" si="57"/>
        <v>500</v>
      </c>
      <c r="H1701" s="562" t="e">
        <f t="shared" si="58"/>
        <v>#VALUE!</v>
      </c>
      <c r="I1701" s="276" t="e">
        <f t="shared" si="59"/>
        <v>#VALUE!</v>
      </c>
    </row>
    <row r="1702" spans="2:9">
      <c r="B1702">
        <v>1</v>
      </c>
      <c r="E1702" s="281" t="s">
        <v>1198</v>
      </c>
      <c r="F1702" s="281" t="s">
        <v>2174</v>
      </c>
      <c r="G1702" s="562">
        <f t="shared" si="57"/>
        <v>100000</v>
      </c>
      <c r="H1702" s="562" t="e">
        <f t="shared" si="58"/>
        <v>#VALUE!</v>
      </c>
      <c r="I1702" s="276" t="e">
        <f t="shared" si="59"/>
        <v>#VALUE!</v>
      </c>
    </row>
    <row r="1703" spans="2:9">
      <c r="B1703">
        <v>1</v>
      </c>
      <c r="E1703" s="281" t="s">
        <v>1199</v>
      </c>
      <c r="F1703" s="281"/>
      <c r="G1703" s="562">
        <f t="shared" si="57"/>
        <v>0</v>
      </c>
      <c r="H1703" s="562" t="e">
        <f t="shared" si="58"/>
        <v>#VALUE!</v>
      </c>
      <c r="I1703" s="276" t="e">
        <f t="shared" si="59"/>
        <v>#VALUE!</v>
      </c>
    </row>
    <row r="1704" spans="2:9">
      <c r="B1704">
        <v>1</v>
      </c>
      <c r="E1704" s="281" t="s">
        <v>1200</v>
      </c>
      <c r="F1704" s="281"/>
      <c r="G1704" s="562">
        <f t="shared" si="57"/>
        <v>0</v>
      </c>
      <c r="H1704" s="562" t="e">
        <f t="shared" si="58"/>
        <v>#VALUE!</v>
      </c>
      <c r="I1704" s="276" t="e">
        <f t="shared" si="59"/>
        <v>#VALUE!</v>
      </c>
    </row>
    <row r="1705" spans="2:9">
      <c r="B1705">
        <v>1</v>
      </c>
      <c r="E1705" s="281" t="s">
        <v>1201</v>
      </c>
      <c r="F1705" s="281" t="s">
        <v>2175</v>
      </c>
      <c r="G1705" s="562">
        <f t="shared" si="57"/>
        <v>135125</v>
      </c>
      <c r="H1705" s="562" t="e">
        <f t="shared" si="58"/>
        <v>#VALUE!</v>
      </c>
      <c r="I1705" s="276" t="e">
        <f t="shared" si="59"/>
        <v>#VALUE!</v>
      </c>
    </row>
    <row r="1706" spans="2:9">
      <c r="B1706">
        <v>1</v>
      </c>
      <c r="E1706" s="281" t="s">
        <v>1202</v>
      </c>
      <c r="F1706" s="281"/>
      <c r="G1706" s="562">
        <f t="shared" si="57"/>
        <v>0</v>
      </c>
      <c r="H1706" s="562" t="e">
        <f t="shared" si="58"/>
        <v>#VALUE!</v>
      </c>
      <c r="I1706" s="276" t="e">
        <f t="shared" si="59"/>
        <v>#VALUE!</v>
      </c>
    </row>
    <row r="1707" spans="2:9">
      <c r="B1707">
        <v>1</v>
      </c>
      <c r="E1707" s="281" t="s">
        <v>1203</v>
      </c>
      <c r="F1707" s="281" t="s">
        <v>2176</v>
      </c>
      <c r="G1707" s="562">
        <f t="shared" si="57"/>
        <v>0</v>
      </c>
      <c r="H1707" s="562" t="e">
        <f t="shared" si="58"/>
        <v>#VALUE!</v>
      </c>
      <c r="I1707" s="276" t="e">
        <f t="shared" si="59"/>
        <v>#VALUE!</v>
      </c>
    </row>
    <row r="1708" spans="2:9">
      <c r="B1708">
        <v>1</v>
      </c>
      <c r="E1708" s="281" t="s">
        <v>1204</v>
      </c>
      <c r="F1708" s="281"/>
      <c r="G1708" s="562">
        <f t="shared" si="57"/>
        <v>0</v>
      </c>
      <c r="H1708" s="562" t="e">
        <f t="shared" si="58"/>
        <v>#VALUE!</v>
      </c>
      <c r="I1708" s="276" t="e">
        <f t="shared" si="59"/>
        <v>#VALUE!</v>
      </c>
    </row>
    <row r="1709" spans="2:9">
      <c r="B1709">
        <v>1</v>
      </c>
      <c r="E1709" s="281" t="s">
        <v>1208</v>
      </c>
      <c r="F1709" s="281"/>
      <c r="G1709" s="562">
        <f t="shared" si="57"/>
        <v>0</v>
      </c>
      <c r="H1709" s="562" t="e">
        <f t="shared" si="58"/>
        <v>#VALUE!</v>
      </c>
      <c r="I1709" s="276" t="e">
        <f t="shared" si="59"/>
        <v>#VALUE!</v>
      </c>
    </row>
    <row r="1710" spans="2:9">
      <c r="B1710">
        <v>1</v>
      </c>
      <c r="E1710" s="281" t="s">
        <v>1209</v>
      </c>
      <c r="F1710" s="281"/>
      <c r="G1710" s="562">
        <f t="shared" si="57"/>
        <v>0</v>
      </c>
      <c r="H1710" s="562" t="e">
        <f t="shared" si="58"/>
        <v>#VALUE!</v>
      </c>
      <c r="I1710" s="276" t="e">
        <f t="shared" si="59"/>
        <v>#VALUE!</v>
      </c>
    </row>
    <row r="1711" spans="2:9">
      <c r="B1711">
        <v>1</v>
      </c>
      <c r="E1711" s="281" t="s">
        <v>1210</v>
      </c>
      <c r="F1711" s="281"/>
      <c r="G1711" s="562">
        <f t="shared" si="57"/>
        <v>0</v>
      </c>
      <c r="H1711" s="562" t="e">
        <f t="shared" si="58"/>
        <v>#VALUE!</v>
      </c>
      <c r="I1711" s="276" t="e">
        <f t="shared" si="59"/>
        <v>#VALUE!</v>
      </c>
    </row>
    <row r="1712" spans="2:9">
      <c r="B1712">
        <v>1</v>
      </c>
      <c r="E1712" s="281" t="s">
        <v>1211</v>
      </c>
      <c r="F1712" s="281"/>
      <c r="G1712" s="562">
        <f t="shared" si="57"/>
        <v>0</v>
      </c>
      <c r="H1712" s="562" t="e">
        <f t="shared" si="58"/>
        <v>#VALUE!</v>
      </c>
      <c r="I1712" s="276" t="e">
        <f t="shared" si="59"/>
        <v>#VALUE!</v>
      </c>
    </row>
    <row r="1713" spans="2:9">
      <c r="B1713">
        <v>1</v>
      </c>
      <c r="E1713" s="281" t="s">
        <v>1212</v>
      </c>
      <c r="F1713" s="281" t="s">
        <v>2177</v>
      </c>
      <c r="G1713" s="562">
        <f t="shared" si="57"/>
        <v>22320</v>
      </c>
      <c r="H1713" s="562" t="e">
        <f t="shared" si="58"/>
        <v>#VALUE!</v>
      </c>
      <c r="I1713" s="276" t="e">
        <f t="shared" si="59"/>
        <v>#VALUE!</v>
      </c>
    </row>
    <row r="1714" spans="2:9">
      <c r="B1714">
        <v>1</v>
      </c>
      <c r="E1714" s="281" t="s">
        <v>1222</v>
      </c>
      <c r="F1714" s="281" t="s">
        <v>2178</v>
      </c>
      <c r="G1714" s="562">
        <f t="shared" si="57"/>
        <v>144603.29</v>
      </c>
      <c r="H1714" s="562" t="e">
        <f t="shared" si="58"/>
        <v>#VALUE!</v>
      </c>
      <c r="I1714" s="276" t="e">
        <f t="shared" si="59"/>
        <v>#VALUE!</v>
      </c>
    </row>
    <row r="1715" spans="2:9">
      <c r="B1715">
        <v>1</v>
      </c>
      <c r="E1715" s="281" t="s">
        <v>1224</v>
      </c>
      <c r="F1715" s="281" t="s">
        <v>2179</v>
      </c>
      <c r="G1715" s="562">
        <f t="shared" si="57"/>
        <v>119889.07</v>
      </c>
      <c r="H1715" s="562" t="e">
        <f t="shared" si="58"/>
        <v>#VALUE!</v>
      </c>
      <c r="I1715" s="276" t="e">
        <f t="shared" si="59"/>
        <v>#VALUE!</v>
      </c>
    </row>
    <row r="1716" spans="2:9">
      <c r="B1716">
        <v>1</v>
      </c>
      <c r="E1716" s="281" t="s">
        <v>1226</v>
      </c>
      <c r="F1716" s="281" t="s">
        <v>2180</v>
      </c>
      <c r="G1716" s="562">
        <f t="shared" si="57"/>
        <v>83142.720000000001</v>
      </c>
      <c r="H1716" s="562" t="e">
        <f t="shared" si="58"/>
        <v>#VALUE!</v>
      </c>
      <c r="I1716" s="276" t="e">
        <f t="shared" si="59"/>
        <v>#VALUE!</v>
      </c>
    </row>
    <row r="1717" spans="2:9">
      <c r="B1717">
        <v>1</v>
      </c>
      <c r="E1717" s="281" t="s">
        <v>1228</v>
      </c>
      <c r="F1717" s="281" t="s">
        <v>2181</v>
      </c>
      <c r="G1717" s="562">
        <f t="shared" si="57"/>
        <v>106531.33</v>
      </c>
      <c r="H1717" s="562" t="e">
        <f t="shared" si="58"/>
        <v>#VALUE!</v>
      </c>
      <c r="I1717" s="276" t="e">
        <f t="shared" si="59"/>
        <v>#VALUE!</v>
      </c>
    </row>
    <row r="1718" spans="2:9">
      <c r="B1718">
        <v>1</v>
      </c>
      <c r="E1718" s="281" t="s">
        <v>1229</v>
      </c>
      <c r="F1718" s="281" t="s">
        <v>2182</v>
      </c>
      <c r="G1718" s="562">
        <f t="shared" si="57"/>
        <v>0</v>
      </c>
      <c r="H1718" s="562" t="e">
        <f t="shared" si="58"/>
        <v>#VALUE!</v>
      </c>
      <c r="I1718" s="276" t="e">
        <f t="shared" si="59"/>
        <v>#VALUE!</v>
      </c>
    </row>
    <row r="1719" spans="2:9">
      <c r="B1719">
        <v>1</v>
      </c>
      <c r="E1719" s="281" t="s">
        <v>1232</v>
      </c>
      <c r="F1719" s="281" t="s">
        <v>2183</v>
      </c>
      <c r="G1719" s="562">
        <f t="shared" si="57"/>
        <v>0</v>
      </c>
      <c r="H1719" s="562" t="e">
        <f t="shared" si="58"/>
        <v>#VALUE!</v>
      </c>
      <c r="I1719" s="276" t="e">
        <f t="shared" si="59"/>
        <v>#VALUE!</v>
      </c>
    </row>
    <row r="1720" spans="2:9">
      <c r="B1720">
        <v>1</v>
      </c>
      <c r="E1720" s="281" t="s">
        <v>1234</v>
      </c>
      <c r="F1720" s="281" t="s">
        <v>2184</v>
      </c>
      <c r="G1720" s="562">
        <f t="shared" si="57"/>
        <v>10000</v>
      </c>
      <c r="H1720" s="562" t="e">
        <f t="shared" si="58"/>
        <v>#VALUE!</v>
      </c>
      <c r="I1720" s="276" t="e">
        <f t="shared" si="59"/>
        <v>#VALUE!</v>
      </c>
    </row>
    <row r="1721" spans="2:9">
      <c r="B1721">
        <v>1</v>
      </c>
      <c r="E1721" s="281" t="s">
        <v>1237</v>
      </c>
      <c r="F1721" s="281" t="s">
        <v>2185</v>
      </c>
      <c r="G1721" s="562">
        <f t="shared" si="57"/>
        <v>10790</v>
      </c>
      <c r="H1721" s="562" t="e">
        <f t="shared" si="58"/>
        <v>#VALUE!</v>
      </c>
      <c r="I1721" s="276" t="e">
        <f t="shared" si="59"/>
        <v>#VALUE!</v>
      </c>
    </row>
    <row r="1722" spans="2:9">
      <c r="B1722">
        <v>1</v>
      </c>
      <c r="E1722" s="281" t="s">
        <v>1238</v>
      </c>
      <c r="F1722" s="281" t="s">
        <v>2186</v>
      </c>
      <c r="G1722" s="562">
        <f t="shared" si="57"/>
        <v>12352.18</v>
      </c>
      <c r="H1722" s="562" t="e">
        <f t="shared" si="58"/>
        <v>#VALUE!</v>
      </c>
      <c r="I1722" s="276" t="e">
        <f t="shared" si="59"/>
        <v>#VALUE!</v>
      </c>
    </row>
    <row r="1723" spans="2:9">
      <c r="B1723">
        <v>1</v>
      </c>
      <c r="E1723" s="281" t="s">
        <v>1239</v>
      </c>
      <c r="F1723" s="281" t="s">
        <v>2187</v>
      </c>
      <c r="G1723" s="562">
        <f t="shared" si="57"/>
        <v>23474</v>
      </c>
      <c r="H1723" s="562" t="e">
        <f t="shared" si="58"/>
        <v>#VALUE!</v>
      </c>
      <c r="I1723" s="276" t="e">
        <f t="shared" si="59"/>
        <v>#VALUE!</v>
      </c>
    </row>
    <row r="1724" spans="2:9">
      <c r="B1724">
        <v>1</v>
      </c>
      <c r="E1724" s="281" t="s">
        <v>1240</v>
      </c>
      <c r="F1724" s="281" t="s">
        <v>2188</v>
      </c>
      <c r="G1724" s="562">
        <f t="shared" si="57"/>
        <v>27256.91</v>
      </c>
      <c r="H1724" s="562" t="e">
        <f t="shared" si="58"/>
        <v>#VALUE!</v>
      </c>
      <c r="I1724" s="276" t="e">
        <f t="shared" si="59"/>
        <v>#VALUE!</v>
      </c>
    </row>
    <row r="1725" spans="2:9">
      <c r="B1725">
        <v>1</v>
      </c>
      <c r="E1725" s="281" t="s">
        <v>1241</v>
      </c>
      <c r="F1725" s="281" t="s">
        <v>2189</v>
      </c>
      <c r="G1725" s="562">
        <f t="shared" si="57"/>
        <v>7321.62</v>
      </c>
      <c r="H1725" s="562" t="e">
        <f t="shared" si="58"/>
        <v>#VALUE!</v>
      </c>
      <c r="I1725" s="276" t="e">
        <f t="shared" si="59"/>
        <v>#VALUE!</v>
      </c>
    </row>
    <row r="1726" spans="2:9">
      <c r="B1726">
        <v>1</v>
      </c>
      <c r="E1726" s="281" t="s">
        <v>1244</v>
      </c>
      <c r="F1726" s="281"/>
      <c r="G1726" s="562">
        <f t="shared" si="57"/>
        <v>0</v>
      </c>
      <c r="H1726" s="562" t="e">
        <f t="shared" si="58"/>
        <v>#VALUE!</v>
      </c>
      <c r="I1726" s="276" t="e">
        <f t="shared" si="59"/>
        <v>#VALUE!</v>
      </c>
    </row>
    <row r="1727" spans="2:9">
      <c r="B1727">
        <v>1</v>
      </c>
      <c r="E1727" s="281" t="s">
        <v>1247</v>
      </c>
      <c r="F1727" s="281"/>
      <c r="G1727" s="562">
        <f t="shared" si="57"/>
        <v>0</v>
      </c>
      <c r="H1727" s="562" t="e">
        <f t="shared" si="58"/>
        <v>#VALUE!</v>
      </c>
      <c r="I1727" s="276" t="e">
        <f t="shared" si="59"/>
        <v>#VALUE!</v>
      </c>
    </row>
    <row r="1728" spans="2:9">
      <c r="B1728">
        <v>1</v>
      </c>
      <c r="E1728" s="281" t="s">
        <v>1249</v>
      </c>
      <c r="F1728" s="281"/>
      <c r="G1728" s="562">
        <f t="shared" si="57"/>
        <v>0.01</v>
      </c>
      <c r="H1728" s="562" t="e">
        <f t="shared" si="58"/>
        <v>#VALUE!</v>
      </c>
      <c r="I1728" s="276" t="e">
        <f t="shared" si="59"/>
        <v>#VALUE!</v>
      </c>
    </row>
    <row r="1729" spans="2:9">
      <c r="B1729">
        <v>1</v>
      </c>
      <c r="E1729" s="281" t="s">
        <v>1251</v>
      </c>
      <c r="F1729" s="281"/>
      <c r="G1729" s="562">
        <f t="shared" si="57"/>
        <v>0</v>
      </c>
      <c r="H1729" s="562" t="e">
        <f t="shared" si="58"/>
        <v>#VALUE!</v>
      </c>
      <c r="I1729" s="276" t="e">
        <f t="shared" si="59"/>
        <v>#VALUE!</v>
      </c>
    </row>
    <row r="1730" spans="2:9">
      <c r="B1730">
        <v>1</v>
      </c>
      <c r="E1730" s="281" t="s">
        <v>1253</v>
      </c>
      <c r="F1730" s="281"/>
      <c r="G1730" s="562">
        <f t="shared" si="57"/>
        <v>0</v>
      </c>
      <c r="H1730" s="562" t="e">
        <f t="shared" si="58"/>
        <v>#VALUE!</v>
      </c>
      <c r="I1730" s="276" t="e">
        <f t="shared" si="59"/>
        <v>#VALUE!</v>
      </c>
    </row>
    <row r="1731" spans="2:9">
      <c r="B1731">
        <v>1</v>
      </c>
      <c r="E1731" s="281" t="s">
        <v>1254</v>
      </c>
      <c r="F1731" s="281"/>
      <c r="G1731" s="562">
        <f t="shared" si="57"/>
        <v>0</v>
      </c>
      <c r="H1731" s="562" t="e">
        <f t="shared" si="58"/>
        <v>#VALUE!</v>
      </c>
      <c r="I1731" s="276" t="e">
        <f t="shared" si="59"/>
        <v>#VALUE!</v>
      </c>
    </row>
    <row r="1732" spans="2:9">
      <c r="B1732">
        <v>1</v>
      </c>
      <c r="E1732" s="281" t="s">
        <v>1255</v>
      </c>
      <c r="F1732" s="281"/>
      <c r="G1732" s="562">
        <f t="shared" si="57"/>
        <v>0</v>
      </c>
      <c r="H1732" s="562" t="e">
        <f t="shared" si="58"/>
        <v>#VALUE!</v>
      </c>
      <c r="I1732" s="276" t="e">
        <f t="shared" si="59"/>
        <v>#VALUE!</v>
      </c>
    </row>
    <row r="1733" spans="2:9">
      <c r="B1733">
        <v>1</v>
      </c>
      <c r="E1733" s="281" t="s">
        <v>1259</v>
      </c>
      <c r="F1733" s="281"/>
      <c r="G1733" s="562">
        <f t="shared" si="57"/>
        <v>0</v>
      </c>
      <c r="H1733" s="562" t="e">
        <f t="shared" si="58"/>
        <v>#VALUE!</v>
      </c>
      <c r="I1733" s="276" t="e">
        <f t="shared" si="59"/>
        <v>#VALUE!</v>
      </c>
    </row>
    <row r="1734" spans="2:9">
      <c r="B1734">
        <v>1</v>
      </c>
      <c r="E1734" s="281" t="s">
        <v>1261</v>
      </c>
      <c r="F1734" s="281"/>
      <c r="G1734" s="562">
        <f t="shared" si="57"/>
        <v>0</v>
      </c>
      <c r="H1734" s="562" t="e">
        <f t="shared" si="58"/>
        <v>#VALUE!</v>
      </c>
      <c r="I1734" s="276" t="e">
        <f t="shared" si="59"/>
        <v>#VALUE!</v>
      </c>
    </row>
    <row r="1735" spans="2:9">
      <c r="B1735">
        <v>1</v>
      </c>
      <c r="E1735" s="281" t="s">
        <v>1262</v>
      </c>
      <c r="F1735" s="281"/>
      <c r="G1735" s="562">
        <f t="shared" si="57"/>
        <v>0</v>
      </c>
      <c r="H1735" s="562" t="e">
        <f t="shared" si="58"/>
        <v>#VALUE!</v>
      </c>
      <c r="I1735" s="276" t="e">
        <f t="shared" si="59"/>
        <v>#VALUE!</v>
      </c>
    </row>
    <row r="1736" spans="2:9">
      <c r="B1736">
        <v>1</v>
      </c>
      <c r="E1736" s="281" t="s">
        <v>1268</v>
      </c>
      <c r="F1736" s="281" t="s">
        <v>2190</v>
      </c>
      <c r="G1736" s="562">
        <f t="shared" si="57"/>
        <v>83842.210000000006</v>
      </c>
      <c r="H1736" s="562" t="e">
        <f t="shared" si="58"/>
        <v>#VALUE!</v>
      </c>
      <c r="I1736" s="276" t="e">
        <f t="shared" si="59"/>
        <v>#VALUE!</v>
      </c>
    </row>
    <row r="1737" spans="2:9">
      <c r="B1737">
        <v>1</v>
      </c>
      <c r="E1737" s="281" t="s">
        <v>1269</v>
      </c>
      <c r="F1737" s="281" t="s">
        <v>2191</v>
      </c>
      <c r="G1737" s="562">
        <f t="shared" si="57"/>
        <v>83842.210000000006</v>
      </c>
      <c r="H1737" s="562" t="e">
        <f t="shared" si="58"/>
        <v>#VALUE!</v>
      </c>
      <c r="I1737" s="276" t="e">
        <f t="shared" si="59"/>
        <v>#VALUE!</v>
      </c>
    </row>
    <row r="1738" spans="2:9">
      <c r="B1738">
        <v>1</v>
      </c>
      <c r="E1738" s="281" t="s">
        <v>1270</v>
      </c>
      <c r="F1738" s="281" t="s">
        <v>2192</v>
      </c>
      <c r="G1738" s="562">
        <f t="shared" si="57"/>
        <v>29300.399999999998</v>
      </c>
      <c r="H1738" s="562" t="e">
        <f t="shared" si="58"/>
        <v>#VALUE!</v>
      </c>
      <c r="I1738" s="276" t="e">
        <f t="shared" si="59"/>
        <v>#VALUE!</v>
      </c>
    </row>
    <row r="1739" spans="2:9">
      <c r="B1739">
        <v>1</v>
      </c>
      <c r="E1739" s="281" t="s">
        <v>1271</v>
      </c>
      <c r="F1739" s="281" t="s">
        <v>2193</v>
      </c>
      <c r="G1739" s="562">
        <f t="shared" si="57"/>
        <v>9170</v>
      </c>
      <c r="H1739" s="562" t="e">
        <f t="shared" si="58"/>
        <v>#VALUE!</v>
      </c>
      <c r="I1739" s="276" t="e">
        <f t="shared" si="59"/>
        <v>#VALUE!</v>
      </c>
    </row>
    <row r="1740" spans="2:9">
      <c r="B1740">
        <v>1</v>
      </c>
      <c r="E1740" s="281" t="s">
        <v>1274</v>
      </c>
      <c r="F1740" s="281" t="s">
        <v>2194</v>
      </c>
      <c r="G1740" s="562">
        <f t="shared" si="57"/>
        <v>1200</v>
      </c>
      <c r="H1740" s="562" t="e">
        <f t="shared" si="58"/>
        <v>#VALUE!</v>
      </c>
      <c r="I1740" s="276" t="e">
        <f t="shared" si="59"/>
        <v>#VALUE!</v>
      </c>
    </row>
    <row r="1741" spans="2:9">
      <c r="B1741">
        <v>1</v>
      </c>
      <c r="E1741" s="281" t="s">
        <v>1277</v>
      </c>
      <c r="F1741" s="281" t="s">
        <v>2195</v>
      </c>
      <c r="G1741" s="562">
        <f t="shared" si="57"/>
        <v>2404.7800000000002</v>
      </c>
      <c r="H1741" s="562" t="e">
        <f t="shared" si="58"/>
        <v>#VALUE!</v>
      </c>
      <c r="I1741" s="276" t="e">
        <f t="shared" si="59"/>
        <v>#VALUE!</v>
      </c>
    </row>
    <row r="1742" spans="2:9">
      <c r="B1742">
        <v>1</v>
      </c>
      <c r="E1742" s="281" t="s">
        <v>1278</v>
      </c>
      <c r="F1742" s="281" t="s">
        <v>2196</v>
      </c>
      <c r="G1742" s="562">
        <f t="shared" si="57"/>
        <v>2800</v>
      </c>
      <c r="H1742" s="562" t="e">
        <f t="shared" si="58"/>
        <v>#VALUE!</v>
      </c>
      <c r="I1742" s="276" t="e">
        <f t="shared" si="59"/>
        <v>#VALUE!</v>
      </c>
    </row>
    <row r="1743" spans="2:9">
      <c r="B1743">
        <v>1</v>
      </c>
      <c r="E1743" s="281" t="s">
        <v>1279</v>
      </c>
      <c r="F1743" s="281" t="s">
        <v>2197</v>
      </c>
      <c r="G1743" s="562">
        <f t="shared" si="57"/>
        <v>29300.399999999998</v>
      </c>
      <c r="H1743" s="562" t="e">
        <f t="shared" si="58"/>
        <v>#VALUE!</v>
      </c>
      <c r="I1743" s="276" t="e">
        <f t="shared" si="59"/>
        <v>#VALUE!</v>
      </c>
    </row>
    <row r="1744" spans="2:9">
      <c r="B1744">
        <v>1</v>
      </c>
      <c r="E1744" s="281" t="s">
        <v>1280</v>
      </c>
      <c r="F1744" s="281" t="s">
        <v>2198</v>
      </c>
      <c r="G1744" s="562">
        <f t="shared" si="57"/>
        <v>29300.399999999998</v>
      </c>
      <c r="H1744" s="562" t="e">
        <f t="shared" si="58"/>
        <v>#VALUE!</v>
      </c>
      <c r="I1744" s="276" t="e">
        <f t="shared" si="59"/>
        <v>#VALUE!</v>
      </c>
    </row>
    <row r="1745" spans="2:9">
      <c r="B1745">
        <v>1</v>
      </c>
      <c r="E1745" s="281" t="s">
        <v>1281</v>
      </c>
      <c r="F1745" s="281" t="s">
        <v>2199</v>
      </c>
      <c r="G1745" s="562">
        <f t="shared" si="57"/>
        <v>11000</v>
      </c>
      <c r="H1745" s="562" t="e">
        <f t="shared" si="58"/>
        <v>#VALUE!</v>
      </c>
      <c r="I1745" s="276" t="e">
        <f t="shared" si="59"/>
        <v>#VALUE!</v>
      </c>
    </row>
    <row r="1746" spans="2:9">
      <c r="B1746">
        <v>1</v>
      </c>
      <c r="E1746" s="281" t="s">
        <v>1282</v>
      </c>
      <c r="F1746" s="281" t="s">
        <v>2200</v>
      </c>
      <c r="G1746" s="562">
        <f t="shared" si="57"/>
        <v>2500</v>
      </c>
      <c r="H1746" s="562" t="e">
        <f t="shared" si="58"/>
        <v>#VALUE!</v>
      </c>
      <c r="I1746" s="276" t="e">
        <f t="shared" si="59"/>
        <v>#VALUE!</v>
      </c>
    </row>
    <row r="1747" spans="2:9">
      <c r="B1747">
        <v>1</v>
      </c>
      <c r="E1747" s="281" t="s">
        <v>1284</v>
      </c>
      <c r="F1747" s="281" t="s">
        <v>2201</v>
      </c>
      <c r="G1747" s="562">
        <f t="shared" si="57"/>
        <v>4223.5</v>
      </c>
      <c r="H1747" s="562" t="e">
        <f t="shared" si="58"/>
        <v>#VALUE!</v>
      </c>
      <c r="I1747" s="276" t="e">
        <f t="shared" si="59"/>
        <v>#VALUE!</v>
      </c>
    </row>
    <row r="1748" spans="2:9">
      <c r="B1748">
        <v>1</v>
      </c>
      <c r="E1748" s="281" t="s">
        <v>1286</v>
      </c>
      <c r="F1748" s="281" t="s">
        <v>2202</v>
      </c>
      <c r="G1748" s="562">
        <f t="shared" si="57"/>
        <v>10000</v>
      </c>
      <c r="H1748" s="562" t="e">
        <f t="shared" si="58"/>
        <v>#VALUE!</v>
      </c>
      <c r="I1748" s="276" t="e">
        <f t="shared" si="59"/>
        <v>#VALUE!</v>
      </c>
    </row>
    <row r="1749" spans="2:9">
      <c r="B1749">
        <v>1</v>
      </c>
      <c r="E1749" s="281" t="s">
        <v>1287</v>
      </c>
      <c r="F1749" s="281" t="s">
        <v>2203</v>
      </c>
      <c r="G1749" s="562">
        <f t="shared" si="57"/>
        <v>27760</v>
      </c>
      <c r="H1749" s="562" t="e">
        <f t="shared" si="58"/>
        <v>#VALUE!</v>
      </c>
      <c r="I1749" s="276" t="e">
        <f t="shared" si="59"/>
        <v>#VALUE!</v>
      </c>
    </row>
    <row r="1750" spans="2:9">
      <c r="B1750">
        <v>1</v>
      </c>
      <c r="E1750" s="281" t="s">
        <v>1289</v>
      </c>
      <c r="F1750" s="281" t="s">
        <v>2204</v>
      </c>
      <c r="G1750" s="562">
        <f t="shared" si="57"/>
        <v>16332.5</v>
      </c>
      <c r="H1750" s="562" t="e">
        <f t="shared" si="58"/>
        <v>#VALUE!</v>
      </c>
      <c r="I1750" s="276" t="e">
        <f t="shared" si="59"/>
        <v>#VALUE!</v>
      </c>
    </row>
    <row r="1751" spans="2:9">
      <c r="B1751">
        <v>1</v>
      </c>
      <c r="E1751" s="281" t="s">
        <v>1292</v>
      </c>
      <c r="F1751" s="281" t="s">
        <v>2205</v>
      </c>
      <c r="G1751" s="562">
        <f t="shared" si="57"/>
        <v>22316</v>
      </c>
      <c r="H1751" s="562" t="e">
        <f t="shared" si="58"/>
        <v>#VALUE!</v>
      </c>
      <c r="I1751" s="276" t="e">
        <f t="shared" si="59"/>
        <v>#VALUE!</v>
      </c>
    </row>
    <row r="1752" spans="2:9">
      <c r="B1752">
        <v>1</v>
      </c>
      <c r="E1752" s="281" t="s">
        <v>1293</v>
      </c>
      <c r="F1752" s="281" t="s">
        <v>2206</v>
      </c>
      <c r="G1752" s="562">
        <f t="shared" si="57"/>
        <v>13034</v>
      </c>
      <c r="H1752" s="562" t="e">
        <f t="shared" si="58"/>
        <v>#VALUE!</v>
      </c>
      <c r="I1752" s="276" t="e">
        <f t="shared" si="59"/>
        <v>#VALUE!</v>
      </c>
    </row>
    <row r="1753" spans="2:9">
      <c r="B1753">
        <v>1</v>
      </c>
      <c r="E1753" s="281" t="s">
        <v>1294</v>
      </c>
      <c r="F1753" s="281" t="s">
        <v>2207</v>
      </c>
      <c r="G1753" s="562">
        <f t="shared" si="57"/>
        <v>150000</v>
      </c>
      <c r="H1753" s="562" t="e">
        <f t="shared" si="58"/>
        <v>#VALUE!</v>
      </c>
      <c r="I1753" s="276" t="e">
        <f t="shared" si="59"/>
        <v>#VALUE!</v>
      </c>
    </row>
    <row r="1754" spans="2:9">
      <c r="B1754">
        <v>1</v>
      </c>
      <c r="E1754" s="281" t="s">
        <v>1296</v>
      </c>
      <c r="F1754" s="281" t="s">
        <v>2208</v>
      </c>
      <c r="G1754" s="562">
        <f t="shared" si="57"/>
        <v>64106</v>
      </c>
      <c r="H1754" s="562" t="e">
        <f t="shared" si="58"/>
        <v>#VALUE!</v>
      </c>
      <c r="I1754" s="276" t="e">
        <f t="shared" si="59"/>
        <v>#VALUE!</v>
      </c>
    </row>
    <row r="1755" spans="2:9">
      <c r="B1755">
        <v>1</v>
      </c>
      <c r="E1755" s="281" t="s">
        <v>1299</v>
      </c>
      <c r="F1755" s="281" t="s">
        <v>2209</v>
      </c>
      <c r="G1755" s="562">
        <f t="shared" si="57"/>
        <v>16332.5</v>
      </c>
      <c r="H1755" s="562" t="e">
        <f t="shared" si="58"/>
        <v>#VALUE!</v>
      </c>
      <c r="I1755" s="276" t="e">
        <f t="shared" si="59"/>
        <v>#VALUE!</v>
      </c>
    </row>
    <row r="1756" spans="2:9">
      <c r="B1756">
        <v>1</v>
      </c>
      <c r="E1756" s="281" t="s">
        <v>1302</v>
      </c>
      <c r="F1756" s="281" t="s">
        <v>2210</v>
      </c>
      <c r="G1756" s="562">
        <f t="shared" si="57"/>
        <v>9900</v>
      </c>
      <c r="H1756" s="562" t="e">
        <f t="shared" si="58"/>
        <v>#VALUE!</v>
      </c>
      <c r="I1756" s="276" t="e">
        <f t="shared" si="59"/>
        <v>#VALUE!</v>
      </c>
    </row>
    <row r="1757" spans="2:9">
      <c r="B1757">
        <v>1</v>
      </c>
      <c r="E1757" s="281" t="s">
        <v>1305</v>
      </c>
      <c r="F1757" s="281" t="s">
        <v>2211</v>
      </c>
      <c r="G1757" s="562">
        <f t="shared" si="57"/>
        <v>6617.76</v>
      </c>
      <c r="H1757" s="562" t="e">
        <f t="shared" si="58"/>
        <v>#VALUE!</v>
      </c>
      <c r="I1757" s="276" t="e">
        <f t="shared" si="59"/>
        <v>#VALUE!</v>
      </c>
    </row>
    <row r="1758" spans="2:9">
      <c r="B1758">
        <v>1</v>
      </c>
      <c r="E1758" s="281" t="s">
        <v>1306</v>
      </c>
      <c r="F1758" s="281" t="s">
        <v>2212</v>
      </c>
      <c r="G1758" s="562">
        <f t="shared" si="57"/>
        <v>2179.06</v>
      </c>
      <c r="H1758" s="562" t="e">
        <f t="shared" si="58"/>
        <v>#VALUE!</v>
      </c>
      <c r="I1758" s="276" t="e">
        <f t="shared" si="59"/>
        <v>#VALUE!</v>
      </c>
    </row>
    <row r="1759" spans="2:9">
      <c r="B1759">
        <v>1</v>
      </c>
      <c r="E1759" s="281" t="s">
        <v>1310</v>
      </c>
      <c r="F1759" s="281" t="s">
        <v>2213</v>
      </c>
      <c r="G1759" s="562">
        <f t="shared" si="57"/>
        <v>3075</v>
      </c>
      <c r="H1759" s="562" t="e">
        <f t="shared" si="58"/>
        <v>#VALUE!</v>
      </c>
      <c r="I1759" s="276" t="e">
        <f t="shared" si="59"/>
        <v>#VALUE!</v>
      </c>
    </row>
    <row r="1760" spans="2:9">
      <c r="B1760">
        <v>1</v>
      </c>
      <c r="E1760" s="281" t="s">
        <v>1312</v>
      </c>
      <c r="F1760" s="281" t="s">
        <v>2214</v>
      </c>
      <c r="G1760" s="562">
        <f t="shared" si="57"/>
        <v>3048</v>
      </c>
      <c r="H1760" s="562" t="e">
        <f t="shared" si="58"/>
        <v>#VALUE!</v>
      </c>
      <c r="I1760" s="276" t="e">
        <f t="shared" si="59"/>
        <v>#VALUE!</v>
      </c>
    </row>
    <row r="1761" spans="2:9">
      <c r="B1761">
        <v>1</v>
      </c>
      <c r="E1761" s="281" t="s">
        <v>1314</v>
      </c>
      <c r="F1761" s="281"/>
      <c r="G1761" s="562">
        <f t="shared" si="57"/>
        <v>0</v>
      </c>
      <c r="H1761" s="562" t="e">
        <f t="shared" si="58"/>
        <v>#VALUE!</v>
      </c>
      <c r="I1761" s="276" t="e">
        <f t="shared" si="59"/>
        <v>#VALUE!</v>
      </c>
    </row>
    <row r="1762" spans="2:9">
      <c r="B1762">
        <v>1</v>
      </c>
      <c r="E1762" s="281" t="s">
        <v>1317</v>
      </c>
      <c r="F1762" s="281" t="s">
        <v>2215</v>
      </c>
      <c r="G1762" s="562">
        <f t="shared" ref="G1762:G1825" si="60">SUMIFS(J:J,C:C,E1762)</f>
        <v>1080</v>
      </c>
      <c r="H1762" s="562" t="e">
        <f t="shared" ref="H1762:H1825" si="61">SUMIFS(M:M,S:S,F1762)</f>
        <v>#VALUE!</v>
      </c>
      <c r="I1762" s="276" t="e">
        <f t="shared" ref="I1762:I1825" si="62">G1762-H1762</f>
        <v>#VALUE!</v>
      </c>
    </row>
    <row r="1763" spans="2:9">
      <c r="B1763">
        <v>1</v>
      </c>
      <c r="E1763" s="281" t="s">
        <v>1319</v>
      </c>
      <c r="F1763" s="281" t="s">
        <v>2216</v>
      </c>
      <c r="G1763" s="562">
        <f t="shared" si="60"/>
        <v>8800</v>
      </c>
      <c r="H1763" s="562" t="e">
        <f t="shared" si="61"/>
        <v>#VALUE!</v>
      </c>
      <c r="I1763" s="276" t="e">
        <f t="shared" si="62"/>
        <v>#VALUE!</v>
      </c>
    </row>
    <row r="1764" spans="2:9">
      <c r="B1764">
        <v>1</v>
      </c>
      <c r="E1764" s="281" t="s">
        <v>1321</v>
      </c>
      <c r="F1764" s="281" t="s">
        <v>2217</v>
      </c>
      <c r="G1764" s="562">
        <f t="shared" si="60"/>
        <v>29318.18</v>
      </c>
      <c r="H1764" s="562" t="e">
        <f t="shared" si="61"/>
        <v>#VALUE!</v>
      </c>
      <c r="I1764" s="276" t="e">
        <f t="shared" si="62"/>
        <v>#VALUE!</v>
      </c>
    </row>
    <row r="1765" spans="2:9">
      <c r="B1765">
        <v>1</v>
      </c>
      <c r="E1765" s="281" t="s">
        <v>1322</v>
      </c>
      <c r="F1765" s="281" t="s">
        <v>2218</v>
      </c>
      <c r="G1765" s="562">
        <f t="shared" si="60"/>
        <v>9565</v>
      </c>
      <c r="H1765" s="562" t="e">
        <f t="shared" si="61"/>
        <v>#VALUE!</v>
      </c>
      <c r="I1765" s="276" t="e">
        <f t="shared" si="62"/>
        <v>#VALUE!</v>
      </c>
    </row>
    <row r="1766" spans="2:9">
      <c r="B1766">
        <v>1</v>
      </c>
      <c r="E1766" s="281" t="s">
        <v>1324</v>
      </c>
      <c r="F1766" s="281" t="s">
        <v>2219</v>
      </c>
      <c r="G1766" s="562">
        <f t="shared" si="60"/>
        <v>1560</v>
      </c>
      <c r="H1766" s="562" t="e">
        <f t="shared" si="61"/>
        <v>#VALUE!</v>
      </c>
      <c r="I1766" s="276" t="e">
        <f t="shared" si="62"/>
        <v>#VALUE!</v>
      </c>
    </row>
    <row r="1767" spans="2:9">
      <c r="B1767">
        <v>1</v>
      </c>
      <c r="E1767" s="281" t="s">
        <v>1326</v>
      </c>
      <c r="F1767" s="281" t="s">
        <v>2220</v>
      </c>
      <c r="G1767" s="562">
        <f t="shared" si="60"/>
        <v>17820</v>
      </c>
      <c r="H1767" s="562" t="e">
        <f t="shared" si="61"/>
        <v>#VALUE!</v>
      </c>
      <c r="I1767" s="276" t="e">
        <f t="shared" si="62"/>
        <v>#VALUE!</v>
      </c>
    </row>
    <row r="1768" spans="2:9">
      <c r="B1768">
        <v>1</v>
      </c>
      <c r="E1768" s="281" t="s">
        <v>1328</v>
      </c>
      <c r="F1768" s="281" t="s">
        <v>2221</v>
      </c>
      <c r="G1768" s="562">
        <f t="shared" si="60"/>
        <v>11547.23</v>
      </c>
      <c r="H1768" s="562" t="e">
        <f t="shared" si="61"/>
        <v>#VALUE!</v>
      </c>
      <c r="I1768" s="276" t="e">
        <f t="shared" si="62"/>
        <v>#VALUE!</v>
      </c>
    </row>
    <row r="1769" spans="2:9">
      <c r="B1769">
        <v>1</v>
      </c>
      <c r="E1769" s="281" t="s">
        <v>1331</v>
      </c>
      <c r="F1769" s="281" t="s">
        <v>2222</v>
      </c>
      <c r="G1769" s="562">
        <f t="shared" si="60"/>
        <v>1840</v>
      </c>
      <c r="H1769" s="562" t="e">
        <f t="shared" si="61"/>
        <v>#VALUE!</v>
      </c>
      <c r="I1769" s="276" t="e">
        <f t="shared" si="62"/>
        <v>#VALUE!</v>
      </c>
    </row>
    <row r="1770" spans="2:9">
      <c r="B1770">
        <v>1</v>
      </c>
      <c r="E1770" s="281" t="s">
        <v>1333</v>
      </c>
      <c r="F1770" s="281" t="s">
        <v>2223</v>
      </c>
      <c r="G1770" s="562">
        <f t="shared" si="60"/>
        <v>17500</v>
      </c>
      <c r="H1770" s="562" t="e">
        <f t="shared" si="61"/>
        <v>#VALUE!</v>
      </c>
      <c r="I1770" s="276" t="e">
        <f t="shared" si="62"/>
        <v>#VALUE!</v>
      </c>
    </row>
    <row r="1771" spans="2:9">
      <c r="B1771">
        <v>1</v>
      </c>
      <c r="E1771" s="281" t="s">
        <v>1336</v>
      </c>
      <c r="F1771" s="281" t="s">
        <v>2224</v>
      </c>
      <c r="G1771" s="562">
        <f t="shared" si="60"/>
        <v>1800</v>
      </c>
      <c r="H1771" s="562" t="e">
        <f t="shared" si="61"/>
        <v>#VALUE!</v>
      </c>
      <c r="I1771" s="276" t="e">
        <f t="shared" si="62"/>
        <v>#VALUE!</v>
      </c>
    </row>
    <row r="1772" spans="2:9">
      <c r="B1772">
        <v>1</v>
      </c>
      <c r="E1772" s="281" t="s">
        <v>1338</v>
      </c>
      <c r="F1772" s="281" t="s">
        <v>2225</v>
      </c>
      <c r="G1772" s="562">
        <f t="shared" si="60"/>
        <v>20626.73</v>
      </c>
      <c r="H1772" s="562" t="e">
        <f t="shared" si="61"/>
        <v>#VALUE!</v>
      </c>
      <c r="I1772" s="276" t="e">
        <f t="shared" si="62"/>
        <v>#VALUE!</v>
      </c>
    </row>
    <row r="1773" spans="2:9">
      <c r="B1773">
        <v>1</v>
      </c>
      <c r="E1773" s="281" t="s">
        <v>1341</v>
      </c>
      <c r="F1773" s="281" t="s">
        <v>2226</v>
      </c>
      <c r="G1773" s="562">
        <f t="shared" si="60"/>
        <v>16308.47</v>
      </c>
      <c r="H1773" s="562" t="e">
        <f t="shared" si="61"/>
        <v>#VALUE!</v>
      </c>
      <c r="I1773" s="276" t="e">
        <f t="shared" si="62"/>
        <v>#VALUE!</v>
      </c>
    </row>
    <row r="1774" spans="2:9">
      <c r="B1774">
        <v>1</v>
      </c>
      <c r="E1774" s="281" t="s">
        <v>1343</v>
      </c>
      <c r="F1774" s="281" t="s">
        <v>2227</v>
      </c>
      <c r="G1774" s="562">
        <f t="shared" si="60"/>
        <v>7200</v>
      </c>
      <c r="H1774" s="562" t="e">
        <f t="shared" si="61"/>
        <v>#VALUE!</v>
      </c>
      <c r="I1774" s="276" t="e">
        <f t="shared" si="62"/>
        <v>#VALUE!</v>
      </c>
    </row>
    <row r="1775" spans="2:9">
      <c r="B1775">
        <v>1</v>
      </c>
      <c r="E1775" s="281" t="s">
        <v>1364</v>
      </c>
      <c r="F1775" s="281" t="s">
        <v>2228</v>
      </c>
      <c r="G1775" s="562">
        <f t="shared" si="60"/>
        <v>12900</v>
      </c>
      <c r="H1775" s="562" t="e">
        <f t="shared" si="61"/>
        <v>#VALUE!</v>
      </c>
      <c r="I1775" s="276" t="e">
        <f t="shared" si="62"/>
        <v>#VALUE!</v>
      </c>
    </row>
    <row r="1776" spans="2:9">
      <c r="B1776">
        <v>1</v>
      </c>
      <c r="E1776" s="281" t="s">
        <v>1365</v>
      </c>
      <c r="F1776" s="281" t="s">
        <v>2229</v>
      </c>
      <c r="G1776" s="562">
        <f t="shared" si="60"/>
        <v>4950</v>
      </c>
      <c r="H1776" s="562" t="e">
        <f t="shared" si="61"/>
        <v>#VALUE!</v>
      </c>
      <c r="I1776" s="276" t="e">
        <f t="shared" si="62"/>
        <v>#VALUE!</v>
      </c>
    </row>
    <row r="1777" spans="2:9">
      <c r="B1777">
        <v>1</v>
      </c>
      <c r="E1777" s="281" t="s">
        <v>1367</v>
      </c>
      <c r="F1777" s="281" t="s">
        <v>2230</v>
      </c>
      <c r="G1777" s="562">
        <f t="shared" si="60"/>
        <v>7830</v>
      </c>
      <c r="H1777" s="562" t="e">
        <f t="shared" si="61"/>
        <v>#VALUE!</v>
      </c>
      <c r="I1777" s="276" t="e">
        <f t="shared" si="62"/>
        <v>#VALUE!</v>
      </c>
    </row>
    <row r="1778" spans="2:9">
      <c r="B1778">
        <v>1</v>
      </c>
      <c r="E1778" s="281" t="s">
        <v>1368</v>
      </c>
      <c r="F1778" s="281" t="s">
        <v>2231</v>
      </c>
      <c r="G1778" s="562">
        <f t="shared" si="60"/>
        <v>27000</v>
      </c>
      <c r="H1778" s="562" t="e">
        <f t="shared" si="61"/>
        <v>#VALUE!</v>
      </c>
      <c r="I1778" s="276" t="e">
        <f t="shared" si="62"/>
        <v>#VALUE!</v>
      </c>
    </row>
    <row r="1779" spans="2:9">
      <c r="B1779">
        <v>1</v>
      </c>
      <c r="E1779" s="281" t="s">
        <v>1370</v>
      </c>
      <c r="F1779" s="281" t="s">
        <v>2232</v>
      </c>
      <c r="G1779" s="562">
        <f t="shared" si="60"/>
        <v>3400</v>
      </c>
      <c r="H1779" s="562" t="e">
        <f t="shared" si="61"/>
        <v>#VALUE!</v>
      </c>
      <c r="I1779" s="276" t="e">
        <f t="shared" si="62"/>
        <v>#VALUE!</v>
      </c>
    </row>
    <row r="1780" spans="2:9">
      <c r="B1780">
        <v>1</v>
      </c>
      <c r="E1780" s="281" t="s">
        <v>1371</v>
      </c>
      <c r="F1780" s="281" t="s">
        <v>2233</v>
      </c>
      <c r="G1780" s="562">
        <f t="shared" si="60"/>
        <v>1800</v>
      </c>
      <c r="H1780" s="562" t="e">
        <f t="shared" si="61"/>
        <v>#VALUE!</v>
      </c>
      <c r="I1780" s="276" t="e">
        <f t="shared" si="62"/>
        <v>#VALUE!</v>
      </c>
    </row>
    <row r="1781" spans="2:9">
      <c r="B1781">
        <v>1</v>
      </c>
      <c r="E1781" s="281" t="s">
        <v>1372</v>
      </c>
      <c r="F1781" s="281" t="s">
        <v>2234</v>
      </c>
      <c r="G1781" s="562">
        <f t="shared" si="60"/>
        <v>39600</v>
      </c>
      <c r="H1781" s="562" t="e">
        <f t="shared" si="61"/>
        <v>#VALUE!</v>
      </c>
      <c r="I1781" s="276" t="e">
        <f t="shared" si="62"/>
        <v>#VALUE!</v>
      </c>
    </row>
    <row r="1782" spans="2:9">
      <c r="B1782">
        <v>1</v>
      </c>
      <c r="E1782" s="281" t="s">
        <v>1373</v>
      </c>
      <c r="F1782" s="281" t="s">
        <v>2235</v>
      </c>
      <c r="G1782" s="562">
        <f t="shared" si="60"/>
        <v>5600</v>
      </c>
      <c r="H1782" s="562" t="e">
        <f t="shared" si="61"/>
        <v>#VALUE!</v>
      </c>
      <c r="I1782" s="276" t="e">
        <f t="shared" si="62"/>
        <v>#VALUE!</v>
      </c>
    </row>
    <row r="1783" spans="2:9">
      <c r="B1783">
        <v>1</v>
      </c>
      <c r="E1783" s="281" t="s">
        <v>1374</v>
      </c>
      <c r="F1783" s="281" t="s">
        <v>2236</v>
      </c>
      <c r="G1783" s="562">
        <f t="shared" si="60"/>
        <v>4032</v>
      </c>
      <c r="H1783" s="562" t="e">
        <f t="shared" si="61"/>
        <v>#VALUE!</v>
      </c>
      <c r="I1783" s="276" t="e">
        <f t="shared" si="62"/>
        <v>#VALUE!</v>
      </c>
    </row>
    <row r="1784" spans="2:9">
      <c r="B1784">
        <v>1</v>
      </c>
      <c r="E1784" s="281" t="s">
        <v>1375</v>
      </c>
      <c r="F1784" s="281" t="s">
        <v>2237</v>
      </c>
      <c r="G1784" s="562">
        <f t="shared" si="60"/>
        <v>22882.230000000003</v>
      </c>
      <c r="H1784" s="562" t="e">
        <f t="shared" si="61"/>
        <v>#VALUE!</v>
      </c>
      <c r="I1784" s="276" t="e">
        <f t="shared" si="62"/>
        <v>#VALUE!</v>
      </c>
    </row>
    <row r="1785" spans="2:9">
      <c r="B1785">
        <v>1</v>
      </c>
      <c r="E1785" s="281" t="s">
        <v>1376</v>
      </c>
      <c r="F1785" s="281" t="s">
        <v>2238</v>
      </c>
      <c r="G1785" s="562">
        <f t="shared" si="60"/>
        <v>2275</v>
      </c>
      <c r="H1785" s="562" t="e">
        <f t="shared" si="61"/>
        <v>#VALUE!</v>
      </c>
      <c r="I1785" s="276" t="e">
        <f t="shared" si="62"/>
        <v>#VALUE!</v>
      </c>
    </row>
    <row r="1786" spans="2:9">
      <c r="B1786">
        <v>1</v>
      </c>
      <c r="E1786" s="281" t="s">
        <v>1377</v>
      </c>
      <c r="F1786" s="281" t="s">
        <v>2239</v>
      </c>
      <c r="G1786" s="562">
        <f t="shared" si="60"/>
        <v>6323</v>
      </c>
      <c r="H1786" s="562" t="e">
        <f t="shared" si="61"/>
        <v>#VALUE!</v>
      </c>
      <c r="I1786" s="276" t="e">
        <f t="shared" si="62"/>
        <v>#VALUE!</v>
      </c>
    </row>
    <row r="1787" spans="2:9">
      <c r="B1787">
        <v>1</v>
      </c>
      <c r="E1787" s="281" t="s">
        <v>1378</v>
      </c>
      <c r="F1787" s="281" t="s">
        <v>2240</v>
      </c>
      <c r="G1787" s="562">
        <f t="shared" si="60"/>
        <v>1242</v>
      </c>
      <c r="H1787" s="562" t="e">
        <f t="shared" si="61"/>
        <v>#VALUE!</v>
      </c>
      <c r="I1787" s="276" t="e">
        <f t="shared" si="62"/>
        <v>#VALUE!</v>
      </c>
    </row>
    <row r="1788" spans="2:9">
      <c r="B1788">
        <v>1</v>
      </c>
      <c r="E1788" s="281" t="s">
        <v>1379</v>
      </c>
      <c r="F1788" s="281" t="s">
        <v>2241</v>
      </c>
      <c r="G1788" s="562">
        <f t="shared" si="60"/>
        <v>170501.47</v>
      </c>
      <c r="H1788" s="562" t="e">
        <f t="shared" si="61"/>
        <v>#VALUE!</v>
      </c>
      <c r="I1788" s="276" t="e">
        <f t="shared" si="62"/>
        <v>#VALUE!</v>
      </c>
    </row>
    <row r="1789" spans="2:9">
      <c r="B1789">
        <v>1</v>
      </c>
      <c r="E1789" s="281" t="s">
        <v>1383</v>
      </c>
      <c r="F1789" s="281" t="s">
        <v>2242</v>
      </c>
      <c r="G1789" s="562">
        <f t="shared" si="60"/>
        <v>7635</v>
      </c>
      <c r="H1789" s="562" t="e">
        <f t="shared" si="61"/>
        <v>#VALUE!</v>
      </c>
      <c r="I1789" s="276" t="e">
        <f t="shared" si="62"/>
        <v>#VALUE!</v>
      </c>
    </row>
    <row r="1790" spans="2:9">
      <c r="B1790">
        <v>1</v>
      </c>
      <c r="E1790" s="281" t="s">
        <v>1385</v>
      </c>
      <c r="F1790" s="281" t="s">
        <v>2243</v>
      </c>
      <c r="G1790" s="562">
        <f t="shared" si="60"/>
        <v>429402.37</v>
      </c>
      <c r="H1790" s="562" t="e">
        <f t="shared" si="61"/>
        <v>#VALUE!</v>
      </c>
      <c r="I1790" s="276" t="e">
        <f t="shared" si="62"/>
        <v>#VALUE!</v>
      </c>
    </row>
    <row r="1791" spans="2:9">
      <c r="B1791">
        <v>1</v>
      </c>
      <c r="E1791" s="281" t="s">
        <v>1386</v>
      </c>
      <c r="F1791" s="281" t="s">
        <v>2244</v>
      </c>
      <c r="G1791" s="562">
        <f t="shared" si="60"/>
        <v>688368.09</v>
      </c>
      <c r="H1791" s="562" t="e">
        <f t="shared" si="61"/>
        <v>#VALUE!</v>
      </c>
      <c r="I1791" s="276" t="e">
        <f t="shared" si="62"/>
        <v>#VALUE!</v>
      </c>
    </row>
    <row r="1792" spans="2:9">
      <c r="B1792">
        <v>1</v>
      </c>
      <c r="E1792" s="281" t="s">
        <v>1387</v>
      </c>
      <c r="F1792" s="281" t="s">
        <v>2245</v>
      </c>
      <c r="G1792" s="562">
        <f t="shared" si="60"/>
        <v>389716.8</v>
      </c>
      <c r="H1792" s="562" t="e">
        <f t="shared" si="61"/>
        <v>#VALUE!</v>
      </c>
      <c r="I1792" s="276" t="e">
        <f t="shared" si="62"/>
        <v>#VALUE!</v>
      </c>
    </row>
    <row r="1793" spans="2:9">
      <c r="B1793">
        <v>1</v>
      </c>
      <c r="E1793" s="281" t="s">
        <v>1388</v>
      </c>
      <c r="F1793" s="281" t="s">
        <v>2246</v>
      </c>
      <c r="G1793" s="562">
        <f t="shared" si="60"/>
        <v>40307.629999999997</v>
      </c>
      <c r="H1793" s="562" t="e">
        <f t="shared" si="61"/>
        <v>#VALUE!</v>
      </c>
      <c r="I1793" s="276" t="e">
        <f t="shared" si="62"/>
        <v>#VALUE!</v>
      </c>
    </row>
    <row r="1794" spans="2:9">
      <c r="B1794">
        <v>1</v>
      </c>
      <c r="E1794" s="281" t="s">
        <v>1389</v>
      </c>
      <c r="F1794" s="281" t="s">
        <v>2247</v>
      </c>
      <c r="G1794" s="562">
        <f t="shared" si="60"/>
        <v>51777.94</v>
      </c>
      <c r="H1794" s="562" t="e">
        <f t="shared" si="61"/>
        <v>#VALUE!</v>
      </c>
      <c r="I1794" s="276" t="e">
        <f t="shared" si="62"/>
        <v>#VALUE!</v>
      </c>
    </row>
    <row r="1795" spans="2:9">
      <c r="B1795">
        <v>1</v>
      </c>
      <c r="E1795" s="281" t="s">
        <v>1391</v>
      </c>
      <c r="F1795" s="281"/>
      <c r="G1795" s="562">
        <f t="shared" si="60"/>
        <v>92085.57</v>
      </c>
      <c r="H1795" s="562" t="e">
        <f t="shared" si="61"/>
        <v>#VALUE!</v>
      </c>
      <c r="I1795" s="276" t="e">
        <f t="shared" si="62"/>
        <v>#VALUE!</v>
      </c>
    </row>
    <row r="1796" spans="2:9">
      <c r="B1796">
        <v>1</v>
      </c>
      <c r="E1796" s="281" t="s">
        <v>1392</v>
      </c>
      <c r="F1796" s="281" t="s">
        <v>2248</v>
      </c>
      <c r="G1796" s="562">
        <f t="shared" si="60"/>
        <v>40307.629999999997</v>
      </c>
      <c r="H1796" s="562" t="e">
        <f t="shared" si="61"/>
        <v>#VALUE!</v>
      </c>
      <c r="I1796" s="276" t="e">
        <f t="shared" si="62"/>
        <v>#VALUE!</v>
      </c>
    </row>
    <row r="1797" spans="2:9">
      <c r="B1797">
        <v>1</v>
      </c>
      <c r="E1797" s="281" t="s">
        <v>1393</v>
      </c>
      <c r="F1797" s="281" t="s">
        <v>2249</v>
      </c>
      <c r="G1797" s="562">
        <f t="shared" si="60"/>
        <v>29300.399999999998</v>
      </c>
      <c r="H1797" s="562" t="e">
        <f t="shared" si="61"/>
        <v>#VALUE!</v>
      </c>
      <c r="I1797" s="276" t="e">
        <f t="shared" si="62"/>
        <v>#VALUE!</v>
      </c>
    </row>
    <row r="1798" spans="2:9">
      <c r="B1798">
        <v>1</v>
      </c>
      <c r="E1798" s="281" t="s">
        <v>1395</v>
      </c>
      <c r="F1798" s="281" t="s">
        <v>2250</v>
      </c>
      <c r="G1798" s="562">
        <f t="shared" si="60"/>
        <v>29300.399999999998</v>
      </c>
      <c r="H1798" s="562" t="e">
        <f t="shared" si="61"/>
        <v>#VALUE!</v>
      </c>
      <c r="I1798" s="276" t="e">
        <f t="shared" si="62"/>
        <v>#VALUE!</v>
      </c>
    </row>
    <row r="1799" spans="2:9">
      <c r="B1799">
        <v>1</v>
      </c>
      <c r="E1799" s="281" t="s">
        <v>1396</v>
      </c>
      <c r="F1799" s="281" t="s">
        <v>2251</v>
      </c>
      <c r="G1799" s="562">
        <f t="shared" si="60"/>
        <v>29300.399999999998</v>
      </c>
      <c r="H1799" s="562" t="e">
        <f t="shared" si="61"/>
        <v>#VALUE!</v>
      </c>
      <c r="I1799" s="276" t="e">
        <f t="shared" si="62"/>
        <v>#VALUE!</v>
      </c>
    </row>
    <row r="1800" spans="2:9">
      <c r="B1800">
        <v>1</v>
      </c>
      <c r="E1800" s="281" t="s">
        <v>1397</v>
      </c>
      <c r="F1800" s="281" t="s">
        <v>2252</v>
      </c>
      <c r="G1800" s="562">
        <f t="shared" si="60"/>
        <v>29300.399999999998</v>
      </c>
      <c r="H1800" s="562" t="e">
        <f t="shared" si="61"/>
        <v>#VALUE!</v>
      </c>
      <c r="I1800" s="276" t="e">
        <f t="shared" si="62"/>
        <v>#VALUE!</v>
      </c>
    </row>
    <row r="1801" spans="2:9">
      <c r="B1801">
        <v>1</v>
      </c>
      <c r="E1801" s="281" t="s">
        <v>1398</v>
      </c>
      <c r="F1801" s="281" t="s">
        <v>2253</v>
      </c>
      <c r="G1801" s="562">
        <f t="shared" si="60"/>
        <v>29300.399999999998</v>
      </c>
      <c r="H1801" s="562" t="e">
        <f t="shared" si="61"/>
        <v>#VALUE!</v>
      </c>
      <c r="I1801" s="276" t="e">
        <f t="shared" si="62"/>
        <v>#VALUE!</v>
      </c>
    </row>
    <row r="1802" spans="2:9">
      <c r="B1802">
        <v>1</v>
      </c>
      <c r="E1802" s="281" t="s">
        <v>1400</v>
      </c>
      <c r="F1802" s="281" t="s">
        <v>2254</v>
      </c>
      <c r="G1802" s="562">
        <f t="shared" si="60"/>
        <v>29300.399999999998</v>
      </c>
      <c r="H1802" s="562" t="e">
        <f t="shared" si="61"/>
        <v>#VALUE!</v>
      </c>
      <c r="I1802" s="276" t="e">
        <f t="shared" si="62"/>
        <v>#VALUE!</v>
      </c>
    </row>
    <row r="1803" spans="2:9">
      <c r="B1803">
        <v>1</v>
      </c>
      <c r="E1803" s="281" t="s">
        <v>1401</v>
      </c>
      <c r="F1803" s="281" t="s">
        <v>2255</v>
      </c>
      <c r="G1803" s="562">
        <f t="shared" si="60"/>
        <v>2049964.0999999999</v>
      </c>
      <c r="H1803" s="562" t="e">
        <f t="shared" si="61"/>
        <v>#VALUE!</v>
      </c>
      <c r="I1803" s="276" t="e">
        <f t="shared" si="62"/>
        <v>#VALUE!</v>
      </c>
    </row>
    <row r="1804" spans="2:9">
      <c r="B1804">
        <v>1</v>
      </c>
      <c r="E1804" s="281" t="s">
        <v>1402</v>
      </c>
      <c r="F1804" s="281" t="s">
        <v>2256</v>
      </c>
      <c r="G1804" s="562">
        <f t="shared" si="60"/>
        <v>470812.07</v>
      </c>
      <c r="H1804" s="562" t="e">
        <f t="shared" si="61"/>
        <v>#VALUE!</v>
      </c>
      <c r="I1804" s="276" t="e">
        <f t="shared" si="62"/>
        <v>#VALUE!</v>
      </c>
    </row>
    <row r="1805" spans="2:9">
      <c r="B1805">
        <v>1</v>
      </c>
      <c r="E1805" s="281" t="s">
        <v>1403</v>
      </c>
      <c r="F1805" s="281" t="s">
        <v>2257</v>
      </c>
      <c r="G1805" s="562">
        <f t="shared" si="60"/>
        <v>40307.629999999997</v>
      </c>
      <c r="H1805" s="562" t="e">
        <f t="shared" si="61"/>
        <v>#VALUE!</v>
      </c>
      <c r="I1805" s="276" t="e">
        <f t="shared" si="62"/>
        <v>#VALUE!</v>
      </c>
    </row>
    <row r="1806" spans="2:9">
      <c r="B1806">
        <v>1</v>
      </c>
      <c r="E1806" s="281" t="s">
        <v>1405</v>
      </c>
      <c r="F1806" s="281" t="s">
        <v>2258</v>
      </c>
      <c r="G1806" s="562">
        <f t="shared" si="60"/>
        <v>29300.399999999998</v>
      </c>
      <c r="H1806" s="562" t="e">
        <f t="shared" si="61"/>
        <v>#VALUE!</v>
      </c>
      <c r="I1806" s="276" t="e">
        <f t="shared" si="62"/>
        <v>#VALUE!</v>
      </c>
    </row>
    <row r="1807" spans="2:9">
      <c r="B1807">
        <v>1</v>
      </c>
      <c r="E1807" s="281" t="s">
        <v>1407</v>
      </c>
      <c r="F1807" s="281" t="s">
        <v>2259</v>
      </c>
      <c r="G1807" s="562">
        <f t="shared" si="60"/>
        <v>2016</v>
      </c>
      <c r="H1807" s="562" t="e">
        <f t="shared" si="61"/>
        <v>#VALUE!</v>
      </c>
      <c r="I1807" s="276" t="e">
        <f t="shared" si="62"/>
        <v>#VALUE!</v>
      </c>
    </row>
    <row r="1808" spans="2:9">
      <c r="B1808">
        <v>1</v>
      </c>
      <c r="E1808" s="281" t="s">
        <v>1409</v>
      </c>
      <c r="F1808" s="281" t="s">
        <v>2260</v>
      </c>
      <c r="G1808" s="562">
        <f t="shared" si="60"/>
        <v>1344</v>
      </c>
      <c r="H1808" s="562" t="e">
        <f t="shared" si="61"/>
        <v>#VALUE!</v>
      </c>
      <c r="I1808" s="276" t="e">
        <f t="shared" si="62"/>
        <v>#VALUE!</v>
      </c>
    </row>
    <row r="1809" spans="2:9">
      <c r="B1809">
        <v>1</v>
      </c>
      <c r="E1809" s="281" t="s">
        <v>1410</v>
      </c>
      <c r="F1809" s="281" t="s">
        <v>2261</v>
      </c>
      <c r="G1809" s="562">
        <f t="shared" si="60"/>
        <v>1651.12</v>
      </c>
      <c r="H1809" s="562" t="e">
        <f t="shared" si="61"/>
        <v>#VALUE!</v>
      </c>
      <c r="I1809" s="276" t="e">
        <f t="shared" si="62"/>
        <v>#VALUE!</v>
      </c>
    </row>
    <row r="1810" spans="2:9">
      <c r="B1810">
        <v>1</v>
      </c>
      <c r="E1810" s="281" t="s">
        <v>1412</v>
      </c>
      <c r="F1810" s="281" t="s">
        <v>2262</v>
      </c>
      <c r="G1810" s="562">
        <f t="shared" si="60"/>
        <v>29300.399999999998</v>
      </c>
      <c r="H1810" s="562" t="e">
        <f t="shared" si="61"/>
        <v>#VALUE!</v>
      </c>
      <c r="I1810" s="276" t="e">
        <f t="shared" si="62"/>
        <v>#VALUE!</v>
      </c>
    </row>
    <row r="1811" spans="2:9">
      <c r="B1811">
        <v>1</v>
      </c>
      <c r="E1811" s="281" t="s">
        <v>1413</v>
      </c>
      <c r="F1811" s="281" t="s">
        <v>2263</v>
      </c>
      <c r="G1811" s="562">
        <f t="shared" si="60"/>
        <v>92085.57</v>
      </c>
      <c r="H1811" s="562" t="e">
        <f t="shared" si="61"/>
        <v>#VALUE!</v>
      </c>
      <c r="I1811" s="276" t="e">
        <f t="shared" si="62"/>
        <v>#VALUE!</v>
      </c>
    </row>
    <row r="1812" spans="2:9">
      <c r="B1812">
        <v>1</v>
      </c>
      <c r="E1812" s="281" t="s">
        <v>1414</v>
      </c>
      <c r="F1812" s="281" t="s">
        <v>2264</v>
      </c>
      <c r="G1812" s="562">
        <f t="shared" si="60"/>
        <v>666486.65999999992</v>
      </c>
      <c r="H1812" s="562" t="e">
        <f t="shared" si="61"/>
        <v>#VALUE!</v>
      </c>
      <c r="I1812" s="276" t="e">
        <f t="shared" si="62"/>
        <v>#VALUE!</v>
      </c>
    </row>
    <row r="1813" spans="2:9">
      <c r="B1813">
        <v>1</v>
      </c>
      <c r="E1813" s="281" t="s">
        <v>1415</v>
      </c>
      <c r="F1813" s="281" t="s">
        <v>2265</v>
      </c>
      <c r="G1813" s="562">
        <f t="shared" si="60"/>
        <v>0</v>
      </c>
      <c r="H1813" s="562" t="e">
        <f t="shared" si="61"/>
        <v>#VALUE!</v>
      </c>
      <c r="I1813" s="276" t="e">
        <f t="shared" si="62"/>
        <v>#VALUE!</v>
      </c>
    </row>
    <row r="1814" spans="2:9">
      <c r="B1814">
        <v>1</v>
      </c>
      <c r="E1814" s="281" t="s">
        <v>1417</v>
      </c>
      <c r="F1814" s="281" t="s">
        <v>2266</v>
      </c>
      <c r="G1814" s="562">
        <f t="shared" si="60"/>
        <v>22000</v>
      </c>
      <c r="H1814" s="562" t="e">
        <f t="shared" si="61"/>
        <v>#VALUE!</v>
      </c>
      <c r="I1814" s="276" t="e">
        <f t="shared" si="62"/>
        <v>#VALUE!</v>
      </c>
    </row>
    <row r="1815" spans="2:9">
      <c r="B1815">
        <v>1</v>
      </c>
      <c r="E1815" s="281" t="s">
        <v>1420</v>
      </c>
      <c r="F1815" s="281" t="s">
        <v>2267</v>
      </c>
      <c r="G1815" s="562">
        <f t="shared" si="60"/>
        <v>14000</v>
      </c>
      <c r="H1815" s="562" t="e">
        <f t="shared" si="61"/>
        <v>#VALUE!</v>
      </c>
      <c r="I1815" s="276" t="e">
        <f t="shared" si="62"/>
        <v>#VALUE!</v>
      </c>
    </row>
    <row r="1816" spans="2:9">
      <c r="B1816">
        <v>1</v>
      </c>
      <c r="E1816" s="281" t="s">
        <v>1422</v>
      </c>
      <c r="F1816" s="281" t="s">
        <v>2268</v>
      </c>
      <c r="G1816" s="562">
        <f t="shared" si="60"/>
        <v>7873</v>
      </c>
      <c r="H1816" s="562" t="e">
        <f t="shared" si="61"/>
        <v>#VALUE!</v>
      </c>
      <c r="I1816" s="276" t="e">
        <f t="shared" si="62"/>
        <v>#VALUE!</v>
      </c>
    </row>
    <row r="1817" spans="2:9">
      <c r="B1817">
        <v>1</v>
      </c>
      <c r="E1817" s="281" t="s">
        <v>1424</v>
      </c>
      <c r="F1817" s="281" t="s">
        <v>2269</v>
      </c>
      <c r="G1817" s="562">
        <f t="shared" si="60"/>
        <v>640000</v>
      </c>
      <c r="H1817" s="562" t="e">
        <f t="shared" si="61"/>
        <v>#VALUE!</v>
      </c>
      <c r="I1817" s="276" t="e">
        <f t="shared" si="62"/>
        <v>#VALUE!</v>
      </c>
    </row>
    <row r="1818" spans="2:9">
      <c r="B1818">
        <v>1</v>
      </c>
      <c r="E1818" s="281" t="s">
        <v>1425</v>
      </c>
      <c r="F1818" s="281" t="s">
        <v>2270</v>
      </c>
      <c r="G1818" s="562">
        <f t="shared" si="60"/>
        <v>160000</v>
      </c>
      <c r="H1818" s="562" t="e">
        <f t="shared" si="61"/>
        <v>#VALUE!</v>
      </c>
      <c r="I1818" s="276" t="e">
        <f t="shared" si="62"/>
        <v>#VALUE!</v>
      </c>
    </row>
    <row r="1819" spans="2:9">
      <c r="B1819">
        <v>1</v>
      </c>
      <c r="E1819" s="281" t="s">
        <v>1426</v>
      </c>
      <c r="F1819" s="281" t="s">
        <v>2271</v>
      </c>
      <c r="G1819" s="562">
        <f t="shared" si="60"/>
        <v>119634</v>
      </c>
      <c r="H1819" s="562" t="e">
        <f t="shared" si="61"/>
        <v>#VALUE!</v>
      </c>
      <c r="I1819" s="276" t="e">
        <f t="shared" si="62"/>
        <v>#VALUE!</v>
      </c>
    </row>
    <row r="1820" spans="2:9">
      <c r="B1820">
        <v>1</v>
      </c>
      <c r="E1820" s="281" t="s">
        <v>1427</v>
      </c>
      <c r="F1820" s="281" t="s">
        <v>2272</v>
      </c>
      <c r="G1820" s="562">
        <f t="shared" si="60"/>
        <v>94707.14</v>
      </c>
      <c r="H1820" s="562" t="e">
        <f t="shared" si="61"/>
        <v>#VALUE!</v>
      </c>
      <c r="I1820" s="276" t="e">
        <f t="shared" si="62"/>
        <v>#VALUE!</v>
      </c>
    </row>
    <row r="1821" spans="2:9">
      <c r="B1821">
        <v>1</v>
      </c>
      <c r="E1821" s="281" t="s">
        <v>1428</v>
      </c>
      <c r="F1821" s="281" t="s">
        <v>2273</v>
      </c>
      <c r="G1821" s="562">
        <f t="shared" si="60"/>
        <v>11000</v>
      </c>
      <c r="H1821" s="562" t="e">
        <f t="shared" si="61"/>
        <v>#VALUE!</v>
      </c>
      <c r="I1821" s="276" t="e">
        <f t="shared" si="62"/>
        <v>#VALUE!</v>
      </c>
    </row>
    <row r="1822" spans="2:9">
      <c r="B1822">
        <v>1</v>
      </c>
      <c r="E1822" s="281" t="s">
        <v>1430</v>
      </c>
      <c r="F1822" s="281" t="s">
        <v>2274</v>
      </c>
      <c r="G1822" s="562">
        <f t="shared" si="60"/>
        <v>3760</v>
      </c>
      <c r="H1822" s="562" t="e">
        <f t="shared" si="61"/>
        <v>#VALUE!</v>
      </c>
      <c r="I1822" s="276" t="e">
        <f t="shared" si="62"/>
        <v>#VALUE!</v>
      </c>
    </row>
    <row r="1823" spans="2:9">
      <c r="B1823">
        <v>1</v>
      </c>
      <c r="E1823" s="281" t="s">
        <v>1432</v>
      </c>
      <c r="F1823" s="281" t="s">
        <v>2275</v>
      </c>
      <c r="G1823" s="562">
        <f t="shared" si="60"/>
        <v>800</v>
      </c>
      <c r="H1823" s="562" t="e">
        <f t="shared" si="61"/>
        <v>#VALUE!</v>
      </c>
      <c r="I1823" s="276" t="e">
        <f t="shared" si="62"/>
        <v>#VALUE!</v>
      </c>
    </row>
    <row r="1824" spans="2:9">
      <c r="B1824">
        <v>1</v>
      </c>
      <c r="E1824" s="281" t="s">
        <v>1435</v>
      </c>
      <c r="F1824" s="281" t="s">
        <v>2276</v>
      </c>
      <c r="G1824" s="562">
        <f t="shared" si="60"/>
        <v>30000</v>
      </c>
      <c r="H1824" s="562" t="e">
        <f t="shared" si="61"/>
        <v>#VALUE!</v>
      </c>
      <c r="I1824" s="276" t="e">
        <f t="shared" si="62"/>
        <v>#VALUE!</v>
      </c>
    </row>
    <row r="1825" spans="2:9">
      <c r="B1825">
        <v>1</v>
      </c>
      <c r="E1825" s="281" t="s">
        <v>1438</v>
      </c>
      <c r="F1825" s="281" t="s">
        <v>2277</v>
      </c>
      <c r="G1825" s="562">
        <f t="shared" si="60"/>
        <v>216000</v>
      </c>
      <c r="H1825" s="562" t="e">
        <f t="shared" si="61"/>
        <v>#VALUE!</v>
      </c>
      <c r="I1825" s="276" t="e">
        <f t="shared" si="62"/>
        <v>#VALUE!</v>
      </c>
    </row>
    <row r="1826" spans="2:9">
      <c r="B1826">
        <v>1</v>
      </c>
      <c r="E1826" s="281" t="s">
        <v>1440</v>
      </c>
      <c r="F1826" s="281" t="s">
        <v>2278</v>
      </c>
      <c r="G1826" s="562">
        <f t="shared" ref="G1826:G1889" si="63">SUMIFS(J:J,C:C,E1826)</f>
        <v>60000</v>
      </c>
      <c r="H1826" s="562" t="e">
        <f t="shared" ref="H1826:H1889" si="64">SUMIFS(M:M,S:S,F1826)</f>
        <v>#VALUE!</v>
      </c>
      <c r="I1826" s="276" t="e">
        <f t="shared" ref="I1826:I1889" si="65">G1826-H1826</f>
        <v>#VALUE!</v>
      </c>
    </row>
    <row r="1827" spans="2:9">
      <c r="B1827">
        <v>1</v>
      </c>
      <c r="E1827" s="281" t="s">
        <v>1441</v>
      </c>
      <c r="F1827" s="281" t="s">
        <v>2279</v>
      </c>
      <c r="G1827" s="562">
        <f t="shared" si="63"/>
        <v>60000</v>
      </c>
      <c r="H1827" s="562" t="e">
        <f t="shared" si="64"/>
        <v>#VALUE!</v>
      </c>
      <c r="I1827" s="276" t="e">
        <f t="shared" si="65"/>
        <v>#VALUE!</v>
      </c>
    </row>
    <row r="1828" spans="2:9">
      <c r="B1828">
        <v>1</v>
      </c>
      <c r="E1828" s="281" t="s">
        <v>1442</v>
      </c>
      <c r="F1828" s="281" t="s">
        <v>2280</v>
      </c>
      <c r="G1828" s="562">
        <f t="shared" si="63"/>
        <v>66000</v>
      </c>
      <c r="H1828" s="562" t="e">
        <f t="shared" si="64"/>
        <v>#VALUE!</v>
      </c>
      <c r="I1828" s="276" t="e">
        <f t="shared" si="65"/>
        <v>#VALUE!</v>
      </c>
    </row>
    <row r="1829" spans="2:9">
      <c r="B1829">
        <v>1</v>
      </c>
      <c r="E1829" s="281" t="s">
        <v>1443</v>
      </c>
      <c r="F1829" s="281" t="s">
        <v>2281</v>
      </c>
      <c r="G1829" s="562">
        <f t="shared" si="63"/>
        <v>72000</v>
      </c>
      <c r="H1829" s="562" t="e">
        <f t="shared" si="64"/>
        <v>#VALUE!</v>
      </c>
      <c r="I1829" s="276" t="e">
        <f t="shared" si="65"/>
        <v>#VALUE!</v>
      </c>
    </row>
    <row r="1830" spans="2:9">
      <c r="B1830">
        <v>1</v>
      </c>
      <c r="E1830" s="281" t="s">
        <v>1444</v>
      </c>
      <c r="F1830" s="281" t="s">
        <v>2282</v>
      </c>
      <c r="G1830" s="562">
        <f t="shared" si="63"/>
        <v>48000</v>
      </c>
      <c r="H1830" s="562" t="e">
        <f t="shared" si="64"/>
        <v>#VALUE!</v>
      </c>
      <c r="I1830" s="276" t="e">
        <f t="shared" si="65"/>
        <v>#VALUE!</v>
      </c>
    </row>
    <row r="1831" spans="2:9">
      <c r="B1831">
        <v>1</v>
      </c>
      <c r="E1831" s="281" t="s">
        <v>1445</v>
      </c>
      <c r="F1831" s="281" t="s">
        <v>2283</v>
      </c>
      <c r="G1831" s="562">
        <f t="shared" si="63"/>
        <v>3500</v>
      </c>
      <c r="H1831" s="562" t="e">
        <f t="shared" si="64"/>
        <v>#VALUE!</v>
      </c>
      <c r="I1831" s="276" t="e">
        <f t="shared" si="65"/>
        <v>#VALUE!</v>
      </c>
    </row>
    <row r="1832" spans="2:9">
      <c r="B1832">
        <v>1</v>
      </c>
      <c r="E1832" s="281" t="s">
        <v>1448</v>
      </c>
      <c r="F1832" s="281" t="s">
        <v>2284</v>
      </c>
      <c r="G1832" s="562">
        <f t="shared" si="63"/>
        <v>976560</v>
      </c>
      <c r="H1832" s="562" t="e">
        <f t="shared" si="64"/>
        <v>#VALUE!</v>
      </c>
      <c r="I1832" s="276" t="e">
        <f t="shared" si="65"/>
        <v>#VALUE!</v>
      </c>
    </row>
    <row r="1833" spans="2:9">
      <c r="B1833">
        <v>1</v>
      </c>
      <c r="E1833" s="281" t="s">
        <v>1451</v>
      </c>
      <c r="F1833" s="281" t="s">
        <v>2285</v>
      </c>
      <c r="G1833" s="562">
        <f t="shared" si="63"/>
        <v>2000</v>
      </c>
      <c r="H1833" s="562" t="e">
        <f t="shared" si="64"/>
        <v>#VALUE!</v>
      </c>
      <c r="I1833" s="276" t="e">
        <f t="shared" si="65"/>
        <v>#VALUE!</v>
      </c>
    </row>
    <row r="1834" spans="2:9">
      <c r="B1834">
        <v>1</v>
      </c>
      <c r="E1834" s="281" t="s">
        <v>1453</v>
      </c>
      <c r="F1834" s="281" t="s">
        <v>2286</v>
      </c>
      <c r="G1834" s="562">
        <f t="shared" si="63"/>
        <v>70905.22</v>
      </c>
      <c r="H1834" s="562" t="e">
        <f t="shared" si="64"/>
        <v>#VALUE!</v>
      </c>
      <c r="I1834" s="276" t="e">
        <f t="shared" si="65"/>
        <v>#VALUE!</v>
      </c>
    </row>
    <row r="1835" spans="2:9">
      <c r="B1835">
        <v>1</v>
      </c>
      <c r="E1835" s="281" t="s">
        <v>1455</v>
      </c>
      <c r="F1835" s="281" t="s">
        <v>2287</v>
      </c>
      <c r="G1835" s="562">
        <f t="shared" si="63"/>
        <v>82098.38</v>
      </c>
      <c r="H1835" s="562" t="e">
        <f t="shared" si="64"/>
        <v>#VALUE!</v>
      </c>
      <c r="I1835" s="276" t="e">
        <f t="shared" si="65"/>
        <v>#VALUE!</v>
      </c>
    </row>
    <row r="1836" spans="2:9">
      <c r="B1836">
        <v>1</v>
      </c>
      <c r="E1836" s="281" t="s">
        <v>1457</v>
      </c>
      <c r="F1836" s="281" t="s">
        <v>2288</v>
      </c>
      <c r="G1836" s="562">
        <f t="shared" si="63"/>
        <v>9600</v>
      </c>
      <c r="H1836" s="562" t="e">
        <f t="shared" si="64"/>
        <v>#VALUE!</v>
      </c>
      <c r="I1836" s="276" t="e">
        <f t="shared" si="65"/>
        <v>#VALUE!</v>
      </c>
    </row>
    <row r="1837" spans="2:9">
      <c r="B1837">
        <v>1</v>
      </c>
      <c r="E1837" s="281" t="s">
        <v>1459</v>
      </c>
      <c r="F1837" s="281" t="s">
        <v>2289</v>
      </c>
      <c r="G1837" s="562">
        <f t="shared" si="63"/>
        <v>10000</v>
      </c>
      <c r="H1837" s="562" t="e">
        <f t="shared" si="64"/>
        <v>#VALUE!</v>
      </c>
      <c r="I1837" s="276" t="e">
        <f t="shared" si="65"/>
        <v>#VALUE!</v>
      </c>
    </row>
    <row r="1838" spans="2:9">
      <c r="B1838">
        <v>1</v>
      </c>
      <c r="E1838" s="281" t="s">
        <v>1461</v>
      </c>
      <c r="F1838" s="281" t="s">
        <v>2290</v>
      </c>
      <c r="G1838" s="562">
        <f t="shared" si="63"/>
        <v>10000</v>
      </c>
      <c r="H1838" s="562" t="e">
        <f t="shared" si="64"/>
        <v>#VALUE!</v>
      </c>
      <c r="I1838" s="276" t="e">
        <f t="shared" si="65"/>
        <v>#VALUE!</v>
      </c>
    </row>
    <row r="1839" spans="2:9">
      <c r="B1839">
        <v>1</v>
      </c>
      <c r="E1839" s="281" t="s">
        <v>1464</v>
      </c>
      <c r="F1839" s="281" t="s">
        <v>2291</v>
      </c>
      <c r="G1839" s="562">
        <f t="shared" si="63"/>
        <v>6320</v>
      </c>
      <c r="H1839" s="562" t="e">
        <f t="shared" si="64"/>
        <v>#VALUE!</v>
      </c>
      <c r="I1839" s="276" t="e">
        <f t="shared" si="65"/>
        <v>#VALUE!</v>
      </c>
    </row>
    <row r="1840" spans="2:9">
      <c r="B1840">
        <v>1</v>
      </c>
      <c r="E1840" s="281" t="s">
        <v>1466</v>
      </c>
      <c r="F1840" s="281" t="s">
        <v>2292</v>
      </c>
      <c r="G1840" s="562">
        <f t="shared" si="63"/>
        <v>2800</v>
      </c>
      <c r="H1840" s="562" t="e">
        <f t="shared" si="64"/>
        <v>#VALUE!</v>
      </c>
      <c r="I1840" s="276" t="e">
        <f t="shared" si="65"/>
        <v>#VALUE!</v>
      </c>
    </row>
    <row r="1841" spans="2:9">
      <c r="B1841">
        <v>1</v>
      </c>
      <c r="E1841" s="281" t="s">
        <v>1468</v>
      </c>
      <c r="F1841" s="281" t="s">
        <v>2293</v>
      </c>
      <c r="G1841" s="562">
        <f t="shared" si="63"/>
        <v>5390.81</v>
      </c>
      <c r="H1841" s="562" t="e">
        <f t="shared" si="64"/>
        <v>#VALUE!</v>
      </c>
      <c r="I1841" s="276" t="e">
        <f t="shared" si="65"/>
        <v>#VALUE!</v>
      </c>
    </row>
    <row r="1842" spans="2:9">
      <c r="B1842">
        <v>1</v>
      </c>
      <c r="E1842" s="281" t="s">
        <v>1469</v>
      </c>
      <c r="F1842" s="281" t="s">
        <v>2294</v>
      </c>
      <c r="G1842" s="562">
        <f t="shared" si="63"/>
        <v>13600</v>
      </c>
      <c r="H1842" s="562" t="e">
        <f t="shared" si="64"/>
        <v>#VALUE!</v>
      </c>
      <c r="I1842" s="276" t="e">
        <f t="shared" si="65"/>
        <v>#VALUE!</v>
      </c>
    </row>
    <row r="1843" spans="2:9">
      <c r="B1843">
        <v>1</v>
      </c>
      <c r="E1843" s="281" t="s">
        <v>1470</v>
      </c>
      <c r="F1843" s="281" t="s">
        <v>2295</v>
      </c>
      <c r="G1843" s="562">
        <f t="shared" si="63"/>
        <v>40369.5</v>
      </c>
      <c r="H1843" s="562" t="e">
        <f t="shared" si="64"/>
        <v>#VALUE!</v>
      </c>
      <c r="I1843" s="276" t="e">
        <f t="shared" si="65"/>
        <v>#VALUE!</v>
      </c>
    </row>
    <row r="1844" spans="2:9">
      <c r="B1844">
        <v>1</v>
      </c>
      <c r="E1844" s="281" t="s">
        <v>1471</v>
      </c>
      <c r="F1844" s="281" t="s">
        <v>2296</v>
      </c>
      <c r="G1844" s="562">
        <f t="shared" si="63"/>
        <v>12300</v>
      </c>
      <c r="H1844" s="562" t="e">
        <f t="shared" si="64"/>
        <v>#VALUE!</v>
      </c>
      <c r="I1844" s="276" t="e">
        <f t="shared" si="65"/>
        <v>#VALUE!</v>
      </c>
    </row>
    <row r="1845" spans="2:9">
      <c r="B1845">
        <v>1</v>
      </c>
      <c r="E1845" s="281" t="s">
        <v>1472</v>
      </c>
      <c r="F1845" s="281" t="s">
        <v>2297</v>
      </c>
      <c r="G1845" s="562">
        <f t="shared" si="63"/>
        <v>18421.13</v>
      </c>
      <c r="H1845" s="562" t="e">
        <f t="shared" si="64"/>
        <v>#VALUE!</v>
      </c>
      <c r="I1845" s="276" t="e">
        <f t="shared" si="65"/>
        <v>#VALUE!</v>
      </c>
    </row>
    <row r="1846" spans="2:9">
      <c r="B1846">
        <v>1</v>
      </c>
      <c r="E1846" s="281" t="s">
        <v>1473</v>
      </c>
      <c r="F1846" s="281" t="s">
        <v>2298</v>
      </c>
      <c r="G1846" s="562">
        <f t="shared" si="63"/>
        <v>920</v>
      </c>
      <c r="H1846" s="562" t="e">
        <f t="shared" si="64"/>
        <v>#VALUE!</v>
      </c>
      <c r="I1846" s="276" t="e">
        <f t="shared" si="65"/>
        <v>#VALUE!</v>
      </c>
    </row>
    <row r="1847" spans="2:9">
      <c r="B1847">
        <v>1</v>
      </c>
      <c r="E1847" s="281" t="s">
        <v>1479</v>
      </c>
      <c r="F1847" s="281" t="s">
        <v>2299</v>
      </c>
      <c r="G1847" s="562">
        <f t="shared" si="63"/>
        <v>2486</v>
      </c>
      <c r="H1847" s="562" t="e">
        <f t="shared" si="64"/>
        <v>#VALUE!</v>
      </c>
      <c r="I1847" s="276" t="e">
        <f t="shared" si="65"/>
        <v>#VALUE!</v>
      </c>
    </row>
    <row r="1848" spans="2:9">
      <c r="B1848">
        <v>1</v>
      </c>
      <c r="E1848" s="281" t="s">
        <v>1482</v>
      </c>
      <c r="F1848" s="281" t="s">
        <v>2300</v>
      </c>
      <c r="G1848" s="562">
        <f t="shared" si="63"/>
        <v>1200</v>
      </c>
      <c r="H1848" s="562" t="e">
        <f t="shared" si="64"/>
        <v>#VALUE!</v>
      </c>
      <c r="I1848" s="276" t="e">
        <f t="shared" si="65"/>
        <v>#VALUE!</v>
      </c>
    </row>
    <row r="1849" spans="2:9">
      <c r="B1849">
        <v>1</v>
      </c>
      <c r="E1849" s="281" t="s">
        <v>1484</v>
      </c>
      <c r="F1849" s="281" t="s">
        <v>2301</v>
      </c>
      <c r="G1849" s="562">
        <f t="shared" si="63"/>
        <v>13034</v>
      </c>
      <c r="H1849" s="562" t="e">
        <f t="shared" si="64"/>
        <v>#VALUE!</v>
      </c>
      <c r="I1849" s="276" t="e">
        <f t="shared" si="65"/>
        <v>#VALUE!</v>
      </c>
    </row>
    <row r="1850" spans="2:9">
      <c r="B1850">
        <v>1</v>
      </c>
      <c r="E1850" s="281" t="s">
        <v>1485</v>
      </c>
      <c r="F1850" s="281" t="s">
        <v>2302</v>
      </c>
      <c r="G1850" s="562">
        <f t="shared" si="63"/>
        <v>21301.64</v>
      </c>
      <c r="H1850" s="562" t="e">
        <f t="shared" si="64"/>
        <v>#VALUE!</v>
      </c>
      <c r="I1850" s="276" t="e">
        <f t="shared" si="65"/>
        <v>#VALUE!</v>
      </c>
    </row>
    <row r="1851" spans="2:9">
      <c r="B1851">
        <v>1</v>
      </c>
      <c r="E1851" s="281" t="s">
        <v>1486</v>
      </c>
      <c r="F1851" s="281" t="s">
        <v>2303</v>
      </c>
      <c r="G1851" s="562">
        <f t="shared" si="63"/>
        <v>1200</v>
      </c>
      <c r="H1851" s="562" t="e">
        <f t="shared" si="64"/>
        <v>#VALUE!</v>
      </c>
      <c r="I1851" s="276" t="e">
        <f t="shared" si="65"/>
        <v>#VALUE!</v>
      </c>
    </row>
    <row r="1852" spans="2:9">
      <c r="B1852">
        <v>1</v>
      </c>
      <c r="E1852" s="281" t="s">
        <v>1488</v>
      </c>
      <c r="F1852" s="281" t="s">
        <v>2304</v>
      </c>
      <c r="G1852" s="562">
        <f t="shared" si="63"/>
        <v>1500</v>
      </c>
      <c r="H1852" s="562" t="e">
        <f t="shared" si="64"/>
        <v>#VALUE!</v>
      </c>
      <c r="I1852" s="276" t="e">
        <f t="shared" si="65"/>
        <v>#VALUE!</v>
      </c>
    </row>
    <row r="1853" spans="2:9">
      <c r="B1853">
        <v>1</v>
      </c>
      <c r="E1853" s="281" t="s">
        <v>1490</v>
      </c>
      <c r="F1853" s="281" t="s">
        <v>2305</v>
      </c>
      <c r="G1853" s="562">
        <f t="shared" si="63"/>
        <v>350</v>
      </c>
      <c r="H1853" s="562" t="e">
        <f t="shared" si="64"/>
        <v>#VALUE!</v>
      </c>
      <c r="I1853" s="276" t="e">
        <f t="shared" si="65"/>
        <v>#VALUE!</v>
      </c>
    </row>
    <row r="1854" spans="2:9">
      <c r="B1854">
        <v>1</v>
      </c>
      <c r="E1854" s="281" t="s">
        <v>1492</v>
      </c>
      <c r="F1854" s="281" t="s">
        <v>2306</v>
      </c>
      <c r="G1854" s="562">
        <f t="shared" si="63"/>
        <v>3800</v>
      </c>
      <c r="H1854" s="562" t="e">
        <f t="shared" si="64"/>
        <v>#VALUE!</v>
      </c>
      <c r="I1854" s="276" t="e">
        <f t="shared" si="65"/>
        <v>#VALUE!</v>
      </c>
    </row>
    <row r="1855" spans="2:9">
      <c r="B1855">
        <v>1</v>
      </c>
      <c r="E1855" s="281" t="s">
        <v>1494</v>
      </c>
      <c r="F1855" s="281" t="s">
        <v>2307</v>
      </c>
      <c r="G1855" s="562">
        <f t="shared" si="63"/>
        <v>31800</v>
      </c>
      <c r="H1855" s="562" t="e">
        <f t="shared" si="64"/>
        <v>#VALUE!</v>
      </c>
      <c r="I1855" s="276" t="e">
        <f t="shared" si="65"/>
        <v>#VALUE!</v>
      </c>
    </row>
    <row r="1856" spans="2:9">
      <c r="B1856">
        <v>1</v>
      </c>
      <c r="E1856" s="281" t="s">
        <v>1496</v>
      </c>
      <c r="F1856" s="281" t="s">
        <v>2308</v>
      </c>
      <c r="G1856" s="562">
        <f t="shared" si="63"/>
        <v>480</v>
      </c>
      <c r="H1856" s="562" t="e">
        <f t="shared" si="64"/>
        <v>#VALUE!</v>
      </c>
      <c r="I1856" s="276" t="e">
        <f t="shared" si="65"/>
        <v>#VALUE!</v>
      </c>
    </row>
    <row r="1857" spans="2:9">
      <c r="B1857">
        <v>1</v>
      </c>
      <c r="E1857" s="281" t="s">
        <v>1498</v>
      </c>
      <c r="F1857" s="281" t="s">
        <v>2309</v>
      </c>
      <c r="G1857" s="562">
        <f t="shared" si="63"/>
        <v>48000</v>
      </c>
      <c r="H1857" s="562" t="e">
        <f t="shared" si="64"/>
        <v>#VALUE!</v>
      </c>
      <c r="I1857" s="276" t="e">
        <f t="shared" si="65"/>
        <v>#VALUE!</v>
      </c>
    </row>
    <row r="1858" spans="2:9">
      <c r="B1858">
        <v>1</v>
      </c>
      <c r="E1858" s="281" t="s">
        <v>1501</v>
      </c>
      <c r="F1858" s="281" t="s">
        <v>2310</v>
      </c>
      <c r="G1858" s="562">
        <f t="shared" si="63"/>
        <v>45808.9</v>
      </c>
      <c r="H1858" s="562" t="e">
        <f t="shared" si="64"/>
        <v>#VALUE!</v>
      </c>
      <c r="I1858" s="276" t="e">
        <f t="shared" si="65"/>
        <v>#VALUE!</v>
      </c>
    </row>
    <row r="1859" spans="2:9">
      <c r="B1859">
        <v>1</v>
      </c>
      <c r="E1859" s="281" t="s">
        <v>1503</v>
      </c>
      <c r="F1859" s="281" t="s">
        <v>2311</v>
      </c>
      <c r="G1859" s="562">
        <f t="shared" si="63"/>
        <v>41497.269999999997</v>
      </c>
      <c r="H1859" s="562" t="e">
        <f t="shared" si="64"/>
        <v>#VALUE!</v>
      </c>
      <c r="I1859" s="276" t="e">
        <f t="shared" si="65"/>
        <v>#VALUE!</v>
      </c>
    </row>
    <row r="1860" spans="2:9">
      <c r="B1860">
        <v>1</v>
      </c>
      <c r="E1860" s="281" t="s">
        <v>1505</v>
      </c>
      <c r="F1860" s="281" t="s">
        <v>2312</v>
      </c>
      <c r="G1860" s="562">
        <f t="shared" si="63"/>
        <v>76000</v>
      </c>
      <c r="H1860" s="562" t="e">
        <f t="shared" si="64"/>
        <v>#VALUE!</v>
      </c>
      <c r="I1860" s="276" t="e">
        <f t="shared" si="65"/>
        <v>#VALUE!</v>
      </c>
    </row>
    <row r="1861" spans="2:9">
      <c r="B1861">
        <v>1</v>
      </c>
      <c r="E1861" s="281" t="s">
        <v>1508</v>
      </c>
      <c r="F1861" s="281" t="s">
        <v>2313</v>
      </c>
      <c r="G1861" s="562">
        <f t="shared" si="63"/>
        <v>2130</v>
      </c>
      <c r="H1861" s="562" t="e">
        <f t="shared" si="64"/>
        <v>#VALUE!</v>
      </c>
      <c r="I1861" s="276" t="e">
        <f t="shared" si="65"/>
        <v>#VALUE!</v>
      </c>
    </row>
    <row r="1862" spans="2:9">
      <c r="B1862">
        <v>1</v>
      </c>
      <c r="E1862" s="281" t="s">
        <v>1510</v>
      </c>
      <c r="F1862" s="281" t="s">
        <v>2314</v>
      </c>
      <c r="G1862" s="562">
        <f t="shared" si="63"/>
        <v>5175</v>
      </c>
      <c r="H1862" s="562" t="e">
        <f t="shared" si="64"/>
        <v>#VALUE!</v>
      </c>
      <c r="I1862" s="276" t="e">
        <f t="shared" si="65"/>
        <v>#VALUE!</v>
      </c>
    </row>
    <row r="1863" spans="2:9">
      <c r="B1863">
        <v>1</v>
      </c>
      <c r="E1863" s="281" t="s">
        <v>1513</v>
      </c>
      <c r="F1863" s="281" t="s">
        <v>2315</v>
      </c>
      <c r="G1863" s="562">
        <f t="shared" si="63"/>
        <v>4200</v>
      </c>
      <c r="H1863" s="562" t="e">
        <f t="shared" si="64"/>
        <v>#VALUE!</v>
      </c>
      <c r="I1863" s="276" t="e">
        <f t="shared" si="65"/>
        <v>#VALUE!</v>
      </c>
    </row>
    <row r="1864" spans="2:9">
      <c r="B1864">
        <v>1</v>
      </c>
      <c r="E1864" s="281" t="s">
        <v>1516</v>
      </c>
      <c r="F1864" s="281" t="s">
        <v>2316</v>
      </c>
      <c r="G1864" s="562">
        <f t="shared" si="63"/>
        <v>2688</v>
      </c>
      <c r="H1864" s="562" t="e">
        <f t="shared" si="64"/>
        <v>#VALUE!</v>
      </c>
      <c r="I1864" s="276" t="e">
        <f t="shared" si="65"/>
        <v>#VALUE!</v>
      </c>
    </row>
    <row r="1865" spans="2:9">
      <c r="B1865">
        <v>1</v>
      </c>
      <c r="E1865" s="281" t="s">
        <v>1518</v>
      </c>
      <c r="F1865" s="281" t="s">
        <v>2317</v>
      </c>
      <c r="G1865" s="562">
        <f t="shared" si="63"/>
        <v>2500</v>
      </c>
      <c r="H1865" s="562" t="e">
        <f t="shared" si="64"/>
        <v>#VALUE!</v>
      </c>
      <c r="I1865" s="276" t="e">
        <f t="shared" si="65"/>
        <v>#VALUE!</v>
      </c>
    </row>
    <row r="1866" spans="2:9">
      <c r="B1866">
        <v>1</v>
      </c>
      <c r="E1866" s="281" t="s">
        <v>1520</v>
      </c>
      <c r="F1866" s="281" t="s">
        <v>2318</v>
      </c>
      <c r="G1866" s="562">
        <f t="shared" si="63"/>
        <v>640</v>
      </c>
      <c r="H1866" s="562" t="e">
        <f t="shared" si="64"/>
        <v>#VALUE!</v>
      </c>
      <c r="I1866" s="276" t="e">
        <f t="shared" si="65"/>
        <v>#VALUE!</v>
      </c>
    </row>
    <row r="1867" spans="2:9">
      <c r="B1867">
        <v>1</v>
      </c>
      <c r="E1867" s="281" t="s">
        <v>1522</v>
      </c>
      <c r="F1867" s="281" t="s">
        <v>2319</v>
      </c>
      <c r="G1867" s="562">
        <f t="shared" si="63"/>
        <v>33180</v>
      </c>
      <c r="H1867" s="562" t="e">
        <f t="shared" si="64"/>
        <v>#VALUE!</v>
      </c>
      <c r="I1867" s="276" t="e">
        <f t="shared" si="65"/>
        <v>#VALUE!</v>
      </c>
    </row>
    <row r="1868" spans="2:9">
      <c r="B1868">
        <v>1</v>
      </c>
      <c r="E1868" s="281" t="s">
        <v>1525</v>
      </c>
      <c r="F1868" s="281" t="s">
        <v>2320</v>
      </c>
      <c r="G1868" s="562">
        <f t="shared" si="63"/>
        <v>4355.8500000000004</v>
      </c>
      <c r="H1868" s="562" t="e">
        <f t="shared" si="64"/>
        <v>#VALUE!</v>
      </c>
      <c r="I1868" s="276" t="e">
        <f t="shared" si="65"/>
        <v>#VALUE!</v>
      </c>
    </row>
    <row r="1869" spans="2:9">
      <c r="B1869">
        <v>1</v>
      </c>
      <c r="E1869" s="281" t="s">
        <v>1527</v>
      </c>
      <c r="F1869" s="281" t="s">
        <v>2321</v>
      </c>
      <c r="G1869" s="562">
        <f t="shared" si="63"/>
        <v>792144.86</v>
      </c>
      <c r="H1869" s="562" t="e">
        <f t="shared" si="64"/>
        <v>#VALUE!</v>
      </c>
      <c r="I1869" s="276" t="e">
        <f t="shared" si="65"/>
        <v>#VALUE!</v>
      </c>
    </row>
    <row r="1870" spans="2:9">
      <c r="B1870">
        <v>1</v>
      </c>
      <c r="E1870" s="281" t="s">
        <v>1528</v>
      </c>
      <c r="F1870" s="281" t="s">
        <v>2322</v>
      </c>
      <c r="G1870" s="562">
        <f t="shared" si="63"/>
        <v>361782.69999999995</v>
      </c>
      <c r="H1870" s="562" t="e">
        <f t="shared" si="64"/>
        <v>#VALUE!</v>
      </c>
      <c r="I1870" s="276" t="e">
        <f t="shared" si="65"/>
        <v>#VALUE!</v>
      </c>
    </row>
    <row r="1871" spans="2:9">
      <c r="B1871">
        <v>1</v>
      </c>
      <c r="E1871" s="281" t="s">
        <v>1529</v>
      </c>
      <c r="F1871" s="281"/>
      <c r="G1871" s="562">
        <f t="shared" si="63"/>
        <v>505666.32</v>
      </c>
      <c r="H1871" s="562" t="e">
        <f t="shared" si="64"/>
        <v>#VALUE!</v>
      </c>
      <c r="I1871" s="276" t="e">
        <f t="shared" si="65"/>
        <v>#VALUE!</v>
      </c>
    </row>
    <row r="1872" spans="2:9">
      <c r="B1872">
        <v>1</v>
      </c>
      <c r="E1872" s="281" t="s">
        <v>1530</v>
      </c>
      <c r="F1872" s="281" t="s">
        <v>2323</v>
      </c>
      <c r="G1872" s="562">
        <f t="shared" si="63"/>
        <v>532388.56000000006</v>
      </c>
      <c r="H1872" s="562" t="e">
        <f t="shared" si="64"/>
        <v>#VALUE!</v>
      </c>
      <c r="I1872" s="276" t="e">
        <f t="shared" si="65"/>
        <v>#VALUE!</v>
      </c>
    </row>
    <row r="1873" spans="2:9">
      <c r="B1873">
        <v>1</v>
      </c>
      <c r="E1873" s="281" t="s">
        <v>1531</v>
      </c>
      <c r="F1873" s="281" t="s">
        <v>2324</v>
      </c>
      <c r="G1873" s="562">
        <f t="shared" si="63"/>
        <v>345963.3</v>
      </c>
      <c r="H1873" s="562" t="e">
        <f t="shared" si="64"/>
        <v>#VALUE!</v>
      </c>
      <c r="I1873" s="276" t="e">
        <f t="shared" si="65"/>
        <v>#VALUE!</v>
      </c>
    </row>
    <row r="1874" spans="2:9">
      <c r="B1874">
        <v>1</v>
      </c>
      <c r="E1874" s="281" t="s">
        <v>1534</v>
      </c>
      <c r="F1874" s="281" t="s">
        <v>2325</v>
      </c>
      <c r="G1874" s="562">
        <f t="shared" si="63"/>
        <v>900000</v>
      </c>
      <c r="H1874" s="562" t="e">
        <f t="shared" si="64"/>
        <v>#VALUE!</v>
      </c>
      <c r="I1874" s="276" t="e">
        <f t="shared" si="65"/>
        <v>#VALUE!</v>
      </c>
    </row>
    <row r="1875" spans="2:9">
      <c r="B1875">
        <v>1</v>
      </c>
      <c r="E1875" s="281" t="s">
        <v>1536</v>
      </c>
      <c r="F1875" s="281" t="s">
        <v>2326</v>
      </c>
      <c r="G1875" s="562">
        <f t="shared" si="63"/>
        <v>345500</v>
      </c>
      <c r="H1875" s="562" t="e">
        <f t="shared" si="64"/>
        <v>#VALUE!</v>
      </c>
      <c r="I1875" s="276" t="e">
        <f t="shared" si="65"/>
        <v>#VALUE!</v>
      </c>
    </row>
    <row r="1876" spans="2:9">
      <c r="B1876">
        <v>1</v>
      </c>
      <c r="E1876" s="281" t="s">
        <v>1541</v>
      </c>
      <c r="F1876" s="281" t="s">
        <v>2327</v>
      </c>
      <c r="G1876" s="562">
        <f t="shared" si="63"/>
        <v>466200</v>
      </c>
      <c r="H1876" s="562" t="e">
        <f t="shared" si="64"/>
        <v>#VALUE!</v>
      </c>
      <c r="I1876" s="276" t="e">
        <f t="shared" si="65"/>
        <v>#VALUE!</v>
      </c>
    </row>
    <row r="1877" spans="2:9">
      <c r="B1877">
        <v>1</v>
      </c>
      <c r="E1877" s="281" t="s">
        <v>1542</v>
      </c>
      <c r="F1877" s="281" t="s">
        <v>2328</v>
      </c>
      <c r="G1877" s="562">
        <f t="shared" si="63"/>
        <v>205000</v>
      </c>
      <c r="H1877" s="562" t="e">
        <f t="shared" si="64"/>
        <v>#VALUE!</v>
      </c>
      <c r="I1877" s="276" t="e">
        <f t="shared" si="65"/>
        <v>#VALUE!</v>
      </c>
    </row>
    <row r="1878" spans="2:9">
      <c r="B1878">
        <v>1</v>
      </c>
      <c r="E1878" s="281" t="s">
        <v>1544</v>
      </c>
      <c r="F1878" s="281" t="s">
        <v>2329</v>
      </c>
      <c r="G1878" s="562">
        <f t="shared" si="63"/>
        <v>455476.19</v>
      </c>
      <c r="H1878" s="562" t="e">
        <f t="shared" si="64"/>
        <v>#VALUE!</v>
      </c>
      <c r="I1878" s="276" t="e">
        <f t="shared" si="65"/>
        <v>#VALUE!</v>
      </c>
    </row>
    <row r="1879" spans="2:9">
      <c r="B1879">
        <v>1</v>
      </c>
      <c r="E1879" s="281" t="s">
        <v>1546</v>
      </c>
      <c r="F1879" s="281" t="s">
        <v>2330</v>
      </c>
      <c r="G1879" s="562">
        <f t="shared" si="63"/>
        <v>284121.43</v>
      </c>
      <c r="H1879" s="562" t="e">
        <f t="shared" si="64"/>
        <v>#VALUE!</v>
      </c>
      <c r="I1879" s="276" t="e">
        <f t="shared" si="65"/>
        <v>#VALUE!</v>
      </c>
    </row>
    <row r="1880" spans="2:9">
      <c r="B1880">
        <v>1</v>
      </c>
      <c r="E1880" s="281" t="s">
        <v>1547</v>
      </c>
      <c r="F1880" s="281" t="s">
        <v>2331</v>
      </c>
      <c r="G1880" s="562">
        <f t="shared" si="63"/>
        <v>241007.14</v>
      </c>
      <c r="H1880" s="562" t="e">
        <f t="shared" si="64"/>
        <v>#VALUE!</v>
      </c>
      <c r="I1880" s="276" t="e">
        <f t="shared" si="65"/>
        <v>#VALUE!</v>
      </c>
    </row>
    <row r="1881" spans="2:9">
      <c r="B1881">
        <v>1</v>
      </c>
      <c r="E1881" s="281" t="s">
        <v>1548</v>
      </c>
      <c r="F1881" s="281" t="s">
        <v>2332</v>
      </c>
      <c r="G1881" s="562">
        <f t="shared" si="63"/>
        <v>321342.84999999998</v>
      </c>
      <c r="H1881" s="562" t="e">
        <f t="shared" si="64"/>
        <v>#VALUE!</v>
      </c>
      <c r="I1881" s="276" t="e">
        <f t="shared" si="65"/>
        <v>#VALUE!</v>
      </c>
    </row>
    <row r="1882" spans="2:9">
      <c r="B1882">
        <v>1</v>
      </c>
      <c r="E1882" s="281" t="s">
        <v>1549</v>
      </c>
      <c r="F1882" s="281" t="s">
        <v>2333</v>
      </c>
      <c r="G1882" s="562">
        <f t="shared" si="63"/>
        <v>14120</v>
      </c>
      <c r="H1882" s="562" t="e">
        <f t="shared" si="64"/>
        <v>#VALUE!</v>
      </c>
      <c r="I1882" s="276" t="e">
        <f t="shared" si="65"/>
        <v>#VALUE!</v>
      </c>
    </row>
    <row r="1883" spans="2:9">
      <c r="B1883">
        <v>1</v>
      </c>
      <c r="E1883" s="281" t="s">
        <v>1550</v>
      </c>
      <c r="F1883" s="281" t="s">
        <v>2334</v>
      </c>
      <c r="G1883" s="562">
        <f t="shared" si="63"/>
        <v>43786.5</v>
      </c>
      <c r="H1883" s="562" t="e">
        <f t="shared" si="64"/>
        <v>#VALUE!</v>
      </c>
      <c r="I1883" s="276" t="e">
        <f t="shared" si="65"/>
        <v>#VALUE!</v>
      </c>
    </row>
    <row r="1884" spans="2:9">
      <c r="B1884">
        <v>1</v>
      </c>
      <c r="E1884" s="281" t="s">
        <v>1552</v>
      </c>
      <c r="F1884" s="281" t="s">
        <v>2335</v>
      </c>
      <c r="G1884" s="562">
        <f t="shared" si="63"/>
        <v>1200</v>
      </c>
      <c r="H1884" s="562" t="e">
        <f t="shared" si="64"/>
        <v>#VALUE!</v>
      </c>
      <c r="I1884" s="276" t="e">
        <f t="shared" si="65"/>
        <v>#VALUE!</v>
      </c>
    </row>
    <row r="1885" spans="2:9">
      <c r="B1885">
        <v>1</v>
      </c>
      <c r="E1885" s="281" t="s">
        <v>1554</v>
      </c>
      <c r="F1885" s="281" t="s">
        <v>2336</v>
      </c>
      <c r="G1885" s="562">
        <f t="shared" si="63"/>
        <v>550000</v>
      </c>
      <c r="H1885" s="562" t="e">
        <f t="shared" si="64"/>
        <v>#VALUE!</v>
      </c>
      <c r="I1885" s="276" t="e">
        <f t="shared" si="65"/>
        <v>#VALUE!</v>
      </c>
    </row>
    <row r="1886" spans="2:9">
      <c r="B1886">
        <v>1</v>
      </c>
      <c r="E1886" s="281" t="s">
        <v>1557</v>
      </c>
      <c r="F1886" s="281" t="s">
        <v>2337</v>
      </c>
      <c r="G1886" s="562">
        <f t="shared" si="63"/>
        <v>550000</v>
      </c>
      <c r="H1886" s="562" t="e">
        <f t="shared" si="64"/>
        <v>#VALUE!</v>
      </c>
      <c r="I1886" s="276" t="e">
        <f t="shared" si="65"/>
        <v>#VALUE!</v>
      </c>
    </row>
    <row r="1887" spans="2:9">
      <c r="B1887">
        <v>1</v>
      </c>
      <c r="E1887" s="281" t="s">
        <v>1558</v>
      </c>
      <c r="F1887" s="281" t="s">
        <v>2338</v>
      </c>
      <c r="G1887" s="562">
        <f t="shared" si="63"/>
        <v>600000</v>
      </c>
      <c r="H1887" s="562" t="e">
        <f t="shared" si="64"/>
        <v>#VALUE!</v>
      </c>
      <c r="I1887" s="276" t="e">
        <f t="shared" si="65"/>
        <v>#VALUE!</v>
      </c>
    </row>
    <row r="1888" spans="2:9">
      <c r="B1888">
        <v>1</v>
      </c>
      <c r="E1888" s="281" t="s">
        <v>1559</v>
      </c>
      <c r="F1888" s="281" t="s">
        <v>2339</v>
      </c>
      <c r="G1888" s="562">
        <f t="shared" si="63"/>
        <v>550000</v>
      </c>
      <c r="H1888" s="562" t="e">
        <f t="shared" si="64"/>
        <v>#VALUE!</v>
      </c>
      <c r="I1888" s="276" t="e">
        <f t="shared" si="65"/>
        <v>#VALUE!</v>
      </c>
    </row>
    <row r="1889" spans="2:9">
      <c r="B1889">
        <v>1</v>
      </c>
      <c r="E1889" s="281" t="s">
        <v>1560</v>
      </c>
      <c r="F1889" s="281" t="s">
        <v>2340</v>
      </c>
      <c r="G1889" s="562">
        <f t="shared" si="63"/>
        <v>550000</v>
      </c>
      <c r="H1889" s="562" t="e">
        <f t="shared" si="64"/>
        <v>#VALUE!</v>
      </c>
      <c r="I1889" s="276" t="e">
        <f t="shared" si="65"/>
        <v>#VALUE!</v>
      </c>
    </row>
    <row r="1890" spans="2:9">
      <c r="B1890">
        <v>1</v>
      </c>
      <c r="E1890" s="281" t="s">
        <v>1561</v>
      </c>
      <c r="F1890" s="281" t="s">
        <v>2341</v>
      </c>
      <c r="G1890" s="562">
        <f t="shared" ref="G1890:G1923" si="66">SUMIFS(J:J,C:C,E1890)</f>
        <v>20000</v>
      </c>
      <c r="H1890" s="562" t="e">
        <f t="shared" ref="H1890:H1923" si="67">SUMIFS(M:M,S:S,F1890)</f>
        <v>#VALUE!</v>
      </c>
      <c r="I1890" s="276" t="e">
        <f t="shared" ref="I1890:I1924" si="68">G1890-H1890</f>
        <v>#VALUE!</v>
      </c>
    </row>
    <row r="1891" spans="2:9">
      <c r="B1891">
        <v>1</v>
      </c>
      <c r="E1891" s="281" t="s">
        <v>1564</v>
      </c>
      <c r="F1891" s="281"/>
      <c r="G1891" s="562">
        <f t="shared" si="66"/>
        <v>0</v>
      </c>
      <c r="H1891" s="562" t="e">
        <f t="shared" si="67"/>
        <v>#VALUE!</v>
      </c>
      <c r="I1891" s="276" t="e">
        <f t="shared" si="68"/>
        <v>#VALUE!</v>
      </c>
    </row>
    <row r="1892" spans="2:9">
      <c r="B1892">
        <v>1</v>
      </c>
      <c r="E1892" s="281" t="s">
        <v>1567</v>
      </c>
      <c r="F1892" s="281" t="s">
        <v>2342</v>
      </c>
      <c r="G1892" s="562">
        <f t="shared" si="66"/>
        <v>101505.45</v>
      </c>
      <c r="H1892" s="562" t="e">
        <f t="shared" si="67"/>
        <v>#VALUE!</v>
      </c>
      <c r="I1892" s="276" t="e">
        <f t="shared" si="68"/>
        <v>#VALUE!</v>
      </c>
    </row>
    <row r="1893" spans="2:9">
      <c r="B1893">
        <v>1</v>
      </c>
      <c r="E1893" s="281" t="s">
        <v>1569</v>
      </c>
      <c r="F1893" s="281" t="s">
        <v>2343</v>
      </c>
      <c r="G1893" s="562">
        <f t="shared" si="66"/>
        <v>13034</v>
      </c>
      <c r="H1893" s="562" t="e">
        <f t="shared" si="67"/>
        <v>#VALUE!</v>
      </c>
      <c r="I1893" s="276" t="e">
        <f t="shared" si="68"/>
        <v>#VALUE!</v>
      </c>
    </row>
    <row r="1894" spans="2:9">
      <c r="B1894">
        <v>1</v>
      </c>
      <c r="E1894" s="281" t="s">
        <v>1571</v>
      </c>
      <c r="F1894" s="281" t="s">
        <v>2344</v>
      </c>
      <c r="G1894" s="562">
        <f t="shared" si="66"/>
        <v>6850</v>
      </c>
      <c r="H1894" s="562" t="e">
        <f t="shared" si="67"/>
        <v>#VALUE!</v>
      </c>
      <c r="I1894" s="276" t="e">
        <f t="shared" si="68"/>
        <v>#VALUE!</v>
      </c>
    </row>
    <row r="1895" spans="2:9">
      <c r="B1895">
        <v>1</v>
      </c>
      <c r="E1895" s="281" t="s">
        <v>1574</v>
      </c>
      <c r="F1895" s="281" t="s">
        <v>2345</v>
      </c>
      <c r="G1895" s="562">
        <f t="shared" si="66"/>
        <v>2500</v>
      </c>
      <c r="H1895" s="562" t="e">
        <f t="shared" si="67"/>
        <v>#VALUE!</v>
      </c>
      <c r="I1895" s="276" t="e">
        <f t="shared" si="68"/>
        <v>#VALUE!</v>
      </c>
    </row>
    <row r="1896" spans="2:9">
      <c r="B1896">
        <v>1</v>
      </c>
      <c r="E1896" s="281" t="s">
        <v>1576</v>
      </c>
      <c r="F1896" s="281" t="s">
        <v>2346</v>
      </c>
      <c r="G1896" s="562">
        <f t="shared" si="66"/>
        <v>2511.36</v>
      </c>
      <c r="H1896" s="562" t="e">
        <f t="shared" si="67"/>
        <v>#VALUE!</v>
      </c>
      <c r="I1896" s="276" t="e">
        <f t="shared" si="68"/>
        <v>#VALUE!</v>
      </c>
    </row>
    <row r="1897" spans="2:9">
      <c r="B1897">
        <v>1</v>
      </c>
      <c r="E1897" s="281" t="s">
        <v>1579</v>
      </c>
      <c r="F1897" s="281" t="s">
        <v>2347</v>
      </c>
      <c r="G1897" s="562">
        <f t="shared" si="66"/>
        <v>10000</v>
      </c>
      <c r="H1897" s="562" t="e">
        <f t="shared" si="67"/>
        <v>#VALUE!</v>
      </c>
      <c r="I1897" s="276" t="e">
        <f t="shared" si="68"/>
        <v>#VALUE!</v>
      </c>
    </row>
    <row r="1898" spans="2:9">
      <c r="B1898">
        <v>1</v>
      </c>
      <c r="E1898" s="281" t="s">
        <v>1580</v>
      </c>
      <c r="F1898" s="281" t="s">
        <v>2348</v>
      </c>
      <c r="G1898" s="562">
        <f t="shared" si="66"/>
        <v>170501.47</v>
      </c>
      <c r="H1898" s="562" t="e">
        <f t="shared" si="67"/>
        <v>#VALUE!</v>
      </c>
      <c r="I1898" s="276" t="e">
        <f t="shared" si="68"/>
        <v>#VALUE!</v>
      </c>
    </row>
    <row r="1899" spans="2:9">
      <c r="B1899">
        <v>1</v>
      </c>
      <c r="E1899" s="281" t="s">
        <v>1582</v>
      </c>
      <c r="F1899" s="281" t="s">
        <v>2349</v>
      </c>
      <c r="G1899" s="562">
        <f t="shared" si="66"/>
        <v>7712.46</v>
      </c>
      <c r="H1899" s="562" t="e">
        <f t="shared" si="67"/>
        <v>#VALUE!</v>
      </c>
      <c r="I1899" s="276" t="e">
        <f t="shared" si="68"/>
        <v>#VALUE!</v>
      </c>
    </row>
    <row r="1900" spans="2:9">
      <c r="B1900">
        <v>1</v>
      </c>
      <c r="E1900" s="281" t="s">
        <v>1584</v>
      </c>
      <c r="F1900" s="281" t="s">
        <v>2350</v>
      </c>
      <c r="G1900" s="562">
        <f t="shared" si="66"/>
        <v>9559.2900000000009</v>
      </c>
      <c r="H1900" s="562" t="e">
        <f t="shared" si="67"/>
        <v>#VALUE!</v>
      </c>
      <c r="I1900" s="276" t="e">
        <f t="shared" si="68"/>
        <v>#VALUE!</v>
      </c>
    </row>
    <row r="1901" spans="2:9">
      <c r="B1901">
        <v>1</v>
      </c>
      <c r="E1901" s="281" t="s">
        <v>1586</v>
      </c>
      <c r="F1901" s="281" t="s">
        <v>2351</v>
      </c>
      <c r="G1901" s="562">
        <f t="shared" si="66"/>
        <v>51050</v>
      </c>
      <c r="H1901" s="562" t="e">
        <f t="shared" si="67"/>
        <v>#VALUE!</v>
      </c>
      <c r="I1901" s="276" t="e">
        <f t="shared" si="68"/>
        <v>#VALUE!</v>
      </c>
    </row>
    <row r="1902" spans="2:9">
      <c r="B1902">
        <v>1</v>
      </c>
      <c r="E1902" s="281" t="s">
        <v>1588</v>
      </c>
      <c r="F1902" s="281" t="s">
        <v>2352</v>
      </c>
      <c r="G1902" s="562">
        <f t="shared" si="66"/>
        <v>100000</v>
      </c>
      <c r="H1902" s="562" t="e">
        <f t="shared" si="67"/>
        <v>#VALUE!</v>
      </c>
      <c r="I1902" s="276" t="e">
        <f t="shared" si="68"/>
        <v>#VALUE!</v>
      </c>
    </row>
    <row r="1903" spans="2:9">
      <c r="B1903">
        <v>1</v>
      </c>
      <c r="E1903" s="281" t="s">
        <v>1589</v>
      </c>
      <c r="F1903" s="281" t="s">
        <v>2353</v>
      </c>
      <c r="G1903" s="562">
        <f t="shared" si="66"/>
        <v>99030</v>
      </c>
      <c r="H1903" s="562" t="e">
        <f t="shared" si="67"/>
        <v>#VALUE!</v>
      </c>
      <c r="I1903" s="276" t="e">
        <f t="shared" si="68"/>
        <v>#VALUE!</v>
      </c>
    </row>
    <row r="1904" spans="2:9">
      <c r="B1904">
        <v>1</v>
      </c>
      <c r="E1904" s="281" t="s">
        <v>1591</v>
      </c>
      <c r="F1904" s="281" t="s">
        <v>2354</v>
      </c>
      <c r="G1904" s="562">
        <f t="shared" si="66"/>
        <v>10250</v>
      </c>
      <c r="H1904" s="562" t="e">
        <f t="shared" si="67"/>
        <v>#VALUE!</v>
      </c>
      <c r="I1904" s="276" t="e">
        <f t="shared" si="68"/>
        <v>#VALUE!</v>
      </c>
    </row>
    <row r="1905" spans="2:9">
      <c r="B1905">
        <v>1</v>
      </c>
      <c r="E1905" s="281" t="s">
        <v>1592</v>
      </c>
      <c r="F1905" s="281" t="s">
        <v>2355</v>
      </c>
      <c r="G1905" s="562">
        <f t="shared" si="66"/>
        <v>11455.25</v>
      </c>
      <c r="H1905" s="562" t="e">
        <f t="shared" si="67"/>
        <v>#VALUE!</v>
      </c>
      <c r="I1905" s="276" t="e">
        <f t="shared" si="68"/>
        <v>#VALUE!</v>
      </c>
    </row>
    <row r="1906" spans="2:9">
      <c r="B1906">
        <v>1</v>
      </c>
      <c r="E1906" s="281" t="s">
        <v>1594</v>
      </c>
      <c r="F1906" s="281" t="s">
        <v>2356</v>
      </c>
      <c r="G1906" s="562">
        <f t="shared" si="66"/>
        <v>8164.75</v>
      </c>
      <c r="H1906" s="562" t="e">
        <f t="shared" si="67"/>
        <v>#VALUE!</v>
      </c>
      <c r="I1906" s="276" t="e">
        <f t="shared" si="68"/>
        <v>#VALUE!</v>
      </c>
    </row>
    <row r="1907" spans="2:9">
      <c r="B1907">
        <v>1</v>
      </c>
      <c r="E1907" s="281" t="s">
        <v>1596</v>
      </c>
      <c r="F1907" s="281" t="s">
        <v>2357</v>
      </c>
      <c r="G1907" s="562">
        <f t="shared" si="66"/>
        <v>22316</v>
      </c>
      <c r="H1907" s="562" t="e">
        <f t="shared" si="67"/>
        <v>#VALUE!</v>
      </c>
      <c r="I1907" s="276" t="e">
        <f t="shared" si="68"/>
        <v>#VALUE!</v>
      </c>
    </row>
    <row r="1908" spans="2:9">
      <c r="B1908">
        <v>1</v>
      </c>
      <c r="E1908" s="281" t="s">
        <v>1598</v>
      </c>
      <c r="F1908" s="281" t="s">
        <v>2358</v>
      </c>
      <c r="G1908" s="562">
        <f t="shared" si="66"/>
        <v>256101</v>
      </c>
      <c r="H1908" s="562" t="e">
        <f t="shared" si="67"/>
        <v>#VALUE!</v>
      </c>
      <c r="I1908" s="276" t="e">
        <f t="shared" si="68"/>
        <v>#VALUE!</v>
      </c>
    </row>
    <row r="1909" spans="2:9">
      <c r="B1909">
        <v>1</v>
      </c>
      <c r="E1909" s="281" t="s">
        <v>1599</v>
      </c>
      <c r="F1909" s="281" t="s">
        <v>2359</v>
      </c>
      <c r="G1909" s="562">
        <f t="shared" si="66"/>
        <v>184464</v>
      </c>
      <c r="H1909" s="562" t="e">
        <f t="shared" si="67"/>
        <v>#VALUE!</v>
      </c>
      <c r="I1909" s="276" t="e">
        <f t="shared" si="68"/>
        <v>#VALUE!</v>
      </c>
    </row>
    <row r="1910" spans="2:9">
      <c r="B1910">
        <v>1</v>
      </c>
      <c r="E1910" s="281" t="s">
        <v>1601</v>
      </c>
      <c r="F1910" s="281" t="s">
        <v>2360</v>
      </c>
      <c r="G1910" s="562">
        <f t="shared" si="66"/>
        <v>1464950</v>
      </c>
      <c r="H1910" s="562" t="e">
        <f t="shared" si="67"/>
        <v>#VALUE!</v>
      </c>
      <c r="I1910" s="276" t="e">
        <f t="shared" si="68"/>
        <v>#VALUE!</v>
      </c>
    </row>
    <row r="1911" spans="2:9">
      <c r="B1911">
        <v>1</v>
      </c>
      <c r="E1911" s="281" t="s">
        <v>1603</v>
      </c>
      <c r="F1911" s="281" t="s">
        <v>2361</v>
      </c>
      <c r="G1911" s="562">
        <f t="shared" si="66"/>
        <v>1266031.21</v>
      </c>
      <c r="H1911" s="562" t="e">
        <f t="shared" si="67"/>
        <v>#VALUE!</v>
      </c>
      <c r="I1911" s="276" t="e">
        <f t="shared" si="68"/>
        <v>#VALUE!</v>
      </c>
    </row>
    <row r="1912" spans="2:9">
      <c r="B1912">
        <v>1</v>
      </c>
      <c r="E1912" s="281" t="s">
        <v>1604</v>
      </c>
      <c r="F1912" s="281" t="s">
        <v>2362</v>
      </c>
      <c r="G1912" s="562">
        <f t="shared" si="66"/>
        <v>348243.76</v>
      </c>
      <c r="H1912" s="562" t="e">
        <f t="shared" si="67"/>
        <v>#VALUE!</v>
      </c>
      <c r="I1912" s="276" t="e">
        <f t="shared" si="68"/>
        <v>#VALUE!</v>
      </c>
    </row>
    <row r="1913" spans="2:9">
      <c r="B1913">
        <v>1</v>
      </c>
      <c r="E1913" s="281" t="s">
        <v>1606</v>
      </c>
      <c r="F1913" s="281" t="s">
        <v>2363</v>
      </c>
      <c r="G1913" s="562">
        <f t="shared" si="66"/>
        <v>333817.76</v>
      </c>
      <c r="H1913" s="562" t="e">
        <f t="shared" si="67"/>
        <v>#VALUE!</v>
      </c>
      <c r="I1913" s="276" t="e">
        <f t="shared" si="68"/>
        <v>#VALUE!</v>
      </c>
    </row>
    <row r="1914" spans="2:9">
      <c r="B1914">
        <v>1</v>
      </c>
      <c r="E1914" s="281" t="s">
        <v>1607</v>
      </c>
      <c r="F1914" s="281" t="s">
        <v>2364</v>
      </c>
      <c r="G1914" s="562">
        <f t="shared" si="66"/>
        <v>348243.76</v>
      </c>
      <c r="H1914" s="562" t="e">
        <f t="shared" si="67"/>
        <v>#VALUE!</v>
      </c>
      <c r="I1914" s="276" t="e">
        <f t="shared" si="68"/>
        <v>#VALUE!</v>
      </c>
    </row>
    <row r="1915" spans="2:9">
      <c r="B1915">
        <v>1</v>
      </c>
      <c r="E1915" s="281" t="s">
        <v>1608</v>
      </c>
      <c r="F1915" s="281" t="s">
        <v>2365</v>
      </c>
      <c r="G1915" s="562">
        <f t="shared" si="66"/>
        <v>760350</v>
      </c>
      <c r="H1915" s="562" t="e">
        <f t="shared" si="67"/>
        <v>#VALUE!</v>
      </c>
      <c r="I1915" s="276" t="e">
        <f t="shared" si="68"/>
        <v>#VALUE!</v>
      </c>
    </row>
    <row r="1916" spans="2:9">
      <c r="B1916">
        <v>1</v>
      </c>
      <c r="E1916" s="281" t="s">
        <v>1609</v>
      </c>
      <c r="F1916" s="281" t="s">
        <v>2366</v>
      </c>
      <c r="G1916" s="562">
        <f t="shared" si="66"/>
        <v>194400</v>
      </c>
      <c r="H1916" s="562" t="e">
        <f t="shared" si="67"/>
        <v>#VALUE!</v>
      </c>
      <c r="I1916" s="276" t="e">
        <f t="shared" si="68"/>
        <v>#VALUE!</v>
      </c>
    </row>
    <row r="1917" spans="2:9">
      <c r="B1917">
        <v>1</v>
      </c>
      <c r="E1917" s="281" t="s">
        <v>1611</v>
      </c>
      <c r="F1917" s="281" t="s">
        <v>2367</v>
      </c>
      <c r="G1917" s="562">
        <f t="shared" si="66"/>
        <v>194400</v>
      </c>
      <c r="H1917" s="562" t="e">
        <f t="shared" si="67"/>
        <v>#VALUE!</v>
      </c>
      <c r="I1917" s="276" t="e">
        <f t="shared" si="68"/>
        <v>#VALUE!</v>
      </c>
    </row>
    <row r="1918" spans="2:9">
      <c r="B1918">
        <v>1</v>
      </c>
      <c r="E1918" s="281" t="s">
        <v>1612</v>
      </c>
      <c r="F1918" s="281" t="s">
        <v>2368</v>
      </c>
      <c r="G1918" s="562">
        <f t="shared" si="66"/>
        <v>194400</v>
      </c>
      <c r="H1918" s="562" t="e">
        <f t="shared" si="67"/>
        <v>#VALUE!</v>
      </c>
      <c r="I1918" s="276" t="e">
        <f t="shared" si="68"/>
        <v>#VALUE!</v>
      </c>
    </row>
    <row r="1919" spans="2:9">
      <c r="B1919">
        <v>1</v>
      </c>
      <c r="E1919" s="281" t="s">
        <v>1614</v>
      </c>
      <c r="F1919" s="281" t="s">
        <v>2369</v>
      </c>
      <c r="G1919" s="562">
        <f t="shared" si="66"/>
        <v>640000</v>
      </c>
      <c r="H1919" s="562" t="e">
        <f t="shared" si="67"/>
        <v>#VALUE!</v>
      </c>
      <c r="I1919" s="276" t="e">
        <f t="shared" si="68"/>
        <v>#VALUE!</v>
      </c>
    </row>
    <row r="1920" spans="2:9">
      <c r="B1920">
        <v>1</v>
      </c>
      <c r="E1920" s="281" t="s">
        <v>1616</v>
      </c>
      <c r="F1920" s="281" t="s">
        <v>2370</v>
      </c>
      <c r="G1920" s="562">
        <f t="shared" si="66"/>
        <v>287809.53000000003</v>
      </c>
      <c r="H1920" s="562" t="e">
        <f t="shared" si="67"/>
        <v>#VALUE!</v>
      </c>
      <c r="I1920" s="276" t="e">
        <f t="shared" si="68"/>
        <v>#VALUE!</v>
      </c>
    </row>
    <row r="1921" spans="2:9">
      <c r="B1921">
        <v>1</v>
      </c>
      <c r="E1921" s="281" t="s">
        <v>1618</v>
      </c>
      <c r="F1921" s="281" t="s">
        <v>2371</v>
      </c>
      <c r="G1921" s="562">
        <f t="shared" si="66"/>
        <v>3500</v>
      </c>
      <c r="H1921" s="562" t="e">
        <f t="shared" si="67"/>
        <v>#VALUE!</v>
      </c>
      <c r="I1921" s="276" t="e">
        <f t="shared" si="68"/>
        <v>#VALUE!</v>
      </c>
    </row>
    <row r="1922" spans="2:9">
      <c r="B1922">
        <v>1</v>
      </c>
      <c r="E1922" s="281" t="s">
        <v>1619</v>
      </c>
      <c r="F1922" s="281" t="s">
        <v>2372</v>
      </c>
      <c r="G1922" s="562">
        <f t="shared" si="66"/>
        <v>12000</v>
      </c>
      <c r="H1922" s="562" t="e">
        <f t="shared" si="67"/>
        <v>#VALUE!</v>
      </c>
      <c r="I1922" s="276" t="e">
        <f t="shared" si="68"/>
        <v>#VALUE!</v>
      </c>
    </row>
    <row r="1923" spans="2:9">
      <c r="B1923">
        <v>1</v>
      </c>
      <c r="E1923" s="281" t="s">
        <v>1622</v>
      </c>
      <c r="F1923" s="281" t="s">
        <v>2373</v>
      </c>
      <c r="G1923" s="562">
        <f t="shared" si="66"/>
        <v>4800</v>
      </c>
      <c r="H1923" s="562" t="e">
        <f t="shared" si="67"/>
        <v>#VALUE!</v>
      </c>
      <c r="I1923" s="276" t="e">
        <f t="shared" si="68"/>
        <v>#VALUE!</v>
      </c>
    </row>
    <row r="1924" spans="2:9">
      <c r="B1924">
        <v>1</v>
      </c>
      <c r="G1924" s="562">
        <f>SUBTOTAL(9,G1569:G1923)</f>
        <v>45075472.159999982</v>
      </c>
      <c r="H1924" s="562" t="e">
        <f>SUBTOTAL(9,H1569:H1923)</f>
        <v>#VALUE!</v>
      </c>
      <c r="I1924" s="276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6" t="e">
        <f>D2-'Format for Import of DV'!M1</f>
        <v>#VALUE!</v>
      </c>
    </row>
    <row r="2" spans="1:5">
      <c r="C2" s="276">
        <f>SUM(C4:C358)</f>
        <v>45075472.159999982</v>
      </c>
      <c r="D2" s="276" t="e">
        <f>SUM(D4:D358)</f>
        <v>#VALUE!</v>
      </c>
      <c r="E2" s="276" t="e">
        <f>SUM(E4:E358)</f>
        <v>#VALUE!</v>
      </c>
    </row>
    <row r="3" spans="1:5">
      <c r="A3" s="540" t="s">
        <v>2374</v>
      </c>
      <c r="B3" s="540" t="s">
        <v>2375</v>
      </c>
    </row>
    <row r="4" spans="1:5">
      <c r="A4" s="281" t="s">
        <v>11</v>
      </c>
      <c r="B4" s="281" t="s">
        <v>2054</v>
      </c>
      <c r="C4" s="562">
        <f>SUMIFS('Format for Import of DV'!J:J,'Format for Import of DV'!C:C,'Recon of ORS and DV'!A4)</f>
        <v>150000</v>
      </c>
      <c r="D4" s="562" t="e">
        <f>SUMIFS('Format for Import of DV'!M:M,'Format for Import of DV'!S:S,'Recon of ORS and DV'!B4)</f>
        <v>#VALUE!</v>
      </c>
      <c r="E4" s="276" t="e">
        <f>C4-D4</f>
        <v>#VALUE!</v>
      </c>
    </row>
    <row r="5" spans="1:5" hidden="1">
      <c r="A5" s="281" t="s">
        <v>8</v>
      </c>
      <c r="B5" s="281" t="s">
        <v>2055</v>
      </c>
      <c r="C5" s="562">
        <f>SUMIFS('Format for Import of DV'!J:J,'Format for Import of DV'!C:C,'Recon of ORS and DV'!A5)</f>
        <v>10000</v>
      </c>
      <c r="D5" s="562" t="e">
        <f>SUMIFS('Format for Import of DV'!M:M,'Format for Import of DV'!S:S,'Recon of ORS and DV'!B5)</f>
        <v>#VALUE!</v>
      </c>
      <c r="E5" s="276" t="e">
        <f t="shared" ref="E5:E68" si="0">C5-D5</f>
        <v>#VALUE!</v>
      </c>
    </row>
    <row r="6" spans="1:5" hidden="1">
      <c r="A6" s="281" t="s">
        <v>4</v>
      </c>
      <c r="B6" s="281" t="s">
        <v>2056</v>
      </c>
      <c r="C6" s="562">
        <f>SUMIFS('Format for Import of DV'!J:J,'Format for Import of DV'!C:C,'Recon of ORS and DV'!A6)</f>
        <v>1935301.23</v>
      </c>
      <c r="D6" s="562" t="e">
        <f>SUMIFS('Format for Import of DV'!M:M,'Format for Import of DV'!S:S,'Recon of ORS and DV'!B6)</f>
        <v>#VALUE!</v>
      </c>
      <c r="E6" s="276" t="e">
        <f t="shared" si="0"/>
        <v>#VALUE!</v>
      </c>
    </row>
    <row r="7" spans="1:5" hidden="1">
      <c r="A7" s="281" t="s">
        <v>763</v>
      </c>
      <c r="B7" s="281" t="s">
        <v>2057</v>
      </c>
      <c r="C7" s="562">
        <f>SUMIFS('Format for Import of DV'!J:J,'Format for Import of DV'!C:C,'Recon of ORS and DV'!A7)</f>
        <v>452644.64</v>
      </c>
      <c r="D7" s="562" t="e">
        <f>SUMIFS('Format for Import of DV'!M:M,'Format for Import of DV'!S:S,'Recon of ORS and DV'!B7)</f>
        <v>#VALUE!</v>
      </c>
      <c r="E7" s="276" t="e">
        <f t="shared" si="0"/>
        <v>#VALUE!</v>
      </c>
    </row>
    <row r="8" spans="1:5" hidden="1">
      <c r="A8" s="281" t="s">
        <v>766</v>
      </c>
      <c r="B8" s="281" t="s">
        <v>2058</v>
      </c>
      <c r="C8" s="562">
        <f>SUMIFS('Format for Import of DV'!J:J,'Format for Import of DV'!C:C,'Recon of ORS and DV'!A8)</f>
        <v>325034.35000000003</v>
      </c>
      <c r="D8" s="562" t="e">
        <f>SUMIFS('Format for Import of DV'!M:M,'Format for Import of DV'!S:S,'Recon of ORS and DV'!B8)</f>
        <v>#VALUE!</v>
      </c>
      <c r="E8" s="276" t="e">
        <f t="shared" si="0"/>
        <v>#VALUE!</v>
      </c>
    </row>
    <row r="9" spans="1:5" hidden="1">
      <c r="A9" s="281" t="s">
        <v>767</v>
      </c>
      <c r="B9" s="281" t="s">
        <v>2059</v>
      </c>
      <c r="C9" s="562">
        <f>SUMIFS('Format for Import of DV'!J:J,'Format for Import of DV'!C:C,'Recon of ORS and DV'!A9)</f>
        <v>666774.09000000008</v>
      </c>
      <c r="D9" s="562" t="e">
        <f>SUMIFS('Format for Import of DV'!M:M,'Format for Import of DV'!S:S,'Recon of ORS and DV'!B9)</f>
        <v>#VALUE!</v>
      </c>
      <c r="E9" s="276" t="e">
        <f t="shared" si="0"/>
        <v>#VALUE!</v>
      </c>
    </row>
    <row r="10" spans="1:5" hidden="1">
      <c r="A10" s="281" t="s">
        <v>772</v>
      </c>
      <c r="B10" s="281" t="s">
        <v>2060</v>
      </c>
      <c r="C10" s="562">
        <f>SUMIFS('Format for Import of DV'!J:J,'Format for Import of DV'!C:C,'Recon of ORS and DV'!A10)</f>
        <v>5000</v>
      </c>
      <c r="D10" s="562" t="e">
        <f>SUMIFS('Format for Import of DV'!M:M,'Format for Import of DV'!S:S,'Recon of ORS and DV'!B10)</f>
        <v>#VALUE!</v>
      </c>
      <c r="E10" s="276" t="e">
        <f t="shared" si="0"/>
        <v>#VALUE!</v>
      </c>
    </row>
    <row r="11" spans="1:5" hidden="1">
      <c r="A11" s="281" t="s">
        <v>775</v>
      </c>
      <c r="B11" s="281" t="s">
        <v>2061</v>
      </c>
      <c r="C11" s="562">
        <f>SUMIFS('Format for Import of DV'!J:J,'Format for Import of DV'!C:C,'Recon of ORS and DV'!A11)</f>
        <v>452126.62</v>
      </c>
      <c r="D11" s="562" t="e">
        <f>SUMIFS('Format for Import of DV'!M:M,'Format for Import of DV'!S:S,'Recon of ORS and DV'!B11)</f>
        <v>#VALUE!</v>
      </c>
      <c r="E11" s="276" t="e">
        <f t="shared" si="0"/>
        <v>#VALUE!</v>
      </c>
    </row>
    <row r="12" spans="1:5" hidden="1">
      <c r="A12" s="281" t="s">
        <v>778</v>
      </c>
      <c r="B12" s="281" t="s">
        <v>2062</v>
      </c>
      <c r="C12" s="562">
        <f>SUMIFS('Format for Import of DV'!J:J,'Format for Import of DV'!C:C,'Recon of ORS and DV'!A12)</f>
        <v>160190.04</v>
      </c>
      <c r="D12" s="562" t="e">
        <f>SUMIFS('Format for Import of DV'!M:M,'Format for Import of DV'!S:S,'Recon of ORS and DV'!B12)</f>
        <v>#VALUE!</v>
      </c>
      <c r="E12" s="276" t="e">
        <f t="shared" si="0"/>
        <v>#VALUE!</v>
      </c>
    </row>
    <row r="13" spans="1:5" hidden="1">
      <c r="A13" s="281" t="s">
        <v>849</v>
      </c>
      <c r="B13" s="281" t="s">
        <v>2063</v>
      </c>
      <c r="C13" s="562">
        <f>SUMIFS('Format for Import of DV'!J:J,'Format for Import of DV'!C:C,'Recon of ORS and DV'!A13)</f>
        <v>10311.43</v>
      </c>
      <c r="D13" s="562" t="e">
        <f>SUMIFS('Format for Import of DV'!M:M,'Format for Import of DV'!S:S,'Recon of ORS and DV'!B13)</f>
        <v>#VALUE!</v>
      </c>
      <c r="E13" s="276" t="e">
        <f t="shared" si="0"/>
        <v>#VALUE!</v>
      </c>
    </row>
    <row r="14" spans="1:5" hidden="1">
      <c r="A14" s="281" t="s">
        <v>781</v>
      </c>
      <c r="B14" s="281" t="s">
        <v>2064</v>
      </c>
      <c r="C14" s="562">
        <f>SUMIFS('Format for Import of DV'!J:J,'Format for Import of DV'!C:C,'Recon of ORS and DV'!A14)</f>
        <v>11250</v>
      </c>
      <c r="D14" s="562" t="e">
        <f>SUMIFS('Format for Import of DV'!M:M,'Format for Import of DV'!S:S,'Recon of ORS and DV'!B14)</f>
        <v>#VALUE!</v>
      </c>
      <c r="E14" s="276" t="e">
        <f t="shared" si="0"/>
        <v>#VALUE!</v>
      </c>
    </row>
    <row r="15" spans="1:5" hidden="1">
      <c r="A15" s="281" t="s">
        <v>787</v>
      </c>
      <c r="B15" s="281" t="s">
        <v>2065</v>
      </c>
      <c r="C15" s="562">
        <f>SUMIFS('Format for Import of DV'!J:J,'Format for Import of DV'!C:C,'Recon of ORS and DV'!A15)</f>
        <v>574114.94999999995</v>
      </c>
      <c r="D15" s="562" t="e">
        <f>SUMIFS('Format for Import of DV'!M:M,'Format for Import of DV'!S:S,'Recon of ORS and DV'!B15)</f>
        <v>#VALUE!</v>
      </c>
      <c r="E15" s="276" t="e">
        <f t="shared" si="0"/>
        <v>#VALUE!</v>
      </c>
    </row>
    <row r="16" spans="1:5" hidden="1">
      <c r="A16" s="281" t="s">
        <v>790</v>
      </c>
      <c r="B16" s="281" t="s">
        <v>2066</v>
      </c>
      <c r="C16" s="562">
        <f>SUMIFS('Format for Import of DV'!J:J,'Format for Import of DV'!C:C,'Recon of ORS and DV'!A16)</f>
        <v>2500</v>
      </c>
      <c r="D16" s="562" t="e">
        <f>SUMIFS('Format for Import of DV'!M:M,'Format for Import of DV'!S:S,'Recon of ORS and DV'!B16)</f>
        <v>#VALUE!</v>
      </c>
      <c r="E16" s="276" t="e">
        <f t="shared" si="0"/>
        <v>#VALUE!</v>
      </c>
    </row>
    <row r="17" spans="1:5" hidden="1">
      <c r="A17" s="281" t="s">
        <v>793</v>
      </c>
      <c r="B17" s="281" t="s">
        <v>2067</v>
      </c>
      <c r="C17" s="562">
        <f>SUMIFS('Format for Import of DV'!J:J,'Format for Import of DV'!C:C,'Recon of ORS and DV'!A17)</f>
        <v>0</v>
      </c>
      <c r="D17" s="562" t="e">
        <f>SUMIFS('Format for Import of DV'!M:M,'Format for Import of DV'!S:S,'Recon of ORS and DV'!B17)</f>
        <v>#VALUE!</v>
      </c>
      <c r="E17" s="276" t="e">
        <f t="shared" si="0"/>
        <v>#VALUE!</v>
      </c>
    </row>
    <row r="18" spans="1:5" hidden="1">
      <c r="A18" s="281" t="s">
        <v>807</v>
      </c>
      <c r="B18" s="281" t="s">
        <v>2419</v>
      </c>
      <c r="C18" s="562">
        <f>SUMIFS('Format for Import of DV'!J:J,'Format for Import of DV'!C:C,'Recon of ORS and DV'!A18)</f>
        <v>4313.25</v>
      </c>
      <c r="D18" s="562" t="e">
        <f>SUMIFS('Format for Import of DV'!M:M,'Format for Import of DV'!S:S,'Recon of ORS and DV'!B18)</f>
        <v>#VALUE!</v>
      </c>
      <c r="E18" s="276" t="e">
        <f t="shared" si="0"/>
        <v>#VALUE!</v>
      </c>
    </row>
    <row r="19" spans="1:5" hidden="1">
      <c r="A19" s="281" t="s">
        <v>809</v>
      </c>
      <c r="B19" s="281" t="s">
        <v>2068</v>
      </c>
      <c r="C19" s="562">
        <f>SUMIFS('Format for Import of DV'!J:J,'Format for Import of DV'!C:C,'Recon of ORS and DV'!A19)</f>
        <v>22550.49</v>
      </c>
      <c r="D19" s="562" t="e">
        <f>SUMIFS('Format for Import of DV'!M:M,'Format for Import of DV'!S:S,'Recon of ORS and DV'!B19)</f>
        <v>#VALUE!</v>
      </c>
      <c r="E19" s="276" t="e">
        <f t="shared" si="0"/>
        <v>#VALUE!</v>
      </c>
    </row>
    <row r="20" spans="1:5" hidden="1">
      <c r="A20" s="281" t="s">
        <v>817</v>
      </c>
      <c r="B20" s="557" t="s">
        <v>2073</v>
      </c>
      <c r="C20" s="562">
        <f>SUMIFS('Format for Import of DV'!J:J,'Format for Import of DV'!C:C,'Recon of ORS and DV'!A20)</f>
        <v>7800</v>
      </c>
      <c r="D20" s="562" t="e">
        <f>SUMIFS('Format for Import of DV'!M:M,'Format for Import of DV'!S:S,'Recon of ORS and DV'!B20)</f>
        <v>#VALUE!</v>
      </c>
      <c r="E20" s="276" t="e">
        <f t="shared" si="0"/>
        <v>#VALUE!</v>
      </c>
    </row>
    <row r="21" spans="1:5" hidden="1">
      <c r="A21" s="281" t="s">
        <v>824</v>
      </c>
      <c r="B21" s="281" t="s">
        <v>2069</v>
      </c>
      <c r="C21" s="562">
        <f>SUMIFS('Format for Import of DV'!J:J,'Format for Import of DV'!C:C,'Recon of ORS and DV'!A21)</f>
        <v>7800</v>
      </c>
      <c r="D21" s="562" t="e">
        <f>SUMIFS('Format for Import of DV'!M:M,'Format for Import of DV'!S:S,'Recon of ORS and DV'!B21)</f>
        <v>#VALUE!</v>
      </c>
      <c r="E21" s="276" t="e">
        <f t="shared" si="0"/>
        <v>#VALUE!</v>
      </c>
    </row>
    <row r="22" spans="1:5" hidden="1">
      <c r="A22" s="281" t="s">
        <v>825</v>
      </c>
      <c r="B22" s="281" t="s">
        <v>2070</v>
      </c>
      <c r="C22" s="562">
        <f>SUMIFS('Format for Import of DV'!J:J,'Format for Import of DV'!C:C,'Recon of ORS and DV'!A22)</f>
        <v>7800</v>
      </c>
      <c r="D22" s="562" t="e">
        <f>SUMIFS('Format for Import of DV'!M:M,'Format for Import of DV'!S:S,'Recon of ORS and DV'!B22)</f>
        <v>#VALUE!</v>
      </c>
      <c r="E22" s="276" t="e">
        <f t="shared" si="0"/>
        <v>#VALUE!</v>
      </c>
    </row>
    <row r="23" spans="1:5" hidden="1">
      <c r="A23" s="281" t="s">
        <v>826</v>
      </c>
      <c r="B23" s="281" t="s">
        <v>2071</v>
      </c>
      <c r="C23" s="562">
        <f>SUMIFS('Format for Import of DV'!J:J,'Format for Import of DV'!C:C,'Recon of ORS and DV'!A23)</f>
        <v>7800</v>
      </c>
      <c r="D23" s="562" t="e">
        <f>SUMIFS('Format for Import of DV'!M:M,'Format for Import of DV'!S:S,'Recon of ORS and DV'!B23)</f>
        <v>#VALUE!</v>
      </c>
      <c r="E23" s="276" t="e">
        <f t="shared" si="0"/>
        <v>#VALUE!</v>
      </c>
    </row>
    <row r="24" spans="1:5" hidden="1">
      <c r="A24" s="281" t="s">
        <v>827</v>
      </c>
      <c r="B24" s="281" t="s">
        <v>2072</v>
      </c>
      <c r="C24" s="562">
        <f>SUMIFS('Format for Import of DV'!J:J,'Format for Import of DV'!C:C,'Recon of ORS and DV'!A24)</f>
        <v>7800</v>
      </c>
      <c r="D24" s="562" t="e">
        <f>SUMIFS('Format for Import of DV'!M:M,'Format for Import of DV'!S:S,'Recon of ORS and DV'!B24)</f>
        <v>#VALUE!</v>
      </c>
      <c r="E24" s="276" t="e">
        <f t="shared" si="0"/>
        <v>#VALUE!</v>
      </c>
    </row>
    <row r="25" spans="1:5" hidden="1">
      <c r="A25" s="281" t="s">
        <v>829</v>
      </c>
      <c r="B25" s="281" t="s">
        <v>2425</v>
      </c>
      <c r="C25" s="562">
        <f>SUMIFS('Format for Import of DV'!J:J,'Format for Import of DV'!C:C,'Recon of ORS and DV'!A25)</f>
        <v>59500</v>
      </c>
      <c r="D25" s="562" t="e">
        <f>SUMIFS('Format for Import of DV'!M:M,'Format for Import of DV'!S:S,'Recon of ORS and DV'!B25)</f>
        <v>#VALUE!</v>
      </c>
      <c r="E25" s="276" t="e">
        <f t="shared" si="0"/>
        <v>#VALUE!</v>
      </c>
    </row>
    <row r="26" spans="1:5" hidden="1">
      <c r="A26" s="281" t="s">
        <v>832</v>
      </c>
      <c r="B26" s="281" t="s">
        <v>2074</v>
      </c>
      <c r="C26" s="562">
        <f>SUMIFS('Format for Import of DV'!J:J,'Format for Import of DV'!C:C,'Recon of ORS and DV'!A26)</f>
        <v>18046.37</v>
      </c>
      <c r="D26" s="562" t="e">
        <f>SUMIFS('Format for Import of DV'!M:M,'Format for Import of DV'!S:S,'Recon of ORS and DV'!B26)</f>
        <v>#VALUE!</v>
      </c>
      <c r="E26" s="276" t="e">
        <f t="shared" si="0"/>
        <v>#VALUE!</v>
      </c>
    </row>
    <row r="27" spans="1:5" hidden="1">
      <c r="A27" s="281" t="s">
        <v>835</v>
      </c>
      <c r="B27" s="281" t="s">
        <v>2075</v>
      </c>
      <c r="C27" s="562">
        <f>SUMIFS('Format for Import of DV'!J:J,'Format for Import of DV'!C:C,'Recon of ORS and DV'!A27)</f>
        <v>3675</v>
      </c>
      <c r="D27" s="562" t="e">
        <f>SUMIFS('Format for Import of DV'!M:M,'Format for Import of DV'!S:S,'Recon of ORS and DV'!B27)</f>
        <v>#VALUE!</v>
      </c>
      <c r="E27" s="276" t="e">
        <f t="shared" si="0"/>
        <v>#VALUE!</v>
      </c>
    </row>
    <row r="28" spans="1:5" hidden="1">
      <c r="A28" s="281" t="s">
        <v>838</v>
      </c>
      <c r="B28" s="281" t="s">
        <v>2076</v>
      </c>
      <c r="C28" s="562">
        <f>SUMIFS('Format for Import of DV'!J:J,'Format for Import of DV'!C:C,'Recon of ORS and DV'!A28)</f>
        <v>10895.41</v>
      </c>
      <c r="D28" s="562" t="e">
        <f>SUMIFS('Format for Import of DV'!M:M,'Format for Import of DV'!S:S,'Recon of ORS and DV'!B28)</f>
        <v>#VALUE!</v>
      </c>
      <c r="E28" s="276" t="e">
        <f t="shared" si="0"/>
        <v>#VALUE!</v>
      </c>
    </row>
    <row r="29" spans="1:5" hidden="1">
      <c r="A29" s="281" t="s">
        <v>841</v>
      </c>
      <c r="B29" s="281" t="s">
        <v>2077</v>
      </c>
      <c r="C29" s="562">
        <f>SUMIFS('Format for Import of DV'!J:J,'Format for Import of DV'!C:C,'Recon of ORS and DV'!A29)</f>
        <v>14080</v>
      </c>
      <c r="D29" s="562" t="e">
        <f>SUMIFS('Format for Import of DV'!M:M,'Format for Import of DV'!S:S,'Recon of ORS and DV'!B29)</f>
        <v>#VALUE!</v>
      </c>
      <c r="E29" s="276" t="e">
        <f t="shared" si="0"/>
        <v>#VALUE!</v>
      </c>
    </row>
    <row r="30" spans="1:5" hidden="1">
      <c r="A30" s="281" t="s">
        <v>846</v>
      </c>
      <c r="B30" s="281" t="s">
        <v>2078</v>
      </c>
      <c r="C30" s="562">
        <f>SUMIFS('Format for Import of DV'!J:J,'Format for Import of DV'!C:C,'Recon of ORS and DV'!A30)</f>
        <v>1880</v>
      </c>
      <c r="D30" s="562" t="e">
        <f>SUMIFS('Format for Import of DV'!M:M,'Format for Import of DV'!S:S,'Recon of ORS and DV'!B30)</f>
        <v>#VALUE!</v>
      </c>
      <c r="E30" s="276" t="e">
        <f t="shared" si="0"/>
        <v>#VALUE!</v>
      </c>
    </row>
    <row r="31" spans="1:5" hidden="1">
      <c r="A31" s="281" t="s">
        <v>851</v>
      </c>
      <c r="B31" s="281" t="s">
        <v>2079</v>
      </c>
      <c r="C31" s="562">
        <f>SUMIFS('Format for Import of DV'!J:J,'Format for Import of DV'!C:C,'Recon of ORS and DV'!A31)</f>
        <v>0</v>
      </c>
      <c r="D31" s="562" t="e">
        <f>SUMIFS('Format for Import of DV'!M:M,'Format for Import of DV'!S:S,'Recon of ORS and DV'!B31)</f>
        <v>#VALUE!</v>
      </c>
      <c r="E31" s="276" t="e">
        <f t="shared" si="0"/>
        <v>#VALUE!</v>
      </c>
    </row>
    <row r="32" spans="1:5" hidden="1">
      <c r="A32" s="281" t="s">
        <v>854</v>
      </c>
      <c r="B32" s="281" t="s">
        <v>2080</v>
      </c>
      <c r="C32" s="562">
        <f>SUMIFS('Format for Import of DV'!J:J,'Format for Import of DV'!C:C,'Recon of ORS and DV'!A32)</f>
        <v>20061.82</v>
      </c>
      <c r="D32" s="562" t="e">
        <f>SUMIFS('Format for Import of DV'!M:M,'Format for Import of DV'!S:S,'Recon of ORS and DV'!B32)</f>
        <v>#VALUE!</v>
      </c>
      <c r="E32" s="276" t="e">
        <f t="shared" si="0"/>
        <v>#VALUE!</v>
      </c>
    </row>
    <row r="33" spans="1:5" hidden="1">
      <c r="A33" s="281" t="s">
        <v>856</v>
      </c>
      <c r="B33" s="281" t="s">
        <v>2081</v>
      </c>
      <c r="C33" s="562">
        <f>SUMIFS('Format for Import of DV'!J:J,'Format for Import of DV'!C:C,'Recon of ORS and DV'!A33)</f>
        <v>33474</v>
      </c>
      <c r="D33" s="562" t="e">
        <f>SUMIFS('Format for Import of DV'!M:M,'Format for Import of DV'!S:S,'Recon of ORS and DV'!B33)</f>
        <v>#VALUE!</v>
      </c>
      <c r="E33" s="276" t="e">
        <f t="shared" si="0"/>
        <v>#VALUE!</v>
      </c>
    </row>
    <row r="34" spans="1:5" hidden="1">
      <c r="A34" s="281" t="s">
        <v>858</v>
      </c>
      <c r="B34" s="281"/>
      <c r="C34" s="562">
        <f>SUMIFS('Format for Import of DV'!J:J,'Format for Import of DV'!C:C,'Recon of ORS and DV'!A34)</f>
        <v>0</v>
      </c>
      <c r="D34" s="562" t="e">
        <f>SUMIFS('Format for Import of DV'!M:M,'Format for Import of DV'!S:S,'Recon of ORS and DV'!B34)</f>
        <v>#VALUE!</v>
      </c>
      <c r="E34" s="276" t="e">
        <f t="shared" si="0"/>
        <v>#VALUE!</v>
      </c>
    </row>
    <row r="35" spans="1:5" hidden="1">
      <c r="A35" s="281" t="s">
        <v>861</v>
      </c>
      <c r="B35" s="281" t="s">
        <v>2082</v>
      </c>
      <c r="C35" s="562">
        <f>SUMIFS('Format for Import of DV'!J:J,'Format for Import of DV'!C:C,'Recon of ORS and DV'!A35)</f>
        <v>51777.94</v>
      </c>
      <c r="D35" s="562" t="e">
        <f>SUMIFS('Format for Import of DV'!M:M,'Format for Import of DV'!S:S,'Recon of ORS and DV'!B35)</f>
        <v>#VALUE!</v>
      </c>
      <c r="E35" s="276" t="e">
        <f t="shared" si="0"/>
        <v>#VALUE!</v>
      </c>
    </row>
    <row r="36" spans="1:5" hidden="1">
      <c r="A36" s="281" t="s">
        <v>865</v>
      </c>
      <c r="B36" s="281" t="s">
        <v>2083</v>
      </c>
      <c r="C36" s="562">
        <f>SUMIFS('Format for Import of DV'!J:J,'Format for Import of DV'!C:C,'Recon of ORS and DV'!A36)</f>
        <v>92085.57</v>
      </c>
      <c r="D36" s="562" t="e">
        <f>SUMIFS('Format for Import of DV'!M:M,'Format for Import of DV'!S:S,'Recon of ORS and DV'!B36)</f>
        <v>#VALUE!</v>
      </c>
      <c r="E36" s="276" t="e">
        <f t="shared" si="0"/>
        <v>#VALUE!</v>
      </c>
    </row>
    <row r="37" spans="1:5" hidden="1">
      <c r="A37" s="281" t="s">
        <v>866</v>
      </c>
      <c r="B37" s="281" t="s">
        <v>2084</v>
      </c>
      <c r="C37" s="562">
        <f>SUMIFS('Format for Import of DV'!J:J,'Format for Import of DV'!C:C,'Recon of ORS and DV'!A37)</f>
        <v>40307.629999999997</v>
      </c>
      <c r="D37" s="562" t="e">
        <f>SUMIFS('Format for Import of DV'!M:M,'Format for Import of DV'!S:S,'Recon of ORS and DV'!B37)</f>
        <v>#VALUE!</v>
      </c>
      <c r="E37" s="276" t="e">
        <f t="shared" si="0"/>
        <v>#VALUE!</v>
      </c>
    </row>
    <row r="38" spans="1:5" hidden="1">
      <c r="A38" s="281" t="s">
        <v>868</v>
      </c>
      <c r="B38" s="281" t="s">
        <v>2085</v>
      </c>
      <c r="C38" s="562">
        <f>SUMIFS('Format for Import of DV'!J:J,'Format for Import of DV'!C:C,'Recon of ORS and DV'!A38)</f>
        <v>40307.629999999997</v>
      </c>
      <c r="D38" s="562" t="e">
        <f>SUMIFS('Format for Import of DV'!M:M,'Format for Import of DV'!S:S,'Recon of ORS and DV'!B38)</f>
        <v>#VALUE!</v>
      </c>
      <c r="E38" s="276" t="e">
        <f t="shared" si="0"/>
        <v>#VALUE!</v>
      </c>
    </row>
    <row r="39" spans="1:5" hidden="1">
      <c r="A39" s="281" t="s">
        <v>870</v>
      </c>
      <c r="B39" s="281" t="s">
        <v>2086</v>
      </c>
      <c r="C39" s="562">
        <f>SUMIFS('Format for Import of DV'!J:J,'Format for Import of DV'!C:C,'Recon of ORS and DV'!A39)</f>
        <v>92085.57</v>
      </c>
      <c r="D39" s="562" t="e">
        <f>SUMIFS('Format for Import of DV'!M:M,'Format for Import of DV'!S:S,'Recon of ORS and DV'!B39)</f>
        <v>#VALUE!</v>
      </c>
      <c r="E39" s="276" t="e">
        <f t="shared" si="0"/>
        <v>#VALUE!</v>
      </c>
    </row>
    <row r="40" spans="1:5" hidden="1">
      <c r="A40" s="281" t="s">
        <v>871</v>
      </c>
      <c r="B40" s="281" t="s">
        <v>2087</v>
      </c>
      <c r="C40" s="562">
        <f>SUMIFS('Format for Import of DV'!J:J,'Format for Import of DV'!C:C,'Recon of ORS and DV'!A40)</f>
        <v>40307.629999999997</v>
      </c>
      <c r="D40" s="562" t="e">
        <f>SUMIFS('Format for Import of DV'!M:M,'Format for Import of DV'!S:S,'Recon of ORS and DV'!B40)</f>
        <v>#VALUE!</v>
      </c>
      <c r="E40" s="276" t="e">
        <f t="shared" si="0"/>
        <v>#VALUE!</v>
      </c>
    </row>
    <row r="41" spans="1:5" hidden="1">
      <c r="A41" s="281" t="s">
        <v>1029</v>
      </c>
      <c r="B41" s="281" t="s">
        <v>2088</v>
      </c>
      <c r="C41" s="562">
        <f>SUMIFS('Format for Import of DV'!J:J,'Format for Import of DV'!C:C,'Recon of ORS and DV'!A41)</f>
        <v>150000</v>
      </c>
      <c r="D41" s="562" t="e">
        <f>SUMIFS('Format for Import of DV'!M:M,'Format for Import of DV'!S:S,'Recon of ORS and DV'!B41)</f>
        <v>#VALUE!</v>
      </c>
      <c r="E41" s="276" t="e">
        <f t="shared" si="0"/>
        <v>#VALUE!</v>
      </c>
    </row>
    <row r="42" spans="1:5" hidden="1">
      <c r="A42" s="281" t="s">
        <v>1032</v>
      </c>
      <c r="B42" s="281" t="s">
        <v>2089</v>
      </c>
      <c r="C42" s="562">
        <f>SUMIFS('Format for Import of DV'!J:J,'Format for Import of DV'!C:C,'Recon of ORS and DV'!A42)</f>
        <v>10000</v>
      </c>
      <c r="D42" s="562" t="e">
        <f>SUMIFS('Format for Import of DV'!M:M,'Format for Import of DV'!S:S,'Recon of ORS and DV'!B42)</f>
        <v>#VALUE!</v>
      </c>
      <c r="E42" s="276" t="e">
        <f t="shared" si="0"/>
        <v>#VALUE!</v>
      </c>
    </row>
    <row r="43" spans="1:5" hidden="1">
      <c r="A43" s="281" t="s">
        <v>1034</v>
      </c>
      <c r="B43" s="281" t="s">
        <v>2090</v>
      </c>
      <c r="C43" s="562">
        <f>SUMIFS('Format for Import of DV'!J:J,'Format for Import of DV'!C:C,'Recon of ORS and DV'!A43)</f>
        <v>28636.36</v>
      </c>
      <c r="D43" s="562" t="e">
        <f>SUMIFS('Format for Import of DV'!M:M,'Format for Import of DV'!S:S,'Recon of ORS and DV'!B43)</f>
        <v>#VALUE!</v>
      </c>
      <c r="E43" s="276" t="e">
        <f t="shared" si="0"/>
        <v>#VALUE!</v>
      </c>
    </row>
    <row r="44" spans="1:5" hidden="1">
      <c r="A44" s="281" t="s">
        <v>1046</v>
      </c>
      <c r="B44" s="281" t="s">
        <v>2091</v>
      </c>
      <c r="C44" s="562">
        <f>SUMIFS('Format for Import of DV'!J:J,'Format for Import of DV'!C:C,'Recon of ORS and DV'!A44)</f>
        <v>2073.09</v>
      </c>
      <c r="D44" s="562" t="e">
        <f>SUMIFS('Format for Import of DV'!M:M,'Format for Import of DV'!S:S,'Recon of ORS and DV'!B44)</f>
        <v>#VALUE!</v>
      </c>
      <c r="E44" s="276" t="e">
        <f t="shared" si="0"/>
        <v>#VALUE!</v>
      </c>
    </row>
    <row r="45" spans="1:5" hidden="1">
      <c r="A45" s="281" t="s">
        <v>1047</v>
      </c>
      <c r="B45" s="281" t="s">
        <v>2092</v>
      </c>
      <c r="C45" s="562">
        <f>SUMIFS('Format for Import of DV'!J:J,'Format for Import of DV'!C:C,'Recon of ORS and DV'!A45)</f>
        <v>0</v>
      </c>
      <c r="D45" s="562" t="e">
        <f>SUMIFS('Format for Import of DV'!M:M,'Format for Import of DV'!S:S,'Recon of ORS and DV'!B45)</f>
        <v>#VALUE!</v>
      </c>
      <c r="E45" s="276" t="e">
        <f t="shared" si="0"/>
        <v>#VALUE!</v>
      </c>
    </row>
    <row r="46" spans="1:5" hidden="1">
      <c r="A46" s="281" t="s">
        <v>1264</v>
      </c>
      <c r="B46" s="281" t="s">
        <v>2457</v>
      </c>
      <c r="C46" s="562">
        <f>SUMIFS('Format for Import of DV'!J:J,'Format for Import of DV'!C:C,'Recon of ORS and DV'!A46)</f>
        <v>17600</v>
      </c>
      <c r="D46" s="562" t="e">
        <f>SUMIFS('Format for Import of DV'!M:M,'Format for Import of DV'!S:S,'Recon of ORS and DV'!B46)</f>
        <v>#VALUE!</v>
      </c>
      <c r="E46" s="276" t="e">
        <f t="shared" si="0"/>
        <v>#VALUE!</v>
      </c>
    </row>
    <row r="47" spans="1:5" hidden="1">
      <c r="A47" s="281" t="s">
        <v>1048</v>
      </c>
      <c r="B47" s="281" t="s">
        <v>2093</v>
      </c>
      <c r="C47" s="562">
        <f>SUMIFS('Format for Import of DV'!J:J,'Format for Import of DV'!C:C,'Recon of ORS and DV'!A47)</f>
        <v>80000</v>
      </c>
      <c r="D47" s="562" t="e">
        <f>SUMIFS('Format for Import of DV'!M:M,'Format for Import of DV'!S:S,'Recon of ORS and DV'!B47)</f>
        <v>#VALUE!</v>
      </c>
      <c r="E47" s="276" t="e">
        <f t="shared" si="0"/>
        <v>#VALUE!</v>
      </c>
    </row>
    <row r="48" spans="1:5" hidden="1">
      <c r="A48" s="281" t="s">
        <v>1049</v>
      </c>
      <c r="B48" s="281" t="s">
        <v>2094</v>
      </c>
      <c r="C48" s="562">
        <f>SUMIFS('Format for Import of DV'!J:J,'Format for Import of DV'!C:C,'Recon of ORS and DV'!A48)</f>
        <v>750</v>
      </c>
      <c r="D48" s="562" t="e">
        <f>SUMIFS('Format for Import of DV'!M:M,'Format for Import of DV'!S:S,'Recon of ORS and DV'!B48)</f>
        <v>#VALUE!</v>
      </c>
      <c r="E48" s="276" t="e">
        <f t="shared" si="0"/>
        <v>#VALUE!</v>
      </c>
    </row>
    <row r="49" spans="1:5" hidden="1">
      <c r="A49" s="281" t="s">
        <v>1050</v>
      </c>
      <c r="B49" s="281" t="s">
        <v>2095</v>
      </c>
      <c r="C49" s="562">
        <f>SUMIFS('Format for Import of DV'!J:J,'Format for Import of DV'!C:C,'Recon of ORS and DV'!A49)</f>
        <v>750</v>
      </c>
      <c r="D49" s="562" t="e">
        <f>SUMIFS('Format for Import of DV'!M:M,'Format for Import of DV'!S:S,'Recon of ORS and DV'!B49)</f>
        <v>#VALUE!</v>
      </c>
      <c r="E49" s="276" t="e">
        <f t="shared" si="0"/>
        <v>#VALUE!</v>
      </c>
    </row>
    <row r="50" spans="1:5" hidden="1">
      <c r="A50" s="281" t="s">
        <v>1051</v>
      </c>
      <c r="B50" s="281" t="s">
        <v>2096</v>
      </c>
      <c r="C50" s="562">
        <f>SUMIFS('Format for Import of DV'!J:J,'Format for Import of DV'!C:C,'Recon of ORS and DV'!A50)</f>
        <v>750</v>
      </c>
      <c r="D50" s="562" t="e">
        <f>SUMIFS('Format for Import of DV'!M:M,'Format for Import of DV'!S:S,'Recon of ORS and DV'!B50)</f>
        <v>#VALUE!</v>
      </c>
      <c r="E50" s="276" t="e">
        <f t="shared" si="0"/>
        <v>#VALUE!</v>
      </c>
    </row>
    <row r="51" spans="1:5" hidden="1">
      <c r="A51" s="281" t="s">
        <v>1052</v>
      </c>
      <c r="B51" s="281" t="s">
        <v>2097</v>
      </c>
      <c r="C51" s="562">
        <f>SUMIFS('Format for Import of DV'!J:J,'Format for Import of DV'!C:C,'Recon of ORS and DV'!A51)</f>
        <v>97200</v>
      </c>
      <c r="D51" s="562" t="e">
        <f>SUMIFS('Format for Import of DV'!M:M,'Format for Import of DV'!S:S,'Recon of ORS and DV'!B51)</f>
        <v>#VALUE!</v>
      </c>
      <c r="E51" s="276" t="e">
        <f t="shared" si="0"/>
        <v>#VALUE!</v>
      </c>
    </row>
    <row r="52" spans="1:5" hidden="1">
      <c r="A52" s="281" t="s">
        <v>1053</v>
      </c>
      <c r="B52" s="281" t="s">
        <v>2098</v>
      </c>
      <c r="C52" s="562">
        <f>SUMIFS('Format for Import of DV'!J:J,'Format for Import of DV'!C:C,'Recon of ORS and DV'!A52)</f>
        <v>97200</v>
      </c>
      <c r="D52" s="562" t="e">
        <f>SUMIFS('Format for Import of DV'!M:M,'Format for Import of DV'!S:S,'Recon of ORS and DV'!B52)</f>
        <v>#VALUE!</v>
      </c>
      <c r="E52" s="276" t="e">
        <f t="shared" si="0"/>
        <v>#VALUE!</v>
      </c>
    </row>
    <row r="53" spans="1:5" hidden="1">
      <c r="A53" s="281" t="s">
        <v>1054</v>
      </c>
      <c r="B53" s="281" t="s">
        <v>2099</v>
      </c>
      <c r="C53" s="562">
        <f>SUMIFS('Format for Import of DV'!J:J,'Format for Import of DV'!C:C,'Recon of ORS and DV'!A53)</f>
        <v>97200</v>
      </c>
      <c r="D53" s="562" t="e">
        <f>SUMIFS('Format for Import of DV'!M:M,'Format for Import of DV'!S:S,'Recon of ORS and DV'!B53)</f>
        <v>#VALUE!</v>
      </c>
      <c r="E53" s="276" t="e">
        <f t="shared" si="0"/>
        <v>#VALUE!</v>
      </c>
    </row>
    <row r="54" spans="1:5" hidden="1">
      <c r="A54" s="281" t="s">
        <v>1055</v>
      </c>
      <c r="B54" s="281" t="s">
        <v>2100</v>
      </c>
      <c r="C54" s="562">
        <f>SUMIFS('Format for Import of DV'!J:J,'Format for Import of DV'!C:C,'Recon of ORS and DV'!A54)</f>
        <v>97200</v>
      </c>
      <c r="D54" s="562" t="e">
        <f>SUMIFS('Format for Import of DV'!M:M,'Format for Import of DV'!S:S,'Recon of ORS and DV'!B54)</f>
        <v>#VALUE!</v>
      </c>
      <c r="E54" s="276" t="e">
        <f t="shared" si="0"/>
        <v>#VALUE!</v>
      </c>
    </row>
    <row r="55" spans="1:5" hidden="1">
      <c r="A55" s="281" t="s">
        <v>1056</v>
      </c>
      <c r="B55" s="281" t="s">
        <v>2101</v>
      </c>
      <c r="C55" s="562">
        <f>SUMIFS('Format for Import of DV'!J:J,'Format for Import of DV'!C:C,'Recon of ORS and DV'!A55)</f>
        <v>97200</v>
      </c>
      <c r="D55" s="562" t="e">
        <f>SUMIFS('Format for Import of DV'!M:M,'Format for Import of DV'!S:S,'Recon of ORS and DV'!B55)</f>
        <v>#VALUE!</v>
      </c>
      <c r="E55" s="276" t="e">
        <f t="shared" si="0"/>
        <v>#VALUE!</v>
      </c>
    </row>
    <row r="56" spans="1:5" hidden="1">
      <c r="A56" s="281" t="s">
        <v>1057</v>
      </c>
      <c r="B56" s="281" t="s">
        <v>2102</v>
      </c>
      <c r="C56" s="562">
        <f>SUMIFS('Format for Import of DV'!J:J,'Format for Import of DV'!C:C,'Recon of ORS and DV'!A56)</f>
        <v>62500</v>
      </c>
      <c r="D56" s="562" t="e">
        <f>SUMIFS('Format for Import of DV'!M:M,'Format for Import of DV'!S:S,'Recon of ORS and DV'!B56)</f>
        <v>#VALUE!</v>
      </c>
      <c r="E56" s="276" t="e">
        <f t="shared" si="0"/>
        <v>#VALUE!</v>
      </c>
    </row>
    <row r="57" spans="1:5" hidden="1">
      <c r="A57" s="281" t="s">
        <v>1058</v>
      </c>
      <c r="B57" s="281" t="s">
        <v>2103</v>
      </c>
      <c r="C57" s="562">
        <f>SUMIFS('Format for Import of DV'!J:J,'Format for Import of DV'!C:C,'Recon of ORS and DV'!A57)</f>
        <v>50000</v>
      </c>
      <c r="D57" s="562" t="e">
        <f>SUMIFS('Format for Import of DV'!M:M,'Format for Import of DV'!S:S,'Recon of ORS and DV'!B57)</f>
        <v>#VALUE!</v>
      </c>
      <c r="E57" s="276" t="e">
        <f t="shared" si="0"/>
        <v>#VALUE!</v>
      </c>
    </row>
    <row r="58" spans="1:5" hidden="1">
      <c r="A58" s="281" t="s">
        <v>1059</v>
      </c>
      <c r="B58" s="281" t="s">
        <v>2104</v>
      </c>
      <c r="C58" s="562">
        <f>SUMIFS('Format for Import of DV'!J:J,'Format for Import of DV'!C:C,'Recon of ORS and DV'!A58)</f>
        <v>50000</v>
      </c>
      <c r="D58" s="562" t="e">
        <f>SUMIFS('Format for Import of DV'!M:M,'Format for Import of DV'!S:S,'Recon of ORS and DV'!B58)</f>
        <v>#VALUE!</v>
      </c>
      <c r="E58" s="276" t="e">
        <f t="shared" si="0"/>
        <v>#VALUE!</v>
      </c>
    </row>
    <row r="59" spans="1:5" hidden="1">
      <c r="A59" s="281" t="s">
        <v>1060</v>
      </c>
      <c r="B59" s="281" t="s">
        <v>2105</v>
      </c>
      <c r="C59" s="562">
        <f>SUMIFS('Format for Import of DV'!J:J,'Format for Import of DV'!C:C,'Recon of ORS and DV'!A59)</f>
        <v>50000</v>
      </c>
      <c r="D59" s="562" t="e">
        <f>SUMIFS('Format for Import of DV'!M:M,'Format for Import of DV'!S:S,'Recon of ORS and DV'!B59)</f>
        <v>#VALUE!</v>
      </c>
      <c r="E59" s="276" t="e">
        <f t="shared" si="0"/>
        <v>#VALUE!</v>
      </c>
    </row>
    <row r="60" spans="1:5" hidden="1">
      <c r="A60" s="281" t="s">
        <v>1061</v>
      </c>
      <c r="B60" s="281" t="s">
        <v>2106</v>
      </c>
      <c r="C60" s="562">
        <f>SUMIFS('Format for Import of DV'!J:J,'Format for Import of DV'!C:C,'Recon of ORS and DV'!A60)</f>
        <v>50000</v>
      </c>
      <c r="D60" s="562" t="e">
        <f>SUMIFS('Format for Import of DV'!M:M,'Format for Import of DV'!S:S,'Recon of ORS and DV'!B60)</f>
        <v>#VALUE!</v>
      </c>
      <c r="E60" s="276" t="e">
        <f t="shared" si="0"/>
        <v>#VALUE!</v>
      </c>
    </row>
    <row r="61" spans="1:5" hidden="1">
      <c r="A61" s="281" t="s">
        <v>1063</v>
      </c>
      <c r="B61" s="281" t="s">
        <v>2107</v>
      </c>
      <c r="C61" s="562">
        <f>SUMIFS('Format for Import of DV'!J:J,'Format for Import of DV'!C:C,'Recon of ORS and DV'!A61)</f>
        <v>4734.25</v>
      </c>
      <c r="D61" s="562" t="e">
        <f>SUMIFS('Format for Import of DV'!M:M,'Format for Import of DV'!S:S,'Recon of ORS and DV'!B61)</f>
        <v>#VALUE!</v>
      </c>
      <c r="E61" s="276" t="e">
        <f t="shared" si="0"/>
        <v>#VALUE!</v>
      </c>
    </row>
    <row r="62" spans="1:5" hidden="1">
      <c r="A62" s="281" t="s">
        <v>1077</v>
      </c>
      <c r="B62" s="281" t="s">
        <v>2108</v>
      </c>
      <c r="C62" s="562">
        <f>SUMIFS('Format for Import of DV'!J:J,'Format for Import of DV'!C:C,'Recon of ORS and DV'!A62)</f>
        <v>1350</v>
      </c>
      <c r="D62" s="562" t="e">
        <f>SUMIFS('Format for Import of DV'!M:M,'Format for Import of DV'!S:S,'Recon of ORS and DV'!B62)</f>
        <v>#VALUE!</v>
      </c>
      <c r="E62" s="276" t="e">
        <f t="shared" si="0"/>
        <v>#VALUE!</v>
      </c>
    </row>
    <row r="63" spans="1:5" hidden="1">
      <c r="A63" s="281" t="s">
        <v>1078</v>
      </c>
      <c r="B63" s="281" t="s">
        <v>2109</v>
      </c>
      <c r="C63" s="562">
        <f>SUMIFS('Format for Import of DV'!J:J,'Format for Import of DV'!C:C,'Recon of ORS and DV'!A63)</f>
        <v>528841.48</v>
      </c>
      <c r="D63" s="562" t="e">
        <f>SUMIFS('Format for Import of DV'!M:M,'Format for Import of DV'!S:S,'Recon of ORS and DV'!B63)</f>
        <v>#VALUE!</v>
      </c>
      <c r="E63" s="276" t="e">
        <f t="shared" si="0"/>
        <v>#VALUE!</v>
      </c>
    </row>
    <row r="64" spans="1:5" hidden="1">
      <c r="A64" s="281" t="s">
        <v>1079</v>
      </c>
      <c r="B64" s="281" t="s">
        <v>2110</v>
      </c>
      <c r="C64" s="562">
        <f>SUMIFS('Format for Import of DV'!J:J,'Format for Import of DV'!C:C,'Recon of ORS and DV'!A64)</f>
        <v>241528.69</v>
      </c>
      <c r="D64" s="562" t="e">
        <f>SUMIFS('Format for Import of DV'!M:M,'Format for Import of DV'!S:S,'Recon of ORS and DV'!B64)</f>
        <v>#VALUE!</v>
      </c>
      <c r="E64" s="276" t="e">
        <f t="shared" si="0"/>
        <v>#VALUE!</v>
      </c>
    </row>
    <row r="65" spans="1:5" hidden="1">
      <c r="A65" s="281" t="s">
        <v>1080</v>
      </c>
      <c r="B65" s="281" t="s">
        <v>2111</v>
      </c>
      <c r="C65" s="562">
        <f>SUMIFS('Format for Import of DV'!J:J,'Format for Import of DV'!C:C,'Recon of ORS and DV'!A65)</f>
        <v>337586.4</v>
      </c>
      <c r="D65" s="562" t="e">
        <f>SUMIFS('Format for Import of DV'!M:M,'Format for Import of DV'!S:S,'Recon of ORS and DV'!B65)</f>
        <v>#VALUE!</v>
      </c>
      <c r="E65" s="276" t="e">
        <f t="shared" si="0"/>
        <v>#VALUE!</v>
      </c>
    </row>
    <row r="66" spans="1:5" hidden="1">
      <c r="A66" s="281" t="s">
        <v>1081</v>
      </c>
      <c r="B66" s="281" t="s">
        <v>2112</v>
      </c>
      <c r="C66" s="562">
        <f>SUMIFS('Format for Import of DV'!J:J,'Format for Import of DV'!C:C,'Recon of ORS and DV'!A66)</f>
        <v>355426.3600000001</v>
      </c>
      <c r="D66" s="562" t="e">
        <f>SUMIFS('Format for Import of DV'!M:M,'Format for Import of DV'!S:S,'Recon of ORS and DV'!B66)</f>
        <v>#VALUE!</v>
      </c>
      <c r="E66" s="276" t="e">
        <f t="shared" si="0"/>
        <v>#VALUE!</v>
      </c>
    </row>
    <row r="67" spans="1:5" hidden="1">
      <c r="A67" s="281" t="s">
        <v>1082</v>
      </c>
      <c r="B67" s="281" t="s">
        <v>2113</v>
      </c>
      <c r="C67" s="562">
        <f>SUMIFS('Format for Import of DV'!J:J,'Format for Import of DV'!C:C,'Recon of ORS and DV'!A67)</f>
        <v>230967.52</v>
      </c>
      <c r="D67" s="562" t="e">
        <f>SUMIFS('Format for Import of DV'!M:M,'Format for Import of DV'!S:S,'Recon of ORS and DV'!B67)</f>
        <v>#VALUE!</v>
      </c>
      <c r="E67" s="276" t="e">
        <f t="shared" si="0"/>
        <v>#VALUE!</v>
      </c>
    </row>
    <row r="68" spans="1:5" hidden="1">
      <c r="A68" s="281" t="s">
        <v>1083</v>
      </c>
      <c r="B68" s="281" t="s">
        <v>2114</v>
      </c>
      <c r="C68" s="562">
        <f>SUMIFS('Format for Import of DV'!J:J,'Format for Import of DV'!C:C,'Recon of ORS and DV'!A68)</f>
        <v>65016.91</v>
      </c>
      <c r="D68" s="562" t="e">
        <f>SUMIFS('Format for Import of DV'!M:M,'Format for Import of DV'!S:S,'Recon of ORS and DV'!B68)</f>
        <v>#VALUE!</v>
      </c>
      <c r="E68" s="276" t="e">
        <f t="shared" si="0"/>
        <v>#VALUE!</v>
      </c>
    </row>
    <row r="69" spans="1:5" hidden="1">
      <c r="A69" s="281" t="s">
        <v>1084</v>
      </c>
      <c r="B69" s="281" t="s">
        <v>2115</v>
      </c>
      <c r="C69" s="562">
        <f>SUMIFS('Format for Import of DV'!J:J,'Format for Import of DV'!C:C,'Recon of ORS and DV'!A69)</f>
        <v>16881.330000000002</v>
      </c>
      <c r="D69" s="562" t="e">
        <f>SUMIFS('Format for Import of DV'!M:M,'Format for Import of DV'!S:S,'Recon of ORS and DV'!B69)</f>
        <v>#VALUE!</v>
      </c>
      <c r="E69" s="276" t="e">
        <f t="shared" ref="E69:E132" si="1">C69-D69</f>
        <v>#VALUE!</v>
      </c>
    </row>
    <row r="70" spans="1:5" hidden="1">
      <c r="A70" s="281" t="s">
        <v>1085</v>
      </c>
      <c r="B70" s="281" t="s">
        <v>2116</v>
      </c>
      <c r="C70" s="562">
        <f>SUMIFS('Format for Import of DV'!J:J,'Format for Import of DV'!C:C,'Recon of ORS and DV'!A70)</f>
        <v>4194.7300000000005</v>
      </c>
      <c r="D70" s="562" t="e">
        <f>SUMIFS('Format for Import of DV'!M:M,'Format for Import of DV'!S:S,'Recon of ORS and DV'!B70)</f>
        <v>#VALUE!</v>
      </c>
      <c r="E70" s="276" t="e">
        <f t="shared" si="1"/>
        <v>#VALUE!</v>
      </c>
    </row>
    <row r="71" spans="1:5" hidden="1">
      <c r="A71" s="281" t="s">
        <v>1087</v>
      </c>
      <c r="B71" s="281" t="s">
        <v>2117</v>
      </c>
      <c r="C71" s="562">
        <f>SUMIFS('Format for Import of DV'!J:J,'Format for Import of DV'!C:C,'Recon of ORS and DV'!A71)</f>
        <v>36158</v>
      </c>
      <c r="D71" s="562" t="e">
        <f>SUMIFS('Format for Import of DV'!M:M,'Format for Import of DV'!S:S,'Recon of ORS and DV'!B71)</f>
        <v>#VALUE!</v>
      </c>
      <c r="E71" s="276" t="e">
        <f t="shared" si="1"/>
        <v>#VALUE!</v>
      </c>
    </row>
    <row r="72" spans="1:5" hidden="1">
      <c r="A72" s="281" t="s">
        <v>1088</v>
      </c>
      <c r="B72" s="281" t="s">
        <v>2118</v>
      </c>
      <c r="C72" s="562">
        <f>SUMIFS('Format for Import of DV'!J:J,'Format for Import of DV'!C:C,'Recon of ORS and DV'!A72)</f>
        <v>1046300</v>
      </c>
      <c r="D72" s="562" t="e">
        <f>SUMIFS('Format for Import of DV'!M:M,'Format for Import of DV'!S:S,'Recon of ORS and DV'!B72)</f>
        <v>#VALUE!</v>
      </c>
      <c r="E72" s="276" t="e">
        <f t="shared" si="1"/>
        <v>#VALUE!</v>
      </c>
    </row>
    <row r="73" spans="1:5" hidden="1">
      <c r="A73" s="281" t="s">
        <v>1090</v>
      </c>
      <c r="B73" s="281" t="s">
        <v>2119</v>
      </c>
      <c r="C73" s="562">
        <f>SUMIFS('Format for Import of DV'!J:J,'Format for Import of DV'!C:C,'Recon of ORS and DV'!A73)</f>
        <v>535050</v>
      </c>
      <c r="D73" s="562" t="e">
        <f>SUMIFS('Format for Import of DV'!M:M,'Format for Import of DV'!S:S,'Recon of ORS and DV'!B73)</f>
        <v>#VALUE!</v>
      </c>
      <c r="E73" s="276" t="e">
        <f t="shared" si="1"/>
        <v>#VALUE!</v>
      </c>
    </row>
    <row r="74" spans="1:5" hidden="1">
      <c r="A74" s="281" t="s">
        <v>1091</v>
      </c>
      <c r="B74" s="281" t="s">
        <v>2120</v>
      </c>
      <c r="C74" s="562">
        <f>SUMIFS('Format for Import of DV'!J:J,'Format for Import of DV'!C:C,'Recon of ORS and DV'!A74)</f>
        <v>963500</v>
      </c>
      <c r="D74" s="562" t="e">
        <f>SUMIFS('Format for Import of DV'!M:M,'Format for Import of DV'!S:S,'Recon of ORS and DV'!B74)</f>
        <v>#VALUE!</v>
      </c>
      <c r="E74" s="276" t="e">
        <f t="shared" si="1"/>
        <v>#VALUE!</v>
      </c>
    </row>
    <row r="75" spans="1:5" hidden="1">
      <c r="A75" s="281" t="s">
        <v>1092</v>
      </c>
      <c r="B75" s="281" t="s">
        <v>2121</v>
      </c>
      <c r="C75" s="562">
        <f>SUMIFS('Format for Import of DV'!J:J,'Format for Import of DV'!C:C,'Recon of ORS and DV'!A75)</f>
        <v>870350</v>
      </c>
      <c r="D75" s="562" t="e">
        <f>SUMIFS('Format for Import of DV'!M:M,'Format for Import of DV'!S:S,'Recon of ORS and DV'!B75)</f>
        <v>#VALUE!</v>
      </c>
      <c r="E75" s="276" t="e">
        <f t="shared" si="1"/>
        <v>#VALUE!</v>
      </c>
    </row>
    <row r="76" spans="1:5" hidden="1">
      <c r="A76" s="281" t="s">
        <v>1093</v>
      </c>
      <c r="B76" s="281" t="s">
        <v>2122</v>
      </c>
      <c r="C76" s="562">
        <f>SUMIFS('Format for Import of DV'!J:J,'Format for Import of DV'!C:C,'Recon of ORS and DV'!A76)</f>
        <v>815900</v>
      </c>
      <c r="D76" s="562" t="e">
        <f>SUMIFS('Format for Import of DV'!M:M,'Format for Import of DV'!S:S,'Recon of ORS and DV'!B76)</f>
        <v>#VALUE!</v>
      </c>
      <c r="E76" s="276" t="e">
        <f t="shared" si="1"/>
        <v>#VALUE!</v>
      </c>
    </row>
    <row r="77" spans="1:5" hidden="1">
      <c r="A77" s="281" t="s">
        <v>1094</v>
      </c>
      <c r="B77" s="281" t="s">
        <v>2123</v>
      </c>
      <c r="C77" s="562">
        <f>SUMIFS('Format for Import of DV'!J:J,'Format for Import of DV'!C:C,'Recon of ORS and DV'!A77)</f>
        <v>62014.22</v>
      </c>
      <c r="D77" s="562" t="e">
        <f>SUMIFS('Format for Import of DV'!M:M,'Format for Import of DV'!S:S,'Recon of ORS and DV'!B77)</f>
        <v>#VALUE!</v>
      </c>
      <c r="E77" s="276" t="e">
        <f t="shared" si="1"/>
        <v>#VALUE!</v>
      </c>
    </row>
    <row r="78" spans="1:5" hidden="1">
      <c r="A78" s="281" t="s">
        <v>1096</v>
      </c>
      <c r="B78" s="281" t="s">
        <v>2124</v>
      </c>
      <c r="C78" s="562">
        <f>SUMIFS('Format for Import of DV'!J:J,'Format for Import of DV'!C:C,'Recon of ORS and DV'!A78)</f>
        <v>17167.73</v>
      </c>
      <c r="D78" s="562" t="e">
        <f>SUMIFS('Format for Import of DV'!M:M,'Format for Import of DV'!S:S,'Recon of ORS and DV'!B78)</f>
        <v>#VALUE!</v>
      </c>
      <c r="E78" s="276" t="e">
        <f t="shared" si="1"/>
        <v>#VALUE!</v>
      </c>
    </row>
    <row r="79" spans="1:5" hidden="1">
      <c r="A79" s="281" t="s">
        <v>1097</v>
      </c>
      <c r="B79" s="281" t="s">
        <v>2125</v>
      </c>
      <c r="C79" s="562">
        <f>SUMIFS('Format for Import of DV'!J:J,'Format for Import of DV'!C:C,'Recon of ORS and DV'!A79)</f>
        <v>17698.68</v>
      </c>
      <c r="D79" s="562" t="e">
        <f>SUMIFS('Format for Import of DV'!M:M,'Format for Import of DV'!S:S,'Recon of ORS and DV'!B79)</f>
        <v>#VALUE!</v>
      </c>
      <c r="E79" s="276" t="e">
        <f t="shared" si="1"/>
        <v>#VALUE!</v>
      </c>
    </row>
    <row r="80" spans="1:5" hidden="1">
      <c r="A80" s="281" t="s">
        <v>1098</v>
      </c>
      <c r="B80" s="281" t="s">
        <v>2126</v>
      </c>
      <c r="C80" s="562">
        <f>SUMIFS('Format for Import of DV'!J:J,'Format for Import of DV'!C:C,'Recon of ORS and DV'!A80)</f>
        <v>18167.440000000002</v>
      </c>
      <c r="D80" s="562" t="e">
        <f>SUMIFS('Format for Import of DV'!M:M,'Format for Import of DV'!S:S,'Recon of ORS and DV'!B80)</f>
        <v>#VALUE!</v>
      </c>
      <c r="E80" s="276" t="e">
        <f t="shared" si="1"/>
        <v>#VALUE!</v>
      </c>
    </row>
    <row r="81" spans="1:5" hidden="1">
      <c r="A81" s="281" t="s">
        <v>1099</v>
      </c>
      <c r="B81" s="281" t="s">
        <v>2127</v>
      </c>
      <c r="C81" s="562">
        <f>SUMIFS('Format for Import of DV'!J:J,'Format for Import of DV'!C:C,'Recon of ORS and DV'!A81)</f>
        <v>21594.01</v>
      </c>
      <c r="D81" s="562" t="e">
        <f>SUMIFS('Format for Import of DV'!M:M,'Format for Import of DV'!S:S,'Recon of ORS and DV'!B81)</f>
        <v>#VALUE!</v>
      </c>
      <c r="E81" s="276" t="e">
        <f t="shared" si="1"/>
        <v>#VALUE!</v>
      </c>
    </row>
    <row r="82" spans="1:5" hidden="1">
      <c r="A82" s="281" t="s">
        <v>1100</v>
      </c>
      <c r="B82" s="281" t="s">
        <v>2128</v>
      </c>
      <c r="C82" s="562">
        <f>SUMIFS('Format for Import of DV'!J:J,'Format for Import of DV'!C:C,'Recon of ORS and DV'!A82)</f>
        <v>12904.51</v>
      </c>
      <c r="D82" s="562" t="e">
        <f>SUMIFS('Format for Import of DV'!M:M,'Format for Import of DV'!S:S,'Recon of ORS and DV'!B82)</f>
        <v>#VALUE!</v>
      </c>
      <c r="E82" s="276" t="e">
        <f t="shared" si="1"/>
        <v>#VALUE!</v>
      </c>
    </row>
    <row r="83" spans="1:5" hidden="1">
      <c r="A83" s="281" t="s">
        <v>1101</v>
      </c>
      <c r="B83" s="281" t="s">
        <v>2129</v>
      </c>
      <c r="C83" s="562">
        <f>SUMIFS('Format for Import of DV'!J:J,'Format for Import of DV'!C:C,'Recon of ORS and DV'!A83)</f>
        <v>1200</v>
      </c>
      <c r="D83" s="562" t="e">
        <f>SUMIFS('Format for Import of DV'!M:M,'Format for Import of DV'!S:S,'Recon of ORS and DV'!B83)</f>
        <v>#VALUE!</v>
      </c>
      <c r="E83" s="276" t="e">
        <f t="shared" si="1"/>
        <v>#VALUE!</v>
      </c>
    </row>
    <row r="84" spans="1:5" hidden="1">
      <c r="A84" s="281" t="s">
        <v>1104</v>
      </c>
      <c r="B84" s="281" t="s">
        <v>2130</v>
      </c>
      <c r="C84" s="562">
        <f>SUMIFS('Format for Import of DV'!J:J,'Format for Import of DV'!C:C,'Recon of ORS and DV'!A84)</f>
        <v>8885.08</v>
      </c>
      <c r="D84" s="562" t="e">
        <f>SUMIFS('Format for Import of DV'!M:M,'Format for Import of DV'!S:S,'Recon of ORS and DV'!B84)</f>
        <v>#VALUE!</v>
      </c>
      <c r="E84" s="276" t="e">
        <f t="shared" si="1"/>
        <v>#VALUE!</v>
      </c>
    </row>
    <row r="85" spans="1:5" hidden="1">
      <c r="A85" s="281" t="s">
        <v>1107</v>
      </c>
      <c r="B85" s="281" t="s">
        <v>2131</v>
      </c>
      <c r="C85" s="562">
        <f>SUMIFS('Format for Import of DV'!J:J,'Format for Import of DV'!C:C,'Recon of ORS and DV'!A85)</f>
        <v>10600</v>
      </c>
      <c r="D85" s="562" t="e">
        <f>SUMIFS('Format for Import of DV'!M:M,'Format for Import of DV'!S:S,'Recon of ORS and DV'!B85)</f>
        <v>#VALUE!</v>
      </c>
      <c r="E85" s="276" t="e">
        <f t="shared" si="1"/>
        <v>#VALUE!</v>
      </c>
    </row>
    <row r="86" spans="1:5" hidden="1">
      <c r="A86" s="281" t="s">
        <v>1110</v>
      </c>
      <c r="B86" s="281" t="s">
        <v>2132</v>
      </c>
      <c r="C86" s="562">
        <f>SUMIFS('Format for Import of DV'!J:J,'Format for Import of DV'!C:C,'Recon of ORS and DV'!A86)</f>
        <v>2400</v>
      </c>
      <c r="D86" s="562" t="e">
        <f>SUMIFS('Format for Import of DV'!M:M,'Format for Import of DV'!S:S,'Recon of ORS and DV'!B86)</f>
        <v>#VALUE!</v>
      </c>
      <c r="E86" s="276" t="e">
        <f t="shared" si="1"/>
        <v>#VALUE!</v>
      </c>
    </row>
    <row r="87" spans="1:5" hidden="1">
      <c r="A87" s="281" t="s">
        <v>1112</v>
      </c>
      <c r="B87" s="281" t="s">
        <v>2133</v>
      </c>
      <c r="C87" s="562">
        <f>SUMIFS('Format for Import of DV'!J:J,'Format for Import of DV'!C:C,'Recon of ORS and DV'!A87)</f>
        <v>2049964.0999999999</v>
      </c>
      <c r="D87" s="562" t="e">
        <f>SUMIFS('Format for Import of DV'!M:M,'Format for Import of DV'!S:S,'Recon of ORS and DV'!B87)</f>
        <v>#VALUE!</v>
      </c>
      <c r="E87" s="276" t="e">
        <f t="shared" si="1"/>
        <v>#VALUE!</v>
      </c>
    </row>
    <row r="88" spans="1:5" hidden="1">
      <c r="A88" s="281" t="s">
        <v>1114</v>
      </c>
      <c r="B88" s="281" t="s">
        <v>2134</v>
      </c>
      <c r="C88" s="562">
        <f>SUMIFS('Format for Import of DV'!J:J,'Format for Import of DV'!C:C,'Recon of ORS and DV'!A88)</f>
        <v>429402.37</v>
      </c>
      <c r="D88" s="562" t="e">
        <f>SUMIFS('Format for Import of DV'!M:M,'Format for Import of DV'!S:S,'Recon of ORS and DV'!B88)</f>
        <v>#VALUE!</v>
      </c>
      <c r="E88" s="276" t="e">
        <f t="shared" si="1"/>
        <v>#VALUE!</v>
      </c>
    </row>
    <row r="89" spans="1:5" hidden="1">
      <c r="A89" s="281" t="s">
        <v>1115</v>
      </c>
      <c r="B89" s="281" t="s">
        <v>2135</v>
      </c>
      <c r="C89" s="562">
        <f>SUMIFS('Format for Import of DV'!J:J,'Format for Import of DV'!C:C,'Recon of ORS and DV'!A89)</f>
        <v>389716.8</v>
      </c>
      <c r="D89" s="562" t="e">
        <f>SUMIFS('Format for Import of DV'!M:M,'Format for Import of DV'!S:S,'Recon of ORS and DV'!B89)</f>
        <v>#VALUE!</v>
      </c>
      <c r="E89" s="276" t="e">
        <f t="shared" si="1"/>
        <v>#VALUE!</v>
      </c>
    </row>
    <row r="90" spans="1:5" hidden="1">
      <c r="A90" s="281" t="s">
        <v>1116</v>
      </c>
      <c r="B90" s="281" t="s">
        <v>2136</v>
      </c>
      <c r="C90" s="562">
        <f>SUMIFS('Format for Import of DV'!J:J,'Format for Import of DV'!C:C,'Recon of ORS and DV'!A90)</f>
        <v>457.27</v>
      </c>
      <c r="D90" s="562" t="e">
        <f>SUMIFS('Format for Import of DV'!M:M,'Format for Import of DV'!S:S,'Recon of ORS and DV'!B90)</f>
        <v>#VALUE!</v>
      </c>
      <c r="E90" s="276" t="e">
        <f t="shared" si="1"/>
        <v>#VALUE!</v>
      </c>
    </row>
    <row r="91" spans="1:5" hidden="1">
      <c r="A91" s="281" t="s">
        <v>1118</v>
      </c>
      <c r="B91" s="281" t="s">
        <v>2137</v>
      </c>
      <c r="C91" s="562">
        <f>SUMIFS('Format for Import of DV'!J:J,'Format for Import of DV'!C:C,'Recon of ORS and DV'!A91)</f>
        <v>258.18</v>
      </c>
      <c r="D91" s="562" t="e">
        <f>SUMIFS('Format for Import of DV'!M:M,'Format for Import of DV'!S:S,'Recon of ORS and DV'!B91)</f>
        <v>#VALUE!</v>
      </c>
      <c r="E91" s="276" t="e">
        <f t="shared" si="1"/>
        <v>#VALUE!</v>
      </c>
    </row>
    <row r="92" spans="1:5" hidden="1">
      <c r="A92" s="281" t="s">
        <v>1120</v>
      </c>
      <c r="B92" s="281" t="s">
        <v>2138</v>
      </c>
      <c r="C92" s="562">
        <f>SUMIFS('Format for Import of DV'!J:J,'Format for Import of DV'!C:C,'Recon of ORS and DV'!A92)</f>
        <v>614.54999999999995</v>
      </c>
      <c r="D92" s="562" t="e">
        <f>SUMIFS('Format for Import of DV'!M:M,'Format for Import of DV'!S:S,'Recon of ORS and DV'!B92)</f>
        <v>#VALUE!</v>
      </c>
      <c r="E92" s="276" t="e">
        <f t="shared" si="1"/>
        <v>#VALUE!</v>
      </c>
    </row>
    <row r="93" spans="1:5" hidden="1">
      <c r="A93" s="281" t="s">
        <v>1122</v>
      </c>
      <c r="B93" s="281" t="s">
        <v>2139</v>
      </c>
      <c r="C93" s="562">
        <f>SUMIFS('Format for Import of DV'!J:J,'Format for Import of DV'!C:C,'Recon of ORS and DV'!A93)</f>
        <v>105049.54</v>
      </c>
      <c r="D93" s="562" t="e">
        <f>SUMIFS('Format for Import of DV'!M:M,'Format for Import of DV'!S:S,'Recon of ORS and DV'!B93)</f>
        <v>#VALUE!</v>
      </c>
      <c r="E93" s="276" t="e">
        <f t="shared" si="1"/>
        <v>#VALUE!</v>
      </c>
    </row>
    <row r="94" spans="1:5" hidden="1">
      <c r="A94" s="281" t="s">
        <v>1124</v>
      </c>
      <c r="B94" s="281" t="s">
        <v>2140</v>
      </c>
      <c r="C94" s="562">
        <f>SUMIFS('Format for Import of DV'!J:J,'Format for Import of DV'!C:C,'Recon of ORS and DV'!A94)</f>
        <v>40307.629999999997</v>
      </c>
      <c r="D94" s="562" t="e">
        <f>SUMIFS('Format for Import of DV'!M:M,'Format for Import of DV'!S:S,'Recon of ORS and DV'!B94)</f>
        <v>#VALUE!</v>
      </c>
      <c r="E94" s="276" t="e">
        <f t="shared" si="1"/>
        <v>#VALUE!</v>
      </c>
    </row>
    <row r="95" spans="1:5" hidden="1">
      <c r="A95" s="281" t="s">
        <v>1126</v>
      </c>
      <c r="B95" s="281" t="s">
        <v>2141</v>
      </c>
      <c r="C95" s="562">
        <f>SUMIFS('Format for Import of DV'!J:J,'Format for Import of DV'!C:C,'Recon of ORS and DV'!A95)</f>
        <v>51777.93</v>
      </c>
      <c r="D95" s="562" t="e">
        <f>SUMIFS('Format for Import of DV'!M:M,'Format for Import of DV'!S:S,'Recon of ORS and DV'!B95)</f>
        <v>#VALUE!</v>
      </c>
      <c r="E95" s="276" t="e">
        <f t="shared" si="1"/>
        <v>#VALUE!</v>
      </c>
    </row>
    <row r="96" spans="1:5" hidden="1">
      <c r="A96" s="281" t="s">
        <v>1127</v>
      </c>
      <c r="B96" s="281"/>
      <c r="C96" s="562">
        <f>SUMIFS('Format for Import of DV'!J:J,'Format for Import of DV'!C:C,'Recon of ORS and DV'!A96)</f>
        <v>0</v>
      </c>
      <c r="D96" s="562" t="e">
        <f>SUMIFS('Format for Import of DV'!M:M,'Format for Import of DV'!S:S,'Recon of ORS and DV'!B96)</f>
        <v>#VALUE!</v>
      </c>
      <c r="E96" s="276" t="e">
        <f t="shared" si="1"/>
        <v>#VALUE!</v>
      </c>
    </row>
    <row r="97" spans="1:5" hidden="1">
      <c r="A97" s="281" t="s">
        <v>1130</v>
      </c>
      <c r="B97" s="281" t="s">
        <v>2142</v>
      </c>
      <c r="C97" s="562">
        <f>SUMIFS('Format for Import of DV'!J:J,'Format for Import of DV'!C:C,'Recon of ORS and DV'!A97)</f>
        <v>25000</v>
      </c>
      <c r="D97" s="562" t="e">
        <f>SUMIFS('Format for Import of DV'!M:M,'Format for Import of DV'!S:S,'Recon of ORS and DV'!B97)</f>
        <v>#VALUE!</v>
      </c>
      <c r="E97" s="276" t="e">
        <f t="shared" si="1"/>
        <v>#VALUE!</v>
      </c>
    </row>
    <row r="98" spans="1:5" hidden="1">
      <c r="A98" s="281" t="s">
        <v>1133</v>
      </c>
      <c r="B98" s="281" t="s">
        <v>2143</v>
      </c>
      <c r="C98" s="562">
        <f>SUMIFS('Format for Import of DV'!J:J,'Format for Import of DV'!C:C,'Recon of ORS and DV'!A98)</f>
        <v>1990</v>
      </c>
      <c r="D98" s="562" t="e">
        <f>SUMIFS('Format for Import of DV'!M:M,'Format for Import of DV'!S:S,'Recon of ORS and DV'!B98)</f>
        <v>#VALUE!</v>
      </c>
      <c r="E98" s="276" t="e">
        <f t="shared" si="1"/>
        <v>#VALUE!</v>
      </c>
    </row>
    <row r="99" spans="1:5" hidden="1">
      <c r="A99" s="281" t="s">
        <v>1136</v>
      </c>
      <c r="B99" s="281" t="s">
        <v>2144</v>
      </c>
      <c r="C99" s="562">
        <f>SUMIFS('Format for Import of DV'!J:J,'Format for Import of DV'!C:C,'Recon of ORS and DV'!A99)</f>
        <v>170501.47</v>
      </c>
      <c r="D99" s="562" t="e">
        <f>SUMIFS('Format for Import of DV'!M:M,'Format for Import of DV'!S:S,'Recon of ORS and DV'!B99)</f>
        <v>#VALUE!</v>
      </c>
      <c r="E99" s="276" t="e">
        <f t="shared" si="1"/>
        <v>#VALUE!</v>
      </c>
    </row>
    <row r="100" spans="1:5" hidden="1">
      <c r="A100" s="281" t="s">
        <v>1138</v>
      </c>
      <c r="B100" s="281" t="s">
        <v>2145</v>
      </c>
      <c r="C100" s="562">
        <f>SUMIFS('Format for Import of DV'!J:J,'Format for Import of DV'!C:C,'Recon of ORS and DV'!A100)</f>
        <v>0</v>
      </c>
      <c r="D100" s="562" t="e">
        <f>SUMIFS('Format for Import of DV'!M:M,'Format for Import of DV'!S:S,'Recon of ORS and DV'!B100)</f>
        <v>#VALUE!</v>
      </c>
      <c r="E100" s="276" t="e">
        <f t="shared" si="1"/>
        <v>#VALUE!</v>
      </c>
    </row>
    <row r="101" spans="1:5" hidden="1">
      <c r="A101" s="281" t="s">
        <v>1140</v>
      </c>
      <c r="B101" s="281" t="s">
        <v>2146</v>
      </c>
      <c r="C101" s="562">
        <f>SUMIFS('Format for Import of DV'!J:J,'Format for Import of DV'!C:C,'Recon of ORS and DV'!A101)</f>
        <v>640000</v>
      </c>
      <c r="D101" s="562" t="e">
        <f>SUMIFS('Format for Import of DV'!M:M,'Format for Import of DV'!S:S,'Recon of ORS and DV'!B101)</f>
        <v>#VALUE!</v>
      </c>
      <c r="E101" s="276" t="e">
        <f t="shared" si="1"/>
        <v>#VALUE!</v>
      </c>
    </row>
    <row r="102" spans="1:5" hidden="1">
      <c r="A102" s="281" t="s">
        <v>1141</v>
      </c>
      <c r="B102" s="281" t="s">
        <v>2147</v>
      </c>
      <c r="C102" s="562">
        <f>SUMIFS('Format for Import of DV'!J:J,'Format for Import of DV'!C:C,'Recon of ORS and DV'!A102)</f>
        <v>0</v>
      </c>
      <c r="D102" s="562" t="e">
        <f>SUMIFS('Format for Import of DV'!M:M,'Format for Import of DV'!S:S,'Recon of ORS and DV'!B102)</f>
        <v>#VALUE!</v>
      </c>
      <c r="E102" s="276" t="e">
        <f t="shared" si="1"/>
        <v>#VALUE!</v>
      </c>
    </row>
    <row r="103" spans="1:5" hidden="1">
      <c r="A103" s="281" t="s">
        <v>1142</v>
      </c>
      <c r="B103" s="281" t="s">
        <v>2148</v>
      </c>
      <c r="C103" s="562">
        <f>SUMIFS('Format for Import of DV'!J:J,'Format for Import of DV'!C:C,'Recon of ORS and DV'!A103)</f>
        <v>0</v>
      </c>
      <c r="D103" s="562" t="e">
        <f>SUMIFS('Format for Import of DV'!M:M,'Format for Import of DV'!S:S,'Recon of ORS and DV'!B103)</f>
        <v>#VALUE!</v>
      </c>
      <c r="E103" s="276" t="e">
        <f t="shared" si="1"/>
        <v>#VALUE!</v>
      </c>
    </row>
    <row r="104" spans="1:5" hidden="1">
      <c r="A104" s="281" t="s">
        <v>1143</v>
      </c>
      <c r="B104" s="281" t="s">
        <v>2149</v>
      </c>
      <c r="C104" s="562">
        <f>SUMIFS('Format for Import of DV'!J:J,'Format for Import of DV'!C:C,'Recon of ORS and DV'!A104)</f>
        <v>0</v>
      </c>
      <c r="D104" s="562" t="e">
        <f>SUMIFS('Format for Import of DV'!M:M,'Format for Import of DV'!S:S,'Recon of ORS and DV'!B104)</f>
        <v>#VALUE!</v>
      </c>
      <c r="E104" s="276" t="e">
        <f t="shared" si="1"/>
        <v>#VALUE!</v>
      </c>
    </row>
    <row r="105" spans="1:5" hidden="1">
      <c r="A105" s="281" t="s">
        <v>1144</v>
      </c>
      <c r="B105" s="281"/>
      <c r="C105" s="562">
        <f>SUMIFS('Format for Import of DV'!J:J,'Format for Import of DV'!C:C,'Recon of ORS and DV'!A105)</f>
        <v>0</v>
      </c>
      <c r="D105" s="562" t="e">
        <f>SUMIFS('Format for Import of DV'!M:M,'Format for Import of DV'!S:S,'Recon of ORS and DV'!B105)</f>
        <v>#VALUE!</v>
      </c>
      <c r="E105" s="276" t="e">
        <f t="shared" si="1"/>
        <v>#VALUE!</v>
      </c>
    </row>
    <row r="106" spans="1:5" hidden="1">
      <c r="A106" s="281" t="s">
        <v>1146</v>
      </c>
      <c r="B106" s="281"/>
      <c r="C106" s="562">
        <f>SUMIFS('Format for Import of DV'!J:J,'Format for Import of DV'!C:C,'Recon of ORS and DV'!A106)</f>
        <v>0</v>
      </c>
      <c r="D106" s="562" t="e">
        <f>SUMIFS('Format for Import of DV'!M:M,'Format for Import of DV'!S:S,'Recon of ORS and DV'!B106)</f>
        <v>#VALUE!</v>
      </c>
      <c r="E106" s="276" t="e">
        <f t="shared" si="1"/>
        <v>#VALUE!</v>
      </c>
    </row>
    <row r="107" spans="1:5" hidden="1">
      <c r="A107" s="281" t="s">
        <v>1147</v>
      </c>
      <c r="B107" s="281" t="s">
        <v>2150</v>
      </c>
      <c r="C107" s="562">
        <f>SUMIFS('Format for Import of DV'!J:J,'Format for Import of DV'!C:C,'Recon of ORS and DV'!A107)</f>
        <v>80335.709999999992</v>
      </c>
      <c r="D107" s="562" t="e">
        <f>SUMIFS('Format for Import of DV'!M:M,'Format for Import of DV'!S:S,'Recon of ORS and DV'!B107)</f>
        <v>#VALUE!</v>
      </c>
      <c r="E107" s="276" t="e">
        <f t="shared" si="1"/>
        <v>#VALUE!</v>
      </c>
    </row>
    <row r="108" spans="1:5" hidden="1">
      <c r="A108" s="281" t="s">
        <v>1148</v>
      </c>
      <c r="B108" s="281"/>
      <c r="C108" s="562">
        <f>SUMIFS('Format for Import of DV'!J:J,'Format for Import of DV'!C:C,'Recon of ORS and DV'!A108)</f>
        <v>0</v>
      </c>
      <c r="D108" s="562" t="e">
        <f>SUMIFS('Format for Import of DV'!M:M,'Format for Import of DV'!S:S,'Recon of ORS and DV'!B108)</f>
        <v>#VALUE!</v>
      </c>
      <c r="E108" s="276" t="e">
        <f t="shared" si="1"/>
        <v>#VALUE!</v>
      </c>
    </row>
    <row r="109" spans="1:5" hidden="1">
      <c r="A109" s="281" t="s">
        <v>1149</v>
      </c>
      <c r="B109" s="281"/>
      <c r="C109" s="562">
        <f>SUMIFS('Format for Import of DV'!J:J,'Format for Import of DV'!C:C,'Recon of ORS and DV'!A109)</f>
        <v>0</v>
      </c>
      <c r="D109" s="562" t="e">
        <f>SUMIFS('Format for Import of DV'!M:M,'Format for Import of DV'!S:S,'Recon of ORS and DV'!B109)</f>
        <v>#VALUE!</v>
      </c>
      <c r="E109" s="276" t="e">
        <f t="shared" si="1"/>
        <v>#VALUE!</v>
      </c>
    </row>
    <row r="110" spans="1:5" hidden="1">
      <c r="A110" s="281" t="s">
        <v>1151</v>
      </c>
      <c r="B110" s="281"/>
      <c r="C110" s="562">
        <f>SUMIFS('Format for Import of DV'!J:J,'Format for Import of DV'!C:C,'Recon of ORS and DV'!A110)</f>
        <v>0</v>
      </c>
      <c r="D110" s="562" t="e">
        <f>SUMIFS('Format for Import of DV'!M:M,'Format for Import of DV'!S:S,'Recon of ORS and DV'!B110)</f>
        <v>#VALUE!</v>
      </c>
      <c r="E110" s="276" t="e">
        <f t="shared" si="1"/>
        <v>#VALUE!</v>
      </c>
    </row>
    <row r="111" spans="1:5" hidden="1">
      <c r="A111" s="281" t="s">
        <v>1152</v>
      </c>
      <c r="B111" s="281" t="s">
        <v>2151</v>
      </c>
      <c r="C111" s="562">
        <f>SUMIFS('Format for Import of DV'!J:J,'Format for Import of DV'!C:C,'Recon of ORS and DV'!A111)</f>
        <v>31356</v>
      </c>
      <c r="D111" s="562" t="e">
        <f>SUMIFS('Format for Import of DV'!M:M,'Format for Import of DV'!S:S,'Recon of ORS and DV'!B111)</f>
        <v>#VALUE!</v>
      </c>
      <c r="E111" s="276" t="e">
        <f t="shared" si="1"/>
        <v>#VALUE!</v>
      </c>
    </row>
    <row r="112" spans="1:5" hidden="1">
      <c r="A112" s="281" t="s">
        <v>1153</v>
      </c>
      <c r="B112" s="281"/>
      <c r="C112" s="562">
        <f>SUMIFS('Format for Import of DV'!J:J,'Format for Import of DV'!C:C,'Recon of ORS and DV'!A112)</f>
        <v>0</v>
      </c>
      <c r="D112" s="562" t="e">
        <f>SUMIFS('Format for Import of DV'!M:M,'Format for Import of DV'!S:S,'Recon of ORS and DV'!B112)</f>
        <v>#VALUE!</v>
      </c>
      <c r="E112" s="276" t="e">
        <f t="shared" si="1"/>
        <v>#VALUE!</v>
      </c>
    </row>
    <row r="113" spans="1:5" hidden="1">
      <c r="A113" s="281" t="s">
        <v>1154</v>
      </c>
      <c r="B113" s="281"/>
      <c r="C113" s="562">
        <f>SUMIFS('Format for Import of DV'!J:J,'Format for Import of DV'!C:C,'Recon of ORS and DV'!A113)</f>
        <v>0</v>
      </c>
      <c r="D113" s="562" t="e">
        <f>SUMIFS('Format for Import of DV'!M:M,'Format for Import of DV'!S:S,'Recon of ORS and DV'!B113)</f>
        <v>#VALUE!</v>
      </c>
      <c r="E113" s="276" t="e">
        <f t="shared" si="1"/>
        <v>#VALUE!</v>
      </c>
    </row>
    <row r="114" spans="1:5" hidden="1">
      <c r="A114" s="281" t="s">
        <v>1155</v>
      </c>
      <c r="B114" s="281"/>
      <c r="C114" s="562">
        <f>SUMIFS('Format for Import of DV'!J:J,'Format for Import of DV'!C:C,'Recon of ORS and DV'!A114)</f>
        <v>0</v>
      </c>
      <c r="D114" s="562" t="e">
        <f>SUMIFS('Format for Import of DV'!M:M,'Format for Import of DV'!S:S,'Recon of ORS and DV'!B114)</f>
        <v>#VALUE!</v>
      </c>
      <c r="E114" s="276" t="e">
        <f t="shared" si="1"/>
        <v>#VALUE!</v>
      </c>
    </row>
    <row r="115" spans="1:5" hidden="1">
      <c r="A115" s="281" t="s">
        <v>1156</v>
      </c>
      <c r="B115" s="281" t="s">
        <v>2152</v>
      </c>
      <c r="C115" s="562">
        <f>SUMIFS('Format for Import of DV'!J:J,'Format for Import of DV'!C:C,'Recon of ORS and DV'!A115)</f>
        <v>11500</v>
      </c>
      <c r="D115" s="562" t="e">
        <f>SUMIFS('Format for Import of DV'!M:M,'Format for Import of DV'!S:S,'Recon of ORS and DV'!B115)</f>
        <v>#VALUE!</v>
      </c>
      <c r="E115" s="276" t="e">
        <f t="shared" si="1"/>
        <v>#VALUE!</v>
      </c>
    </row>
    <row r="116" spans="1:5" hidden="1">
      <c r="A116" s="281" t="s">
        <v>1159</v>
      </c>
      <c r="B116" s="281" t="s">
        <v>2153</v>
      </c>
      <c r="C116" s="562">
        <f>SUMIFS('Format for Import of DV'!J:J,'Format for Import of DV'!C:C,'Recon of ORS and DV'!A116)</f>
        <v>666486.65999999992</v>
      </c>
      <c r="D116" s="562" t="e">
        <f>SUMIFS('Format for Import of DV'!M:M,'Format for Import of DV'!S:S,'Recon of ORS and DV'!B116)</f>
        <v>#VALUE!</v>
      </c>
      <c r="E116" s="276" t="e">
        <f t="shared" si="1"/>
        <v>#VALUE!</v>
      </c>
    </row>
    <row r="117" spans="1:5" hidden="1">
      <c r="A117" s="281" t="s">
        <v>1160</v>
      </c>
      <c r="B117" s="281" t="s">
        <v>2154</v>
      </c>
      <c r="C117" s="562">
        <f>SUMIFS('Format for Import of DV'!J:J,'Format for Import of DV'!C:C,'Recon of ORS and DV'!A117)</f>
        <v>92085.57</v>
      </c>
      <c r="D117" s="562" t="e">
        <f>SUMIFS('Format for Import of DV'!M:M,'Format for Import of DV'!S:S,'Recon of ORS and DV'!B117)</f>
        <v>#VALUE!</v>
      </c>
      <c r="E117" s="276" t="e">
        <f t="shared" si="1"/>
        <v>#VALUE!</v>
      </c>
    </row>
    <row r="118" spans="1:5" hidden="1">
      <c r="A118" s="281" t="s">
        <v>1161</v>
      </c>
      <c r="B118" s="281" t="s">
        <v>2155</v>
      </c>
      <c r="C118" s="562">
        <f>SUMIFS('Format for Import of DV'!J:J,'Format for Import of DV'!C:C,'Recon of ORS and DV'!A118)</f>
        <v>688368.09</v>
      </c>
      <c r="D118" s="562" t="e">
        <f>SUMIFS('Format for Import of DV'!M:M,'Format for Import of DV'!S:S,'Recon of ORS and DV'!B118)</f>
        <v>#VALUE!</v>
      </c>
      <c r="E118" s="276" t="e">
        <f t="shared" si="1"/>
        <v>#VALUE!</v>
      </c>
    </row>
    <row r="119" spans="1:5" hidden="1">
      <c r="A119" s="281" t="s">
        <v>1162</v>
      </c>
      <c r="B119" s="281" t="s">
        <v>2156</v>
      </c>
      <c r="C119" s="562">
        <f>SUMIFS('Format for Import of DV'!J:J,'Format for Import of DV'!C:C,'Recon of ORS and DV'!A119)</f>
        <v>92085.57</v>
      </c>
      <c r="D119" s="562" t="e">
        <f>SUMIFS('Format for Import of DV'!M:M,'Format for Import of DV'!S:S,'Recon of ORS and DV'!B119)</f>
        <v>#VALUE!</v>
      </c>
      <c r="E119" s="276" t="e">
        <f t="shared" si="1"/>
        <v>#VALUE!</v>
      </c>
    </row>
    <row r="120" spans="1:5" hidden="1">
      <c r="A120" s="281" t="s">
        <v>1163</v>
      </c>
      <c r="B120" s="281" t="s">
        <v>2157</v>
      </c>
      <c r="C120" s="562">
        <f>SUMIFS('Format for Import of DV'!J:J,'Format for Import of DV'!C:C,'Recon of ORS and DV'!A120)</f>
        <v>40307.629999999997</v>
      </c>
      <c r="D120" s="562" t="e">
        <f>SUMIFS('Format for Import of DV'!M:M,'Format for Import of DV'!S:S,'Recon of ORS and DV'!B120)</f>
        <v>#VALUE!</v>
      </c>
      <c r="E120" s="276" t="e">
        <f t="shared" si="1"/>
        <v>#VALUE!</v>
      </c>
    </row>
    <row r="121" spans="1:5" hidden="1">
      <c r="A121" s="281" t="s">
        <v>1164</v>
      </c>
      <c r="B121" s="281" t="s">
        <v>2158</v>
      </c>
      <c r="C121" s="562">
        <f>SUMIFS('Format for Import of DV'!J:J,'Format for Import of DV'!C:C,'Recon of ORS and DV'!A121)</f>
        <v>470812.07</v>
      </c>
      <c r="D121" s="562" t="e">
        <f>SUMIFS('Format for Import of DV'!M:M,'Format for Import of DV'!S:S,'Recon of ORS and DV'!B121)</f>
        <v>#VALUE!</v>
      </c>
      <c r="E121" s="276" t="e">
        <f t="shared" si="1"/>
        <v>#VALUE!</v>
      </c>
    </row>
    <row r="122" spans="1:5" hidden="1">
      <c r="A122" s="281" t="s">
        <v>1167</v>
      </c>
      <c r="B122" s="281" t="s">
        <v>2159</v>
      </c>
      <c r="C122" s="562">
        <f>SUMIFS('Format for Import of DV'!J:J,'Format for Import of DV'!C:C,'Recon of ORS and DV'!A122)</f>
        <v>40307.629999999997</v>
      </c>
      <c r="D122" s="562" t="e">
        <f>SUMIFS('Format for Import of DV'!M:M,'Format for Import of DV'!S:S,'Recon of ORS and DV'!B122)</f>
        <v>#VALUE!</v>
      </c>
      <c r="E122" s="276" t="e">
        <f t="shared" si="1"/>
        <v>#VALUE!</v>
      </c>
    </row>
    <row r="123" spans="1:5" hidden="1">
      <c r="A123" s="281" t="s">
        <v>1168</v>
      </c>
      <c r="B123" s="281" t="s">
        <v>2160</v>
      </c>
      <c r="C123" s="562">
        <f>SUMIFS('Format for Import of DV'!J:J,'Format for Import of DV'!C:C,'Recon of ORS and DV'!A123)</f>
        <v>13614.41</v>
      </c>
      <c r="D123" s="562" t="e">
        <f>SUMIFS('Format for Import of DV'!M:M,'Format for Import of DV'!S:S,'Recon of ORS and DV'!B123)</f>
        <v>#VALUE!</v>
      </c>
      <c r="E123" s="276" t="e">
        <f t="shared" si="1"/>
        <v>#VALUE!</v>
      </c>
    </row>
    <row r="124" spans="1:5" hidden="1">
      <c r="A124" s="281" t="s">
        <v>1169</v>
      </c>
      <c r="B124" s="281" t="s">
        <v>2161</v>
      </c>
      <c r="C124" s="562">
        <f>SUMIFS('Format for Import of DV'!J:J,'Format for Import of DV'!C:C,'Recon of ORS and DV'!A124)</f>
        <v>13614.41</v>
      </c>
      <c r="D124" s="562" t="e">
        <f>SUMIFS('Format for Import of DV'!M:M,'Format for Import of DV'!S:S,'Recon of ORS and DV'!B124)</f>
        <v>#VALUE!</v>
      </c>
      <c r="E124" s="276" t="e">
        <f t="shared" si="1"/>
        <v>#VALUE!</v>
      </c>
    </row>
    <row r="125" spans="1:5" hidden="1">
      <c r="A125" s="281" t="s">
        <v>1171</v>
      </c>
      <c r="B125" s="281" t="s">
        <v>2162</v>
      </c>
      <c r="C125" s="562">
        <f>SUMIFS('Format for Import of DV'!J:J,'Format for Import of DV'!C:C,'Recon of ORS and DV'!A125)</f>
        <v>13614.41</v>
      </c>
      <c r="D125" s="562" t="e">
        <f>SUMIFS('Format for Import of DV'!M:M,'Format for Import of DV'!S:S,'Recon of ORS and DV'!B125)</f>
        <v>#VALUE!</v>
      </c>
      <c r="E125" s="276" t="e">
        <f t="shared" si="1"/>
        <v>#VALUE!</v>
      </c>
    </row>
    <row r="126" spans="1:5" hidden="1">
      <c r="A126" s="281" t="s">
        <v>1173</v>
      </c>
      <c r="B126" s="281" t="s">
        <v>2163</v>
      </c>
      <c r="C126" s="562">
        <f>SUMIFS('Format for Import of DV'!J:J,'Format for Import of DV'!C:C,'Recon of ORS and DV'!A126)</f>
        <v>13614.41</v>
      </c>
      <c r="D126" s="562" t="e">
        <f>SUMIFS('Format for Import of DV'!M:M,'Format for Import of DV'!S:S,'Recon of ORS and DV'!B126)</f>
        <v>#VALUE!</v>
      </c>
      <c r="E126" s="276" t="e">
        <f t="shared" si="1"/>
        <v>#VALUE!</v>
      </c>
    </row>
    <row r="127" spans="1:5" hidden="1">
      <c r="A127" s="281" t="s">
        <v>1175</v>
      </c>
      <c r="B127" s="281" t="s">
        <v>2164</v>
      </c>
      <c r="C127" s="562">
        <f>SUMIFS('Format for Import of DV'!J:J,'Format for Import of DV'!C:C,'Recon of ORS and DV'!A127)</f>
        <v>13614.41</v>
      </c>
      <c r="D127" s="562" t="e">
        <f>SUMIFS('Format for Import of DV'!M:M,'Format for Import of DV'!S:S,'Recon of ORS and DV'!B127)</f>
        <v>#VALUE!</v>
      </c>
      <c r="E127" s="276" t="e">
        <f t="shared" si="1"/>
        <v>#VALUE!</v>
      </c>
    </row>
    <row r="128" spans="1:5" hidden="1">
      <c r="A128" s="281" t="s">
        <v>1177</v>
      </c>
      <c r="B128" s="281" t="s">
        <v>2165</v>
      </c>
      <c r="C128" s="562">
        <f>SUMIFS('Format for Import of DV'!J:J,'Format for Import of DV'!C:C,'Recon of ORS and DV'!A128)</f>
        <v>29300.399999999998</v>
      </c>
      <c r="D128" s="562" t="e">
        <f>SUMIFS('Format for Import of DV'!M:M,'Format for Import of DV'!S:S,'Recon of ORS and DV'!B128)</f>
        <v>#VALUE!</v>
      </c>
      <c r="E128" s="276" t="e">
        <f t="shared" si="1"/>
        <v>#VALUE!</v>
      </c>
    </row>
    <row r="129" spans="1:5" hidden="1">
      <c r="A129" s="281" t="s">
        <v>1179</v>
      </c>
      <c r="B129" s="281" t="s">
        <v>2166</v>
      </c>
      <c r="C129" s="562">
        <f>SUMIFS('Format for Import of DV'!J:J,'Format for Import of DV'!C:C,'Recon of ORS and DV'!A129)</f>
        <v>28839.81</v>
      </c>
      <c r="D129" s="562" t="e">
        <f>SUMIFS('Format for Import of DV'!M:M,'Format for Import of DV'!S:S,'Recon of ORS and DV'!B129)</f>
        <v>#VALUE!</v>
      </c>
      <c r="E129" s="276" t="e">
        <f t="shared" si="1"/>
        <v>#VALUE!</v>
      </c>
    </row>
    <row r="130" spans="1:5" hidden="1">
      <c r="A130" s="281" t="s">
        <v>1182</v>
      </c>
      <c r="B130" s="281" t="s">
        <v>2167</v>
      </c>
      <c r="C130" s="562">
        <f>SUMIFS('Format for Import of DV'!J:J,'Format for Import of DV'!C:C,'Recon of ORS and DV'!A130)</f>
        <v>18000</v>
      </c>
      <c r="D130" s="562" t="e">
        <f>SUMIFS('Format for Import of DV'!M:M,'Format for Import of DV'!S:S,'Recon of ORS and DV'!B130)</f>
        <v>#VALUE!</v>
      </c>
      <c r="E130" s="276" t="e">
        <f t="shared" si="1"/>
        <v>#VALUE!</v>
      </c>
    </row>
    <row r="131" spans="1:5" hidden="1">
      <c r="A131" s="281" t="s">
        <v>1184</v>
      </c>
      <c r="B131" s="281" t="s">
        <v>2168</v>
      </c>
      <c r="C131" s="562">
        <f>SUMIFS('Format for Import of DV'!J:J,'Format for Import of DV'!C:C,'Recon of ORS and DV'!A131)</f>
        <v>560</v>
      </c>
      <c r="D131" s="562" t="e">
        <f>SUMIFS('Format for Import of DV'!M:M,'Format for Import of DV'!S:S,'Recon of ORS and DV'!B131)</f>
        <v>#VALUE!</v>
      </c>
      <c r="E131" s="276" t="e">
        <f t="shared" si="1"/>
        <v>#VALUE!</v>
      </c>
    </row>
    <row r="132" spans="1:5" hidden="1">
      <c r="A132" s="281" t="s">
        <v>1186</v>
      </c>
      <c r="B132" s="281" t="s">
        <v>2169</v>
      </c>
      <c r="C132" s="562">
        <f>SUMIFS('Format for Import of DV'!J:J,'Format for Import of DV'!C:C,'Recon of ORS and DV'!A132)</f>
        <v>918.4</v>
      </c>
      <c r="D132" s="562" t="e">
        <f>SUMIFS('Format for Import of DV'!M:M,'Format for Import of DV'!S:S,'Recon of ORS and DV'!B132)</f>
        <v>#VALUE!</v>
      </c>
      <c r="E132" s="276" t="e">
        <f t="shared" si="1"/>
        <v>#VALUE!</v>
      </c>
    </row>
    <row r="133" spans="1:5" hidden="1">
      <c r="A133" s="281" t="s">
        <v>1188</v>
      </c>
      <c r="B133" s="281" t="s">
        <v>2170</v>
      </c>
      <c r="C133" s="562">
        <f>SUMIFS('Format for Import of DV'!J:J,'Format for Import of DV'!C:C,'Recon of ORS and DV'!A133)</f>
        <v>14000</v>
      </c>
      <c r="D133" s="562" t="e">
        <f>SUMIFS('Format for Import of DV'!M:M,'Format for Import of DV'!S:S,'Recon of ORS and DV'!B133)</f>
        <v>#VALUE!</v>
      </c>
      <c r="E133" s="276" t="e">
        <f t="shared" ref="E133:E196" si="2">C133-D133</f>
        <v>#VALUE!</v>
      </c>
    </row>
    <row r="134" spans="1:5" hidden="1">
      <c r="A134" s="281" t="s">
        <v>1191</v>
      </c>
      <c r="B134" s="281" t="s">
        <v>2171</v>
      </c>
      <c r="C134" s="562">
        <f>SUMIFS('Format for Import of DV'!J:J,'Format for Import of DV'!C:C,'Recon of ORS and DV'!A134)</f>
        <v>8774</v>
      </c>
      <c r="D134" s="562" t="e">
        <f>SUMIFS('Format for Import of DV'!M:M,'Format for Import of DV'!S:S,'Recon of ORS and DV'!B134)</f>
        <v>#VALUE!</v>
      </c>
      <c r="E134" s="276" t="e">
        <f t="shared" si="2"/>
        <v>#VALUE!</v>
      </c>
    </row>
    <row r="135" spans="1:5" hidden="1">
      <c r="A135" s="281" t="s">
        <v>1194</v>
      </c>
      <c r="B135" s="281" t="s">
        <v>2172</v>
      </c>
      <c r="C135" s="562">
        <f>SUMIFS('Format for Import of DV'!J:J,'Format for Import of DV'!C:C,'Recon of ORS and DV'!A135)</f>
        <v>2850</v>
      </c>
      <c r="D135" s="562" t="e">
        <f>SUMIFS('Format for Import of DV'!M:M,'Format for Import of DV'!S:S,'Recon of ORS and DV'!B135)</f>
        <v>#VALUE!</v>
      </c>
      <c r="E135" s="276" t="e">
        <f t="shared" si="2"/>
        <v>#VALUE!</v>
      </c>
    </row>
    <row r="136" spans="1:5" hidden="1">
      <c r="A136" s="281" t="s">
        <v>1197</v>
      </c>
      <c r="B136" s="281" t="s">
        <v>2173</v>
      </c>
      <c r="C136" s="562">
        <f>SUMIFS('Format for Import of DV'!J:J,'Format for Import of DV'!C:C,'Recon of ORS and DV'!A136)</f>
        <v>500</v>
      </c>
      <c r="D136" s="562" t="e">
        <f>SUMIFS('Format for Import of DV'!M:M,'Format for Import of DV'!S:S,'Recon of ORS and DV'!B136)</f>
        <v>#VALUE!</v>
      </c>
      <c r="E136" s="276" t="e">
        <f t="shared" si="2"/>
        <v>#VALUE!</v>
      </c>
    </row>
    <row r="137" spans="1:5" hidden="1">
      <c r="A137" s="281" t="s">
        <v>1198</v>
      </c>
      <c r="B137" s="281" t="s">
        <v>2174</v>
      </c>
      <c r="C137" s="562">
        <f>SUMIFS('Format for Import of DV'!J:J,'Format for Import of DV'!C:C,'Recon of ORS and DV'!A137)</f>
        <v>100000</v>
      </c>
      <c r="D137" s="562" t="e">
        <f>SUMIFS('Format for Import of DV'!M:M,'Format for Import of DV'!S:S,'Recon of ORS and DV'!B137)</f>
        <v>#VALUE!</v>
      </c>
      <c r="E137" s="276" t="e">
        <f t="shared" si="2"/>
        <v>#VALUE!</v>
      </c>
    </row>
    <row r="138" spans="1:5" hidden="1">
      <c r="A138" s="281" t="s">
        <v>1199</v>
      </c>
      <c r="B138" s="281"/>
      <c r="C138" s="562">
        <f>SUMIFS('Format for Import of DV'!J:J,'Format for Import of DV'!C:C,'Recon of ORS and DV'!A138)</f>
        <v>0</v>
      </c>
      <c r="D138" s="562" t="e">
        <f>SUMIFS('Format for Import of DV'!M:M,'Format for Import of DV'!S:S,'Recon of ORS and DV'!B138)</f>
        <v>#VALUE!</v>
      </c>
      <c r="E138" s="276" t="e">
        <f t="shared" si="2"/>
        <v>#VALUE!</v>
      </c>
    </row>
    <row r="139" spans="1:5" hidden="1">
      <c r="A139" s="281" t="s">
        <v>1200</v>
      </c>
      <c r="B139" s="281"/>
      <c r="C139" s="562">
        <f>SUMIFS('Format for Import of DV'!J:J,'Format for Import of DV'!C:C,'Recon of ORS and DV'!A139)</f>
        <v>0</v>
      </c>
      <c r="D139" s="562" t="e">
        <f>SUMIFS('Format for Import of DV'!M:M,'Format for Import of DV'!S:S,'Recon of ORS and DV'!B139)</f>
        <v>#VALUE!</v>
      </c>
      <c r="E139" s="276" t="e">
        <f t="shared" si="2"/>
        <v>#VALUE!</v>
      </c>
    </row>
    <row r="140" spans="1:5" hidden="1">
      <c r="A140" s="281" t="s">
        <v>1201</v>
      </c>
      <c r="B140" s="281" t="s">
        <v>2175</v>
      </c>
      <c r="C140" s="562">
        <f>SUMIFS('Format for Import of DV'!J:J,'Format for Import of DV'!C:C,'Recon of ORS and DV'!A140)</f>
        <v>135125</v>
      </c>
      <c r="D140" s="562" t="e">
        <f>SUMIFS('Format for Import of DV'!M:M,'Format for Import of DV'!S:S,'Recon of ORS and DV'!B140)</f>
        <v>#VALUE!</v>
      </c>
      <c r="E140" s="276" t="e">
        <f t="shared" si="2"/>
        <v>#VALUE!</v>
      </c>
    </row>
    <row r="141" spans="1:5" hidden="1">
      <c r="A141" s="281" t="s">
        <v>1202</v>
      </c>
      <c r="B141" s="281"/>
      <c r="C141" s="562">
        <f>SUMIFS('Format for Import of DV'!J:J,'Format for Import of DV'!C:C,'Recon of ORS and DV'!A141)</f>
        <v>0</v>
      </c>
      <c r="D141" s="562" t="e">
        <f>SUMIFS('Format for Import of DV'!M:M,'Format for Import of DV'!S:S,'Recon of ORS and DV'!B141)</f>
        <v>#VALUE!</v>
      </c>
      <c r="E141" s="276" t="e">
        <f t="shared" si="2"/>
        <v>#VALUE!</v>
      </c>
    </row>
    <row r="142" spans="1:5" hidden="1">
      <c r="A142" s="281" t="s">
        <v>1203</v>
      </c>
      <c r="B142" s="281" t="s">
        <v>2176</v>
      </c>
      <c r="C142" s="562">
        <f>SUMIFS('Format for Import of DV'!J:J,'Format for Import of DV'!C:C,'Recon of ORS and DV'!A142)</f>
        <v>0</v>
      </c>
      <c r="D142" s="562" t="e">
        <f>SUMIFS('Format for Import of DV'!M:M,'Format for Import of DV'!S:S,'Recon of ORS and DV'!B142)</f>
        <v>#VALUE!</v>
      </c>
      <c r="E142" s="276" t="e">
        <f t="shared" si="2"/>
        <v>#VALUE!</v>
      </c>
    </row>
    <row r="143" spans="1:5" hidden="1">
      <c r="A143" s="281" t="s">
        <v>1204</v>
      </c>
      <c r="B143" s="281"/>
      <c r="C143" s="562">
        <f>SUMIFS('Format for Import of DV'!J:J,'Format for Import of DV'!C:C,'Recon of ORS and DV'!A143)</f>
        <v>0</v>
      </c>
      <c r="D143" s="562" t="e">
        <f>SUMIFS('Format for Import of DV'!M:M,'Format for Import of DV'!S:S,'Recon of ORS and DV'!B143)</f>
        <v>#VALUE!</v>
      </c>
      <c r="E143" s="276" t="e">
        <f t="shared" si="2"/>
        <v>#VALUE!</v>
      </c>
    </row>
    <row r="144" spans="1:5" hidden="1">
      <c r="A144" s="281" t="s">
        <v>1208</v>
      </c>
      <c r="B144" s="281"/>
      <c r="C144" s="562">
        <f>SUMIFS('Format for Import of DV'!J:J,'Format for Import of DV'!C:C,'Recon of ORS and DV'!A144)</f>
        <v>0</v>
      </c>
      <c r="D144" s="562" t="e">
        <f>SUMIFS('Format for Import of DV'!M:M,'Format for Import of DV'!S:S,'Recon of ORS and DV'!B144)</f>
        <v>#VALUE!</v>
      </c>
      <c r="E144" s="276" t="e">
        <f t="shared" si="2"/>
        <v>#VALUE!</v>
      </c>
    </row>
    <row r="145" spans="1:5" hidden="1">
      <c r="A145" s="281" t="s">
        <v>1209</v>
      </c>
      <c r="B145" s="281"/>
      <c r="C145" s="562">
        <f>SUMIFS('Format for Import of DV'!J:J,'Format for Import of DV'!C:C,'Recon of ORS and DV'!A145)</f>
        <v>0</v>
      </c>
      <c r="D145" s="562" t="e">
        <f>SUMIFS('Format for Import of DV'!M:M,'Format for Import of DV'!S:S,'Recon of ORS and DV'!B145)</f>
        <v>#VALUE!</v>
      </c>
      <c r="E145" s="276" t="e">
        <f t="shared" si="2"/>
        <v>#VALUE!</v>
      </c>
    </row>
    <row r="146" spans="1:5" hidden="1">
      <c r="A146" s="281" t="s">
        <v>1210</v>
      </c>
      <c r="B146" s="281"/>
      <c r="C146" s="562">
        <f>SUMIFS('Format for Import of DV'!J:J,'Format for Import of DV'!C:C,'Recon of ORS and DV'!A146)</f>
        <v>0</v>
      </c>
      <c r="D146" s="562" t="e">
        <f>SUMIFS('Format for Import of DV'!M:M,'Format for Import of DV'!S:S,'Recon of ORS and DV'!B146)</f>
        <v>#VALUE!</v>
      </c>
      <c r="E146" s="276" t="e">
        <f t="shared" si="2"/>
        <v>#VALUE!</v>
      </c>
    </row>
    <row r="147" spans="1:5" hidden="1">
      <c r="A147" s="281" t="s">
        <v>1211</v>
      </c>
      <c r="B147" s="281"/>
      <c r="C147" s="562">
        <f>SUMIFS('Format for Import of DV'!J:J,'Format for Import of DV'!C:C,'Recon of ORS and DV'!A147)</f>
        <v>0</v>
      </c>
      <c r="D147" s="562" t="e">
        <f>SUMIFS('Format for Import of DV'!M:M,'Format for Import of DV'!S:S,'Recon of ORS and DV'!B147)</f>
        <v>#VALUE!</v>
      </c>
      <c r="E147" s="276" t="e">
        <f t="shared" si="2"/>
        <v>#VALUE!</v>
      </c>
    </row>
    <row r="148" spans="1:5" hidden="1">
      <c r="A148" s="281" t="s">
        <v>1212</v>
      </c>
      <c r="B148" s="281" t="s">
        <v>2177</v>
      </c>
      <c r="C148" s="562">
        <f>SUMIFS('Format for Import of DV'!J:J,'Format for Import of DV'!C:C,'Recon of ORS and DV'!A148)</f>
        <v>22320</v>
      </c>
      <c r="D148" s="562" t="e">
        <f>SUMIFS('Format for Import of DV'!M:M,'Format for Import of DV'!S:S,'Recon of ORS and DV'!B148)</f>
        <v>#VALUE!</v>
      </c>
      <c r="E148" s="276" t="e">
        <f t="shared" si="2"/>
        <v>#VALUE!</v>
      </c>
    </row>
    <row r="149" spans="1:5" hidden="1">
      <c r="A149" s="281" t="s">
        <v>1222</v>
      </c>
      <c r="B149" s="281" t="s">
        <v>2178</v>
      </c>
      <c r="C149" s="562">
        <f>SUMIFS('Format for Import of DV'!J:J,'Format for Import of DV'!C:C,'Recon of ORS and DV'!A149)</f>
        <v>144603.29</v>
      </c>
      <c r="D149" s="562" t="e">
        <f>SUMIFS('Format for Import of DV'!M:M,'Format for Import of DV'!S:S,'Recon of ORS and DV'!B149)</f>
        <v>#VALUE!</v>
      </c>
      <c r="E149" s="276" t="e">
        <f t="shared" si="2"/>
        <v>#VALUE!</v>
      </c>
    </row>
    <row r="150" spans="1:5" hidden="1">
      <c r="A150" s="281" t="s">
        <v>1224</v>
      </c>
      <c r="B150" s="281" t="s">
        <v>2179</v>
      </c>
      <c r="C150" s="562">
        <f>SUMIFS('Format for Import of DV'!J:J,'Format for Import of DV'!C:C,'Recon of ORS and DV'!A150)</f>
        <v>119889.07</v>
      </c>
      <c r="D150" s="562" t="e">
        <f>SUMIFS('Format for Import of DV'!M:M,'Format for Import of DV'!S:S,'Recon of ORS and DV'!B150)</f>
        <v>#VALUE!</v>
      </c>
      <c r="E150" s="276" t="e">
        <f t="shared" si="2"/>
        <v>#VALUE!</v>
      </c>
    </row>
    <row r="151" spans="1:5" hidden="1">
      <c r="A151" s="281" t="s">
        <v>1226</v>
      </c>
      <c r="B151" s="281" t="s">
        <v>2180</v>
      </c>
      <c r="C151" s="562">
        <f>SUMIFS('Format for Import of DV'!J:J,'Format for Import of DV'!C:C,'Recon of ORS and DV'!A151)</f>
        <v>83142.720000000001</v>
      </c>
      <c r="D151" s="562" t="e">
        <f>SUMIFS('Format for Import of DV'!M:M,'Format for Import of DV'!S:S,'Recon of ORS and DV'!B151)</f>
        <v>#VALUE!</v>
      </c>
      <c r="E151" s="276" t="e">
        <f t="shared" si="2"/>
        <v>#VALUE!</v>
      </c>
    </row>
    <row r="152" spans="1:5" hidden="1">
      <c r="A152" s="281" t="s">
        <v>1228</v>
      </c>
      <c r="B152" s="281" t="s">
        <v>2181</v>
      </c>
      <c r="C152" s="562">
        <f>SUMIFS('Format for Import of DV'!J:J,'Format for Import of DV'!C:C,'Recon of ORS and DV'!A152)</f>
        <v>106531.33</v>
      </c>
      <c r="D152" s="562" t="e">
        <f>SUMIFS('Format for Import of DV'!M:M,'Format for Import of DV'!S:S,'Recon of ORS and DV'!B152)</f>
        <v>#VALUE!</v>
      </c>
      <c r="E152" s="276" t="e">
        <f t="shared" si="2"/>
        <v>#VALUE!</v>
      </c>
    </row>
    <row r="153" spans="1:5" hidden="1">
      <c r="A153" s="281" t="s">
        <v>1229</v>
      </c>
      <c r="B153" s="281" t="s">
        <v>2182</v>
      </c>
      <c r="C153" s="562">
        <f>SUMIFS('Format for Import of DV'!J:J,'Format for Import of DV'!C:C,'Recon of ORS and DV'!A153)</f>
        <v>0</v>
      </c>
      <c r="D153" s="562" t="e">
        <f>SUMIFS('Format for Import of DV'!M:M,'Format for Import of DV'!S:S,'Recon of ORS and DV'!B153)</f>
        <v>#VALUE!</v>
      </c>
      <c r="E153" s="276" t="e">
        <f t="shared" si="2"/>
        <v>#VALUE!</v>
      </c>
    </row>
    <row r="154" spans="1:5" hidden="1">
      <c r="A154" s="281" t="s">
        <v>1232</v>
      </c>
      <c r="B154" s="281" t="s">
        <v>2183</v>
      </c>
      <c r="C154" s="562">
        <f>SUMIFS('Format for Import of DV'!J:J,'Format for Import of DV'!C:C,'Recon of ORS and DV'!A154)</f>
        <v>0</v>
      </c>
      <c r="D154" s="562" t="e">
        <f>SUMIFS('Format for Import of DV'!M:M,'Format for Import of DV'!S:S,'Recon of ORS and DV'!B154)</f>
        <v>#VALUE!</v>
      </c>
      <c r="E154" s="276" t="e">
        <f t="shared" si="2"/>
        <v>#VALUE!</v>
      </c>
    </row>
    <row r="155" spans="1:5" hidden="1">
      <c r="A155" s="281" t="s">
        <v>1234</v>
      </c>
      <c r="B155" s="281" t="s">
        <v>2184</v>
      </c>
      <c r="C155" s="562">
        <f>SUMIFS('Format for Import of DV'!J:J,'Format for Import of DV'!C:C,'Recon of ORS and DV'!A155)</f>
        <v>10000</v>
      </c>
      <c r="D155" s="562" t="e">
        <f>SUMIFS('Format for Import of DV'!M:M,'Format for Import of DV'!S:S,'Recon of ORS and DV'!B155)</f>
        <v>#VALUE!</v>
      </c>
      <c r="E155" s="276" t="e">
        <f t="shared" si="2"/>
        <v>#VALUE!</v>
      </c>
    </row>
    <row r="156" spans="1:5" hidden="1">
      <c r="A156" s="281" t="s">
        <v>1237</v>
      </c>
      <c r="B156" s="281" t="s">
        <v>2185</v>
      </c>
      <c r="C156" s="562">
        <f>SUMIFS('Format for Import of DV'!J:J,'Format for Import of DV'!C:C,'Recon of ORS and DV'!A156)</f>
        <v>10790</v>
      </c>
      <c r="D156" s="562" t="e">
        <f>SUMIFS('Format for Import of DV'!M:M,'Format for Import of DV'!S:S,'Recon of ORS and DV'!B156)</f>
        <v>#VALUE!</v>
      </c>
      <c r="E156" s="276" t="e">
        <f t="shared" si="2"/>
        <v>#VALUE!</v>
      </c>
    </row>
    <row r="157" spans="1:5" hidden="1">
      <c r="A157" s="281" t="s">
        <v>1238</v>
      </c>
      <c r="B157" s="281" t="s">
        <v>2186</v>
      </c>
      <c r="C157" s="562">
        <f>SUMIFS('Format for Import of DV'!J:J,'Format for Import of DV'!C:C,'Recon of ORS and DV'!A157)</f>
        <v>12352.18</v>
      </c>
      <c r="D157" s="562" t="e">
        <f>SUMIFS('Format for Import of DV'!M:M,'Format for Import of DV'!S:S,'Recon of ORS and DV'!B157)</f>
        <v>#VALUE!</v>
      </c>
      <c r="E157" s="276" t="e">
        <f t="shared" si="2"/>
        <v>#VALUE!</v>
      </c>
    </row>
    <row r="158" spans="1:5" hidden="1">
      <c r="A158" s="281" t="s">
        <v>1239</v>
      </c>
      <c r="B158" s="281" t="s">
        <v>2187</v>
      </c>
      <c r="C158" s="562">
        <f>SUMIFS('Format for Import of DV'!J:J,'Format for Import of DV'!C:C,'Recon of ORS and DV'!A158)</f>
        <v>23474</v>
      </c>
      <c r="D158" s="562" t="e">
        <f>SUMIFS('Format for Import of DV'!M:M,'Format for Import of DV'!S:S,'Recon of ORS and DV'!B158)</f>
        <v>#VALUE!</v>
      </c>
      <c r="E158" s="276" t="e">
        <f t="shared" si="2"/>
        <v>#VALUE!</v>
      </c>
    </row>
    <row r="159" spans="1:5" hidden="1">
      <c r="A159" s="281" t="s">
        <v>1240</v>
      </c>
      <c r="B159" s="281" t="s">
        <v>2188</v>
      </c>
      <c r="C159" s="562">
        <f>SUMIFS('Format for Import of DV'!J:J,'Format for Import of DV'!C:C,'Recon of ORS and DV'!A159)</f>
        <v>27256.91</v>
      </c>
      <c r="D159" s="562" t="e">
        <f>SUMIFS('Format for Import of DV'!M:M,'Format for Import of DV'!S:S,'Recon of ORS and DV'!B159)</f>
        <v>#VALUE!</v>
      </c>
      <c r="E159" s="276" t="e">
        <f t="shared" si="2"/>
        <v>#VALUE!</v>
      </c>
    </row>
    <row r="160" spans="1:5" hidden="1">
      <c r="A160" s="281" t="s">
        <v>1241</v>
      </c>
      <c r="B160" s="281" t="s">
        <v>2189</v>
      </c>
      <c r="C160" s="562">
        <f>SUMIFS('Format for Import of DV'!J:J,'Format for Import of DV'!C:C,'Recon of ORS and DV'!A160)</f>
        <v>7321.62</v>
      </c>
      <c r="D160" s="562" t="e">
        <f>SUMIFS('Format for Import of DV'!M:M,'Format for Import of DV'!S:S,'Recon of ORS and DV'!B160)</f>
        <v>#VALUE!</v>
      </c>
      <c r="E160" s="276" t="e">
        <f t="shared" si="2"/>
        <v>#VALUE!</v>
      </c>
    </row>
    <row r="161" spans="1:5" hidden="1">
      <c r="A161" s="281" t="s">
        <v>1244</v>
      </c>
      <c r="B161" s="281"/>
      <c r="C161" s="562">
        <f>SUMIFS('Format for Import of DV'!J:J,'Format for Import of DV'!C:C,'Recon of ORS and DV'!A161)</f>
        <v>0</v>
      </c>
      <c r="D161" s="562" t="e">
        <f>SUMIFS('Format for Import of DV'!M:M,'Format for Import of DV'!S:S,'Recon of ORS and DV'!B161)</f>
        <v>#VALUE!</v>
      </c>
      <c r="E161" s="276" t="e">
        <f t="shared" si="2"/>
        <v>#VALUE!</v>
      </c>
    </row>
    <row r="162" spans="1:5" hidden="1">
      <c r="A162" s="281" t="s">
        <v>1247</v>
      </c>
      <c r="B162" s="281"/>
      <c r="C162" s="562">
        <f>SUMIFS('Format for Import of DV'!J:J,'Format for Import of DV'!C:C,'Recon of ORS and DV'!A162)</f>
        <v>0</v>
      </c>
      <c r="D162" s="562" t="e">
        <f>SUMIFS('Format for Import of DV'!M:M,'Format for Import of DV'!S:S,'Recon of ORS and DV'!B162)</f>
        <v>#VALUE!</v>
      </c>
      <c r="E162" s="276" t="e">
        <f t="shared" si="2"/>
        <v>#VALUE!</v>
      </c>
    </row>
    <row r="163" spans="1:5" hidden="1">
      <c r="A163" s="281" t="s">
        <v>1249</v>
      </c>
      <c r="B163" s="281"/>
      <c r="C163" s="562">
        <f>SUMIFS('Format for Import of DV'!J:J,'Format for Import of DV'!C:C,'Recon of ORS and DV'!A163)</f>
        <v>0.01</v>
      </c>
      <c r="D163" s="562" t="e">
        <f>SUMIFS('Format for Import of DV'!M:M,'Format for Import of DV'!S:S,'Recon of ORS and DV'!B163)</f>
        <v>#VALUE!</v>
      </c>
      <c r="E163" s="276" t="e">
        <f t="shared" si="2"/>
        <v>#VALUE!</v>
      </c>
    </row>
    <row r="164" spans="1:5" hidden="1">
      <c r="A164" s="281" t="s">
        <v>1251</v>
      </c>
      <c r="B164" s="281"/>
      <c r="C164" s="562">
        <f>SUMIFS('Format for Import of DV'!J:J,'Format for Import of DV'!C:C,'Recon of ORS and DV'!A164)</f>
        <v>0</v>
      </c>
      <c r="D164" s="562" t="e">
        <f>SUMIFS('Format for Import of DV'!M:M,'Format for Import of DV'!S:S,'Recon of ORS and DV'!B164)</f>
        <v>#VALUE!</v>
      </c>
      <c r="E164" s="276" t="e">
        <f t="shared" si="2"/>
        <v>#VALUE!</v>
      </c>
    </row>
    <row r="165" spans="1:5" hidden="1">
      <c r="A165" s="281" t="s">
        <v>1253</v>
      </c>
      <c r="B165" s="281"/>
      <c r="C165" s="562">
        <f>SUMIFS('Format for Import of DV'!J:J,'Format for Import of DV'!C:C,'Recon of ORS and DV'!A165)</f>
        <v>0</v>
      </c>
      <c r="D165" s="562" t="e">
        <f>SUMIFS('Format for Import of DV'!M:M,'Format for Import of DV'!S:S,'Recon of ORS and DV'!B165)</f>
        <v>#VALUE!</v>
      </c>
      <c r="E165" s="276" t="e">
        <f t="shared" si="2"/>
        <v>#VALUE!</v>
      </c>
    </row>
    <row r="166" spans="1:5" hidden="1">
      <c r="A166" s="281" t="s">
        <v>1254</v>
      </c>
      <c r="B166" s="281"/>
      <c r="C166" s="562">
        <f>SUMIFS('Format for Import of DV'!J:J,'Format for Import of DV'!C:C,'Recon of ORS and DV'!A166)</f>
        <v>0</v>
      </c>
      <c r="D166" s="562" t="e">
        <f>SUMIFS('Format for Import of DV'!M:M,'Format for Import of DV'!S:S,'Recon of ORS and DV'!B166)</f>
        <v>#VALUE!</v>
      </c>
      <c r="E166" s="276" t="e">
        <f t="shared" si="2"/>
        <v>#VALUE!</v>
      </c>
    </row>
    <row r="167" spans="1:5" hidden="1">
      <c r="A167" s="281" t="s">
        <v>1255</v>
      </c>
      <c r="B167" s="281"/>
      <c r="C167" s="562">
        <f>SUMIFS('Format for Import of DV'!J:J,'Format for Import of DV'!C:C,'Recon of ORS and DV'!A167)</f>
        <v>0</v>
      </c>
      <c r="D167" s="562" t="e">
        <f>SUMIFS('Format for Import of DV'!M:M,'Format for Import of DV'!S:S,'Recon of ORS and DV'!B167)</f>
        <v>#VALUE!</v>
      </c>
      <c r="E167" s="276" t="e">
        <f t="shared" si="2"/>
        <v>#VALUE!</v>
      </c>
    </row>
    <row r="168" spans="1:5" hidden="1">
      <c r="A168" s="281" t="s">
        <v>1259</v>
      </c>
      <c r="B168" s="281"/>
      <c r="C168" s="562">
        <f>SUMIFS('Format for Import of DV'!J:J,'Format for Import of DV'!C:C,'Recon of ORS and DV'!A168)</f>
        <v>0</v>
      </c>
      <c r="D168" s="562" t="e">
        <f>SUMIFS('Format for Import of DV'!M:M,'Format for Import of DV'!S:S,'Recon of ORS and DV'!B168)</f>
        <v>#VALUE!</v>
      </c>
      <c r="E168" s="276" t="e">
        <f t="shared" si="2"/>
        <v>#VALUE!</v>
      </c>
    </row>
    <row r="169" spans="1:5" hidden="1">
      <c r="A169" s="281" t="s">
        <v>1261</v>
      </c>
      <c r="B169" s="281"/>
      <c r="C169" s="562">
        <f>SUMIFS('Format for Import of DV'!J:J,'Format for Import of DV'!C:C,'Recon of ORS and DV'!A169)</f>
        <v>0</v>
      </c>
      <c r="D169" s="562" t="e">
        <f>SUMIFS('Format for Import of DV'!M:M,'Format for Import of DV'!S:S,'Recon of ORS and DV'!B169)</f>
        <v>#VALUE!</v>
      </c>
      <c r="E169" s="276" t="e">
        <f t="shared" si="2"/>
        <v>#VALUE!</v>
      </c>
    </row>
    <row r="170" spans="1:5" hidden="1">
      <c r="A170" s="281" t="s">
        <v>1262</v>
      </c>
      <c r="B170" s="281"/>
      <c r="C170" s="562">
        <f>SUMIFS('Format for Import of DV'!J:J,'Format for Import of DV'!C:C,'Recon of ORS and DV'!A170)</f>
        <v>0</v>
      </c>
      <c r="D170" s="562" t="e">
        <f>SUMIFS('Format for Import of DV'!M:M,'Format for Import of DV'!S:S,'Recon of ORS and DV'!B170)</f>
        <v>#VALUE!</v>
      </c>
      <c r="E170" s="276" t="e">
        <f t="shared" si="2"/>
        <v>#VALUE!</v>
      </c>
    </row>
    <row r="171" spans="1:5" hidden="1">
      <c r="A171" s="281" t="s">
        <v>1268</v>
      </c>
      <c r="B171" s="281" t="s">
        <v>2190</v>
      </c>
      <c r="C171" s="562">
        <f>SUMIFS('Format for Import of DV'!J:J,'Format for Import of DV'!C:C,'Recon of ORS and DV'!A171)</f>
        <v>83842.210000000006</v>
      </c>
      <c r="D171" s="562" t="e">
        <f>SUMIFS('Format for Import of DV'!M:M,'Format for Import of DV'!S:S,'Recon of ORS and DV'!B171)</f>
        <v>#VALUE!</v>
      </c>
      <c r="E171" s="276" t="e">
        <f t="shared" si="2"/>
        <v>#VALUE!</v>
      </c>
    </row>
    <row r="172" spans="1:5" hidden="1">
      <c r="A172" s="281" t="s">
        <v>1269</v>
      </c>
      <c r="B172" s="281" t="s">
        <v>2191</v>
      </c>
      <c r="C172" s="562">
        <f>SUMIFS('Format for Import of DV'!J:J,'Format for Import of DV'!C:C,'Recon of ORS and DV'!A172)</f>
        <v>83842.210000000006</v>
      </c>
      <c r="D172" s="562" t="e">
        <f>SUMIFS('Format for Import of DV'!M:M,'Format for Import of DV'!S:S,'Recon of ORS and DV'!B172)</f>
        <v>#VALUE!</v>
      </c>
      <c r="E172" s="276" t="e">
        <f t="shared" si="2"/>
        <v>#VALUE!</v>
      </c>
    </row>
    <row r="173" spans="1:5" hidden="1">
      <c r="A173" s="281" t="s">
        <v>1270</v>
      </c>
      <c r="B173" s="281" t="s">
        <v>2192</v>
      </c>
      <c r="C173" s="562">
        <f>SUMIFS('Format for Import of DV'!J:J,'Format for Import of DV'!C:C,'Recon of ORS and DV'!A173)</f>
        <v>29300.399999999998</v>
      </c>
      <c r="D173" s="562" t="e">
        <f>SUMIFS('Format for Import of DV'!M:M,'Format for Import of DV'!S:S,'Recon of ORS and DV'!B173)</f>
        <v>#VALUE!</v>
      </c>
      <c r="E173" s="276" t="e">
        <f t="shared" si="2"/>
        <v>#VALUE!</v>
      </c>
    </row>
    <row r="174" spans="1:5" hidden="1">
      <c r="A174" s="281" t="s">
        <v>1271</v>
      </c>
      <c r="B174" s="281" t="s">
        <v>2193</v>
      </c>
      <c r="C174" s="562">
        <f>SUMIFS('Format for Import of DV'!J:J,'Format for Import of DV'!C:C,'Recon of ORS and DV'!A174)</f>
        <v>9170</v>
      </c>
      <c r="D174" s="562" t="e">
        <f>SUMIFS('Format for Import of DV'!M:M,'Format for Import of DV'!S:S,'Recon of ORS and DV'!B174)</f>
        <v>#VALUE!</v>
      </c>
      <c r="E174" s="276" t="e">
        <f t="shared" si="2"/>
        <v>#VALUE!</v>
      </c>
    </row>
    <row r="175" spans="1:5" hidden="1">
      <c r="A175" s="281" t="s">
        <v>1274</v>
      </c>
      <c r="B175" s="281" t="s">
        <v>2194</v>
      </c>
      <c r="C175" s="562">
        <f>SUMIFS('Format for Import of DV'!J:J,'Format for Import of DV'!C:C,'Recon of ORS and DV'!A175)</f>
        <v>1200</v>
      </c>
      <c r="D175" s="562" t="e">
        <f>SUMIFS('Format for Import of DV'!M:M,'Format for Import of DV'!S:S,'Recon of ORS and DV'!B175)</f>
        <v>#VALUE!</v>
      </c>
      <c r="E175" s="276" t="e">
        <f t="shared" si="2"/>
        <v>#VALUE!</v>
      </c>
    </row>
    <row r="176" spans="1:5" hidden="1">
      <c r="A176" s="281" t="s">
        <v>1277</v>
      </c>
      <c r="B176" s="281" t="s">
        <v>2195</v>
      </c>
      <c r="C176" s="562">
        <f>SUMIFS('Format for Import of DV'!J:J,'Format for Import of DV'!C:C,'Recon of ORS and DV'!A176)</f>
        <v>2404.7800000000002</v>
      </c>
      <c r="D176" s="562" t="e">
        <f>SUMIFS('Format for Import of DV'!M:M,'Format for Import of DV'!S:S,'Recon of ORS and DV'!B176)</f>
        <v>#VALUE!</v>
      </c>
      <c r="E176" s="276" t="e">
        <f t="shared" si="2"/>
        <v>#VALUE!</v>
      </c>
    </row>
    <row r="177" spans="1:5" hidden="1">
      <c r="A177" s="281" t="s">
        <v>1278</v>
      </c>
      <c r="B177" s="281" t="s">
        <v>2196</v>
      </c>
      <c r="C177" s="562">
        <f>SUMIFS('Format for Import of DV'!J:J,'Format for Import of DV'!C:C,'Recon of ORS and DV'!A177)</f>
        <v>2800</v>
      </c>
      <c r="D177" s="562" t="e">
        <f>SUMIFS('Format for Import of DV'!M:M,'Format for Import of DV'!S:S,'Recon of ORS and DV'!B177)</f>
        <v>#VALUE!</v>
      </c>
      <c r="E177" s="276" t="e">
        <f t="shared" si="2"/>
        <v>#VALUE!</v>
      </c>
    </row>
    <row r="178" spans="1:5" hidden="1">
      <c r="A178" s="281" t="s">
        <v>1279</v>
      </c>
      <c r="B178" s="281" t="s">
        <v>2197</v>
      </c>
      <c r="C178" s="562">
        <f>SUMIFS('Format for Import of DV'!J:J,'Format for Import of DV'!C:C,'Recon of ORS and DV'!A178)</f>
        <v>29300.399999999998</v>
      </c>
      <c r="D178" s="562" t="e">
        <f>SUMIFS('Format for Import of DV'!M:M,'Format for Import of DV'!S:S,'Recon of ORS and DV'!B178)</f>
        <v>#VALUE!</v>
      </c>
      <c r="E178" s="276" t="e">
        <f t="shared" si="2"/>
        <v>#VALUE!</v>
      </c>
    </row>
    <row r="179" spans="1:5" hidden="1">
      <c r="A179" s="281" t="s">
        <v>1280</v>
      </c>
      <c r="B179" s="281" t="s">
        <v>2198</v>
      </c>
      <c r="C179" s="562">
        <f>SUMIFS('Format for Import of DV'!J:J,'Format for Import of DV'!C:C,'Recon of ORS and DV'!A179)</f>
        <v>29300.399999999998</v>
      </c>
      <c r="D179" s="562" t="e">
        <f>SUMIFS('Format for Import of DV'!M:M,'Format for Import of DV'!S:S,'Recon of ORS and DV'!B179)</f>
        <v>#VALUE!</v>
      </c>
      <c r="E179" s="276" t="e">
        <f t="shared" si="2"/>
        <v>#VALUE!</v>
      </c>
    </row>
    <row r="180" spans="1:5" hidden="1">
      <c r="A180" s="281" t="s">
        <v>1281</v>
      </c>
      <c r="B180" s="281" t="s">
        <v>2199</v>
      </c>
      <c r="C180" s="562">
        <f>SUMIFS('Format for Import of DV'!J:J,'Format for Import of DV'!C:C,'Recon of ORS and DV'!A180)</f>
        <v>11000</v>
      </c>
      <c r="D180" s="562" t="e">
        <f>SUMIFS('Format for Import of DV'!M:M,'Format for Import of DV'!S:S,'Recon of ORS and DV'!B180)</f>
        <v>#VALUE!</v>
      </c>
      <c r="E180" s="276" t="e">
        <f t="shared" si="2"/>
        <v>#VALUE!</v>
      </c>
    </row>
    <row r="181" spans="1:5" hidden="1">
      <c r="A181" s="281" t="s">
        <v>1282</v>
      </c>
      <c r="B181" s="281" t="s">
        <v>2200</v>
      </c>
      <c r="C181" s="562">
        <f>SUMIFS('Format for Import of DV'!J:J,'Format for Import of DV'!C:C,'Recon of ORS and DV'!A181)</f>
        <v>2500</v>
      </c>
      <c r="D181" s="562" t="e">
        <f>SUMIFS('Format for Import of DV'!M:M,'Format for Import of DV'!S:S,'Recon of ORS and DV'!B181)</f>
        <v>#VALUE!</v>
      </c>
      <c r="E181" s="276" t="e">
        <f t="shared" si="2"/>
        <v>#VALUE!</v>
      </c>
    </row>
    <row r="182" spans="1:5" hidden="1">
      <c r="A182" s="281" t="s">
        <v>1284</v>
      </c>
      <c r="B182" s="281" t="s">
        <v>2201</v>
      </c>
      <c r="C182" s="562">
        <f>SUMIFS('Format for Import of DV'!J:J,'Format for Import of DV'!C:C,'Recon of ORS and DV'!A182)</f>
        <v>4223.5</v>
      </c>
      <c r="D182" s="562" t="e">
        <f>SUMIFS('Format for Import of DV'!M:M,'Format for Import of DV'!S:S,'Recon of ORS and DV'!B182)</f>
        <v>#VALUE!</v>
      </c>
      <c r="E182" s="276" t="e">
        <f t="shared" si="2"/>
        <v>#VALUE!</v>
      </c>
    </row>
    <row r="183" spans="1:5" hidden="1">
      <c r="A183" s="281" t="s">
        <v>1286</v>
      </c>
      <c r="B183" s="281" t="s">
        <v>2202</v>
      </c>
      <c r="C183" s="562">
        <f>SUMIFS('Format for Import of DV'!J:J,'Format for Import of DV'!C:C,'Recon of ORS and DV'!A183)</f>
        <v>10000</v>
      </c>
      <c r="D183" s="562" t="e">
        <f>SUMIFS('Format for Import of DV'!M:M,'Format for Import of DV'!S:S,'Recon of ORS and DV'!B183)</f>
        <v>#VALUE!</v>
      </c>
      <c r="E183" s="276" t="e">
        <f t="shared" si="2"/>
        <v>#VALUE!</v>
      </c>
    </row>
    <row r="184" spans="1:5" hidden="1">
      <c r="A184" s="281" t="s">
        <v>1287</v>
      </c>
      <c r="B184" s="281" t="s">
        <v>2203</v>
      </c>
      <c r="C184" s="562">
        <f>SUMIFS('Format for Import of DV'!J:J,'Format for Import of DV'!C:C,'Recon of ORS and DV'!A184)</f>
        <v>27760</v>
      </c>
      <c r="D184" s="562" t="e">
        <f>SUMIFS('Format for Import of DV'!M:M,'Format for Import of DV'!S:S,'Recon of ORS and DV'!B184)</f>
        <v>#VALUE!</v>
      </c>
      <c r="E184" s="276" t="e">
        <f t="shared" si="2"/>
        <v>#VALUE!</v>
      </c>
    </row>
    <row r="185" spans="1:5" hidden="1">
      <c r="A185" s="281" t="s">
        <v>1289</v>
      </c>
      <c r="B185" s="281" t="s">
        <v>2204</v>
      </c>
      <c r="C185" s="562">
        <f>SUMIFS('Format for Import of DV'!J:J,'Format for Import of DV'!C:C,'Recon of ORS and DV'!A185)</f>
        <v>16332.5</v>
      </c>
      <c r="D185" s="562" t="e">
        <f>SUMIFS('Format for Import of DV'!M:M,'Format for Import of DV'!S:S,'Recon of ORS and DV'!B185)</f>
        <v>#VALUE!</v>
      </c>
      <c r="E185" s="276" t="e">
        <f t="shared" si="2"/>
        <v>#VALUE!</v>
      </c>
    </row>
    <row r="186" spans="1:5" hidden="1">
      <c r="A186" s="281" t="s">
        <v>1292</v>
      </c>
      <c r="B186" s="281" t="s">
        <v>2205</v>
      </c>
      <c r="C186" s="562">
        <f>SUMIFS('Format for Import of DV'!J:J,'Format for Import of DV'!C:C,'Recon of ORS and DV'!A186)</f>
        <v>22316</v>
      </c>
      <c r="D186" s="562" t="e">
        <f>SUMIFS('Format for Import of DV'!M:M,'Format for Import of DV'!S:S,'Recon of ORS and DV'!B186)</f>
        <v>#VALUE!</v>
      </c>
      <c r="E186" s="276" t="e">
        <f t="shared" si="2"/>
        <v>#VALUE!</v>
      </c>
    </row>
    <row r="187" spans="1:5" hidden="1">
      <c r="A187" s="281" t="s">
        <v>1293</v>
      </c>
      <c r="B187" s="281" t="s">
        <v>2206</v>
      </c>
      <c r="C187" s="562">
        <f>SUMIFS('Format for Import of DV'!J:J,'Format for Import of DV'!C:C,'Recon of ORS and DV'!A187)</f>
        <v>13034</v>
      </c>
      <c r="D187" s="562" t="e">
        <f>SUMIFS('Format for Import of DV'!M:M,'Format for Import of DV'!S:S,'Recon of ORS and DV'!B187)</f>
        <v>#VALUE!</v>
      </c>
      <c r="E187" s="276" t="e">
        <f t="shared" si="2"/>
        <v>#VALUE!</v>
      </c>
    </row>
    <row r="188" spans="1:5" hidden="1">
      <c r="A188" s="281" t="s">
        <v>1294</v>
      </c>
      <c r="B188" s="281" t="s">
        <v>2207</v>
      </c>
      <c r="C188" s="562">
        <f>SUMIFS('Format for Import of DV'!J:J,'Format for Import of DV'!C:C,'Recon of ORS and DV'!A188)</f>
        <v>150000</v>
      </c>
      <c r="D188" s="562" t="e">
        <f>SUMIFS('Format for Import of DV'!M:M,'Format for Import of DV'!S:S,'Recon of ORS and DV'!B188)</f>
        <v>#VALUE!</v>
      </c>
      <c r="E188" s="276" t="e">
        <f t="shared" si="2"/>
        <v>#VALUE!</v>
      </c>
    </row>
    <row r="189" spans="1:5" hidden="1">
      <c r="A189" s="281" t="s">
        <v>1296</v>
      </c>
      <c r="B189" s="281" t="s">
        <v>2208</v>
      </c>
      <c r="C189" s="562">
        <f>SUMIFS('Format for Import of DV'!J:J,'Format for Import of DV'!C:C,'Recon of ORS and DV'!A189)</f>
        <v>64106</v>
      </c>
      <c r="D189" s="562" t="e">
        <f>SUMIFS('Format for Import of DV'!M:M,'Format for Import of DV'!S:S,'Recon of ORS and DV'!B189)</f>
        <v>#VALUE!</v>
      </c>
      <c r="E189" s="276" t="e">
        <f t="shared" si="2"/>
        <v>#VALUE!</v>
      </c>
    </row>
    <row r="190" spans="1:5" hidden="1">
      <c r="A190" s="281" t="s">
        <v>1299</v>
      </c>
      <c r="B190" s="281" t="s">
        <v>2209</v>
      </c>
      <c r="C190" s="562">
        <f>SUMIFS('Format for Import of DV'!J:J,'Format for Import of DV'!C:C,'Recon of ORS and DV'!A190)</f>
        <v>16332.5</v>
      </c>
      <c r="D190" s="562" t="e">
        <f>SUMIFS('Format for Import of DV'!M:M,'Format for Import of DV'!S:S,'Recon of ORS and DV'!B190)</f>
        <v>#VALUE!</v>
      </c>
      <c r="E190" s="276" t="e">
        <f t="shared" si="2"/>
        <v>#VALUE!</v>
      </c>
    </row>
    <row r="191" spans="1:5" hidden="1">
      <c r="A191" s="281" t="s">
        <v>1302</v>
      </c>
      <c r="B191" s="281" t="s">
        <v>2210</v>
      </c>
      <c r="C191" s="562">
        <f>SUMIFS('Format for Import of DV'!J:J,'Format for Import of DV'!C:C,'Recon of ORS and DV'!A191)</f>
        <v>9900</v>
      </c>
      <c r="D191" s="562" t="e">
        <f>SUMIFS('Format for Import of DV'!M:M,'Format for Import of DV'!S:S,'Recon of ORS and DV'!B191)</f>
        <v>#VALUE!</v>
      </c>
      <c r="E191" s="276" t="e">
        <f t="shared" si="2"/>
        <v>#VALUE!</v>
      </c>
    </row>
    <row r="192" spans="1:5" hidden="1">
      <c r="A192" s="281" t="s">
        <v>1305</v>
      </c>
      <c r="B192" s="281" t="s">
        <v>2211</v>
      </c>
      <c r="C192" s="562">
        <f>SUMIFS('Format for Import of DV'!J:J,'Format for Import of DV'!C:C,'Recon of ORS and DV'!A192)</f>
        <v>6617.76</v>
      </c>
      <c r="D192" s="562" t="e">
        <f>SUMIFS('Format for Import of DV'!M:M,'Format for Import of DV'!S:S,'Recon of ORS and DV'!B192)</f>
        <v>#VALUE!</v>
      </c>
      <c r="E192" s="276" t="e">
        <f t="shared" si="2"/>
        <v>#VALUE!</v>
      </c>
    </row>
    <row r="193" spans="1:5" hidden="1">
      <c r="A193" s="281" t="s">
        <v>1306</v>
      </c>
      <c r="B193" s="281" t="s">
        <v>2212</v>
      </c>
      <c r="C193" s="562">
        <f>SUMIFS('Format for Import of DV'!J:J,'Format for Import of DV'!C:C,'Recon of ORS and DV'!A193)</f>
        <v>2179.06</v>
      </c>
      <c r="D193" s="562" t="e">
        <f>SUMIFS('Format for Import of DV'!M:M,'Format for Import of DV'!S:S,'Recon of ORS and DV'!B193)</f>
        <v>#VALUE!</v>
      </c>
      <c r="E193" s="276" t="e">
        <f t="shared" si="2"/>
        <v>#VALUE!</v>
      </c>
    </row>
    <row r="194" spans="1:5" hidden="1">
      <c r="A194" s="281" t="s">
        <v>1310</v>
      </c>
      <c r="B194" s="281" t="s">
        <v>2213</v>
      </c>
      <c r="C194" s="562">
        <f>SUMIFS('Format for Import of DV'!J:J,'Format for Import of DV'!C:C,'Recon of ORS and DV'!A194)</f>
        <v>3075</v>
      </c>
      <c r="D194" s="562" t="e">
        <f>SUMIFS('Format for Import of DV'!M:M,'Format for Import of DV'!S:S,'Recon of ORS and DV'!B194)</f>
        <v>#VALUE!</v>
      </c>
      <c r="E194" s="276" t="e">
        <f t="shared" si="2"/>
        <v>#VALUE!</v>
      </c>
    </row>
    <row r="195" spans="1:5" hidden="1">
      <c r="A195" s="281" t="s">
        <v>1312</v>
      </c>
      <c r="B195" s="281" t="s">
        <v>2214</v>
      </c>
      <c r="C195" s="562">
        <f>SUMIFS('Format for Import of DV'!J:J,'Format for Import of DV'!C:C,'Recon of ORS and DV'!A195)</f>
        <v>3048</v>
      </c>
      <c r="D195" s="562" t="e">
        <f>SUMIFS('Format for Import of DV'!M:M,'Format for Import of DV'!S:S,'Recon of ORS and DV'!B195)</f>
        <v>#VALUE!</v>
      </c>
      <c r="E195" s="276" t="e">
        <f t="shared" si="2"/>
        <v>#VALUE!</v>
      </c>
    </row>
    <row r="196" spans="1:5" hidden="1">
      <c r="A196" s="281" t="s">
        <v>1314</v>
      </c>
      <c r="B196" s="281"/>
      <c r="C196" s="562">
        <f>SUMIFS('Format for Import of DV'!J:J,'Format for Import of DV'!C:C,'Recon of ORS and DV'!A196)</f>
        <v>0</v>
      </c>
      <c r="D196" s="562" t="e">
        <f>SUMIFS('Format for Import of DV'!M:M,'Format for Import of DV'!S:S,'Recon of ORS and DV'!B196)</f>
        <v>#VALUE!</v>
      </c>
      <c r="E196" s="276" t="e">
        <f t="shared" si="2"/>
        <v>#VALUE!</v>
      </c>
    </row>
    <row r="197" spans="1:5" hidden="1">
      <c r="A197" s="281" t="s">
        <v>1317</v>
      </c>
      <c r="B197" s="281" t="s">
        <v>2215</v>
      </c>
      <c r="C197" s="562">
        <f>SUMIFS('Format for Import of DV'!J:J,'Format for Import of DV'!C:C,'Recon of ORS and DV'!A197)</f>
        <v>1080</v>
      </c>
      <c r="D197" s="562" t="e">
        <f>SUMIFS('Format for Import of DV'!M:M,'Format for Import of DV'!S:S,'Recon of ORS and DV'!B197)</f>
        <v>#VALUE!</v>
      </c>
      <c r="E197" s="276" t="e">
        <f t="shared" ref="E197:E260" si="3">C197-D197</f>
        <v>#VALUE!</v>
      </c>
    </row>
    <row r="198" spans="1:5" hidden="1">
      <c r="A198" s="281" t="s">
        <v>1319</v>
      </c>
      <c r="B198" s="281" t="s">
        <v>2216</v>
      </c>
      <c r="C198" s="562">
        <f>SUMIFS('Format for Import of DV'!J:J,'Format for Import of DV'!C:C,'Recon of ORS and DV'!A198)</f>
        <v>8800</v>
      </c>
      <c r="D198" s="562" t="e">
        <f>SUMIFS('Format for Import of DV'!M:M,'Format for Import of DV'!S:S,'Recon of ORS and DV'!B198)</f>
        <v>#VALUE!</v>
      </c>
      <c r="E198" s="276" t="e">
        <f t="shared" si="3"/>
        <v>#VALUE!</v>
      </c>
    </row>
    <row r="199" spans="1:5" hidden="1">
      <c r="A199" s="281" t="s">
        <v>1321</v>
      </c>
      <c r="B199" s="281" t="s">
        <v>2217</v>
      </c>
      <c r="C199" s="562">
        <f>SUMIFS('Format for Import of DV'!J:J,'Format for Import of DV'!C:C,'Recon of ORS and DV'!A199)</f>
        <v>29318.18</v>
      </c>
      <c r="D199" s="562" t="e">
        <f>SUMIFS('Format for Import of DV'!M:M,'Format for Import of DV'!S:S,'Recon of ORS and DV'!B199)</f>
        <v>#VALUE!</v>
      </c>
      <c r="E199" s="276" t="e">
        <f t="shared" si="3"/>
        <v>#VALUE!</v>
      </c>
    </row>
    <row r="200" spans="1:5" hidden="1">
      <c r="A200" s="281" t="s">
        <v>1322</v>
      </c>
      <c r="B200" s="281" t="s">
        <v>2218</v>
      </c>
      <c r="C200" s="562">
        <f>SUMIFS('Format for Import of DV'!J:J,'Format for Import of DV'!C:C,'Recon of ORS and DV'!A200)</f>
        <v>9565</v>
      </c>
      <c r="D200" s="562" t="e">
        <f>SUMIFS('Format for Import of DV'!M:M,'Format for Import of DV'!S:S,'Recon of ORS and DV'!B200)</f>
        <v>#VALUE!</v>
      </c>
      <c r="E200" s="276" t="e">
        <f t="shared" si="3"/>
        <v>#VALUE!</v>
      </c>
    </row>
    <row r="201" spans="1:5" hidden="1">
      <c r="A201" s="281" t="s">
        <v>1324</v>
      </c>
      <c r="B201" s="281" t="s">
        <v>2219</v>
      </c>
      <c r="C201" s="562">
        <f>SUMIFS('Format for Import of DV'!J:J,'Format for Import of DV'!C:C,'Recon of ORS and DV'!A201)</f>
        <v>1560</v>
      </c>
      <c r="D201" s="562" t="e">
        <f>SUMIFS('Format for Import of DV'!M:M,'Format for Import of DV'!S:S,'Recon of ORS and DV'!B201)</f>
        <v>#VALUE!</v>
      </c>
      <c r="E201" s="276" t="e">
        <f t="shared" si="3"/>
        <v>#VALUE!</v>
      </c>
    </row>
    <row r="202" spans="1:5" hidden="1">
      <c r="A202" s="281" t="s">
        <v>1326</v>
      </c>
      <c r="B202" s="281" t="s">
        <v>2220</v>
      </c>
      <c r="C202" s="562">
        <f>SUMIFS('Format for Import of DV'!J:J,'Format for Import of DV'!C:C,'Recon of ORS and DV'!A202)</f>
        <v>17820</v>
      </c>
      <c r="D202" s="562" t="e">
        <f>SUMIFS('Format for Import of DV'!M:M,'Format for Import of DV'!S:S,'Recon of ORS and DV'!B202)</f>
        <v>#VALUE!</v>
      </c>
      <c r="E202" s="276" t="e">
        <f t="shared" si="3"/>
        <v>#VALUE!</v>
      </c>
    </row>
    <row r="203" spans="1:5" hidden="1">
      <c r="A203" s="281" t="s">
        <v>1328</v>
      </c>
      <c r="B203" s="281" t="s">
        <v>2221</v>
      </c>
      <c r="C203" s="562">
        <f>SUMIFS('Format for Import of DV'!J:J,'Format for Import of DV'!C:C,'Recon of ORS and DV'!A203)</f>
        <v>11547.23</v>
      </c>
      <c r="D203" s="562" t="e">
        <f>SUMIFS('Format for Import of DV'!M:M,'Format for Import of DV'!S:S,'Recon of ORS and DV'!B203)</f>
        <v>#VALUE!</v>
      </c>
      <c r="E203" s="276" t="e">
        <f t="shared" si="3"/>
        <v>#VALUE!</v>
      </c>
    </row>
    <row r="204" spans="1:5" hidden="1">
      <c r="A204" s="281" t="s">
        <v>1331</v>
      </c>
      <c r="B204" s="281" t="s">
        <v>2222</v>
      </c>
      <c r="C204" s="562">
        <f>SUMIFS('Format for Import of DV'!J:J,'Format for Import of DV'!C:C,'Recon of ORS and DV'!A204)</f>
        <v>1840</v>
      </c>
      <c r="D204" s="562" t="e">
        <f>SUMIFS('Format for Import of DV'!M:M,'Format for Import of DV'!S:S,'Recon of ORS and DV'!B204)</f>
        <v>#VALUE!</v>
      </c>
      <c r="E204" s="276" t="e">
        <f t="shared" si="3"/>
        <v>#VALUE!</v>
      </c>
    </row>
    <row r="205" spans="1:5" hidden="1">
      <c r="A205" s="281" t="s">
        <v>1333</v>
      </c>
      <c r="B205" s="281" t="s">
        <v>2223</v>
      </c>
      <c r="C205" s="562">
        <f>SUMIFS('Format for Import of DV'!J:J,'Format for Import of DV'!C:C,'Recon of ORS and DV'!A205)</f>
        <v>17500</v>
      </c>
      <c r="D205" s="562" t="e">
        <f>SUMIFS('Format for Import of DV'!M:M,'Format for Import of DV'!S:S,'Recon of ORS and DV'!B205)</f>
        <v>#VALUE!</v>
      </c>
      <c r="E205" s="276" t="e">
        <f t="shared" si="3"/>
        <v>#VALUE!</v>
      </c>
    </row>
    <row r="206" spans="1:5" hidden="1">
      <c r="A206" s="281" t="s">
        <v>1336</v>
      </c>
      <c r="B206" s="281" t="s">
        <v>2224</v>
      </c>
      <c r="C206" s="562">
        <f>SUMIFS('Format for Import of DV'!J:J,'Format for Import of DV'!C:C,'Recon of ORS and DV'!A206)</f>
        <v>1800</v>
      </c>
      <c r="D206" s="562" t="e">
        <f>SUMIFS('Format for Import of DV'!M:M,'Format for Import of DV'!S:S,'Recon of ORS and DV'!B206)</f>
        <v>#VALUE!</v>
      </c>
      <c r="E206" s="276" t="e">
        <f t="shared" si="3"/>
        <v>#VALUE!</v>
      </c>
    </row>
    <row r="207" spans="1:5" hidden="1">
      <c r="A207" s="281" t="s">
        <v>1338</v>
      </c>
      <c r="B207" s="281" t="s">
        <v>2225</v>
      </c>
      <c r="C207" s="562">
        <f>SUMIFS('Format for Import of DV'!J:J,'Format for Import of DV'!C:C,'Recon of ORS and DV'!A207)</f>
        <v>20626.73</v>
      </c>
      <c r="D207" s="562" t="e">
        <f>SUMIFS('Format for Import of DV'!M:M,'Format for Import of DV'!S:S,'Recon of ORS and DV'!B207)</f>
        <v>#VALUE!</v>
      </c>
      <c r="E207" s="276" t="e">
        <f t="shared" si="3"/>
        <v>#VALUE!</v>
      </c>
    </row>
    <row r="208" spans="1:5" hidden="1">
      <c r="A208" s="281" t="s">
        <v>1341</v>
      </c>
      <c r="B208" s="281" t="s">
        <v>2226</v>
      </c>
      <c r="C208" s="562">
        <f>SUMIFS('Format for Import of DV'!J:J,'Format for Import of DV'!C:C,'Recon of ORS and DV'!A208)</f>
        <v>16308.47</v>
      </c>
      <c r="D208" s="562" t="e">
        <f>SUMIFS('Format for Import of DV'!M:M,'Format for Import of DV'!S:S,'Recon of ORS and DV'!B208)</f>
        <v>#VALUE!</v>
      </c>
      <c r="E208" s="276" t="e">
        <f t="shared" si="3"/>
        <v>#VALUE!</v>
      </c>
    </row>
    <row r="209" spans="1:5" hidden="1">
      <c r="A209" s="281" t="s">
        <v>1343</v>
      </c>
      <c r="B209" s="281" t="s">
        <v>2227</v>
      </c>
      <c r="C209" s="562">
        <f>SUMIFS('Format for Import of DV'!J:J,'Format for Import of DV'!C:C,'Recon of ORS and DV'!A209)</f>
        <v>7200</v>
      </c>
      <c r="D209" s="562" t="e">
        <f>SUMIFS('Format for Import of DV'!M:M,'Format for Import of DV'!S:S,'Recon of ORS and DV'!B209)</f>
        <v>#VALUE!</v>
      </c>
      <c r="E209" s="276" t="e">
        <f t="shared" si="3"/>
        <v>#VALUE!</v>
      </c>
    </row>
    <row r="210" spans="1:5" hidden="1">
      <c r="A210" s="281" t="s">
        <v>1364</v>
      </c>
      <c r="B210" s="281" t="s">
        <v>2228</v>
      </c>
      <c r="C210" s="562">
        <f>SUMIFS('Format for Import of DV'!J:J,'Format for Import of DV'!C:C,'Recon of ORS and DV'!A210)</f>
        <v>12900</v>
      </c>
      <c r="D210" s="562" t="e">
        <f>SUMIFS('Format for Import of DV'!M:M,'Format for Import of DV'!S:S,'Recon of ORS and DV'!B210)</f>
        <v>#VALUE!</v>
      </c>
      <c r="E210" s="276" t="e">
        <f t="shared" si="3"/>
        <v>#VALUE!</v>
      </c>
    </row>
    <row r="211" spans="1:5" hidden="1">
      <c r="A211" s="281" t="s">
        <v>1365</v>
      </c>
      <c r="B211" s="281" t="s">
        <v>2229</v>
      </c>
      <c r="C211" s="562">
        <f>SUMIFS('Format for Import of DV'!J:J,'Format for Import of DV'!C:C,'Recon of ORS and DV'!A211)</f>
        <v>4950</v>
      </c>
      <c r="D211" s="562" t="e">
        <f>SUMIFS('Format for Import of DV'!M:M,'Format for Import of DV'!S:S,'Recon of ORS and DV'!B211)</f>
        <v>#VALUE!</v>
      </c>
      <c r="E211" s="276" t="e">
        <f t="shared" si="3"/>
        <v>#VALUE!</v>
      </c>
    </row>
    <row r="212" spans="1:5" hidden="1">
      <c r="A212" s="281" t="s">
        <v>1367</v>
      </c>
      <c r="B212" s="281" t="s">
        <v>2230</v>
      </c>
      <c r="C212" s="562">
        <f>SUMIFS('Format for Import of DV'!J:J,'Format for Import of DV'!C:C,'Recon of ORS and DV'!A212)</f>
        <v>7830</v>
      </c>
      <c r="D212" s="562" t="e">
        <f>SUMIFS('Format for Import of DV'!M:M,'Format for Import of DV'!S:S,'Recon of ORS and DV'!B212)</f>
        <v>#VALUE!</v>
      </c>
      <c r="E212" s="276" t="e">
        <f t="shared" si="3"/>
        <v>#VALUE!</v>
      </c>
    </row>
    <row r="213" spans="1:5" hidden="1">
      <c r="A213" s="281" t="s">
        <v>1368</v>
      </c>
      <c r="B213" s="281" t="s">
        <v>2231</v>
      </c>
      <c r="C213" s="562">
        <f>SUMIFS('Format for Import of DV'!J:J,'Format for Import of DV'!C:C,'Recon of ORS and DV'!A213)</f>
        <v>27000</v>
      </c>
      <c r="D213" s="562" t="e">
        <f>SUMIFS('Format for Import of DV'!M:M,'Format for Import of DV'!S:S,'Recon of ORS and DV'!B213)</f>
        <v>#VALUE!</v>
      </c>
      <c r="E213" s="276" t="e">
        <f t="shared" si="3"/>
        <v>#VALUE!</v>
      </c>
    </row>
    <row r="214" spans="1:5" hidden="1">
      <c r="A214" s="281" t="s">
        <v>1370</v>
      </c>
      <c r="B214" s="281" t="s">
        <v>2232</v>
      </c>
      <c r="C214" s="562">
        <f>SUMIFS('Format for Import of DV'!J:J,'Format for Import of DV'!C:C,'Recon of ORS and DV'!A214)</f>
        <v>3400</v>
      </c>
      <c r="D214" s="562" t="e">
        <f>SUMIFS('Format for Import of DV'!M:M,'Format for Import of DV'!S:S,'Recon of ORS and DV'!B214)</f>
        <v>#VALUE!</v>
      </c>
      <c r="E214" s="276" t="e">
        <f t="shared" si="3"/>
        <v>#VALUE!</v>
      </c>
    </row>
    <row r="215" spans="1:5" hidden="1">
      <c r="A215" s="281" t="s">
        <v>1371</v>
      </c>
      <c r="B215" s="281" t="s">
        <v>2233</v>
      </c>
      <c r="C215" s="562">
        <f>SUMIFS('Format for Import of DV'!J:J,'Format for Import of DV'!C:C,'Recon of ORS and DV'!A215)</f>
        <v>1800</v>
      </c>
      <c r="D215" s="562" t="e">
        <f>SUMIFS('Format for Import of DV'!M:M,'Format for Import of DV'!S:S,'Recon of ORS and DV'!B215)</f>
        <v>#VALUE!</v>
      </c>
      <c r="E215" s="276" t="e">
        <f t="shared" si="3"/>
        <v>#VALUE!</v>
      </c>
    </row>
    <row r="216" spans="1:5" hidden="1">
      <c r="A216" s="281" t="s">
        <v>1372</v>
      </c>
      <c r="B216" s="281" t="s">
        <v>2234</v>
      </c>
      <c r="C216" s="562">
        <f>SUMIFS('Format for Import of DV'!J:J,'Format for Import of DV'!C:C,'Recon of ORS and DV'!A216)</f>
        <v>39600</v>
      </c>
      <c r="D216" s="562" t="e">
        <f>SUMIFS('Format for Import of DV'!M:M,'Format for Import of DV'!S:S,'Recon of ORS and DV'!B216)</f>
        <v>#VALUE!</v>
      </c>
      <c r="E216" s="276" t="e">
        <f t="shared" si="3"/>
        <v>#VALUE!</v>
      </c>
    </row>
    <row r="217" spans="1:5" hidden="1">
      <c r="A217" s="281" t="s">
        <v>1373</v>
      </c>
      <c r="B217" s="281" t="s">
        <v>2235</v>
      </c>
      <c r="C217" s="562">
        <f>SUMIFS('Format for Import of DV'!J:J,'Format for Import of DV'!C:C,'Recon of ORS and DV'!A217)</f>
        <v>5600</v>
      </c>
      <c r="D217" s="562" t="e">
        <f>SUMIFS('Format for Import of DV'!M:M,'Format for Import of DV'!S:S,'Recon of ORS and DV'!B217)</f>
        <v>#VALUE!</v>
      </c>
      <c r="E217" s="276" t="e">
        <f t="shared" si="3"/>
        <v>#VALUE!</v>
      </c>
    </row>
    <row r="218" spans="1:5" hidden="1">
      <c r="A218" s="281" t="s">
        <v>1374</v>
      </c>
      <c r="B218" s="281" t="s">
        <v>2236</v>
      </c>
      <c r="C218" s="562">
        <f>SUMIFS('Format for Import of DV'!J:J,'Format for Import of DV'!C:C,'Recon of ORS and DV'!A218)</f>
        <v>4032</v>
      </c>
      <c r="D218" s="562" t="e">
        <f>SUMIFS('Format for Import of DV'!M:M,'Format for Import of DV'!S:S,'Recon of ORS and DV'!B218)</f>
        <v>#VALUE!</v>
      </c>
      <c r="E218" s="276" t="e">
        <f t="shared" si="3"/>
        <v>#VALUE!</v>
      </c>
    </row>
    <row r="219" spans="1:5" hidden="1">
      <c r="A219" s="281" t="s">
        <v>1375</v>
      </c>
      <c r="B219" s="281" t="s">
        <v>2237</v>
      </c>
      <c r="C219" s="562">
        <f>SUMIFS('Format for Import of DV'!J:J,'Format for Import of DV'!C:C,'Recon of ORS and DV'!A219)</f>
        <v>22882.230000000003</v>
      </c>
      <c r="D219" s="562" t="e">
        <f>SUMIFS('Format for Import of DV'!M:M,'Format for Import of DV'!S:S,'Recon of ORS and DV'!B219)</f>
        <v>#VALUE!</v>
      </c>
      <c r="E219" s="276" t="e">
        <f t="shared" si="3"/>
        <v>#VALUE!</v>
      </c>
    </row>
    <row r="220" spans="1:5" hidden="1">
      <c r="A220" s="281" t="s">
        <v>1376</v>
      </c>
      <c r="B220" s="281" t="s">
        <v>2238</v>
      </c>
      <c r="C220" s="562">
        <f>SUMIFS('Format for Import of DV'!J:J,'Format for Import of DV'!C:C,'Recon of ORS and DV'!A220)</f>
        <v>2275</v>
      </c>
      <c r="D220" s="562" t="e">
        <f>SUMIFS('Format for Import of DV'!M:M,'Format for Import of DV'!S:S,'Recon of ORS and DV'!B220)</f>
        <v>#VALUE!</v>
      </c>
      <c r="E220" s="276" t="e">
        <f t="shared" si="3"/>
        <v>#VALUE!</v>
      </c>
    </row>
    <row r="221" spans="1:5" hidden="1">
      <c r="A221" s="281" t="s">
        <v>1377</v>
      </c>
      <c r="B221" s="281" t="s">
        <v>2239</v>
      </c>
      <c r="C221" s="562">
        <f>SUMIFS('Format for Import of DV'!J:J,'Format for Import of DV'!C:C,'Recon of ORS and DV'!A221)</f>
        <v>6323</v>
      </c>
      <c r="D221" s="562" t="e">
        <f>SUMIFS('Format for Import of DV'!M:M,'Format for Import of DV'!S:S,'Recon of ORS and DV'!B221)</f>
        <v>#VALUE!</v>
      </c>
      <c r="E221" s="276" t="e">
        <f t="shared" si="3"/>
        <v>#VALUE!</v>
      </c>
    </row>
    <row r="222" spans="1:5" hidden="1">
      <c r="A222" s="281" t="s">
        <v>1378</v>
      </c>
      <c r="B222" s="281" t="s">
        <v>2240</v>
      </c>
      <c r="C222" s="562">
        <f>SUMIFS('Format for Import of DV'!J:J,'Format for Import of DV'!C:C,'Recon of ORS and DV'!A222)</f>
        <v>1242</v>
      </c>
      <c r="D222" s="562" t="e">
        <f>SUMIFS('Format for Import of DV'!M:M,'Format for Import of DV'!S:S,'Recon of ORS and DV'!B222)</f>
        <v>#VALUE!</v>
      </c>
      <c r="E222" s="276" t="e">
        <f t="shared" si="3"/>
        <v>#VALUE!</v>
      </c>
    </row>
    <row r="223" spans="1:5" hidden="1">
      <c r="A223" s="281" t="s">
        <v>1379</v>
      </c>
      <c r="B223" s="281" t="s">
        <v>2241</v>
      </c>
      <c r="C223" s="562">
        <f>SUMIFS('Format for Import of DV'!J:J,'Format for Import of DV'!C:C,'Recon of ORS and DV'!A223)</f>
        <v>170501.47</v>
      </c>
      <c r="D223" s="562" t="e">
        <f>SUMIFS('Format for Import of DV'!M:M,'Format for Import of DV'!S:S,'Recon of ORS and DV'!B223)</f>
        <v>#VALUE!</v>
      </c>
      <c r="E223" s="276" t="e">
        <f t="shared" si="3"/>
        <v>#VALUE!</v>
      </c>
    </row>
    <row r="224" spans="1:5" hidden="1">
      <c r="A224" s="281" t="s">
        <v>1383</v>
      </c>
      <c r="B224" s="281" t="s">
        <v>2242</v>
      </c>
      <c r="C224" s="562">
        <f>SUMIFS('Format for Import of DV'!J:J,'Format for Import of DV'!C:C,'Recon of ORS and DV'!A224)</f>
        <v>7635</v>
      </c>
      <c r="D224" s="562" t="e">
        <f>SUMIFS('Format for Import of DV'!M:M,'Format for Import of DV'!S:S,'Recon of ORS and DV'!B224)</f>
        <v>#VALUE!</v>
      </c>
      <c r="E224" s="276" t="e">
        <f t="shared" si="3"/>
        <v>#VALUE!</v>
      </c>
    </row>
    <row r="225" spans="1:5" hidden="1">
      <c r="A225" s="281" t="s">
        <v>1385</v>
      </c>
      <c r="B225" s="281" t="s">
        <v>2243</v>
      </c>
      <c r="C225" s="562">
        <f>SUMIFS('Format for Import of DV'!J:J,'Format for Import of DV'!C:C,'Recon of ORS and DV'!A225)</f>
        <v>429402.37</v>
      </c>
      <c r="D225" s="562" t="e">
        <f>SUMIFS('Format for Import of DV'!M:M,'Format for Import of DV'!S:S,'Recon of ORS and DV'!B225)</f>
        <v>#VALUE!</v>
      </c>
      <c r="E225" s="276" t="e">
        <f t="shared" si="3"/>
        <v>#VALUE!</v>
      </c>
    </row>
    <row r="226" spans="1:5" hidden="1">
      <c r="A226" s="281" t="s">
        <v>1386</v>
      </c>
      <c r="B226" s="281" t="s">
        <v>2244</v>
      </c>
      <c r="C226" s="562">
        <f>SUMIFS('Format for Import of DV'!J:J,'Format for Import of DV'!C:C,'Recon of ORS and DV'!A226)</f>
        <v>688368.09</v>
      </c>
      <c r="D226" s="562" t="e">
        <f>SUMIFS('Format for Import of DV'!M:M,'Format for Import of DV'!S:S,'Recon of ORS and DV'!B226)</f>
        <v>#VALUE!</v>
      </c>
      <c r="E226" s="276" t="e">
        <f t="shared" si="3"/>
        <v>#VALUE!</v>
      </c>
    </row>
    <row r="227" spans="1:5" hidden="1">
      <c r="A227" s="281" t="s">
        <v>1387</v>
      </c>
      <c r="B227" s="281" t="s">
        <v>2245</v>
      </c>
      <c r="C227" s="562">
        <f>SUMIFS('Format for Import of DV'!J:J,'Format for Import of DV'!C:C,'Recon of ORS and DV'!A227)</f>
        <v>389716.8</v>
      </c>
      <c r="D227" s="562" t="e">
        <f>SUMIFS('Format for Import of DV'!M:M,'Format for Import of DV'!S:S,'Recon of ORS and DV'!B227)</f>
        <v>#VALUE!</v>
      </c>
      <c r="E227" s="276" t="e">
        <f t="shared" si="3"/>
        <v>#VALUE!</v>
      </c>
    </row>
    <row r="228" spans="1:5" hidden="1">
      <c r="A228" s="281" t="s">
        <v>1388</v>
      </c>
      <c r="B228" s="281" t="s">
        <v>2246</v>
      </c>
      <c r="C228" s="562">
        <f>SUMIFS('Format for Import of DV'!J:J,'Format for Import of DV'!C:C,'Recon of ORS and DV'!A228)</f>
        <v>40307.629999999997</v>
      </c>
      <c r="D228" s="562" t="e">
        <f>SUMIFS('Format for Import of DV'!M:M,'Format for Import of DV'!S:S,'Recon of ORS and DV'!B228)</f>
        <v>#VALUE!</v>
      </c>
      <c r="E228" s="276" t="e">
        <f t="shared" si="3"/>
        <v>#VALUE!</v>
      </c>
    </row>
    <row r="229" spans="1:5" hidden="1">
      <c r="A229" s="281" t="s">
        <v>1389</v>
      </c>
      <c r="B229" s="281" t="s">
        <v>2247</v>
      </c>
      <c r="C229" s="562">
        <f>SUMIFS('Format for Import of DV'!J:J,'Format for Import of DV'!C:C,'Recon of ORS and DV'!A229)</f>
        <v>51777.94</v>
      </c>
      <c r="D229" s="562" t="e">
        <f>SUMIFS('Format for Import of DV'!M:M,'Format for Import of DV'!S:S,'Recon of ORS and DV'!B229)</f>
        <v>#VALUE!</v>
      </c>
      <c r="E229" s="276" t="e">
        <f t="shared" si="3"/>
        <v>#VALUE!</v>
      </c>
    </row>
    <row r="230" spans="1:5" hidden="1">
      <c r="A230" s="281" t="s">
        <v>1391</v>
      </c>
      <c r="B230" s="281" t="s">
        <v>2277</v>
      </c>
      <c r="C230" s="562">
        <f>SUMIFS('Format for Import of DV'!J:J,'Format for Import of DV'!C:C,'Recon of ORS and DV'!A230)</f>
        <v>92085.57</v>
      </c>
      <c r="D230" s="562" t="e">
        <f>SUMIFS('Format for Import of DV'!M:M,'Format for Import of DV'!S:S,'Recon of ORS and DV'!B230)</f>
        <v>#VALUE!</v>
      </c>
      <c r="E230" s="276" t="e">
        <f t="shared" si="3"/>
        <v>#VALUE!</v>
      </c>
    </row>
    <row r="231" spans="1:5" hidden="1">
      <c r="A231" s="281" t="s">
        <v>1392</v>
      </c>
      <c r="B231" s="281" t="s">
        <v>2248</v>
      </c>
      <c r="C231" s="562">
        <f>SUMIFS('Format for Import of DV'!J:J,'Format for Import of DV'!C:C,'Recon of ORS and DV'!A231)</f>
        <v>40307.629999999997</v>
      </c>
      <c r="D231" s="562" t="e">
        <f>SUMIFS('Format for Import of DV'!M:M,'Format for Import of DV'!S:S,'Recon of ORS and DV'!B231)</f>
        <v>#VALUE!</v>
      </c>
      <c r="E231" s="276" t="e">
        <f t="shared" si="3"/>
        <v>#VALUE!</v>
      </c>
    </row>
    <row r="232" spans="1:5" hidden="1">
      <c r="A232" s="281" t="s">
        <v>1393</v>
      </c>
      <c r="B232" s="281" t="s">
        <v>2249</v>
      </c>
      <c r="C232" s="562">
        <f>SUMIFS('Format for Import of DV'!J:J,'Format for Import of DV'!C:C,'Recon of ORS and DV'!A232)</f>
        <v>29300.399999999998</v>
      </c>
      <c r="D232" s="562" t="e">
        <f>SUMIFS('Format for Import of DV'!M:M,'Format for Import of DV'!S:S,'Recon of ORS and DV'!B232)</f>
        <v>#VALUE!</v>
      </c>
      <c r="E232" s="276" t="e">
        <f t="shared" si="3"/>
        <v>#VALUE!</v>
      </c>
    </row>
    <row r="233" spans="1:5" hidden="1">
      <c r="A233" s="281" t="s">
        <v>1395</v>
      </c>
      <c r="B233" s="281" t="s">
        <v>2250</v>
      </c>
      <c r="C233" s="562">
        <f>SUMIFS('Format for Import of DV'!J:J,'Format for Import of DV'!C:C,'Recon of ORS and DV'!A233)</f>
        <v>29300.399999999998</v>
      </c>
      <c r="D233" s="562" t="e">
        <f>SUMIFS('Format for Import of DV'!M:M,'Format for Import of DV'!S:S,'Recon of ORS and DV'!B233)</f>
        <v>#VALUE!</v>
      </c>
      <c r="E233" s="276" t="e">
        <f t="shared" si="3"/>
        <v>#VALUE!</v>
      </c>
    </row>
    <row r="234" spans="1:5" hidden="1">
      <c r="A234" s="281" t="s">
        <v>1396</v>
      </c>
      <c r="B234" s="281" t="s">
        <v>2251</v>
      </c>
      <c r="C234" s="562">
        <f>SUMIFS('Format for Import of DV'!J:J,'Format for Import of DV'!C:C,'Recon of ORS and DV'!A234)</f>
        <v>29300.399999999998</v>
      </c>
      <c r="D234" s="562" t="e">
        <f>SUMIFS('Format for Import of DV'!M:M,'Format for Import of DV'!S:S,'Recon of ORS and DV'!B234)</f>
        <v>#VALUE!</v>
      </c>
      <c r="E234" s="276" t="e">
        <f t="shared" si="3"/>
        <v>#VALUE!</v>
      </c>
    </row>
    <row r="235" spans="1:5" hidden="1">
      <c r="A235" s="281" t="s">
        <v>1397</v>
      </c>
      <c r="B235" s="281" t="s">
        <v>2252</v>
      </c>
      <c r="C235" s="562">
        <f>SUMIFS('Format for Import of DV'!J:J,'Format for Import of DV'!C:C,'Recon of ORS and DV'!A235)</f>
        <v>29300.399999999998</v>
      </c>
      <c r="D235" s="562" t="e">
        <f>SUMIFS('Format for Import of DV'!M:M,'Format for Import of DV'!S:S,'Recon of ORS and DV'!B235)</f>
        <v>#VALUE!</v>
      </c>
      <c r="E235" s="276" t="e">
        <f t="shared" si="3"/>
        <v>#VALUE!</v>
      </c>
    </row>
    <row r="236" spans="1:5" hidden="1">
      <c r="A236" s="281" t="s">
        <v>1398</v>
      </c>
      <c r="B236" s="281" t="s">
        <v>2253</v>
      </c>
      <c r="C236" s="562">
        <f>SUMIFS('Format for Import of DV'!J:J,'Format for Import of DV'!C:C,'Recon of ORS and DV'!A236)</f>
        <v>29300.399999999998</v>
      </c>
      <c r="D236" s="562" t="e">
        <f>SUMIFS('Format for Import of DV'!M:M,'Format for Import of DV'!S:S,'Recon of ORS and DV'!B236)</f>
        <v>#VALUE!</v>
      </c>
      <c r="E236" s="276" t="e">
        <f t="shared" si="3"/>
        <v>#VALUE!</v>
      </c>
    </row>
    <row r="237" spans="1:5" hidden="1">
      <c r="A237" s="281" t="s">
        <v>1400</v>
      </c>
      <c r="B237" s="281" t="s">
        <v>2254</v>
      </c>
      <c r="C237" s="562">
        <f>SUMIFS('Format for Import of DV'!J:J,'Format for Import of DV'!C:C,'Recon of ORS and DV'!A237)</f>
        <v>29300.399999999998</v>
      </c>
      <c r="D237" s="562" t="e">
        <f>SUMIFS('Format for Import of DV'!M:M,'Format for Import of DV'!S:S,'Recon of ORS and DV'!B237)</f>
        <v>#VALUE!</v>
      </c>
      <c r="E237" s="276" t="e">
        <f t="shared" si="3"/>
        <v>#VALUE!</v>
      </c>
    </row>
    <row r="238" spans="1:5" hidden="1">
      <c r="A238" s="281" t="s">
        <v>1401</v>
      </c>
      <c r="B238" s="281" t="s">
        <v>2255</v>
      </c>
      <c r="C238" s="562">
        <f>SUMIFS('Format for Import of DV'!J:J,'Format for Import of DV'!C:C,'Recon of ORS and DV'!A238)</f>
        <v>2049964.0999999999</v>
      </c>
      <c r="D238" s="562" t="e">
        <f>SUMIFS('Format for Import of DV'!M:M,'Format for Import of DV'!S:S,'Recon of ORS and DV'!B238)</f>
        <v>#VALUE!</v>
      </c>
      <c r="E238" s="276" t="e">
        <f t="shared" si="3"/>
        <v>#VALUE!</v>
      </c>
    </row>
    <row r="239" spans="1:5" hidden="1">
      <c r="A239" s="281" t="s">
        <v>1402</v>
      </c>
      <c r="B239" s="281" t="s">
        <v>2256</v>
      </c>
      <c r="C239" s="562">
        <f>SUMIFS('Format for Import of DV'!J:J,'Format for Import of DV'!C:C,'Recon of ORS and DV'!A239)</f>
        <v>470812.07</v>
      </c>
      <c r="D239" s="562" t="e">
        <f>SUMIFS('Format for Import of DV'!M:M,'Format for Import of DV'!S:S,'Recon of ORS and DV'!B239)</f>
        <v>#VALUE!</v>
      </c>
      <c r="E239" s="276" t="e">
        <f t="shared" si="3"/>
        <v>#VALUE!</v>
      </c>
    </row>
    <row r="240" spans="1:5" hidden="1">
      <c r="A240" s="281" t="s">
        <v>1403</v>
      </c>
      <c r="B240" s="281" t="s">
        <v>2257</v>
      </c>
      <c r="C240" s="562">
        <f>SUMIFS('Format for Import of DV'!J:J,'Format for Import of DV'!C:C,'Recon of ORS and DV'!A240)</f>
        <v>40307.629999999997</v>
      </c>
      <c r="D240" s="562" t="e">
        <f>SUMIFS('Format for Import of DV'!M:M,'Format for Import of DV'!S:S,'Recon of ORS and DV'!B240)</f>
        <v>#VALUE!</v>
      </c>
      <c r="E240" s="276" t="e">
        <f t="shared" si="3"/>
        <v>#VALUE!</v>
      </c>
    </row>
    <row r="241" spans="1:5" hidden="1">
      <c r="A241" s="281" t="s">
        <v>1405</v>
      </c>
      <c r="B241" s="281" t="s">
        <v>2258</v>
      </c>
      <c r="C241" s="562">
        <f>SUMIFS('Format for Import of DV'!J:J,'Format for Import of DV'!C:C,'Recon of ORS and DV'!A241)</f>
        <v>29300.399999999998</v>
      </c>
      <c r="D241" s="562" t="e">
        <f>SUMIFS('Format for Import of DV'!M:M,'Format for Import of DV'!S:S,'Recon of ORS and DV'!B241)</f>
        <v>#VALUE!</v>
      </c>
      <c r="E241" s="276" t="e">
        <f t="shared" si="3"/>
        <v>#VALUE!</v>
      </c>
    </row>
    <row r="242" spans="1:5" hidden="1">
      <c r="A242" s="281" t="s">
        <v>1407</v>
      </c>
      <c r="B242" s="281" t="s">
        <v>2259</v>
      </c>
      <c r="C242" s="562">
        <f>SUMIFS('Format for Import of DV'!J:J,'Format for Import of DV'!C:C,'Recon of ORS and DV'!A242)</f>
        <v>2016</v>
      </c>
      <c r="D242" s="562" t="e">
        <f>SUMIFS('Format for Import of DV'!M:M,'Format for Import of DV'!S:S,'Recon of ORS and DV'!B242)</f>
        <v>#VALUE!</v>
      </c>
      <c r="E242" s="276" t="e">
        <f t="shared" si="3"/>
        <v>#VALUE!</v>
      </c>
    </row>
    <row r="243" spans="1:5" hidden="1">
      <c r="A243" s="281" t="s">
        <v>1409</v>
      </c>
      <c r="B243" s="281" t="s">
        <v>2260</v>
      </c>
      <c r="C243" s="562">
        <f>SUMIFS('Format for Import of DV'!J:J,'Format for Import of DV'!C:C,'Recon of ORS and DV'!A243)</f>
        <v>1344</v>
      </c>
      <c r="D243" s="562" t="e">
        <f>SUMIFS('Format for Import of DV'!M:M,'Format for Import of DV'!S:S,'Recon of ORS and DV'!B243)</f>
        <v>#VALUE!</v>
      </c>
      <c r="E243" s="276" t="e">
        <f t="shared" si="3"/>
        <v>#VALUE!</v>
      </c>
    </row>
    <row r="244" spans="1:5" hidden="1">
      <c r="A244" s="281" t="s">
        <v>1410</v>
      </c>
      <c r="B244" s="281" t="s">
        <v>2261</v>
      </c>
      <c r="C244" s="562">
        <f>SUMIFS('Format for Import of DV'!J:J,'Format for Import of DV'!C:C,'Recon of ORS and DV'!A244)</f>
        <v>1651.12</v>
      </c>
      <c r="D244" s="562" t="e">
        <f>SUMIFS('Format for Import of DV'!M:M,'Format for Import of DV'!S:S,'Recon of ORS and DV'!B244)</f>
        <v>#VALUE!</v>
      </c>
      <c r="E244" s="276" t="e">
        <f t="shared" si="3"/>
        <v>#VALUE!</v>
      </c>
    </row>
    <row r="245" spans="1:5" hidden="1">
      <c r="A245" s="281" t="s">
        <v>1412</v>
      </c>
      <c r="B245" s="281" t="s">
        <v>2262</v>
      </c>
      <c r="C245" s="562">
        <f>SUMIFS('Format for Import of DV'!J:J,'Format for Import of DV'!C:C,'Recon of ORS and DV'!A245)</f>
        <v>29300.399999999998</v>
      </c>
      <c r="D245" s="562" t="e">
        <f>SUMIFS('Format for Import of DV'!M:M,'Format for Import of DV'!S:S,'Recon of ORS and DV'!B245)</f>
        <v>#VALUE!</v>
      </c>
      <c r="E245" s="276" t="e">
        <f t="shared" si="3"/>
        <v>#VALUE!</v>
      </c>
    </row>
    <row r="246" spans="1:5" hidden="1">
      <c r="A246" s="281" t="s">
        <v>1413</v>
      </c>
      <c r="B246" s="281" t="s">
        <v>2263</v>
      </c>
      <c r="C246" s="562">
        <f>SUMIFS('Format for Import of DV'!J:J,'Format for Import of DV'!C:C,'Recon of ORS and DV'!A246)</f>
        <v>92085.57</v>
      </c>
      <c r="D246" s="562" t="e">
        <f>SUMIFS('Format for Import of DV'!M:M,'Format for Import of DV'!S:S,'Recon of ORS and DV'!B246)</f>
        <v>#VALUE!</v>
      </c>
      <c r="E246" s="276" t="e">
        <f t="shared" si="3"/>
        <v>#VALUE!</v>
      </c>
    </row>
    <row r="247" spans="1:5" hidden="1">
      <c r="A247" s="281" t="s">
        <v>1414</v>
      </c>
      <c r="B247" s="281" t="s">
        <v>2264</v>
      </c>
      <c r="C247" s="562">
        <f>SUMIFS('Format for Import of DV'!J:J,'Format for Import of DV'!C:C,'Recon of ORS and DV'!A247)</f>
        <v>666486.65999999992</v>
      </c>
      <c r="D247" s="562" t="e">
        <f>SUMIFS('Format for Import of DV'!M:M,'Format for Import of DV'!S:S,'Recon of ORS and DV'!B247)</f>
        <v>#VALUE!</v>
      </c>
      <c r="E247" s="276" t="e">
        <f t="shared" si="3"/>
        <v>#VALUE!</v>
      </c>
    </row>
    <row r="248" spans="1:5" hidden="1">
      <c r="A248" s="281" t="s">
        <v>1415</v>
      </c>
      <c r="B248" s="281" t="s">
        <v>2265</v>
      </c>
      <c r="C248" s="562">
        <f>SUMIFS('Format for Import of DV'!J:J,'Format for Import of DV'!C:C,'Recon of ORS and DV'!A248)</f>
        <v>0</v>
      </c>
      <c r="D248" s="562" t="e">
        <f>SUMIFS('Format for Import of DV'!M:M,'Format for Import of DV'!S:S,'Recon of ORS and DV'!B248)</f>
        <v>#VALUE!</v>
      </c>
      <c r="E248" s="276" t="e">
        <f t="shared" si="3"/>
        <v>#VALUE!</v>
      </c>
    </row>
    <row r="249" spans="1:5" hidden="1">
      <c r="A249" s="281" t="s">
        <v>1417</v>
      </c>
      <c r="B249" s="281" t="s">
        <v>2266</v>
      </c>
      <c r="C249" s="562">
        <f>SUMIFS('Format for Import of DV'!J:J,'Format for Import of DV'!C:C,'Recon of ORS and DV'!A249)</f>
        <v>22000</v>
      </c>
      <c r="D249" s="562" t="e">
        <f>SUMIFS('Format for Import of DV'!M:M,'Format for Import of DV'!S:S,'Recon of ORS and DV'!B249)</f>
        <v>#VALUE!</v>
      </c>
      <c r="E249" s="276" t="e">
        <f t="shared" si="3"/>
        <v>#VALUE!</v>
      </c>
    </row>
    <row r="250" spans="1:5" hidden="1">
      <c r="A250" s="281" t="s">
        <v>1420</v>
      </c>
      <c r="B250" s="281" t="s">
        <v>2267</v>
      </c>
      <c r="C250" s="562">
        <f>SUMIFS('Format for Import of DV'!J:J,'Format for Import of DV'!C:C,'Recon of ORS and DV'!A250)</f>
        <v>14000</v>
      </c>
      <c r="D250" s="562" t="e">
        <f>SUMIFS('Format for Import of DV'!M:M,'Format for Import of DV'!S:S,'Recon of ORS and DV'!B250)</f>
        <v>#VALUE!</v>
      </c>
      <c r="E250" s="276" t="e">
        <f t="shared" si="3"/>
        <v>#VALUE!</v>
      </c>
    </row>
    <row r="251" spans="1:5" hidden="1">
      <c r="A251" s="281" t="s">
        <v>1422</v>
      </c>
      <c r="B251" s="281" t="s">
        <v>2268</v>
      </c>
      <c r="C251" s="562">
        <f>SUMIFS('Format for Import of DV'!J:J,'Format for Import of DV'!C:C,'Recon of ORS and DV'!A251)</f>
        <v>7873</v>
      </c>
      <c r="D251" s="562" t="e">
        <f>SUMIFS('Format for Import of DV'!M:M,'Format for Import of DV'!S:S,'Recon of ORS and DV'!B251)</f>
        <v>#VALUE!</v>
      </c>
      <c r="E251" s="276" t="e">
        <f t="shared" si="3"/>
        <v>#VALUE!</v>
      </c>
    </row>
    <row r="252" spans="1:5" hidden="1">
      <c r="A252" s="281" t="s">
        <v>1424</v>
      </c>
      <c r="B252" s="281" t="s">
        <v>2269</v>
      </c>
      <c r="C252" s="562">
        <f>SUMIFS('Format for Import of DV'!J:J,'Format for Import of DV'!C:C,'Recon of ORS and DV'!A252)</f>
        <v>640000</v>
      </c>
      <c r="D252" s="562" t="e">
        <f>SUMIFS('Format for Import of DV'!M:M,'Format for Import of DV'!S:S,'Recon of ORS and DV'!B252)</f>
        <v>#VALUE!</v>
      </c>
      <c r="E252" s="276" t="e">
        <f t="shared" si="3"/>
        <v>#VALUE!</v>
      </c>
    </row>
    <row r="253" spans="1:5" hidden="1">
      <c r="A253" s="281" t="s">
        <v>1425</v>
      </c>
      <c r="B253" s="281" t="s">
        <v>2270</v>
      </c>
      <c r="C253" s="562">
        <f>SUMIFS('Format for Import of DV'!J:J,'Format for Import of DV'!C:C,'Recon of ORS and DV'!A253)</f>
        <v>160000</v>
      </c>
      <c r="D253" s="562" t="e">
        <f>SUMIFS('Format for Import of DV'!M:M,'Format for Import of DV'!S:S,'Recon of ORS and DV'!B253)</f>
        <v>#VALUE!</v>
      </c>
      <c r="E253" s="276" t="e">
        <f t="shared" si="3"/>
        <v>#VALUE!</v>
      </c>
    </row>
    <row r="254" spans="1:5" hidden="1">
      <c r="A254" s="281" t="s">
        <v>1426</v>
      </c>
      <c r="B254" s="281" t="s">
        <v>2271</v>
      </c>
      <c r="C254" s="562">
        <f>SUMIFS('Format for Import of DV'!J:J,'Format for Import of DV'!C:C,'Recon of ORS and DV'!A254)</f>
        <v>119634</v>
      </c>
      <c r="D254" s="562" t="e">
        <f>SUMIFS('Format for Import of DV'!M:M,'Format for Import of DV'!S:S,'Recon of ORS and DV'!B254)</f>
        <v>#VALUE!</v>
      </c>
      <c r="E254" s="276" t="e">
        <f t="shared" si="3"/>
        <v>#VALUE!</v>
      </c>
    </row>
    <row r="255" spans="1:5" hidden="1">
      <c r="A255" s="281" t="s">
        <v>1427</v>
      </c>
      <c r="B255" s="281" t="s">
        <v>2272</v>
      </c>
      <c r="C255" s="562">
        <f>SUMIFS('Format for Import of DV'!J:J,'Format for Import of DV'!C:C,'Recon of ORS and DV'!A255)</f>
        <v>94707.14</v>
      </c>
      <c r="D255" s="562" t="e">
        <f>SUMIFS('Format for Import of DV'!M:M,'Format for Import of DV'!S:S,'Recon of ORS and DV'!B255)</f>
        <v>#VALUE!</v>
      </c>
      <c r="E255" s="276" t="e">
        <f t="shared" si="3"/>
        <v>#VALUE!</v>
      </c>
    </row>
    <row r="256" spans="1:5" hidden="1">
      <c r="A256" s="281" t="s">
        <v>1428</v>
      </c>
      <c r="B256" s="281" t="s">
        <v>2273</v>
      </c>
      <c r="C256" s="562">
        <f>SUMIFS('Format for Import of DV'!J:J,'Format for Import of DV'!C:C,'Recon of ORS and DV'!A256)</f>
        <v>11000</v>
      </c>
      <c r="D256" s="562" t="e">
        <f>SUMIFS('Format for Import of DV'!M:M,'Format for Import of DV'!S:S,'Recon of ORS and DV'!B256)</f>
        <v>#VALUE!</v>
      </c>
      <c r="E256" s="276" t="e">
        <f t="shared" si="3"/>
        <v>#VALUE!</v>
      </c>
    </row>
    <row r="257" spans="1:5" hidden="1">
      <c r="A257" s="281" t="s">
        <v>1430</v>
      </c>
      <c r="B257" s="281" t="s">
        <v>2274</v>
      </c>
      <c r="C257" s="562">
        <f>SUMIFS('Format for Import of DV'!J:J,'Format for Import of DV'!C:C,'Recon of ORS and DV'!A257)</f>
        <v>3760</v>
      </c>
      <c r="D257" s="562" t="e">
        <f>SUMIFS('Format for Import of DV'!M:M,'Format for Import of DV'!S:S,'Recon of ORS and DV'!B257)</f>
        <v>#VALUE!</v>
      </c>
      <c r="E257" s="276" t="e">
        <f t="shared" si="3"/>
        <v>#VALUE!</v>
      </c>
    </row>
    <row r="258" spans="1:5" hidden="1">
      <c r="A258" s="281" t="s">
        <v>1432</v>
      </c>
      <c r="B258" s="281" t="s">
        <v>2275</v>
      </c>
      <c r="C258" s="562">
        <f>SUMIFS('Format for Import of DV'!J:J,'Format for Import of DV'!C:C,'Recon of ORS and DV'!A258)</f>
        <v>800</v>
      </c>
      <c r="D258" s="562" t="e">
        <f>SUMIFS('Format for Import of DV'!M:M,'Format for Import of DV'!S:S,'Recon of ORS and DV'!B258)</f>
        <v>#VALUE!</v>
      </c>
      <c r="E258" s="276" t="e">
        <f t="shared" si="3"/>
        <v>#VALUE!</v>
      </c>
    </row>
    <row r="259" spans="1:5" hidden="1">
      <c r="A259" s="281" t="s">
        <v>1435</v>
      </c>
      <c r="B259" s="281" t="s">
        <v>2276</v>
      </c>
      <c r="C259" s="562">
        <f>SUMIFS('Format for Import of DV'!J:J,'Format for Import of DV'!C:C,'Recon of ORS and DV'!A259)</f>
        <v>30000</v>
      </c>
      <c r="D259" s="562" t="e">
        <f>SUMIFS('Format for Import of DV'!M:M,'Format for Import of DV'!S:S,'Recon of ORS and DV'!B259)</f>
        <v>#VALUE!</v>
      </c>
      <c r="E259" s="276" t="e">
        <f t="shared" si="3"/>
        <v>#VALUE!</v>
      </c>
    </row>
    <row r="260" spans="1:5" hidden="1">
      <c r="A260" s="281" t="s">
        <v>1438</v>
      </c>
      <c r="B260" s="281" t="s">
        <v>2563</v>
      </c>
      <c r="C260" s="562">
        <f>SUMIFS('Format for Import of DV'!J:J,'Format for Import of DV'!C:C,'Recon of ORS and DV'!A260)</f>
        <v>216000</v>
      </c>
      <c r="D260" s="562" t="e">
        <f>SUMIFS('Format for Import of DV'!M:M,'Format for Import of DV'!S:S,'Recon of ORS and DV'!B260)</f>
        <v>#VALUE!</v>
      </c>
      <c r="E260" s="276" t="e">
        <f t="shared" si="3"/>
        <v>#VALUE!</v>
      </c>
    </row>
    <row r="261" spans="1:5" hidden="1">
      <c r="A261" s="281" t="s">
        <v>1440</v>
      </c>
      <c r="B261" s="281" t="s">
        <v>2278</v>
      </c>
      <c r="C261" s="562">
        <f>SUMIFS('Format for Import of DV'!J:J,'Format for Import of DV'!C:C,'Recon of ORS and DV'!A261)</f>
        <v>60000</v>
      </c>
      <c r="D261" s="562" t="e">
        <f>SUMIFS('Format for Import of DV'!M:M,'Format for Import of DV'!S:S,'Recon of ORS and DV'!B261)</f>
        <v>#VALUE!</v>
      </c>
      <c r="E261" s="276" t="e">
        <f t="shared" ref="E261:E324" si="4">C261-D261</f>
        <v>#VALUE!</v>
      </c>
    </row>
    <row r="262" spans="1:5" hidden="1">
      <c r="A262" s="281" t="s">
        <v>1441</v>
      </c>
      <c r="B262" s="281" t="s">
        <v>2279</v>
      </c>
      <c r="C262" s="562">
        <f>SUMIFS('Format for Import of DV'!J:J,'Format for Import of DV'!C:C,'Recon of ORS and DV'!A262)</f>
        <v>60000</v>
      </c>
      <c r="D262" s="562" t="e">
        <f>SUMIFS('Format for Import of DV'!M:M,'Format for Import of DV'!S:S,'Recon of ORS and DV'!B262)</f>
        <v>#VALUE!</v>
      </c>
      <c r="E262" s="276" t="e">
        <f t="shared" si="4"/>
        <v>#VALUE!</v>
      </c>
    </row>
    <row r="263" spans="1:5" hidden="1">
      <c r="A263" s="281" t="s">
        <v>1442</v>
      </c>
      <c r="B263" s="281" t="s">
        <v>2280</v>
      </c>
      <c r="C263" s="562">
        <f>SUMIFS('Format for Import of DV'!J:J,'Format for Import of DV'!C:C,'Recon of ORS and DV'!A263)</f>
        <v>66000</v>
      </c>
      <c r="D263" s="562" t="e">
        <f>SUMIFS('Format for Import of DV'!M:M,'Format for Import of DV'!S:S,'Recon of ORS and DV'!B263)</f>
        <v>#VALUE!</v>
      </c>
      <c r="E263" s="276" t="e">
        <f t="shared" si="4"/>
        <v>#VALUE!</v>
      </c>
    </row>
    <row r="264" spans="1:5" hidden="1">
      <c r="A264" s="281" t="s">
        <v>1443</v>
      </c>
      <c r="B264" s="281" t="s">
        <v>2281</v>
      </c>
      <c r="C264" s="562">
        <f>SUMIFS('Format for Import of DV'!J:J,'Format for Import of DV'!C:C,'Recon of ORS and DV'!A264)</f>
        <v>72000</v>
      </c>
      <c r="D264" s="562" t="e">
        <f>SUMIFS('Format for Import of DV'!M:M,'Format for Import of DV'!S:S,'Recon of ORS and DV'!B264)</f>
        <v>#VALUE!</v>
      </c>
      <c r="E264" s="276" t="e">
        <f t="shared" si="4"/>
        <v>#VALUE!</v>
      </c>
    </row>
    <row r="265" spans="1:5" hidden="1">
      <c r="A265" s="281" t="s">
        <v>1444</v>
      </c>
      <c r="B265" s="281" t="s">
        <v>2282</v>
      </c>
      <c r="C265" s="562">
        <f>SUMIFS('Format for Import of DV'!J:J,'Format for Import of DV'!C:C,'Recon of ORS and DV'!A265)</f>
        <v>48000</v>
      </c>
      <c r="D265" s="562" t="e">
        <f>SUMIFS('Format for Import of DV'!M:M,'Format for Import of DV'!S:S,'Recon of ORS and DV'!B265)</f>
        <v>#VALUE!</v>
      </c>
      <c r="E265" s="276" t="e">
        <f t="shared" si="4"/>
        <v>#VALUE!</v>
      </c>
    </row>
    <row r="266" spans="1:5" hidden="1">
      <c r="A266" s="281" t="s">
        <v>1445</v>
      </c>
      <c r="B266" s="281" t="s">
        <v>2283</v>
      </c>
      <c r="C266" s="562">
        <f>SUMIFS('Format for Import of DV'!J:J,'Format for Import of DV'!C:C,'Recon of ORS and DV'!A266)</f>
        <v>3500</v>
      </c>
      <c r="D266" s="562" t="e">
        <f>SUMIFS('Format for Import of DV'!M:M,'Format for Import of DV'!S:S,'Recon of ORS and DV'!B266)</f>
        <v>#VALUE!</v>
      </c>
      <c r="E266" s="276" t="e">
        <f t="shared" si="4"/>
        <v>#VALUE!</v>
      </c>
    </row>
    <row r="267" spans="1:5" hidden="1">
      <c r="A267" s="281" t="s">
        <v>1448</v>
      </c>
      <c r="B267" s="281" t="s">
        <v>2284</v>
      </c>
      <c r="C267" s="562">
        <f>SUMIFS('Format for Import of DV'!J:J,'Format for Import of DV'!C:C,'Recon of ORS and DV'!A267)</f>
        <v>976560</v>
      </c>
      <c r="D267" s="562" t="e">
        <f>SUMIFS('Format for Import of DV'!M:M,'Format for Import of DV'!S:S,'Recon of ORS and DV'!B267)</f>
        <v>#VALUE!</v>
      </c>
      <c r="E267" s="276" t="e">
        <f t="shared" si="4"/>
        <v>#VALUE!</v>
      </c>
    </row>
    <row r="268" spans="1:5" hidden="1">
      <c r="A268" s="281" t="s">
        <v>1451</v>
      </c>
      <c r="B268" s="281" t="s">
        <v>2285</v>
      </c>
      <c r="C268" s="562">
        <f>SUMIFS('Format for Import of DV'!J:J,'Format for Import of DV'!C:C,'Recon of ORS and DV'!A268)</f>
        <v>2000</v>
      </c>
      <c r="D268" s="562" t="e">
        <f>SUMIFS('Format for Import of DV'!M:M,'Format for Import of DV'!S:S,'Recon of ORS and DV'!B268)</f>
        <v>#VALUE!</v>
      </c>
      <c r="E268" s="276" t="e">
        <f t="shared" si="4"/>
        <v>#VALUE!</v>
      </c>
    </row>
    <row r="269" spans="1:5" hidden="1">
      <c r="A269" s="281" t="s">
        <v>1453</v>
      </c>
      <c r="B269" s="281" t="s">
        <v>2286</v>
      </c>
      <c r="C269" s="562">
        <f>SUMIFS('Format for Import of DV'!J:J,'Format for Import of DV'!C:C,'Recon of ORS and DV'!A269)</f>
        <v>70905.22</v>
      </c>
      <c r="D269" s="562" t="e">
        <f>SUMIFS('Format for Import of DV'!M:M,'Format for Import of DV'!S:S,'Recon of ORS and DV'!B269)</f>
        <v>#VALUE!</v>
      </c>
      <c r="E269" s="276" t="e">
        <f t="shared" si="4"/>
        <v>#VALUE!</v>
      </c>
    </row>
    <row r="270" spans="1:5" hidden="1">
      <c r="A270" s="281" t="s">
        <v>1455</v>
      </c>
      <c r="B270" s="281" t="s">
        <v>2287</v>
      </c>
      <c r="C270" s="562">
        <f>SUMIFS('Format for Import of DV'!J:J,'Format for Import of DV'!C:C,'Recon of ORS and DV'!A270)</f>
        <v>82098.38</v>
      </c>
      <c r="D270" s="562" t="e">
        <f>SUMIFS('Format for Import of DV'!M:M,'Format for Import of DV'!S:S,'Recon of ORS and DV'!B270)</f>
        <v>#VALUE!</v>
      </c>
      <c r="E270" s="276" t="e">
        <f t="shared" si="4"/>
        <v>#VALUE!</v>
      </c>
    </row>
    <row r="271" spans="1:5" hidden="1">
      <c r="A271" s="281" t="s">
        <v>1457</v>
      </c>
      <c r="B271" s="281" t="s">
        <v>2288</v>
      </c>
      <c r="C271" s="562">
        <f>SUMIFS('Format for Import of DV'!J:J,'Format for Import of DV'!C:C,'Recon of ORS and DV'!A271)</f>
        <v>9600</v>
      </c>
      <c r="D271" s="562" t="e">
        <f>SUMIFS('Format for Import of DV'!M:M,'Format for Import of DV'!S:S,'Recon of ORS and DV'!B271)</f>
        <v>#VALUE!</v>
      </c>
      <c r="E271" s="276" t="e">
        <f t="shared" si="4"/>
        <v>#VALUE!</v>
      </c>
    </row>
    <row r="272" spans="1:5" hidden="1">
      <c r="A272" s="281" t="s">
        <v>1459</v>
      </c>
      <c r="B272" s="281" t="s">
        <v>2289</v>
      </c>
      <c r="C272" s="562">
        <f>SUMIFS('Format for Import of DV'!J:J,'Format for Import of DV'!C:C,'Recon of ORS and DV'!A272)</f>
        <v>10000</v>
      </c>
      <c r="D272" s="562" t="e">
        <f>SUMIFS('Format for Import of DV'!M:M,'Format for Import of DV'!S:S,'Recon of ORS and DV'!B272)</f>
        <v>#VALUE!</v>
      </c>
      <c r="E272" s="276" t="e">
        <f t="shared" si="4"/>
        <v>#VALUE!</v>
      </c>
    </row>
    <row r="273" spans="1:5" hidden="1">
      <c r="A273" s="281" t="s">
        <v>1461</v>
      </c>
      <c r="B273" s="281" t="s">
        <v>2290</v>
      </c>
      <c r="C273" s="562">
        <f>SUMIFS('Format for Import of DV'!J:J,'Format for Import of DV'!C:C,'Recon of ORS and DV'!A273)</f>
        <v>10000</v>
      </c>
      <c r="D273" s="562" t="e">
        <f>SUMIFS('Format for Import of DV'!M:M,'Format for Import of DV'!S:S,'Recon of ORS and DV'!B273)</f>
        <v>#VALUE!</v>
      </c>
      <c r="E273" s="276" t="e">
        <f t="shared" si="4"/>
        <v>#VALUE!</v>
      </c>
    </row>
    <row r="274" spans="1:5" hidden="1">
      <c r="A274" s="281" t="s">
        <v>1464</v>
      </c>
      <c r="B274" s="281" t="s">
        <v>2291</v>
      </c>
      <c r="C274" s="562">
        <f>SUMIFS('Format for Import of DV'!J:J,'Format for Import of DV'!C:C,'Recon of ORS and DV'!A274)</f>
        <v>6320</v>
      </c>
      <c r="D274" s="562" t="e">
        <f>SUMIFS('Format for Import of DV'!M:M,'Format for Import of DV'!S:S,'Recon of ORS and DV'!B274)</f>
        <v>#VALUE!</v>
      </c>
      <c r="E274" s="276" t="e">
        <f t="shared" si="4"/>
        <v>#VALUE!</v>
      </c>
    </row>
    <row r="275" spans="1:5" hidden="1">
      <c r="A275" s="281" t="s">
        <v>1466</v>
      </c>
      <c r="B275" s="281" t="s">
        <v>2292</v>
      </c>
      <c r="C275" s="562">
        <f>SUMIFS('Format for Import of DV'!J:J,'Format for Import of DV'!C:C,'Recon of ORS and DV'!A275)</f>
        <v>2800</v>
      </c>
      <c r="D275" s="562" t="e">
        <f>SUMIFS('Format for Import of DV'!M:M,'Format for Import of DV'!S:S,'Recon of ORS and DV'!B275)</f>
        <v>#VALUE!</v>
      </c>
      <c r="E275" s="276" t="e">
        <f t="shared" si="4"/>
        <v>#VALUE!</v>
      </c>
    </row>
    <row r="276" spans="1:5" hidden="1">
      <c r="A276" s="281" t="s">
        <v>1468</v>
      </c>
      <c r="B276" s="281" t="s">
        <v>2293</v>
      </c>
      <c r="C276" s="562">
        <f>SUMIFS('Format for Import of DV'!J:J,'Format for Import of DV'!C:C,'Recon of ORS and DV'!A276)</f>
        <v>5390.81</v>
      </c>
      <c r="D276" s="562" t="e">
        <f>SUMIFS('Format for Import of DV'!M:M,'Format for Import of DV'!S:S,'Recon of ORS and DV'!B276)</f>
        <v>#VALUE!</v>
      </c>
      <c r="E276" s="276" t="e">
        <f t="shared" si="4"/>
        <v>#VALUE!</v>
      </c>
    </row>
    <row r="277" spans="1:5" hidden="1">
      <c r="A277" s="281" t="s">
        <v>1469</v>
      </c>
      <c r="B277" s="281" t="s">
        <v>2294</v>
      </c>
      <c r="C277" s="562">
        <f>SUMIFS('Format for Import of DV'!J:J,'Format for Import of DV'!C:C,'Recon of ORS and DV'!A277)</f>
        <v>13600</v>
      </c>
      <c r="D277" s="562" t="e">
        <f>SUMIFS('Format for Import of DV'!M:M,'Format for Import of DV'!S:S,'Recon of ORS and DV'!B277)</f>
        <v>#VALUE!</v>
      </c>
      <c r="E277" s="276" t="e">
        <f t="shared" si="4"/>
        <v>#VALUE!</v>
      </c>
    </row>
    <row r="278" spans="1:5" hidden="1">
      <c r="A278" s="281" t="s">
        <v>1470</v>
      </c>
      <c r="B278" s="281" t="s">
        <v>2295</v>
      </c>
      <c r="C278" s="562">
        <f>SUMIFS('Format for Import of DV'!J:J,'Format for Import of DV'!C:C,'Recon of ORS and DV'!A278)</f>
        <v>40369.5</v>
      </c>
      <c r="D278" s="562" t="e">
        <f>SUMIFS('Format for Import of DV'!M:M,'Format for Import of DV'!S:S,'Recon of ORS and DV'!B278)</f>
        <v>#VALUE!</v>
      </c>
      <c r="E278" s="276" t="e">
        <f t="shared" si="4"/>
        <v>#VALUE!</v>
      </c>
    </row>
    <row r="279" spans="1:5" hidden="1">
      <c r="A279" s="281" t="s">
        <v>1471</v>
      </c>
      <c r="B279" s="281" t="s">
        <v>2296</v>
      </c>
      <c r="C279" s="562">
        <f>SUMIFS('Format for Import of DV'!J:J,'Format for Import of DV'!C:C,'Recon of ORS and DV'!A279)</f>
        <v>12300</v>
      </c>
      <c r="D279" s="562" t="e">
        <f>SUMIFS('Format for Import of DV'!M:M,'Format for Import of DV'!S:S,'Recon of ORS and DV'!B279)</f>
        <v>#VALUE!</v>
      </c>
      <c r="E279" s="276" t="e">
        <f t="shared" si="4"/>
        <v>#VALUE!</v>
      </c>
    </row>
    <row r="280" spans="1:5" hidden="1">
      <c r="A280" s="281" t="s">
        <v>1472</v>
      </c>
      <c r="B280" s="281" t="s">
        <v>2297</v>
      </c>
      <c r="C280" s="562">
        <f>SUMIFS('Format for Import of DV'!J:J,'Format for Import of DV'!C:C,'Recon of ORS and DV'!A280)</f>
        <v>18421.13</v>
      </c>
      <c r="D280" s="562" t="e">
        <f>SUMIFS('Format for Import of DV'!M:M,'Format for Import of DV'!S:S,'Recon of ORS and DV'!B280)</f>
        <v>#VALUE!</v>
      </c>
      <c r="E280" s="276" t="e">
        <f t="shared" si="4"/>
        <v>#VALUE!</v>
      </c>
    </row>
    <row r="281" spans="1:5" hidden="1">
      <c r="A281" s="281" t="s">
        <v>1473</v>
      </c>
      <c r="B281" s="281" t="s">
        <v>2298</v>
      </c>
      <c r="C281" s="562">
        <f>SUMIFS('Format for Import of DV'!J:J,'Format for Import of DV'!C:C,'Recon of ORS and DV'!A281)</f>
        <v>920</v>
      </c>
      <c r="D281" s="562" t="e">
        <f>SUMIFS('Format for Import of DV'!M:M,'Format for Import of DV'!S:S,'Recon of ORS and DV'!B281)</f>
        <v>#VALUE!</v>
      </c>
      <c r="E281" s="276" t="e">
        <f t="shared" si="4"/>
        <v>#VALUE!</v>
      </c>
    </row>
    <row r="282" spans="1:5" hidden="1">
      <c r="A282" s="281" t="s">
        <v>1479</v>
      </c>
      <c r="B282" s="281" t="s">
        <v>2299</v>
      </c>
      <c r="C282" s="562">
        <f>SUMIFS('Format for Import of DV'!J:J,'Format for Import of DV'!C:C,'Recon of ORS and DV'!A282)</f>
        <v>2486</v>
      </c>
      <c r="D282" s="562" t="e">
        <f>SUMIFS('Format for Import of DV'!M:M,'Format for Import of DV'!S:S,'Recon of ORS and DV'!B282)</f>
        <v>#VALUE!</v>
      </c>
      <c r="E282" s="276" t="e">
        <f t="shared" si="4"/>
        <v>#VALUE!</v>
      </c>
    </row>
    <row r="283" spans="1:5" hidden="1">
      <c r="A283" s="281" t="s">
        <v>1482</v>
      </c>
      <c r="B283" s="281" t="s">
        <v>2300</v>
      </c>
      <c r="C283" s="562">
        <f>SUMIFS('Format for Import of DV'!J:J,'Format for Import of DV'!C:C,'Recon of ORS and DV'!A283)</f>
        <v>1200</v>
      </c>
      <c r="D283" s="562" t="e">
        <f>SUMIFS('Format for Import of DV'!M:M,'Format for Import of DV'!S:S,'Recon of ORS and DV'!B283)</f>
        <v>#VALUE!</v>
      </c>
      <c r="E283" s="276" t="e">
        <f t="shared" si="4"/>
        <v>#VALUE!</v>
      </c>
    </row>
    <row r="284" spans="1:5" hidden="1">
      <c r="A284" s="281" t="s">
        <v>1484</v>
      </c>
      <c r="B284" s="281" t="s">
        <v>2301</v>
      </c>
      <c r="C284" s="562">
        <f>SUMIFS('Format for Import of DV'!J:J,'Format for Import of DV'!C:C,'Recon of ORS and DV'!A284)</f>
        <v>13034</v>
      </c>
      <c r="D284" s="562" t="e">
        <f>SUMIFS('Format for Import of DV'!M:M,'Format for Import of DV'!S:S,'Recon of ORS and DV'!B284)</f>
        <v>#VALUE!</v>
      </c>
      <c r="E284" s="276" t="e">
        <f t="shared" si="4"/>
        <v>#VALUE!</v>
      </c>
    </row>
    <row r="285" spans="1:5" hidden="1">
      <c r="A285" s="281" t="s">
        <v>1485</v>
      </c>
      <c r="B285" s="281" t="s">
        <v>2302</v>
      </c>
      <c r="C285" s="562">
        <f>SUMIFS('Format for Import of DV'!J:J,'Format for Import of DV'!C:C,'Recon of ORS and DV'!A285)</f>
        <v>21301.64</v>
      </c>
      <c r="D285" s="562" t="e">
        <f>SUMIFS('Format for Import of DV'!M:M,'Format for Import of DV'!S:S,'Recon of ORS and DV'!B285)</f>
        <v>#VALUE!</v>
      </c>
      <c r="E285" s="276" t="e">
        <f t="shared" si="4"/>
        <v>#VALUE!</v>
      </c>
    </row>
    <row r="286" spans="1:5" hidden="1">
      <c r="A286" s="281" t="s">
        <v>1486</v>
      </c>
      <c r="B286" s="281" t="s">
        <v>2303</v>
      </c>
      <c r="C286" s="562">
        <f>SUMIFS('Format for Import of DV'!J:J,'Format for Import of DV'!C:C,'Recon of ORS and DV'!A286)</f>
        <v>1200</v>
      </c>
      <c r="D286" s="562" t="e">
        <f>SUMIFS('Format for Import of DV'!M:M,'Format for Import of DV'!S:S,'Recon of ORS and DV'!B286)</f>
        <v>#VALUE!</v>
      </c>
      <c r="E286" s="276" t="e">
        <f t="shared" si="4"/>
        <v>#VALUE!</v>
      </c>
    </row>
    <row r="287" spans="1:5" hidden="1">
      <c r="A287" s="281" t="s">
        <v>1488</v>
      </c>
      <c r="B287" s="281" t="s">
        <v>2304</v>
      </c>
      <c r="C287" s="562">
        <f>SUMIFS('Format for Import of DV'!J:J,'Format for Import of DV'!C:C,'Recon of ORS and DV'!A287)</f>
        <v>1500</v>
      </c>
      <c r="D287" s="562" t="e">
        <f>SUMIFS('Format for Import of DV'!M:M,'Format for Import of DV'!S:S,'Recon of ORS and DV'!B287)</f>
        <v>#VALUE!</v>
      </c>
      <c r="E287" s="276" t="e">
        <f t="shared" si="4"/>
        <v>#VALUE!</v>
      </c>
    </row>
    <row r="288" spans="1:5" hidden="1">
      <c r="A288" s="281" t="s">
        <v>1490</v>
      </c>
      <c r="B288" s="281" t="s">
        <v>2305</v>
      </c>
      <c r="C288" s="562">
        <f>SUMIFS('Format for Import of DV'!J:J,'Format for Import of DV'!C:C,'Recon of ORS and DV'!A288)</f>
        <v>350</v>
      </c>
      <c r="D288" s="562" t="e">
        <f>SUMIFS('Format for Import of DV'!M:M,'Format for Import of DV'!S:S,'Recon of ORS and DV'!B288)</f>
        <v>#VALUE!</v>
      </c>
      <c r="E288" s="276" t="e">
        <f t="shared" si="4"/>
        <v>#VALUE!</v>
      </c>
    </row>
    <row r="289" spans="1:5" hidden="1">
      <c r="A289" s="281" t="s">
        <v>1492</v>
      </c>
      <c r="B289" s="281" t="s">
        <v>2306</v>
      </c>
      <c r="C289" s="562">
        <f>SUMIFS('Format for Import of DV'!J:J,'Format for Import of DV'!C:C,'Recon of ORS and DV'!A289)</f>
        <v>3800</v>
      </c>
      <c r="D289" s="562" t="e">
        <f>SUMIFS('Format for Import of DV'!M:M,'Format for Import of DV'!S:S,'Recon of ORS and DV'!B289)</f>
        <v>#VALUE!</v>
      </c>
      <c r="E289" s="276" t="e">
        <f t="shared" si="4"/>
        <v>#VALUE!</v>
      </c>
    </row>
    <row r="290" spans="1:5" hidden="1">
      <c r="A290" s="281" t="s">
        <v>1494</v>
      </c>
      <c r="B290" s="281" t="s">
        <v>2307</v>
      </c>
      <c r="C290" s="562">
        <f>SUMIFS('Format for Import of DV'!J:J,'Format for Import of DV'!C:C,'Recon of ORS and DV'!A290)</f>
        <v>31800</v>
      </c>
      <c r="D290" s="562" t="e">
        <f>SUMIFS('Format for Import of DV'!M:M,'Format for Import of DV'!S:S,'Recon of ORS and DV'!B290)</f>
        <v>#VALUE!</v>
      </c>
      <c r="E290" s="276" t="e">
        <f t="shared" si="4"/>
        <v>#VALUE!</v>
      </c>
    </row>
    <row r="291" spans="1:5" hidden="1">
      <c r="A291" s="281" t="s">
        <v>1496</v>
      </c>
      <c r="B291" s="281" t="s">
        <v>2308</v>
      </c>
      <c r="C291" s="562">
        <f>SUMIFS('Format for Import of DV'!J:J,'Format for Import of DV'!C:C,'Recon of ORS and DV'!A291)</f>
        <v>480</v>
      </c>
      <c r="D291" s="562" t="e">
        <f>SUMIFS('Format for Import of DV'!M:M,'Format for Import of DV'!S:S,'Recon of ORS and DV'!B291)</f>
        <v>#VALUE!</v>
      </c>
      <c r="E291" s="276" t="e">
        <f t="shared" si="4"/>
        <v>#VALUE!</v>
      </c>
    </row>
    <row r="292" spans="1:5" hidden="1">
      <c r="A292" s="281" t="s">
        <v>1498</v>
      </c>
      <c r="B292" s="281" t="s">
        <v>2309</v>
      </c>
      <c r="C292" s="562">
        <f>SUMIFS('Format for Import of DV'!J:J,'Format for Import of DV'!C:C,'Recon of ORS and DV'!A292)</f>
        <v>48000</v>
      </c>
      <c r="D292" s="562" t="e">
        <f>SUMIFS('Format for Import of DV'!M:M,'Format for Import of DV'!S:S,'Recon of ORS and DV'!B292)</f>
        <v>#VALUE!</v>
      </c>
      <c r="E292" s="276" t="e">
        <f t="shared" si="4"/>
        <v>#VALUE!</v>
      </c>
    </row>
    <row r="293" spans="1:5" hidden="1">
      <c r="A293" s="281" t="s">
        <v>1501</v>
      </c>
      <c r="B293" s="281" t="s">
        <v>2310</v>
      </c>
      <c r="C293" s="562">
        <f>SUMIFS('Format for Import of DV'!J:J,'Format for Import of DV'!C:C,'Recon of ORS and DV'!A293)</f>
        <v>45808.9</v>
      </c>
      <c r="D293" s="562" t="e">
        <f>SUMIFS('Format for Import of DV'!M:M,'Format for Import of DV'!S:S,'Recon of ORS and DV'!B293)</f>
        <v>#VALUE!</v>
      </c>
      <c r="E293" s="276" t="e">
        <f t="shared" si="4"/>
        <v>#VALUE!</v>
      </c>
    </row>
    <row r="294" spans="1:5" hidden="1">
      <c r="A294" s="281" t="s">
        <v>1503</v>
      </c>
      <c r="B294" s="281" t="s">
        <v>2311</v>
      </c>
      <c r="C294" s="562">
        <f>SUMIFS('Format for Import of DV'!J:J,'Format for Import of DV'!C:C,'Recon of ORS and DV'!A294)</f>
        <v>41497.269999999997</v>
      </c>
      <c r="D294" s="562" t="e">
        <f>SUMIFS('Format for Import of DV'!M:M,'Format for Import of DV'!S:S,'Recon of ORS and DV'!B294)</f>
        <v>#VALUE!</v>
      </c>
      <c r="E294" s="276" t="e">
        <f t="shared" si="4"/>
        <v>#VALUE!</v>
      </c>
    </row>
    <row r="295" spans="1:5" hidden="1">
      <c r="A295" s="281" t="s">
        <v>1505</v>
      </c>
      <c r="B295" s="281" t="s">
        <v>2312</v>
      </c>
      <c r="C295" s="562">
        <f>SUMIFS('Format for Import of DV'!J:J,'Format for Import of DV'!C:C,'Recon of ORS and DV'!A295)</f>
        <v>76000</v>
      </c>
      <c r="D295" s="562" t="e">
        <f>SUMIFS('Format for Import of DV'!M:M,'Format for Import of DV'!S:S,'Recon of ORS and DV'!B295)</f>
        <v>#VALUE!</v>
      </c>
      <c r="E295" s="276" t="e">
        <f t="shared" si="4"/>
        <v>#VALUE!</v>
      </c>
    </row>
    <row r="296" spans="1:5" hidden="1">
      <c r="A296" s="281" t="s">
        <v>1508</v>
      </c>
      <c r="B296" s="281" t="s">
        <v>2313</v>
      </c>
      <c r="C296" s="562">
        <f>SUMIFS('Format for Import of DV'!J:J,'Format for Import of DV'!C:C,'Recon of ORS and DV'!A296)</f>
        <v>2130</v>
      </c>
      <c r="D296" s="562" t="e">
        <f>SUMIFS('Format for Import of DV'!M:M,'Format for Import of DV'!S:S,'Recon of ORS and DV'!B296)</f>
        <v>#VALUE!</v>
      </c>
      <c r="E296" s="276" t="e">
        <f t="shared" si="4"/>
        <v>#VALUE!</v>
      </c>
    </row>
    <row r="297" spans="1:5" hidden="1">
      <c r="A297" s="281" t="s">
        <v>1510</v>
      </c>
      <c r="B297" s="281" t="s">
        <v>2314</v>
      </c>
      <c r="C297" s="562">
        <f>SUMIFS('Format for Import of DV'!J:J,'Format for Import of DV'!C:C,'Recon of ORS and DV'!A297)</f>
        <v>5175</v>
      </c>
      <c r="D297" s="562" t="e">
        <f>SUMIFS('Format for Import of DV'!M:M,'Format for Import of DV'!S:S,'Recon of ORS and DV'!B297)</f>
        <v>#VALUE!</v>
      </c>
      <c r="E297" s="276" t="e">
        <f t="shared" si="4"/>
        <v>#VALUE!</v>
      </c>
    </row>
    <row r="298" spans="1:5" hidden="1">
      <c r="A298" s="281" t="s">
        <v>1513</v>
      </c>
      <c r="B298" s="281" t="s">
        <v>2315</v>
      </c>
      <c r="C298" s="562">
        <f>SUMIFS('Format for Import of DV'!J:J,'Format for Import of DV'!C:C,'Recon of ORS and DV'!A298)</f>
        <v>4200</v>
      </c>
      <c r="D298" s="562" t="e">
        <f>SUMIFS('Format for Import of DV'!M:M,'Format for Import of DV'!S:S,'Recon of ORS and DV'!B298)</f>
        <v>#VALUE!</v>
      </c>
      <c r="E298" s="276" t="e">
        <f t="shared" si="4"/>
        <v>#VALUE!</v>
      </c>
    </row>
    <row r="299" spans="1:5" hidden="1">
      <c r="A299" s="281" t="s">
        <v>1516</v>
      </c>
      <c r="B299" s="281" t="s">
        <v>2316</v>
      </c>
      <c r="C299" s="562">
        <f>SUMIFS('Format for Import of DV'!J:J,'Format for Import of DV'!C:C,'Recon of ORS and DV'!A299)</f>
        <v>2688</v>
      </c>
      <c r="D299" s="562" t="e">
        <f>SUMIFS('Format for Import of DV'!M:M,'Format for Import of DV'!S:S,'Recon of ORS and DV'!B299)</f>
        <v>#VALUE!</v>
      </c>
      <c r="E299" s="276" t="e">
        <f t="shared" si="4"/>
        <v>#VALUE!</v>
      </c>
    </row>
    <row r="300" spans="1:5" hidden="1">
      <c r="A300" s="281" t="s">
        <v>1518</v>
      </c>
      <c r="B300" s="281" t="s">
        <v>2317</v>
      </c>
      <c r="C300" s="562">
        <f>SUMIFS('Format for Import of DV'!J:J,'Format for Import of DV'!C:C,'Recon of ORS and DV'!A300)</f>
        <v>2500</v>
      </c>
      <c r="D300" s="562" t="e">
        <f>SUMIFS('Format for Import of DV'!M:M,'Format for Import of DV'!S:S,'Recon of ORS and DV'!B300)</f>
        <v>#VALUE!</v>
      </c>
      <c r="E300" s="276" t="e">
        <f t="shared" si="4"/>
        <v>#VALUE!</v>
      </c>
    </row>
    <row r="301" spans="1:5" hidden="1">
      <c r="A301" s="281" t="s">
        <v>1520</v>
      </c>
      <c r="B301" s="281" t="s">
        <v>2318</v>
      </c>
      <c r="C301" s="562">
        <f>SUMIFS('Format for Import of DV'!J:J,'Format for Import of DV'!C:C,'Recon of ORS and DV'!A301)</f>
        <v>640</v>
      </c>
      <c r="D301" s="562" t="e">
        <f>SUMIFS('Format for Import of DV'!M:M,'Format for Import of DV'!S:S,'Recon of ORS and DV'!B301)</f>
        <v>#VALUE!</v>
      </c>
      <c r="E301" s="276" t="e">
        <f t="shared" si="4"/>
        <v>#VALUE!</v>
      </c>
    </row>
    <row r="302" spans="1:5" hidden="1">
      <c r="A302" s="281" t="s">
        <v>1522</v>
      </c>
      <c r="B302" s="281" t="s">
        <v>2319</v>
      </c>
      <c r="C302" s="562">
        <f>SUMIFS('Format for Import of DV'!J:J,'Format for Import of DV'!C:C,'Recon of ORS and DV'!A302)</f>
        <v>33180</v>
      </c>
      <c r="D302" s="562" t="e">
        <f>SUMIFS('Format for Import of DV'!M:M,'Format for Import of DV'!S:S,'Recon of ORS and DV'!B302)</f>
        <v>#VALUE!</v>
      </c>
      <c r="E302" s="276" t="e">
        <f t="shared" si="4"/>
        <v>#VALUE!</v>
      </c>
    </row>
    <row r="303" spans="1:5" hidden="1">
      <c r="A303" s="281" t="s">
        <v>1525</v>
      </c>
      <c r="B303" s="281" t="s">
        <v>2320</v>
      </c>
      <c r="C303" s="562">
        <f>SUMIFS('Format for Import of DV'!J:J,'Format for Import of DV'!C:C,'Recon of ORS and DV'!A303)</f>
        <v>4355.8500000000004</v>
      </c>
      <c r="D303" s="562" t="e">
        <f>SUMIFS('Format for Import of DV'!M:M,'Format for Import of DV'!S:S,'Recon of ORS and DV'!B303)</f>
        <v>#VALUE!</v>
      </c>
      <c r="E303" s="276" t="e">
        <f t="shared" si="4"/>
        <v>#VALUE!</v>
      </c>
    </row>
    <row r="304" spans="1:5" hidden="1">
      <c r="A304" s="281" t="s">
        <v>1527</v>
      </c>
      <c r="B304" s="281" t="s">
        <v>2321</v>
      </c>
      <c r="C304" s="562">
        <f>SUMIFS('Format for Import of DV'!J:J,'Format for Import of DV'!C:C,'Recon of ORS and DV'!A304)</f>
        <v>792144.86</v>
      </c>
      <c r="D304" s="562" t="e">
        <f>SUMIFS('Format for Import of DV'!M:M,'Format for Import of DV'!S:S,'Recon of ORS and DV'!B304)</f>
        <v>#VALUE!</v>
      </c>
      <c r="E304" s="276" t="e">
        <f t="shared" si="4"/>
        <v>#VALUE!</v>
      </c>
    </row>
    <row r="305" spans="1:5" hidden="1">
      <c r="A305" s="281" t="s">
        <v>1528</v>
      </c>
      <c r="B305" s="281" t="s">
        <v>2322</v>
      </c>
      <c r="C305" s="562">
        <f>SUMIFS('Format for Import of DV'!J:J,'Format for Import of DV'!C:C,'Recon of ORS and DV'!A305)</f>
        <v>361782.69999999995</v>
      </c>
      <c r="D305" s="562" t="e">
        <f>SUMIFS('Format for Import of DV'!M:M,'Format for Import of DV'!S:S,'Recon of ORS and DV'!B305)</f>
        <v>#VALUE!</v>
      </c>
      <c r="E305" s="276" t="e">
        <f t="shared" si="4"/>
        <v>#VALUE!</v>
      </c>
    </row>
    <row r="306" spans="1:5" hidden="1">
      <c r="A306" s="281" t="s">
        <v>1529</v>
      </c>
      <c r="B306" s="281" t="s">
        <v>2640</v>
      </c>
      <c r="C306" s="562">
        <f>SUMIFS('Format for Import of DV'!J:J,'Format for Import of DV'!C:C,'Recon of ORS and DV'!A306)</f>
        <v>505666.32</v>
      </c>
      <c r="D306" s="563">
        <v>505666.32</v>
      </c>
      <c r="E306" s="276">
        <f t="shared" si="4"/>
        <v>0</v>
      </c>
    </row>
    <row r="307" spans="1:5" hidden="1">
      <c r="A307" s="281" t="s">
        <v>1530</v>
      </c>
      <c r="B307" s="281" t="s">
        <v>2323</v>
      </c>
      <c r="C307" s="562">
        <f>SUMIFS('Format for Import of DV'!J:J,'Format for Import of DV'!C:C,'Recon of ORS and DV'!A307)</f>
        <v>532388.56000000006</v>
      </c>
      <c r="D307" s="562" t="e">
        <f>SUMIFS('Format for Import of DV'!M:M,'Format for Import of DV'!S:S,'Recon of ORS and DV'!B307)</f>
        <v>#VALUE!</v>
      </c>
      <c r="E307" s="276" t="e">
        <f t="shared" si="4"/>
        <v>#VALUE!</v>
      </c>
    </row>
    <row r="308" spans="1:5" hidden="1">
      <c r="A308" s="281" t="s">
        <v>1531</v>
      </c>
      <c r="B308" s="281" t="s">
        <v>2324</v>
      </c>
      <c r="C308" s="562">
        <f>SUMIFS('Format for Import of DV'!J:J,'Format for Import of DV'!C:C,'Recon of ORS and DV'!A308)</f>
        <v>345963.3</v>
      </c>
      <c r="D308" s="562" t="e">
        <f>SUMIFS('Format for Import of DV'!M:M,'Format for Import of DV'!S:S,'Recon of ORS and DV'!B308)</f>
        <v>#VALUE!</v>
      </c>
      <c r="E308" s="276" t="e">
        <f t="shared" si="4"/>
        <v>#VALUE!</v>
      </c>
    </row>
    <row r="309" spans="1:5" hidden="1">
      <c r="A309" s="281" t="s">
        <v>1534</v>
      </c>
      <c r="B309" s="281" t="s">
        <v>2325</v>
      </c>
      <c r="C309" s="562">
        <f>SUMIFS('Format for Import of DV'!J:J,'Format for Import of DV'!C:C,'Recon of ORS and DV'!A309)</f>
        <v>900000</v>
      </c>
      <c r="D309" s="562" t="e">
        <f>SUMIFS('Format for Import of DV'!M:M,'Format for Import of DV'!S:S,'Recon of ORS and DV'!B309)</f>
        <v>#VALUE!</v>
      </c>
      <c r="E309" s="276" t="e">
        <f t="shared" si="4"/>
        <v>#VALUE!</v>
      </c>
    </row>
    <row r="310" spans="1:5" hidden="1">
      <c r="A310" s="281" t="s">
        <v>1536</v>
      </c>
      <c r="B310" s="281" t="s">
        <v>2326</v>
      </c>
      <c r="C310" s="562">
        <f>SUMIFS('Format for Import of DV'!J:J,'Format for Import of DV'!C:C,'Recon of ORS and DV'!A310)</f>
        <v>345500</v>
      </c>
      <c r="D310" s="562" t="e">
        <f>SUMIFS('Format for Import of DV'!M:M,'Format for Import of DV'!S:S,'Recon of ORS and DV'!B310)</f>
        <v>#VALUE!</v>
      </c>
      <c r="E310" s="276" t="e">
        <f t="shared" si="4"/>
        <v>#VALUE!</v>
      </c>
    </row>
    <row r="311" spans="1:5" hidden="1">
      <c r="A311" s="281" t="s">
        <v>1541</v>
      </c>
      <c r="B311" s="281" t="s">
        <v>2327</v>
      </c>
      <c r="C311" s="562">
        <f>SUMIFS('Format for Import of DV'!J:J,'Format for Import of DV'!C:C,'Recon of ORS and DV'!A311)</f>
        <v>466200</v>
      </c>
      <c r="D311" s="562" t="e">
        <f>SUMIFS('Format for Import of DV'!M:M,'Format for Import of DV'!S:S,'Recon of ORS and DV'!B311)</f>
        <v>#VALUE!</v>
      </c>
      <c r="E311" s="276" t="e">
        <f t="shared" si="4"/>
        <v>#VALUE!</v>
      </c>
    </row>
    <row r="312" spans="1:5" hidden="1">
      <c r="A312" s="281" t="s">
        <v>1542</v>
      </c>
      <c r="B312" s="281" t="s">
        <v>2328</v>
      </c>
      <c r="C312" s="562">
        <f>SUMIFS('Format for Import of DV'!J:J,'Format for Import of DV'!C:C,'Recon of ORS and DV'!A312)</f>
        <v>205000</v>
      </c>
      <c r="D312" s="562" t="e">
        <f>SUMIFS('Format for Import of DV'!M:M,'Format for Import of DV'!S:S,'Recon of ORS and DV'!B312)</f>
        <v>#VALUE!</v>
      </c>
      <c r="E312" s="276" t="e">
        <f t="shared" si="4"/>
        <v>#VALUE!</v>
      </c>
    </row>
    <row r="313" spans="1:5" hidden="1">
      <c r="A313" s="281" t="s">
        <v>1544</v>
      </c>
      <c r="B313" s="281" t="s">
        <v>2329</v>
      </c>
      <c r="C313" s="562">
        <f>SUMIFS('Format for Import of DV'!J:J,'Format for Import of DV'!C:C,'Recon of ORS and DV'!A313)</f>
        <v>455476.19</v>
      </c>
      <c r="D313" s="562" t="e">
        <f>SUMIFS('Format for Import of DV'!M:M,'Format for Import of DV'!S:S,'Recon of ORS and DV'!B313)</f>
        <v>#VALUE!</v>
      </c>
      <c r="E313" s="276" t="e">
        <f t="shared" si="4"/>
        <v>#VALUE!</v>
      </c>
    </row>
    <row r="314" spans="1:5" hidden="1">
      <c r="A314" s="281" t="s">
        <v>1546</v>
      </c>
      <c r="B314" s="281" t="s">
        <v>2330</v>
      </c>
      <c r="C314" s="562">
        <f>SUMIFS('Format for Import of DV'!J:J,'Format for Import of DV'!C:C,'Recon of ORS and DV'!A314)</f>
        <v>284121.43</v>
      </c>
      <c r="D314" s="562" t="e">
        <f>SUMIFS('Format for Import of DV'!M:M,'Format for Import of DV'!S:S,'Recon of ORS and DV'!B314)</f>
        <v>#VALUE!</v>
      </c>
      <c r="E314" s="276" t="e">
        <f t="shared" si="4"/>
        <v>#VALUE!</v>
      </c>
    </row>
    <row r="315" spans="1:5" hidden="1">
      <c r="A315" s="281" t="s">
        <v>1547</v>
      </c>
      <c r="B315" s="281" t="s">
        <v>2331</v>
      </c>
      <c r="C315" s="562">
        <f>SUMIFS('Format for Import of DV'!J:J,'Format for Import of DV'!C:C,'Recon of ORS and DV'!A315)</f>
        <v>241007.14</v>
      </c>
      <c r="D315" s="562" t="e">
        <f>SUMIFS('Format for Import of DV'!M:M,'Format for Import of DV'!S:S,'Recon of ORS and DV'!B315)</f>
        <v>#VALUE!</v>
      </c>
      <c r="E315" s="276" t="e">
        <f t="shared" si="4"/>
        <v>#VALUE!</v>
      </c>
    </row>
    <row r="316" spans="1:5" hidden="1">
      <c r="A316" s="281" t="s">
        <v>1548</v>
      </c>
      <c r="B316" s="281" t="s">
        <v>2332</v>
      </c>
      <c r="C316" s="562">
        <f>SUMIFS('Format for Import of DV'!J:J,'Format for Import of DV'!C:C,'Recon of ORS and DV'!A316)</f>
        <v>321342.84999999998</v>
      </c>
      <c r="D316" s="562" t="e">
        <f>SUMIFS('Format for Import of DV'!M:M,'Format for Import of DV'!S:S,'Recon of ORS and DV'!B316)</f>
        <v>#VALUE!</v>
      </c>
      <c r="E316" s="276" t="e">
        <f t="shared" si="4"/>
        <v>#VALUE!</v>
      </c>
    </row>
    <row r="317" spans="1:5" hidden="1">
      <c r="A317" s="281" t="s">
        <v>1549</v>
      </c>
      <c r="B317" s="281" t="s">
        <v>2333</v>
      </c>
      <c r="C317" s="562">
        <f>SUMIFS('Format for Import of DV'!J:J,'Format for Import of DV'!C:C,'Recon of ORS and DV'!A317)</f>
        <v>14120</v>
      </c>
      <c r="D317" s="562" t="e">
        <f>SUMIFS('Format for Import of DV'!M:M,'Format for Import of DV'!S:S,'Recon of ORS and DV'!B317)</f>
        <v>#VALUE!</v>
      </c>
      <c r="E317" s="276" t="e">
        <f t="shared" si="4"/>
        <v>#VALUE!</v>
      </c>
    </row>
    <row r="318" spans="1:5" hidden="1">
      <c r="A318" s="281" t="s">
        <v>1550</v>
      </c>
      <c r="B318" s="281" t="s">
        <v>2334</v>
      </c>
      <c r="C318" s="562">
        <f>SUMIFS('Format for Import of DV'!J:J,'Format for Import of DV'!C:C,'Recon of ORS and DV'!A318)</f>
        <v>43786.5</v>
      </c>
      <c r="D318" s="562" t="e">
        <f>SUMIFS('Format for Import of DV'!M:M,'Format for Import of DV'!S:S,'Recon of ORS and DV'!B318)</f>
        <v>#VALUE!</v>
      </c>
      <c r="E318" s="276" t="e">
        <f t="shared" si="4"/>
        <v>#VALUE!</v>
      </c>
    </row>
    <row r="319" spans="1:5" hidden="1">
      <c r="A319" s="281" t="s">
        <v>1552</v>
      </c>
      <c r="B319" s="281" t="s">
        <v>2335</v>
      </c>
      <c r="C319" s="562">
        <f>SUMIFS('Format for Import of DV'!J:J,'Format for Import of DV'!C:C,'Recon of ORS and DV'!A319)</f>
        <v>1200</v>
      </c>
      <c r="D319" s="562" t="e">
        <f>SUMIFS('Format for Import of DV'!M:M,'Format for Import of DV'!S:S,'Recon of ORS and DV'!B319)</f>
        <v>#VALUE!</v>
      </c>
      <c r="E319" s="276" t="e">
        <f t="shared" si="4"/>
        <v>#VALUE!</v>
      </c>
    </row>
    <row r="320" spans="1:5" hidden="1">
      <c r="A320" s="281" t="s">
        <v>1554</v>
      </c>
      <c r="B320" s="281" t="s">
        <v>2336</v>
      </c>
      <c r="C320" s="562">
        <f>SUMIFS('Format for Import of DV'!J:J,'Format for Import of DV'!C:C,'Recon of ORS and DV'!A320)</f>
        <v>550000</v>
      </c>
      <c r="D320" s="562" t="e">
        <f>SUMIFS('Format for Import of DV'!M:M,'Format for Import of DV'!S:S,'Recon of ORS and DV'!B320)</f>
        <v>#VALUE!</v>
      </c>
      <c r="E320" s="276" t="e">
        <f t="shared" si="4"/>
        <v>#VALUE!</v>
      </c>
    </row>
    <row r="321" spans="1:5" hidden="1">
      <c r="A321" s="281" t="s">
        <v>1557</v>
      </c>
      <c r="B321" s="281" t="s">
        <v>2337</v>
      </c>
      <c r="C321" s="562">
        <f>SUMIFS('Format for Import of DV'!J:J,'Format for Import of DV'!C:C,'Recon of ORS and DV'!A321)</f>
        <v>550000</v>
      </c>
      <c r="D321" s="562" t="e">
        <f>SUMIFS('Format for Import of DV'!M:M,'Format for Import of DV'!S:S,'Recon of ORS and DV'!B321)</f>
        <v>#VALUE!</v>
      </c>
      <c r="E321" s="276" t="e">
        <f t="shared" si="4"/>
        <v>#VALUE!</v>
      </c>
    </row>
    <row r="322" spans="1:5" hidden="1">
      <c r="A322" s="281" t="s">
        <v>1558</v>
      </c>
      <c r="B322" s="281" t="s">
        <v>2338</v>
      </c>
      <c r="C322" s="562">
        <f>SUMIFS('Format for Import of DV'!J:J,'Format for Import of DV'!C:C,'Recon of ORS and DV'!A322)</f>
        <v>600000</v>
      </c>
      <c r="D322" s="562" t="e">
        <f>SUMIFS('Format for Import of DV'!M:M,'Format for Import of DV'!S:S,'Recon of ORS and DV'!B322)</f>
        <v>#VALUE!</v>
      </c>
      <c r="E322" s="276" t="e">
        <f t="shared" si="4"/>
        <v>#VALUE!</v>
      </c>
    </row>
    <row r="323" spans="1:5" hidden="1">
      <c r="A323" s="281" t="s">
        <v>1559</v>
      </c>
      <c r="B323" s="281" t="s">
        <v>2339</v>
      </c>
      <c r="C323" s="562">
        <f>SUMIFS('Format for Import of DV'!J:J,'Format for Import of DV'!C:C,'Recon of ORS and DV'!A323)</f>
        <v>550000</v>
      </c>
      <c r="D323" s="562" t="e">
        <f>SUMIFS('Format for Import of DV'!M:M,'Format for Import of DV'!S:S,'Recon of ORS and DV'!B323)</f>
        <v>#VALUE!</v>
      </c>
      <c r="E323" s="276" t="e">
        <f t="shared" si="4"/>
        <v>#VALUE!</v>
      </c>
    </row>
    <row r="324" spans="1:5" hidden="1">
      <c r="A324" s="281" t="s">
        <v>1560</v>
      </c>
      <c r="B324" s="281" t="s">
        <v>2340</v>
      </c>
      <c r="C324" s="562">
        <f>SUMIFS('Format for Import of DV'!J:J,'Format for Import of DV'!C:C,'Recon of ORS and DV'!A324)</f>
        <v>550000</v>
      </c>
      <c r="D324" s="562" t="e">
        <f>SUMIFS('Format for Import of DV'!M:M,'Format for Import of DV'!S:S,'Recon of ORS and DV'!B324)</f>
        <v>#VALUE!</v>
      </c>
      <c r="E324" s="276" t="e">
        <f t="shared" si="4"/>
        <v>#VALUE!</v>
      </c>
    </row>
    <row r="325" spans="1:5" hidden="1">
      <c r="A325" s="281" t="s">
        <v>1561</v>
      </c>
      <c r="B325" s="281" t="s">
        <v>2341</v>
      </c>
      <c r="C325" s="562">
        <f>SUMIFS('Format for Import of DV'!J:J,'Format for Import of DV'!C:C,'Recon of ORS and DV'!A325)</f>
        <v>20000</v>
      </c>
      <c r="D325" s="562" t="e">
        <f>SUMIFS('Format for Import of DV'!M:M,'Format for Import of DV'!S:S,'Recon of ORS and DV'!B325)</f>
        <v>#VALUE!</v>
      </c>
      <c r="E325" s="276" t="e">
        <f t="shared" ref="E325:E358" si="5">C325-D325</f>
        <v>#VALUE!</v>
      </c>
    </row>
    <row r="326" spans="1:5" hidden="1">
      <c r="A326" s="281" t="s">
        <v>1564</v>
      </c>
      <c r="B326" s="281"/>
      <c r="C326" s="562">
        <f>SUMIFS('Format for Import of DV'!J:J,'Format for Import of DV'!C:C,'Recon of ORS and DV'!A326)</f>
        <v>0</v>
      </c>
      <c r="D326" s="562" t="e">
        <f>SUMIFS('Format for Import of DV'!M:M,'Format for Import of DV'!S:S,'Recon of ORS and DV'!B326)</f>
        <v>#VALUE!</v>
      </c>
      <c r="E326" s="276" t="e">
        <f t="shared" si="5"/>
        <v>#VALUE!</v>
      </c>
    </row>
    <row r="327" spans="1:5" hidden="1">
      <c r="A327" s="281" t="s">
        <v>1567</v>
      </c>
      <c r="B327" s="281" t="s">
        <v>2342</v>
      </c>
      <c r="C327" s="562">
        <f>SUMIFS('Format for Import of DV'!J:J,'Format for Import of DV'!C:C,'Recon of ORS and DV'!A327)</f>
        <v>101505.45</v>
      </c>
      <c r="D327" s="562" t="e">
        <f>SUMIFS('Format for Import of DV'!M:M,'Format for Import of DV'!S:S,'Recon of ORS and DV'!B327)</f>
        <v>#VALUE!</v>
      </c>
      <c r="E327" s="276" t="e">
        <f t="shared" si="5"/>
        <v>#VALUE!</v>
      </c>
    </row>
    <row r="328" spans="1:5" hidden="1">
      <c r="A328" s="281" t="s">
        <v>1569</v>
      </c>
      <c r="B328" s="281" t="s">
        <v>2343</v>
      </c>
      <c r="C328" s="562">
        <f>SUMIFS('Format for Import of DV'!J:J,'Format for Import of DV'!C:C,'Recon of ORS and DV'!A328)</f>
        <v>13034</v>
      </c>
      <c r="D328" s="562" t="e">
        <f>SUMIFS('Format for Import of DV'!M:M,'Format for Import of DV'!S:S,'Recon of ORS and DV'!B328)</f>
        <v>#VALUE!</v>
      </c>
      <c r="E328" s="276" t="e">
        <f t="shared" si="5"/>
        <v>#VALUE!</v>
      </c>
    </row>
    <row r="329" spans="1:5" hidden="1">
      <c r="A329" s="281" t="s">
        <v>1571</v>
      </c>
      <c r="B329" s="281" t="s">
        <v>2344</v>
      </c>
      <c r="C329" s="562">
        <f>SUMIFS('Format for Import of DV'!J:J,'Format for Import of DV'!C:C,'Recon of ORS and DV'!A329)</f>
        <v>6850</v>
      </c>
      <c r="D329" s="562" t="e">
        <f>SUMIFS('Format for Import of DV'!M:M,'Format for Import of DV'!S:S,'Recon of ORS and DV'!B329)</f>
        <v>#VALUE!</v>
      </c>
      <c r="E329" s="276" t="e">
        <f t="shared" si="5"/>
        <v>#VALUE!</v>
      </c>
    </row>
    <row r="330" spans="1:5" hidden="1">
      <c r="A330" s="281" t="s">
        <v>1574</v>
      </c>
      <c r="B330" s="281" t="s">
        <v>2345</v>
      </c>
      <c r="C330" s="562">
        <f>SUMIFS('Format for Import of DV'!J:J,'Format for Import of DV'!C:C,'Recon of ORS and DV'!A330)</f>
        <v>2500</v>
      </c>
      <c r="D330" s="562" t="e">
        <f>SUMIFS('Format for Import of DV'!M:M,'Format for Import of DV'!S:S,'Recon of ORS and DV'!B330)</f>
        <v>#VALUE!</v>
      </c>
      <c r="E330" s="276" t="e">
        <f t="shared" si="5"/>
        <v>#VALUE!</v>
      </c>
    </row>
    <row r="331" spans="1:5" hidden="1">
      <c r="A331" s="281" t="s">
        <v>1576</v>
      </c>
      <c r="B331" s="281" t="s">
        <v>2346</v>
      </c>
      <c r="C331" s="562">
        <f>SUMIFS('Format for Import of DV'!J:J,'Format for Import of DV'!C:C,'Recon of ORS and DV'!A331)</f>
        <v>2511.36</v>
      </c>
      <c r="D331" s="562" t="e">
        <f>SUMIFS('Format for Import of DV'!M:M,'Format for Import of DV'!S:S,'Recon of ORS and DV'!B331)</f>
        <v>#VALUE!</v>
      </c>
      <c r="E331" s="276" t="e">
        <f t="shared" si="5"/>
        <v>#VALUE!</v>
      </c>
    </row>
    <row r="332" spans="1:5" hidden="1">
      <c r="A332" s="281" t="s">
        <v>1579</v>
      </c>
      <c r="B332" s="281" t="s">
        <v>2347</v>
      </c>
      <c r="C332" s="562">
        <f>SUMIFS('Format for Import of DV'!J:J,'Format for Import of DV'!C:C,'Recon of ORS and DV'!A332)</f>
        <v>10000</v>
      </c>
      <c r="D332" s="562" t="e">
        <f>SUMIFS('Format for Import of DV'!M:M,'Format for Import of DV'!S:S,'Recon of ORS and DV'!B332)</f>
        <v>#VALUE!</v>
      </c>
      <c r="E332" s="276" t="e">
        <f t="shared" si="5"/>
        <v>#VALUE!</v>
      </c>
    </row>
    <row r="333" spans="1:5" hidden="1">
      <c r="A333" s="281" t="s">
        <v>1580</v>
      </c>
      <c r="B333" s="281" t="s">
        <v>2348</v>
      </c>
      <c r="C333" s="562">
        <f>SUMIFS('Format for Import of DV'!J:J,'Format for Import of DV'!C:C,'Recon of ORS and DV'!A333)</f>
        <v>170501.47</v>
      </c>
      <c r="D333" s="562" t="e">
        <f>SUMIFS('Format for Import of DV'!M:M,'Format for Import of DV'!S:S,'Recon of ORS and DV'!B333)</f>
        <v>#VALUE!</v>
      </c>
      <c r="E333" s="276" t="e">
        <f t="shared" si="5"/>
        <v>#VALUE!</v>
      </c>
    </row>
    <row r="334" spans="1:5" hidden="1">
      <c r="A334" s="281" t="s">
        <v>1582</v>
      </c>
      <c r="B334" s="281" t="s">
        <v>2349</v>
      </c>
      <c r="C334" s="562">
        <f>SUMIFS('Format for Import of DV'!J:J,'Format for Import of DV'!C:C,'Recon of ORS and DV'!A334)</f>
        <v>7712.46</v>
      </c>
      <c r="D334" s="562" t="e">
        <f>SUMIFS('Format for Import of DV'!M:M,'Format for Import of DV'!S:S,'Recon of ORS and DV'!B334)</f>
        <v>#VALUE!</v>
      </c>
      <c r="E334" s="276" t="e">
        <f t="shared" si="5"/>
        <v>#VALUE!</v>
      </c>
    </row>
    <row r="335" spans="1:5" hidden="1">
      <c r="A335" s="281" t="s">
        <v>1584</v>
      </c>
      <c r="B335" s="281" t="s">
        <v>2350</v>
      </c>
      <c r="C335" s="562">
        <f>SUMIFS('Format for Import of DV'!J:J,'Format for Import of DV'!C:C,'Recon of ORS and DV'!A335)</f>
        <v>9559.2900000000009</v>
      </c>
      <c r="D335" s="562" t="e">
        <f>SUMIFS('Format for Import of DV'!M:M,'Format for Import of DV'!S:S,'Recon of ORS and DV'!B335)</f>
        <v>#VALUE!</v>
      </c>
      <c r="E335" s="276" t="e">
        <f t="shared" si="5"/>
        <v>#VALUE!</v>
      </c>
    </row>
    <row r="336" spans="1:5" hidden="1">
      <c r="A336" s="281" t="s">
        <v>1586</v>
      </c>
      <c r="B336" s="281" t="s">
        <v>2351</v>
      </c>
      <c r="C336" s="562">
        <f>SUMIFS('Format for Import of DV'!J:J,'Format for Import of DV'!C:C,'Recon of ORS and DV'!A336)</f>
        <v>51050</v>
      </c>
      <c r="D336" s="562" t="e">
        <f>SUMIFS('Format for Import of DV'!M:M,'Format for Import of DV'!S:S,'Recon of ORS and DV'!B336)</f>
        <v>#VALUE!</v>
      </c>
      <c r="E336" s="276" t="e">
        <f t="shared" si="5"/>
        <v>#VALUE!</v>
      </c>
    </row>
    <row r="337" spans="1:5" hidden="1">
      <c r="A337" s="281" t="s">
        <v>1588</v>
      </c>
      <c r="B337" s="281" t="s">
        <v>2352</v>
      </c>
      <c r="C337" s="562">
        <f>SUMIFS('Format for Import of DV'!J:J,'Format for Import of DV'!C:C,'Recon of ORS and DV'!A337)</f>
        <v>100000</v>
      </c>
      <c r="D337" s="562" t="e">
        <f>SUMIFS('Format for Import of DV'!M:M,'Format for Import of DV'!S:S,'Recon of ORS and DV'!B337)</f>
        <v>#VALUE!</v>
      </c>
      <c r="E337" s="276" t="e">
        <f t="shared" si="5"/>
        <v>#VALUE!</v>
      </c>
    </row>
    <row r="338" spans="1:5" hidden="1">
      <c r="A338" s="281" t="s">
        <v>1589</v>
      </c>
      <c r="B338" s="281" t="s">
        <v>2353</v>
      </c>
      <c r="C338" s="562">
        <f>SUMIFS('Format for Import of DV'!J:J,'Format for Import of DV'!C:C,'Recon of ORS and DV'!A338)</f>
        <v>99030</v>
      </c>
      <c r="D338" s="562" t="e">
        <f>SUMIFS('Format for Import of DV'!M:M,'Format for Import of DV'!S:S,'Recon of ORS and DV'!B338)</f>
        <v>#VALUE!</v>
      </c>
      <c r="E338" s="276" t="e">
        <f t="shared" si="5"/>
        <v>#VALUE!</v>
      </c>
    </row>
    <row r="339" spans="1:5" hidden="1">
      <c r="A339" s="281" t="s">
        <v>1591</v>
      </c>
      <c r="B339" s="281" t="s">
        <v>2354</v>
      </c>
      <c r="C339" s="562">
        <f>SUMIFS('Format for Import of DV'!J:J,'Format for Import of DV'!C:C,'Recon of ORS and DV'!A339)</f>
        <v>10250</v>
      </c>
      <c r="D339" s="562" t="e">
        <f>SUMIFS('Format for Import of DV'!M:M,'Format for Import of DV'!S:S,'Recon of ORS and DV'!B339)</f>
        <v>#VALUE!</v>
      </c>
      <c r="E339" s="276" t="e">
        <f t="shared" si="5"/>
        <v>#VALUE!</v>
      </c>
    </row>
    <row r="340" spans="1:5" hidden="1">
      <c r="A340" s="281" t="s">
        <v>1592</v>
      </c>
      <c r="B340" s="281" t="s">
        <v>2355</v>
      </c>
      <c r="C340" s="562">
        <f>SUMIFS('Format for Import of DV'!J:J,'Format for Import of DV'!C:C,'Recon of ORS and DV'!A340)</f>
        <v>11455.25</v>
      </c>
      <c r="D340" s="562" t="e">
        <f>SUMIFS('Format for Import of DV'!M:M,'Format for Import of DV'!S:S,'Recon of ORS and DV'!B340)</f>
        <v>#VALUE!</v>
      </c>
      <c r="E340" s="276" t="e">
        <f t="shared" si="5"/>
        <v>#VALUE!</v>
      </c>
    </row>
    <row r="341" spans="1:5" hidden="1">
      <c r="A341" s="281" t="s">
        <v>1594</v>
      </c>
      <c r="B341" s="281" t="s">
        <v>2356</v>
      </c>
      <c r="C341" s="562">
        <f>SUMIFS('Format for Import of DV'!J:J,'Format for Import of DV'!C:C,'Recon of ORS and DV'!A341)</f>
        <v>8164.75</v>
      </c>
      <c r="D341" s="562" t="e">
        <f>SUMIFS('Format for Import of DV'!M:M,'Format for Import of DV'!S:S,'Recon of ORS and DV'!B341)</f>
        <v>#VALUE!</v>
      </c>
      <c r="E341" s="276" t="e">
        <f t="shared" si="5"/>
        <v>#VALUE!</v>
      </c>
    </row>
    <row r="342" spans="1:5" hidden="1">
      <c r="A342" s="281" t="s">
        <v>1596</v>
      </c>
      <c r="B342" s="281" t="s">
        <v>2357</v>
      </c>
      <c r="C342" s="562">
        <f>SUMIFS('Format for Import of DV'!J:J,'Format for Import of DV'!C:C,'Recon of ORS and DV'!A342)</f>
        <v>22316</v>
      </c>
      <c r="D342" s="562" t="e">
        <f>SUMIFS('Format for Import of DV'!M:M,'Format for Import of DV'!S:S,'Recon of ORS and DV'!B342)</f>
        <v>#VALUE!</v>
      </c>
      <c r="E342" s="276" t="e">
        <f t="shared" si="5"/>
        <v>#VALUE!</v>
      </c>
    </row>
    <row r="343" spans="1:5" hidden="1">
      <c r="A343" s="281" t="s">
        <v>1598</v>
      </c>
      <c r="B343" s="281" t="s">
        <v>2358</v>
      </c>
      <c r="C343" s="562">
        <f>SUMIFS('Format for Import of DV'!J:J,'Format for Import of DV'!C:C,'Recon of ORS and DV'!A343)</f>
        <v>256101</v>
      </c>
      <c r="D343" s="562" t="e">
        <f>SUMIFS('Format for Import of DV'!M:M,'Format for Import of DV'!S:S,'Recon of ORS and DV'!B343)</f>
        <v>#VALUE!</v>
      </c>
      <c r="E343" s="276" t="e">
        <f t="shared" si="5"/>
        <v>#VALUE!</v>
      </c>
    </row>
    <row r="344" spans="1:5" hidden="1">
      <c r="A344" s="281" t="s">
        <v>1599</v>
      </c>
      <c r="B344" s="281" t="s">
        <v>2359</v>
      </c>
      <c r="C344" s="562">
        <f>SUMIFS('Format for Import of DV'!J:J,'Format for Import of DV'!C:C,'Recon of ORS and DV'!A344)</f>
        <v>184464</v>
      </c>
      <c r="D344" s="562" t="e">
        <f>SUMIFS('Format for Import of DV'!M:M,'Format for Import of DV'!S:S,'Recon of ORS and DV'!B344)</f>
        <v>#VALUE!</v>
      </c>
      <c r="E344" s="276" t="e">
        <f t="shared" si="5"/>
        <v>#VALUE!</v>
      </c>
    </row>
    <row r="345" spans="1:5" hidden="1">
      <c r="A345" s="281" t="s">
        <v>1601</v>
      </c>
      <c r="B345" s="281" t="s">
        <v>2360</v>
      </c>
      <c r="C345" s="562">
        <f>SUMIFS('Format for Import of DV'!J:J,'Format for Import of DV'!C:C,'Recon of ORS and DV'!A345)</f>
        <v>1464950</v>
      </c>
      <c r="D345" s="562" t="e">
        <f>SUMIFS('Format for Import of DV'!M:M,'Format for Import of DV'!S:S,'Recon of ORS and DV'!B345)</f>
        <v>#VALUE!</v>
      </c>
      <c r="E345" s="276" t="e">
        <f t="shared" si="5"/>
        <v>#VALUE!</v>
      </c>
    </row>
    <row r="346" spans="1:5" hidden="1">
      <c r="A346" s="281" t="s">
        <v>1603</v>
      </c>
      <c r="B346" s="281" t="s">
        <v>2361</v>
      </c>
      <c r="C346" s="562">
        <f>SUMIFS('Format for Import of DV'!J:J,'Format for Import of DV'!C:C,'Recon of ORS and DV'!A346)</f>
        <v>1266031.21</v>
      </c>
      <c r="D346" s="562" t="e">
        <f>SUMIFS('Format for Import of DV'!M:M,'Format for Import of DV'!S:S,'Recon of ORS and DV'!B346)</f>
        <v>#VALUE!</v>
      </c>
      <c r="E346" s="276" t="e">
        <f t="shared" si="5"/>
        <v>#VALUE!</v>
      </c>
    </row>
    <row r="347" spans="1:5" hidden="1">
      <c r="A347" s="281" t="s">
        <v>1604</v>
      </c>
      <c r="B347" s="281" t="s">
        <v>2362</v>
      </c>
      <c r="C347" s="562">
        <f>SUMIFS('Format for Import of DV'!J:J,'Format for Import of DV'!C:C,'Recon of ORS and DV'!A347)</f>
        <v>348243.76</v>
      </c>
      <c r="D347" s="562" t="e">
        <f>SUMIFS('Format for Import of DV'!M:M,'Format for Import of DV'!S:S,'Recon of ORS and DV'!B347)</f>
        <v>#VALUE!</v>
      </c>
      <c r="E347" s="276" t="e">
        <f t="shared" si="5"/>
        <v>#VALUE!</v>
      </c>
    </row>
    <row r="348" spans="1:5" hidden="1">
      <c r="A348" s="281" t="s">
        <v>1606</v>
      </c>
      <c r="B348" s="281" t="s">
        <v>2363</v>
      </c>
      <c r="C348" s="562">
        <f>SUMIFS('Format for Import of DV'!J:J,'Format for Import of DV'!C:C,'Recon of ORS and DV'!A348)</f>
        <v>333817.76</v>
      </c>
      <c r="D348" s="562" t="e">
        <f>SUMIFS('Format for Import of DV'!M:M,'Format for Import of DV'!S:S,'Recon of ORS and DV'!B348)</f>
        <v>#VALUE!</v>
      </c>
      <c r="E348" s="276" t="e">
        <f t="shared" si="5"/>
        <v>#VALUE!</v>
      </c>
    </row>
    <row r="349" spans="1:5" hidden="1">
      <c r="A349" s="281" t="s">
        <v>1607</v>
      </c>
      <c r="B349" s="281" t="s">
        <v>2364</v>
      </c>
      <c r="C349" s="562">
        <f>SUMIFS('Format for Import of DV'!J:J,'Format for Import of DV'!C:C,'Recon of ORS and DV'!A349)</f>
        <v>348243.76</v>
      </c>
      <c r="D349" s="562" t="e">
        <f>SUMIFS('Format for Import of DV'!M:M,'Format for Import of DV'!S:S,'Recon of ORS and DV'!B349)</f>
        <v>#VALUE!</v>
      </c>
      <c r="E349" s="276" t="e">
        <f t="shared" si="5"/>
        <v>#VALUE!</v>
      </c>
    </row>
    <row r="350" spans="1:5" hidden="1">
      <c r="A350" s="281" t="s">
        <v>1608</v>
      </c>
      <c r="B350" s="281" t="s">
        <v>2365</v>
      </c>
      <c r="C350" s="562">
        <f>SUMIFS('Format for Import of DV'!J:J,'Format for Import of DV'!C:C,'Recon of ORS and DV'!A350)</f>
        <v>760350</v>
      </c>
      <c r="D350" s="562" t="e">
        <f>SUMIFS('Format for Import of DV'!M:M,'Format for Import of DV'!S:S,'Recon of ORS and DV'!B350)</f>
        <v>#VALUE!</v>
      </c>
      <c r="E350" s="276" t="e">
        <f t="shared" si="5"/>
        <v>#VALUE!</v>
      </c>
    </row>
    <row r="351" spans="1:5" hidden="1">
      <c r="A351" s="281" t="s">
        <v>1609</v>
      </c>
      <c r="B351" s="281" t="s">
        <v>2366</v>
      </c>
      <c r="C351" s="562">
        <f>SUMIFS('Format for Import of DV'!J:J,'Format for Import of DV'!C:C,'Recon of ORS and DV'!A351)</f>
        <v>194400</v>
      </c>
      <c r="D351" s="562" t="e">
        <f>SUMIFS('Format for Import of DV'!M:M,'Format for Import of DV'!S:S,'Recon of ORS and DV'!B351)</f>
        <v>#VALUE!</v>
      </c>
      <c r="E351" s="276" t="e">
        <f t="shared" si="5"/>
        <v>#VALUE!</v>
      </c>
    </row>
    <row r="352" spans="1:5" hidden="1">
      <c r="A352" s="281" t="s">
        <v>1611</v>
      </c>
      <c r="B352" s="281" t="s">
        <v>2367</v>
      </c>
      <c r="C352" s="562">
        <f>SUMIFS('Format for Import of DV'!J:J,'Format for Import of DV'!C:C,'Recon of ORS and DV'!A352)</f>
        <v>194400</v>
      </c>
      <c r="D352" s="562" t="e">
        <f>SUMIFS('Format for Import of DV'!M:M,'Format for Import of DV'!S:S,'Recon of ORS and DV'!B352)</f>
        <v>#VALUE!</v>
      </c>
      <c r="E352" s="276" t="e">
        <f t="shared" si="5"/>
        <v>#VALUE!</v>
      </c>
    </row>
    <row r="353" spans="1:5" hidden="1">
      <c r="A353" s="281" t="s">
        <v>1612</v>
      </c>
      <c r="B353" s="281" t="s">
        <v>2368</v>
      </c>
      <c r="C353" s="562">
        <f>SUMIFS('Format for Import of DV'!J:J,'Format for Import of DV'!C:C,'Recon of ORS and DV'!A353)</f>
        <v>194400</v>
      </c>
      <c r="D353" s="562" t="e">
        <f>SUMIFS('Format for Import of DV'!M:M,'Format for Import of DV'!S:S,'Recon of ORS and DV'!B353)</f>
        <v>#VALUE!</v>
      </c>
      <c r="E353" s="276" t="e">
        <f t="shared" si="5"/>
        <v>#VALUE!</v>
      </c>
    </row>
    <row r="354" spans="1:5" hidden="1">
      <c r="A354" s="281" t="s">
        <v>1614</v>
      </c>
      <c r="B354" s="281" t="s">
        <v>2369</v>
      </c>
      <c r="C354" s="562">
        <f>SUMIFS('Format for Import of DV'!J:J,'Format for Import of DV'!C:C,'Recon of ORS and DV'!A354)</f>
        <v>640000</v>
      </c>
      <c r="D354" s="562" t="e">
        <f>SUMIFS('Format for Import of DV'!M:M,'Format for Import of DV'!S:S,'Recon of ORS and DV'!B354)</f>
        <v>#VALUE!</v>
      </c>
      <c r="E354" s="276" t="e">
        <f t="shared" si="5"/>
        <v>#VALUE!</v>
      </c>
    </row>
    <row r="355" spans="1:5" hidden="1">
      <c r="A355" s="281" t="s">
        <v>1616</v>
      </c>
      <c r="B355" s="281" t="s">
        <v>2370</v>
      </c>
      <c r="C355" s="562">
        <f>SUMIFS('Format for Import of DV'!J:J,'Format for Import of DV'!C:C,'Recon of ORS and DV'!A355)</f>
        <v>287809.53000000003</v>
      </c>
      <c r="D355" s="562" t="e">
        <f>SUMIFS('Format for Import of DV'!M:M,'Format for Import of DV'!S:S,'Recon of ORS and DV'!B355)</f>
        <v>#VALUE!</v>
      </c>
      <c r="E355" s="276" t="e">
        <f t="shared" si="5"/>
        <v>#VALUE!</v>
      </c>
    </row>
    <row r="356" spans="1:5" hidden="1">
      <c r="A356" s="281" t="s">
        <v>1618</v>
      </c>
      <c r="B356" s="281" t="s">
        <v>2371</v>
      </c>
      <c r="C356" s="562">
        <f>SUMIFS('Format for Import of DV'!J:J,'Format for Import of DV'!C:C,'Recon of ORS and DV'!A356)</f>
        <v>3500</v>
      </c>
      <c r="D356" s="562" t="e">
        <f>SUMIFS('Format for Import of DV'!M:M,'Format for Import of DV'!S:S,'Recon of ORS and DV'!B356)</f>
        <v>#VALUE!</v>
      </c>
      <c r="E356" s="276" t="e">
        <f t="shared" si="5"/>
        <v>#VALUE!</v>
      </c>
    </row>
    <row r="357" spans="1:5" hidden="1">
      <c r="A357" s="281" t="s">
        <v>1619</v>
      </c>
      <c r="B357" s="281" t="s">
        <v>2372</v>
      </c>
      <c r="C357" s="562">
        <f>SUMIFS('Format for Import of DV'!J:J,'Format for Import of DV'!C:C,'Recon of ORS and DV'!A357)</f>
        <v>12000</v>
      </c>
      <c r="D357" s="562" t="e">
        <f>SUMIFS('Format for Import of DV'!M:M,'Format for Import of DV'!S:S,'Recon of ORS and DV'!B357)</f>
        <v>#VALUE!</v>
      </c>
      <c r="E357" s="276" t="e">
        <f t="shared" si="5"/>
        <v>#VALUE!</v>
      </c>
    </row>
    <row r="358" spans="1:5" hidden="1">
      <c r="A358" s="281" t="s">
        <v>1622</v>
      </c>
      <c r="B358" s="281" t="s">
        <v>2373</v>
      </c>
      <c r="C358" s="562">
        <f>SUMIFS('Format for Import of DV'!J:J,'Format for Import of DV'!C:C,'Recon of ORS and DV'!A358)</f>
        <v>4800</v>
      </c>
      <c r="D358" s="562" t="e">
        <f>SUMIFS('Format for Import of DV'!M:M,'Format for Import of DV'!S:S,'Recon of ORS and DV'!B358)</f>
        <v>#VALUE!</v>
      </c>
      <c r="E358" s="276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2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2" t="e">
        <f>SUM(D4:D607)</f>
        <v>#VALUE!</v>
      </c>
      <c r="E2" s="562" t="e">
        <f>SUM(E4:E607)</f>
        <v>#VALUE!</v>
      </c>
      <c r="F2" s="276"/>
    </row>
    <row r="3" spans="1:9">
      <c r="A3" s="302" t="s">
        <v>2375</v>
      </c>
      <c r="B3" s="302" t="s">
        <v>155</v>
      </c>
      <c r="C3" s="302" t="s">
        <v>156</v>
      </c>
      <c r="D3" s="282" t="s">
        <v>2377</v>
      </c>
      <c r="E3" s="562"/>
      <c r="F3" s="276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2" t="e">
        <f>SUMIFS('[1]MAIN-101'!$Z$1:$Z$3000,'[1]MAIN-101'!$X$1:$X$3000,A4)</f>
        <v>#VALUE!</v>
      </c>
      <c r="E4" s="562" t="e">
        <f>SUMIFS('Recon of ORS and DV'!D:D,'Recon of ORS and DV'!B:B,'DV List'!A4)</f>
        <v>#VALUE!</v>
      </c>
      <c r="F4" s="276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2" t="e">
        <f>SUMIFS('[1]MAIN-101'!$Z$1:$Z$3000,'[1]MAIN-101'!$X$1:$X$3000,A5)</f>
        <v>#VALUE!</v>
      </c>
      <c r="E5" s="562" t="e">
        <f>SUMIFS('Recon of ORS and DV'!D:D,'Recon of ORS and DV'!B:B,'DV List'!A5)</f>
        <v>#VALUE!</v>
      </c>
      <c r="F5" s="276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2" t="e">
        <f>SUMIFS('[1]MAIN-101'!$Z$1:$Z$3000,'[1]MAIN-101'!$X$1:$X$3000,A6)</f>
        <v>#VALUE!</v>
      </c>
      <c r="E6" s="562">
        <f>SUMIFS('Recon of ORS and DV'!D:D,'Recon of ORS and DV'!B:B,'DV List'!A6)</f>
        <v>0</v>
      </c>
      <c r="F6" s="276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2" t="e">
        <f>SUMIFS('[1]MAIN-101'!$Z$1:$Z$3000,'[1]MAIN-101'!$X$1:$X$3000,A7)</f>
        <v>#VALUE!</v>
      </c>
      <c r="E7" s="562">
        <f>SUMIFS('Recon of ORS and DV'!D:D,'Recon of ORS and DV'!B:B,'DV List'!A7)</f>
        <v>0</v>
      </c>
      <c r="F7" s="276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2" t="e">
        <f>SUMIFS('[1]MAIN-101'!$Z$1:$Z$3000,'[1]MAIN-101'!$X$1:$X$3000,A8)</f>
        <v>#VALUE!</v>
      </c>
      <c r="E8" s="562" t="e">
        <f>SUMIFS('Recon of ORS and DV'!D:D,'Recon of ORS and DV'!B:B,'DV List'!A8)</f>
        <v>#VALUE!</v>
      </c>
      <c r="F8" s="276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2" t="e">
        <f>SUMIFS('[1]MAIN-101'!$Z$1:$Z$3000,'[1]MAIN-101'!$X$1:$X$3000,A9)</f>
        <v>#VALUE!</v>
      </c>
      <c r="E9" s="562">
        <f>SUMIFS('Recon of ORS and DV'!D:D,'Recon of ORS and DV'!B:B,'DV List'!A9)</f>
        <v>0</v>
      </c>
      <c r="F9" s="276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2" t="e">
        <f>SUMIFS('[1]MAIN-101'!$Z$1:$Z$3000,'[1]MAIN-101'!$X$1:$X$3000,A10)</f>
        <v>#VALUE!</v>
      </c>
      <c r="E10" s="562" t="e">
        <f>SUMIFS('Recon of ORS and DV'!D:D,'Recon of ORS and DV'!B:B,'DV List'!A10)</f>
        <v>#VALUE!</v>
      </c>
      <c r="F10" s="276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2" t="e">
        <f>SUMIFS('[1]MAIN-101'!$Z$1:$Z$3000,'[1]MAIN-101'!$X$1:$X$3000,A11)</f>
        <v>#VALUE!</v>
      </c>
      <c r="E11" s="562" t="e">
        <f>SUMIFS('Recon of ORS and DV'!D:D,'Recon of ORS and DV'!B:B,'DV List'!A11)</f>
        <v>#VALUE!</v>
      </c>
      <c r="F11" s="276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2" t="e">
        <f>SUMIFS('[1]MAIN-101'!$Z$1:$Z$3000,'[1]MAIN-101'!$X$1:$X$3000,A12)</f>
        <v>#VALUE!</v>
      </c>
      <c r="E12" s="562" t="e">
        <f>SUMIFS('Recon of ORS and DV'!D:D,'Recon of ORS and DV'!B:B,'DV List'!A12)</f>
        <v>#VALUE!</v>
      </c>
      <c r="F12" s="276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2" t="e">
        <f>SUMIFS('[1]MAIN-101'!$Z$1:$Z$3000,'[1]MAIN-101'!$X$1:$X$3000,A13)</f>
        <v>#VALUE!</v>
      </c>
      <c r="E13" s="562" t="e">
        <f>SUMIFS('Recon of ORS and DV'!D:D,'Recon of ORS and DV'!B:B,'DV List'!A13)</f>
        <v>#VALUE!</v>
      </c>
      <c r="F13" s="276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2" t="e">
        <f>SUMIFS('[1]MAIN-101'!$Z$1:$Z$3000,'[1]MAIN-101'!$X$1:$X$3000,A14)</f>
        <v>#VALUE!</v>
      </c>
      <c r="E14" s="562">
        <f>SUMIFS('Recon of ORS and DV'!D:D,'Recon of ORS and DV'!B:B,'DV List'!A14)</f>
        <v>0</v>
      </c>
      <c r="F14" s="276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2" t="e">
        <f>SUMIFS('[1]MAIN-101'!$Z$1:$Z$3000,'[1]MAIN-101'!$X$1:$X$3000,A15)</f>
        <v>#VALUE!</v>
      </c>
      <c r="E15" s="562" t="e">
        <f>SUMIFS('Recon of ORS and DV'!D:D,'Recon of ORS and DV'!B:B,'DV List'!A15)</f>
        <v>#VALUE!</v>
      </c>
      <c r="F15" s="276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2" t="e">
        <f>SUMIFS('[1]MAIN-101'!$Z$1:$Z$3000,'[1]MAIN-101'!$X$1:$X$3000,A16)</f>
        <v>#VALUE!</v>
      </c>
      <c r="E16" s="562">
        <f>SUMIFS('Recon of ORS and DV'!D:D,'Recon of ORS and DV'!B:B,'DV List'!A16)</f>
        <v>0</v>
      </c>
      <c r="F16" s="276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2" t="e">
        <f>SUMIFS('[1]MAIN-101'!$Z$1:$Z$3000,'[1]MAIN-101'!$X$1:$X$3000,A17)</f>
        <v>#VALUE!</v>
      </c>
      <c r="E17" s="562">
        <f>SUMIFS('Recon of ORS and DV'!D:D,'Recon of ORS and DV'!B:B,'DV List'!A17)</f>
        <v>0</v>
      </c>
      <c r="F17" s="276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2" t="e">
        <f>SUMIFS('[1]MAIN-101'!$Z$1:$Z$3000,'[1]MAIN-101'!$X$1:$X$3000,A18)</f>
        <v>#VALUE!</v>
      </c>
      <c r="E18" s="562">
        <f>SUMIFS('Recon of ORS and DV'!D:D,'Recon of ORS and DV'!B:B,'DV List'!A18)</f>
        <v>0</v>
      </c>
      <c r="F18" s="276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2" t="e">
        <f>SUMIFS('[1]MAIN-101'!$Z$1:$Z$3000,'[1]MAIN-101'!$X$1:$X$3000,A19)</f>
        <v>#VALUE!</v>
      </c>
      <c r="E19" s="562">
        <f>SUMIFS('Recon of ORS and DV'!D:D,'Recon of ORS and DV'!B:B,'DV List'!A19)</f>
        <v>0</v>
      </c>
      <c r="F19" s="276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2" t="e">
        <f>SUMIFS('[1]MAIN-101'!$Z$1:$Z$3000,'[1]MAIN-101'!$X$1:$X$3000,A20)</f>
        <v>#VALUE!</v>
      </c>
      <c r="E20" s="562">
        <f>SUMIFS('Recon of ORS and DV'!D:D,'Recon of ORS and DV'!B:B,'DV List'!A20)</f>
        <v>0</v>
      </c>
      <c r="F20" s="276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2" t="e">
        <f>SUMIFS('[1]MAIN-101'!$Z$1:$Z$3000,'[1]MAIN-101'!$X$1:$X$3000,A21)</f>
        <v>#VALUE!</v>
      </c>
      <c r="E21" s="562">
        <f>SUMIFS('Recon of ORS and DV'!D:D,'Recon of ORS and DV'!B:B,'DV List'!A21)</f>
        <v>0</v>
      </c>
      <c r="F21" s="276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2" t="e">
        <f>SUMIFS('[1]MAIN-101'!$Z$1:$Z$3000,'[1]MAIN-101'!$X$1:$X$3000,A22)</f>
        <v>#VALUE!</v>
      </c>
      <c r="E22" s="562">
        <f>SUMIFS('Recon of ORS and DV'!D:D,'Recon of ORS and DV'!B:B,'DV List'!A22)</f>
        <v>0</v>
      </c>
      <c r="F22" s="276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2" t="e">
        <f>SUMIFS('[1]MAIN-101'!$Z$1:$Z$3000,'[1]MAIN-101'!$X$1:$X$3000,A23)</f>
        <v>#VALUE!</v>
      </c>
      <c r="E23" s="562">
        <f>SUMIFS('Recon of ORS and DV'!D:D,'Recon of ORS and DV'!B:B,'DV List'!A23)</f>
        <v>0</v>
      </c>
      <c r="F23" s="276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2" t="e">
        <f>SUMIFS('[1]MAIN-101'!$Z$1:$Z$3000,'[1]MAIN-101'!$X$1:$X$3000,A24)</f>
        <v>#VALUE!</v>
      </c>
      <c r="E24" s="562">
        <f>SUMIFS('Recon of ORS and DV'!D:D,'Recon of ORS and DV'!B:B,'DV List'!A24)</f>
        <v>0</v>
      </c>
      <c r="F24" s="276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2" t="e">
        <f>SUMIFS('[1]MAIN-101'!$Z$1:$Z$3000,'[1]MAIN-101'!$X$1:$X$3000,A25)</f>
        <v>#VALUE!</v>
      </c>
      <c r="E25" s="562">
        <f>SUMIFS('Recon of ORS and DV'!D:D,'Recon of ORS and DV'!B:B,'DV List'!A25)</f>
        <v>0</v>
      </c>
      <c r="F25" s="276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2" t="e">
        <f>SUMIFS('[1]MAIN-101'!$Z$1:$Z$3000,'[1]MAIN-101'!$X$1:$X$3000,A26)</f>
        <v>#VALUE!</v>
      </c>
      <c r="E26" s="562">
        <f>SUMIFS('Recon of ORS and DV'!D:D,'Recon of ORS and DV'!B:B,'DV List'!A26)</f>
        <v>0</v>
      </c>
      <c r="F26" s="276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2" t="e">
        <f>SUMIFS('[1]MAIN-101'!$Z$1:$Z$3000,'[1]MAIN-101'!$X$1:$X$3000,A27)</f>
        <v>#VALUE!</v>
      </c>
      <c r="E27" s="562">
        <f>SUMIFS('Recon of ORS and DV'!D:D,'Recon of ORS and DV'!B:B,'DV List'!A27)</f>
        <v>0</v>
      </c>
      <c r="F27" s="276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2" t="e">
        <f>SUMIFS('[1]MAIN-101'!$Z$1:$Z$3000,'[1]MAIN-101'!$X$1:$X$3000,A28)</f>
        <v>#VALUE!</v>
      </c>
      <c r="E28" s="562">
        <f>SUMIFS('Recon of ORS and DV'!D:D,'Recon of ORS and DV'!B:B,'DV List'!A28)</f>
        <v>0</v>
      </c>
      <c r="F28" s="276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2" t="e">
        <f>SUMIFS('[1]MAIN-101'!$Z$1:$Z$3000,'[1]MAIN-101'!$X$1:$X$3000,A29)</f>
        <v>#VALUE!</v>
      </c>
      <c r="E29" s="562" t="e">
        <f>SUMIFS('Recon of ORS and DV'!D:D,'Recon of ORS and DV'!B:B,'DV List'!A29)</f>
        <v>#VALUE!</v>
      </c>
      <c r="F29" s="276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2" t="e">
        <f>SUMIFS('[1]MAIN-101'!$Z$1:$Z$3000,'[1]MAIN-101'!$X$1:$X$3000,A30)</f>
        <v>#VALUE!</v>
      </c>
      <c r="E30" s="562" t="e">
        <f>SUMIFS('Recon of ORS and DV'!D:D,'Recon of ORS and DV'!B:B,'DV List'!A30)</f>
        <v>#VALUE!</v>
      </c>
      <c r="F30" s="276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2" t="e">
        <f>SUMIFS('[1]MAIN-101'!$Z$1:$Z$3000,'[1]MAIN-101'!$X$1:$X$3000,A31)</f>
        <v>#VALUE!</v>
      </c>
      <c r="E31" s="562" t="e">
        <f>SUMIFS('Recon of ORS and DV'!D:D,'Recon of ORS and DV'!B:B,'DV List'!A31)</f>
        <v>#VALUE!</v>
      </c>
      <c r="F31" s="276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2" t="e">
        <f>SUMIFS('[1]MAIN-101'!$Z$1:$Z$3000,'[1]MAIN-101'!$X$1:$X$3000,A32)</f>
        <v>#VALUE!</v>
      </c>
      <c r="E32" s="562" t="e">
        <f>SUMIFS('Recon of ORS and DV'!D:D,'Recon of ORS and DV'!B:B,'DV List'!A32)</f>
        <v>#VALUE!</v>
      </c>
      <c r="F32" s="276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2" t="e">
        <f>SUMIFS('[1]MAIN-101'!$Z$1:$Z$3000,'[1]MAIN-101'!$X$1:$X$3000,A33)</f>
        <v>#VALUE!</v>
      </c>
      <c r="E33" s="562">
        <f>SUMIFS('Recon of ORS and DV'!D:D,'Recon of ORS and DV'!B:B,'DV List'!A33)</f>
        <v>0</v>
      </c>
      <c r="F33" s="276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2" t="e">
        <f>SUMIFS('[1]MAIN-101'!$Z$1:$Z$3000,'[1]MAIN-101'!$X$1:$X$3000,A34)</f>
        <v>#VALUE!</v>
      </c>
      <c r="E34" s="562">
        <f>SUMIFS('Recon of ORS and DV'!D:D,'Recon of ORS and DV'!B:B,'DV List'!A34)</f>
        <v>0</v>
      </c>
      <c r="F34" s="276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2" t="e">
        <f>SUMIFS('[1]MAIN-101'!$Z$1:$Z$3000,'[1]MAIN-101'!$X$1:$X$3000,A35)</f>
        <v>#VALUE!</v>
      </c>
      <c r="E35" s="562">
        <f>SUMIFS('Recon of ORS and DV'!D:D,'Recon of ORS and DV'!B:B,'DV List'!A35)</f>
        <v>0</v>
      </c>
      <c r="F35" s="276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2" t="e">
        <f>SUMIFS('[1]MAIN-101'!$Z$1:$Z$3000,'[1]MAIN-101'!$X$1:$X$3000,A36)</f>
        <v>#VALUE!</v>
      </c>
      <c r="E36" s="562">
        <f>SUMIFS('Recon of ORS and DV'!D:D,'Recon of ORS and DV'!B:B,'DV List'!A36)</f>
        <v>0</v>
      </c>
      <c r="F36" s="276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2" t="e">
        <f>SUMIFS('[1]MAIN-101'!$Z$1:$Z$3000,'[1]MAIN-101'!$X$1:$X$3000,A37)</f>
        <v>#VALUE!</v>
      </c>
      <c r="E37" s="562">
        <f>SUMIFS('Recon of ORS and DV'!D:D,'Recon of ORS and DV'!B:B,'DV List'!A37)</f>
        <v>0</v>
      </c>
      <c r="F37" s="276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2" t="e">
        <f>SUMIFS('[1]MAIN-101'!$Z$1:$Z$3000,'[1]MAIN-101'!$X$1:$X$3000,A38)</f>
        <v>#VALUE!</v>
      </c>
      <c r="E38" s="562">
        <f>SUMIFS('Recon of ORS and DV'!D:D,'Recon of ORS and DV'!B:B,'DV List'!A38)</f>
        <v>0</v>
      </c>
      <c r="F38" s="276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2" t="e">
        <f>SUMIFS('[1]MAIN-101'!$Z$1:$Z$3000,'[1]MAIN-101'!$X$1:$X$3000,A39)</f>
        <v>#VALUE!</v>
      </c>
      <c r="E39" s="562">
        <f>SUMIFS('Recon of ORS and DV'!D:D,'Recon of ORS and DV'!B:B,'DV List'!A39)</f>
        <v>0</v>
      </c>
      <c r="F39" s="276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2" t="e">
        <f>SUMIFS('[1]MAIN-101'!$Z$1:$Z$3000,'[1]MAIN-101'!$X$1:$X$3000,A40)</f>
        <v>#VALUE!</v>
      </c>
      <c r="E40" s="562">
        <f>SUMIFS('Recon of ORS and DV'!D:D,'Recon of ORS and DV'!B:B,'DV List'!A40)</f>
        <v>0</v>
      </c>
      <c r="F40" s="276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2" t="e">
        <f>SUMIFS('[1]MAIN-101'!$Z$1:$Z$3000,'[1]MAIN-101'!$X$1:$X$3000,A41)</f>
        <v>#VALUE!</v>
      </c>
      <c r="E41" s="562">
        <f>SUMIFS('Recon of ORS and DV'!D:D,'Recon of ORS and DV'!B:B,'DV List'!A41)</f>
        <v>0</v>
      </c>
      <c r="F41" s="276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2" t="e">
        <f>SUMIFS('[1]MAIN-101'!$Z$1:$Z$3000,'[1]MAIN-101'!$X$1:$X$3000,A42)</f>
        <v>#VALUE!</v>
      </c>
      <c r="E42" s="562">
        <f>SUMIFS('Recon of ORS and DV'!D:D,'Recon of ORS and DV'!B:B,'DV List'!A42)</f>
        <v>0</v>
      </c>
      <c r="F42" s="276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2" t="e">
        <f>SUMIFS('[1]MAIN-101'!$Z$1:$Z$3000,'[1]MAIN-101'!$X$1:$X$3000,A43)</f>
        <v>#VALUE!</v>
      </c>
      <c r="E43" s="562">
        <f>SUMIFS('Recon of ORS and DV'!D:D,'Recon of ORS and DV'!B:B,'DV List'!A43)</f>
        <v>0</v>
      </c>
      <c r="F43" s="276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2" t="e">
        <f>SUMIFS('[1]MAIN-101'!$Z$1:$Z$3000,'[1]MAIN-101'!$X$1:$X$3000,A44)</f>
        <v>#VALUE!</v>
      </c>
      <c r="E44" s="562">
        <f>SUMIFS('Recon of ORS and DV'!D:D,'Recon of ORS and DV'!B:B,'DV List'!A44)</f>
        <v>0</v>
      </c>
      <c r="F44" s="276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2" t="e">
        <f>SUMIFS('[1]MAIN-101'!$Z$1:$Z$3000,'[1]MAIN-101'!$X$1:$X$3000,A45)</f>
        <v>#VALUE!</v>
      </c>
      <c r="E45" s="562">
        <f>SUMIFS('Recon of ORS and DV'!D:D,'Recon of ORS and DV'!B:B,'DV List'!A45)</f>
        <v>0</v>
      </c>
      <c r="F45" s="276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2" t="e">
        <f>SUMIFS('[1]MAIN-101'!$Z$1:$Z$3000,'[1]MAIN-101'!$X$1:$X$3000,A46)</f>
        <v>#VALUE!</v>
      </c>
      <c r="E46" s="562">
        <f>SUMIFS('Recon of ORS and DV'!D:D,'Recon of ORS and DV'!B:B,'DV List'!A46)</f>
        <v>0</v>
      </c>
      <c r="F46" s="276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2" t="e">
        <f>SUMIFS('[1]MAIN-101'!$Z$1:$Z$3000,'[1]MAIN-101'!$X$1:$X$3000,A47)</f>
        <v>#VALUE!</v>
      </c>
      <c r="E47" s="562">
        <f>SUMIFS('Recon of ORS and DV'!D:D,'Recon of ORS and DV'!B:B,'DV List'!A47)</f>
        <v>0</v>
      </c>
      <c r="F47" s="276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2" t="e">
        <f>SUMIFS('[1]MAIN-101'!$Z$1:$Z$3000,'[1]MAIN-101'!$X$1:$X$3000,A48)</f>
        <v>#VALUE!</v>
      </c>
      <c r="E48" s="562">
        <f>SUMIFS('Recon of ORS and DV'!D:D,'Recon of ORS and DV'!B:B,'DV List'!A48)</f>
        <v>0</v>
      </c>
      <c r="F48" s="276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2" t="e">
        <f>SUMIFS('[1]MAIN-101'!$Z$1:$Z$3000,'[1]MAIN-101'!$X$1:$X$3000,A49)</f>
        <v>#VALUE!</v>
      </c>
      <c r="E49" s="562">
        <f>SUMIFS('Recon of ORS and DV'!D:D,'Recon of ORS and DV'!B:B,'DV List'!A49)</f>
        <v>0</v>
      </c>
      <c r="F49" s="276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2" t="e">
        <f>SUMIFS('[1]MAIN-101'!$Z$1:$Z$3000,'[1]MAIN-101'!$X$1:$X$3000,A50)</f>
        <v>#VALUE!</v>
      </c>
      <c r="E50" s="562">
        <f>SUMIFS('Recon of ORS and DV'!D:D,'Recon of ORS and DV'!B:B,'DV List'!A50)</f>
        <v>0</v>
      </c>
      <c r="F50" s="276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2" t="e">
        <f>SUMIFS('[1]MAIN-101'!$Z$1:$Z$3000,'[1]MAIN-101'!$X$1:$X$3000,A51)</f>
        <v>#VALUE!</v>
      </c>
      <c r="E51" s="562" t="e">
        <f>SUMIFS('Recon of ORS and DV'!D:D,'Recon of ORS and DV'!B:B,'DV List'!A51)</f>
        <v>#VALUE!</v>
      </c>
      <c r="F51" s="276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2" t="e">
        <f>SUMIFS('[1]MAIN-101'!$Z$1:$Z$3000,'[1]MAIN-101'!$X$1:$X$3000,A52)</f>
        <v>#VALUE!</v>
      </c>
      <c r="E52" s="562" t="e">
        <f>SUMIFS('Recon of ORS and DV'!D:D,'Recon of ORS and DV'!B:B,'DV List'!A52)</f>
        <v>#VALUE!</v>
      </c>
      <c r="F52" s="276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2" t="e">
        <f>SUMIFS('[1]MAIN-101'!$Z$1:$Z$3000,'[1]MAIN-101'!$X$1:$X$3000,A53)</f>
        <v>#VALUE!</v>
      </c>
      <c r="E53" s="562" t="e">
        <f>SUMIFS('Recon of ORS and DV'!D:D,'Recon of ORS and DV'!B:B,'DV List'!A53)</f>
        <v>#VALUE!</v>
      </c>
      <c r="F53" s="276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2" t="e">
        <f>SUMIFS('[1]MAIN-101'!$Z$1:$Z$3000,'[1]MAIN-101'!$X$1:$X$3000,A54)</f>
        <v>#VALUE!</v>
      </c>
      <c r="E54" s="562" t="e">
        <f>SUMIFS('Recon of ORS and DV'!D:D,'Recon of ORS and DV'!B:B,'DV List'!A54)</f>
        <v>#VALUE!</v>
      </c>
      <c r="F54" s="276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2" t="e">
        <f>SUMIFS('[1]MAIN-101'!$Z$1:$Z$3000,'[1]MAIN-101'!$X$1:$X$3000,A55)</f>
        <v>#VALUE!</v>
      </c>
      <c r="E55" s="562" t="e">
        <f>SUMIFS('Recon of ORS and DV'!D:D,'Recon of ORS and DV'!B:B,'DV List'!A55)</f>
        <v>#VALUE!</v>
      </c>
      <c r="F55" s="276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2" t="e">
        <f>SUMIFS('[1]MAIN-101'!$Z$1:$Z$3000,'[1]MAIN-101'!$X$1:$X$3000,A56)</f>
        <v>#VALUE!</v>
      </c>
      <c r="E56" s="562" t="e">
        <f>SUMIFS('Recon of ORS and DV'!D:D,'Recon of ORS and DV'!B:B,'DV List'!A56)</f>
        <v>#VALUE!</v>
      </c>
      <c r="F56" s="276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2" t="e">
        <f>SUMIFS('[1]MAIN-101'!$Z$1:$Z$3000,'[1]MAIN-101'!$X$1:$X$3000,A57)</f>
        <v>#VALUE!</v>
      </c>
      <c r="E57" s="562">
        <f>SUMIFS('Recon of ORS and DV'!D:D,'Recon of ORS and DV'!B:B,'DV List'!A57)</f>
        <v>0</v>
      </c>
      <c r="F57" s="276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2" t="e">
        <f>SUMIFS('[1]MAIN-101'!$Z$1:$Z$3000,'[1]MAIN-101'!$X$1:$X$3000,A58)</f>
        <v>#VALUE!</v>
      </c>
      <c r="E58" s="562">
        <f>SUMIFS('Recon of ORS and DV'!D:D,'Recon of ORS and DV'!B:B,'DV List'!A58)</f>
        <v>0</v>
      </c>
      <c r="F58" s="276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2" t="e">
        <f>SUMIFS('[1]MAIN-101'!$Z$1:$Z$3000,'[1]MAIN-101'!$X$1:$X$3000,A59)</f>
        <v>#VALUE!</v>
      </c>
      <c r="E59" s="562">
        <f>SUMIFS('Recon of ORS and DV'!D:D,'Recon of ORS and DV'!B:B,'DV List'!A59)</f>
        <v>0</v>
      </c>
      <c r="F59" s="276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2" t="e">
        <f>SUMIFS('[1]MAIN-101'!$Z$1:$Z$3000,'[1]MAIN-101'!$X$1:$X$3000,A60)</f>
        <v>#VALUE!</v>
      </c>
      <c r="E60" s="562">
        <f>SUMIFS('Recon of ORS and DV'!D:D,'Recon of ORS and DV'!B:B,'DV List'!A60)</f>
        <v>0</v>
      </c>
      <c r="F60" s="276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2" t="e">
        <f>SUMIFS('[1]MAIN-101'!$Z$1:$Z$3000,'[1]MAIN-101'!$X$1:$X$3000,A61)</f>
        <v>#VALUE!</v>
      </c>
      <c r="E61" s="562">
        <f>SUMIFS('Recon of ORS and DV'!D:D,'Recon of ORS and DV'!B:B,'DV List'!A61)</f>
        <v>0</v>
      </c>
      <c r="F61" s="276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2" t="e">
        <f>SUMIFS('[1]MAIN-101'!$Z$1:$Z$3000,'[1]MAIN-101'!$X$1:$X$3000,A62)</f>
        <v>#VALUE!</v>
      </c>
      <c r="E62" s="562">
        <f>SUMIFS('Recon of ORS and DV'!D:D,'Recon of ORS and DV'!B:B,'DV List'!A62)</f>
        <v>0</v>
      </c>
      <c r="F62" s="276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2" t="e">
        <f>SUMIFS('[1]MAIN-101'!$Z$1:$Z$3000,'[1]MAIN-101'!$X$1:$X$3000,A63)</f>
        <v>#VALUE!</v>
      </c>
      <c r="E63" s="562" t="e">
        <f>SUMIFS('Recon of ORS and DV'!D:D,'Recon of ORS and DV'!B:B,'DV List'!A63)</f>
        <v>#VALUE!</v>
      </c>
      <c r="F63" s="276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2" t="e">
        <f>SUMIFS('[1]MAIN-101'!$Z$1:$Z$3000,'[1]MAIN-101'!$X$1:$X$3000,A64)</f>
        <v>#VALUE!</v>
      </c>
      <c r="E64" s="562">
        <f>SUMIFS('Recon of ORS and DV'!D:D,'Recon of ORS and DV'!B:B,'DV List'!A64)</f>
        <v>0</v>
      </c>
      <c r="F64" s="276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2" t="e">
        <f>SUMIFS('[1]MAIN-101'!$Z$1:$Z$3000,'[1]MAIN-101'!$X$1:$X$3000,A65)</f>
        <v>#VALUE!</v>
      </c>
      <c r="E65" s="562">
        <f>SUMIFS('Recon of ORS and DV'!D:D,'Recon of ORS and DV'!B:B,'DV List'!A65)</f>
        <v>0</v>
      </c>
      <c r="F65" s="276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2" t="e">
        <f>SUMIFS('[1]MAIN-101'!$Z$1:$Z$3000,'[1]MAIN-101'!$X$1:$X$3000,A66)</f>
        <v>#VALUE!</v>
      </c>
      <c r="E66" s="562" t="e">
        <f>SUMIFS('Recon of ORS and DV'!D:D,'Recon of ORS and DV'!B:B,'DV List'!A66)</f>
        <v>#VALUE!</v>
      </c>
      <c r="F66" s="276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2" t="e">
        <f>SUMIFS('[1]MAIN-101'!$Z$1:$Z$3000,'[1]MAIN-101'!$X$1:$X$3000,A67)</f>
        <v>#VALUE!</v>
      </c>
      <c r="E67" s="562" t="e">
        <f>SUMIFS('Recon of ORS and DV'!D:D,'Recon of ORS and DV'!B:B,'DV List'!A67)</f>
        <v>#VALUE!</v>
      </c>
      <c r="F67" s="276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2" t="e">
        <f>SUMIFS('[1]MAIN-101'!$Z$1:$Z$3000,'[1]MAIN-101'!$X$1:$X$3000,A68)</f>
        <v>#VALUE!</v>
      </c>
      <c r="E68" s="562">
        <f>SUMIFS('Recon of ORS and DV'!D:D,'Recon of ORS and DV'!B:B,'DV List'!A68)</f>
        <v>0</v>
      </c>
      <c r="F68" s="276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2" t="e">
        <f>SUMIFS('[1]MAIN-101'!$Z$1:$Z$3000,'[1]MAIN-101'!$X$1:$X$3000,A69)</f>
        <v>#VALUE!</v>
      </c>
      <c r="E69" s="562">
        <f>SUMIFS('Recon of ORS and DV'!D:D,'Recon of ORS and DV'!B:B,'DV List'!A69)</f>
        <v>0</v>
      </c>
      <c r="F69" s="276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2" t="e">
        <f>SUMIFS('[1]MAIN-101'!$Z$1:$Z$3000,'[1]MAIN-101'!$X$1:$X$3000,A70)</f>
        <v>#VALUE!</v>
      </c>
      <c r="E70" s="562">
        <f>SUMIFS('Recon of ORS and DV'!D:D,'Recon of ORS and DV'!B:B,'DV List'!A70)</f>
        <v>0</v>
      </c>
      <c r="F70" s="276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2" t="e">
        <f>SUMIFS('[1]MAIN-101'!$Z$1:$Z$3000,'[1]MAIN-101'!$X$1:$X$3000,A71)</f>
        <v>#VALUE!</v>
      </c>
      <c r="E71" s="562" t="e">
        <f>SUMIFS('Recon of ORS and DV'!D:D,'Recon of ORS and DV'!B:B,'DV List'!A71)</f>
        <v>#VALUE!</v>
      </c>
      <c r="F71" s="276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2" t="e">
        <f>SUMIFS('[1]MAIN-101'!$Z$1:$Z$3000,'[1]MAIN-101'!$X$1:$X$3000,A72)</f>
        <v>#VALUE!</v>
      </c>
      <c r="E72" s="562" t="e">
        <f>SUMIFS('Recon of ORS and DV'!D:D,'Recon of ORS and DV'!B:B,'DV List'!A72)</f>
        <v>#VALUE!</v>
      </c>
      <c r="F72" s="276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2" t="e">
        <f>SUMIFS('[1]MAIN-101'!$Z$1:$Z$3000,'[1]MAIN-101'!$X$1:$X$3000,A73)</f>
        <v>#VALUE!</v>
      </c>
      <c r="E73" s="562">
        <f>SUMIFS('Recon of ORS and DV'!D:D,'Recon of ORS and DV'!B:B,'DV List'!A73)</f>
        <v>0</v>
      </c>
      <c r="F73" s="276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2" t="e">
        <f>SUMIFS('[1]MAIN-101'!$Z$1:$Z$3000,'[1]MAIN-101'!$X$1:$X$3000,A74)</f>
        <v>#VALUE!</v>
      </c>
      <c r="E74" s="562">
        <f>SUMIFS('Recon of ORS and DV'!D:D,'Recon of ORS and DV'!B:B,'DV List'!A74)</f>
        <v>0</v>
      </c>
      <c r="F74" s="276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2" t="e">
        <f>SUMIFS('[1]MAIN-101'!$Z$1:$Z$3000,'[1]MAIN-101'!$X$1:$X$3000,A75)</f>
        <v>#VALUE!</v>
      </c>
      <c r="E75" s="562">
        <f>SUMIFS('Recon of ORS and DV'!D:D,'Recon of ORS and DV'!B:B,'DV List'!A75)</f>
        <v>0</v>
      </c>
      <c r="F75" s="276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2" t="e">
        <f>SUMIFS('[1]MAIN-101'!$Z$1:$Z$3000,'[1]MAIN-101'!$X$1:$X$3000,A76)</f>
        <v>#VALUE!</v>
      </c>
      <c r="E76" s="562">
        <f>SUMIFS('Recon of ORS and DV'!D:D,'Recon of ORS and DV'!B:B,'DV List'!A76)</f>
        <v>0</v>
      </c>
      <c r="F76" s="276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2" t="e">
        <f>SUMIFS('[1]MAIN-101'!$Z$1:$Z$3000,'[1]MAIN-101'!$X$1:$X$3000,A77)</f>
        <v>#VALUE!</v>
      </c>
      <c r="E77" s="562">
        <f>SUMIFS('Recon of ORS and DV'!D:D,'Recon of ORS and DV'!B:B,'DV List'!A77)</f>
        <v>0</v>
      </c>
      <c r="F77" s="276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2" t="e">
        <f>SUMIFS('[1]MAIN-101'!$Z$1:$Z$3000,'[1]MAIN-101'!$X$1:$X$3000,A78)</f>
        <v>#VALUE!</v>
      </c>
      <c r="E78" s="562">
        <f>SUMIFS('Recon of ORS and DV'!D:D,'Recon of ORS and DV'!B:B,'DV List'!A78)</f>
        <v>0</v>
      </c>
      <c r="F78" s="276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2" t="e">
        <f>SUMIFS('[1]MAIN-101'!$Z$1:$Z$3000,'[1]MAIN-101'!$X$1:$X$3000,A79)</f>
        <v>#VALUE!</v>
      </c>
      <c r="E79" s="562">
        <f>SUMIFS('Recon of ORS and DV'!D:D,'Recon of ORS and DV'!B:B,'DV List'!A79)</f>
        <v>0</v>
      </c>
      <c r="F79" s="276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2" t="e">
        <f>SUMIFS('[1]MAIN-101'!$Z$1:$Z$3000,'[1]MAIN-101'!$X$1:$X$3000,A80)</f>
        <v>#VALUE!</v>
      </c>
      <c r="E80" s="562">
        <f>SUMIFS('Recon of ORS and DV'!D:D,'Recon of ORS and DV'!B:B,'DV List'!A80)</f>
        <v>0</v>
      </c>
      <c r="F80" s="276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2" t="e">
        <f>SUMIFS('[1]MAIN-101'!$Z$1:$Z$3000,'[1]MAIN-101'!$X$1:$X$3000,A81)</f>
        <v>#VALUE!</v>
      </c>
      <c r="E81" s="562">
        <f>SUMIFS('Recon of ORS and DV'!D:D,'Recon of ORS and DV'!B:B,'DV List'!A81)</f>
        <v>0</v>
      </c>
      <c r="F81" s="276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2" t="e">
        <f>SUMIFS('[1]MAIN-101'!$Z$1:$Z$3000,'[1]MAIN-101'!$X$1:$X$3000,A82)</f>
        <v>#VALUE!</v>
      </c>
      <c r="E82" s="562">
        <f>SUMIFS('Recon of ORS and DV'!D:D,'Recon of ORS and DV'!B:B,'DV List'!A82)</f>
        <v>0</v>
      </c>
      <c r="F82" s="276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2" t="e">
        <f>SUMIFS('[1]MAIN-101'!$Z$1:$Z$3000,'[1]MAIN-101'!$X$1:$X$3000,A83)</f>
        <v>#VALUE!</v>
      </c>
      <c r="E83" s="562">
        <f>SUMIFS('Recon of ORS and DV'!D:D,'Recon of ORS and DV'!B:B,'DV List'!A83)</f>
        <v>0</v>
      </c>
      <c r="F83" s="276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2" t="e">
        <f>SUMIFS('[1]MAIN-101'!$Z$1:$Z$3000,'[1]MAIN-101'!$X$1:$X$3000,A84)</f>
        <v>#VALUE!</v>
      </c>
      <c r="E84" s="562">
        <f>SUMIFS('Recon of ORS and DV'!D:D,'Recon of ORS and DV'!B:B,'DV List'!A84)</f>
        <v>0</v>
      </c>
      <c r="F84" s="276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2" t="e">
        <f>SUMIFS('[1]MAIN-101'!$Z$1:$Z$3000,'[1]MAIN-101'!$X$1:$X$3000,A85)</f>
        <v>#VALUE!</v>
      </c>
      <c r="E85" s="562">
        <f>SUMIFS('Recon of ORS and DV'!D:D,'Recon of ORS and DV'!B:B,'DV List'!A85)</f>
        <v>0</v>
      </c>
      <c r="F85" s="276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2" t="e">
        <f>SUMIFS('[1]MAIN-101'!$Z$1:$Z$3000,'[1]MAIN-101'!$X$1:$X$3000,A86)</f>
        <v>#VALUE!</v>
      </c>
      <c r="E86" s="562">
        <f>SUMIFS('Recon of ORS and DV'!D:D,'Recon of ORS and DV'!B:B,'DV List'!A86)</f>
        <v>0</v>
      </c>
      <c r="F86" s="276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2" t="e">
        <f>SUMIFS('[1]MAIN-101'!$Z$1:$Z$3000,'[1]MAIN-101'!$X$1:$X$3000,A87)</f>
        <v>#VALUE!</v>
      </c>
      <c r="E87" s="562">
        <f>SUMIFS('Recon of ORS and DV'!D:D,'Recon of ORS and DV'!B:B,'DV List'!A87)</f>
        <v>0</v>
      </c>
      <c r="F87" s="276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2" t="e">
        <f>SUMIFS('[1]MAIN-101'!$Z$1:$Z$3000,'[1]MAIN-101'!$X$1:$X$3000,A88)</f>
        <v>#VALUE!</v>
      </c>
      <c r="E88" s="562" t="e">
        <f>SUMIFS('Recon of ORS and DV'!D:D,'Recon of ORS and DV'!B:B,'DV List'!A88)</f>
        <v>#VALUE!</v>
      </c>
      <c r="F88" s="276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2" t="e">
        <f>SUMIFS('[1]MAIN-101'!$Z$1:$Z$3000,'[1]MAIN-101'!$X$1:$X$3000,A89)</f>
        <v>#VALUE!</v>
      </c>
      <c r="E89" s="562" t="e">
        <f>SUMIFS('Recon of ORS and DV'!D:D,'Recon of ORS and DV'!B:B,'DV List'!A89)</f>
        <v>#VALUE!</v>
      </c>
      <c r="F89" s="276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2" t="e">
        <f>SUMIFS('[1]MAIN-101'!$Z$1:$Z$3000,'[1]MAIN-101'!$X$1:$X$3000,A90)</f>
        <v>#VALUE!</v>
      </c>
      <c r="E90" s="562" t="e">
        <f>SUMIFS('Recon of ORS and DV'!D:D,'Recon of ORS and DV'!B:B,'DV List'!A90)</f>
        <v>#VALUE!</v>
      </c>
      <c r="F90" s="276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2" t="e">
        <f>SUMIFS('[1]MAIN-101'!$Z$1:$Z$3000,'[1]MAIN-101'!$X$1:$X$3000,A91)</f>
        <v>#VALUE!</v>
      </c>
      <c r="E91" s="562">
        <f>SUMIFS('Recon of ORS and DV'!D:D,'Recon of ORS and DV'!B:B,'DV List'!A91)</f>
        <v>0</v>
      </c>
      <c r="F91" s="276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2" t="e">
        <f>SUMIFS('[1]MAIN-101'!$Z$1:$Z$3000,'[1]MAIN-101'!$X$1:$X$3000,A92)</f>
        <v>#VALUE!</v>
      </c>
      <c r="E92" s="562" t="e">
        <f>SUMIFS('Recon of ORS and DV'!D:D,'Recon of ORS and DV'!B:B,'DV List'!A92)</f>
        <v>#VALUE!</v>
      </c>
      <c r="F92" s="276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2" t="e">
        <f>SUMIFS('[1]MAIN-101'!$Z$1:$Z$3000,'[1]MAIN-101'!$X$1:$X$3000,A93)</f>
        <v>#VALUE!</v>
      </c>
      <c r="E93" s="562" t="e">
        <f>SUMIFS('Recon of ORS and DV'!D:D,'Recon of ORS and DV'!B:B,'DV List'!A93)</f>
        <v>#VALUE!</v>
      </c>
      <c r="F93" s="276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2" t="e">
        <f>SUMIFS('[1]MAIN-101'!$Z$1:$Z$3000,'[1]MAIN-101'!$X$1:$X$3000,A94)</f>
        <v>#VALUE!</v>
      </c>
      <c r="E94" s="562" t="e">
        <f>SUMIFS('Recon of ORS and DV'!D:D,'Recon of ORS and DV'!B:B,'DV List'!A94)</f>
        <v>#VALUE!</v>
      </c>
      <c r="F94" s="276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2" t="e">
        <f>SUMIFS('[1]MAIN-101'!$Z$1:$Z$3000,'[1]MAIN-101'!$X$1:$X$3000,A95)</f>
        <v>#VALUE!</v>
      </c>
      <c r="E95" s="562" t="e">
        <f>SUMIFS('Recon of ORS and DV'!D:D,'Recon of ORS and DV'!B:B,'DV List'!A95)</f>
        <v>#VALUE!</v>
      </c>
      <c r="F95" s="276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2" t="e">
        <f>SUMIFS('[1]MAIN-101'!$Z$1:$Z$3000,'[1]MAIN-101'!$X$1:$X$3000,A96)</f>
        <v>#VALUE!</v>
      </c>
      <c r="E96" s="562">
        <f>SUMIFS('Recon of ORS and DV'!D:D,'Recon of ORS and DV'!B:B,'DV List'!A96)</f>
        <v>0</v>
      </c>
      <c r="F96" s="276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2" t="e">
        <f>SUMIFS('[1]MAIN-101'!$Z$1:$Z$3000,'[1]MAIN-101'!$X$1:$X$3000,A97)</f>
        <v>#VALUE!</v>
      </c>
      <c r="E97" s="562">
        <f>SUMIFS('Recon of ORS and DV'!D:D,'Recon of ORS and DV'!B:B,'DV List'!A97)</f>
        <v>0</v>
      </c>
      <c r="F97" s="276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2" t="e">
        <f>SUMIFS('[1]MAIN-101'!$Z$1:$Z$3000,'[1]MAIN-101'!$X$1:$X$3000,A98)</f>
        <v>#VALUE!</v>
      </c>
      <c r="E98" s="562">
        <f>SUMIFS('Recon of ORS and DV'!D:D,'Recon of ORS and DV'!B:B,'DV List'!A98)</f>
        <v>0</v>
      </c>
      <c r="F98" s="276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2" t="e">
        <f>SUMIFS('[1]MAIN-101'!$Z$1:$Z$3000,'[1]MAIN-101'!$X$1:$X$3000,A99)</f>
        <v>#VALUE!</v>
      </c>
      <c r="E99" s="562">
        <f>SUMIFS('Recon of ORS and DV'!D:D,'Recon of ORS and DV'!B:B,'DV List'!A99)</f>
        <v>0</v>
      </c>
      <c r="F99" s="276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2" t="e">
        <f>SUMIFS('[1]MAIN-101'!$Z$1:$Z$3000,'[1]MAIN-101'!$X$1:$X$3000,A100)</f>
        <v>#VALUE!</v>
      </c>
      <c r="E100" s="562">
        <f>SUMIFS('Recon of ORS and DV'!D:D,'Recon of ORS and DV'!B:B,'DV List'!A100)</f>
        <v>0</v>
      </c>
      <c r="F100" s="276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2" t="e">
        <f>SUMIFS('[1]MAIN-101'!$Z$1:$Z$3000,'[1]MAIN-101'!$X$1:$X$3000,A101)</f>
        <v>#VALUE!</v>
      </c>
      <c r="E101" s="562">
        <f>SUMIFS('Recon of ORS and DV'!D:D,'Recon of ORS and DV'!B:B,'DV List'!A101)</f>
        <v>0</v>
      </c>
      <c r="F101" s="276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2" t="e">
        <f>SUMIFS('[1]MAIN-101'!$Z$1:$Z$3000,'[1]MAIN-101'!$X$1:$X$3000,A102)</f>
        <v>#VALUE!</v>
      </c>
      <c r="E102" s="562">
        <f>SUMIFS('Recon of ORS and DV'!D:D,'Recon of ORS and DV'!B:B,'DV List'!A102)</f>
        <v>0</v>
      </c>
      <c r="F102" s="276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2" t="e">
        <f>SUMIFS('[1]MAIN-101'!$Z$1:$Z$3000,'[1]MAIN-101'!$X$1:$X$3000,A103)</f>
        <v>#VALUE!</v>
      </c>
      <c r="E103" s="562">
        <f>SUMIFS('Recon of ORS and DV'!D:D,'Recon of ORS and DV'!B:B,'DV List'!A103)</f>
        <v>0</v>
      </c>
      <c r="F103" s="276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2" t="e">
        <f>SUMIFS('[1]MAIN-101'!$Z$1:$Z$3000,'[1]MAIN-101'!$X$1:$X$3000,A104)</f>
        <v>#VALUE!</v>
      </c>
      <c r="E104" s="562">
        <f>SUMIFS('Recon of ORS and DV'!D:D,'Recon of ORS and DV'!B:B,'DV List'!A104)</f>
        <v>0</v>
      </c>
      <c r="F104" s="276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2" t="e">
        <f>SUMIFS('[1]MAIN-101'!$Z$1:$Z$3000,'[1]MAIN-101'!$X$1:$X$3000,A105)</f>
        <v>#VALUE!</v>
      </c>
      <c r="E105" s="562">
        <f>SUMIFS('Recon of ORS and DV'!D:D,'Recon of ORS and DV'!B:B,'DV List'!A105)</f>
        <v>0</v>
      </c>
      <c r="F105" s="276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2" t="e">
        <f>SUMIFS('[1]MAIN-101'!$Z$1:$Z$3000,'[1]MAIN-101'!$X$1:$X$3000,A106)</f>
        <v>#VALUE!</v>
      </c>
      <c r="E106" s="562">
        <f>SUMIFS('Recon of ORS and DV'!D:D,'Recon of ORS and DV'!B:B,'DV List'!A106)</f>
        <v>0</v>
      </c>
      <c r="F106" s="276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2" t="e">
        <f>SUMIFS('[1]MAIN-101'!$Z$1:$Z$3000,'[1]MAIN-101'!$X$1:$X$3000,A107)</f>
        <v>#VALUE!</v>
      </c>
      <c r="E107" s="562" t="e">
        <f>SUMIFS('Recon of ORS and DV'!D:D,'Recon of ORS and DV'!B:B,'DV List'!A107)</f>
        <v>#VALUE!</v>
      </c>
      <c r="F107" s="276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2" t="e">
        <f>SUMIFS('[1]MAIN-101'!$Z$1:$Z$3000,'[1]MAIN-101'!$X$1:$X$3000,A108)</f>
        <v>#VALUE!</v>
      </c>
      <c r="E108" s="562" t="e">
        <f>SUMIFS('Recon of ORS and DV'!D:D,'Recon of ORS and DV'!B:B,'DV List'!A108)</f>
        <v>#VALUE!</v>
      </c>
      <c r="F108" s="276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2" t="e">
        <f>SUMIFS('[1]MAIN-101'!$Z$1:$Z$3000,'[1]MAIN-101'!$X$1:$X$3000,A109)</f>
        <v>#VALUE!</v>
      </c>
      <c r="E109" s="562" t="e">
        <f>SUMIFS('Recon of ORS and DV'!D:D,'Recon of ORS and DV'!B:B,'DV List'!A109)</f>
        <v>#VALUE!</v>
      </c>
      <c r="F109" s="276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2" t="e">
        <f>SUMIFS('[1]MAIN-101'!$Z$1:$Z$3000,'[1]MAIN-101'!$X$1:$X$3000,A110)</f>
        <v>#VALUE!</v>
      </c>
      <c r="E110" s="562" t="e">
        <f>SUMIFS('Recon of ORS and DV'!D:D,'Recon of ORS and DV'!B:B,'DV List'!A110)</f>
        <v>#VALUE!</v>
      </c>
      <c r="F110" s="276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2" t="e">
        <f>SUMIFS('[1]MAIN-101'!$Z$1:$Z$3000,'[1]MAIN-101'!$X$1:$X$3000,A111)</f>
        <v>#VALUE!</v>
      </c>
      <c r="E111" s="562" t="e">
        <f>SUMIFS('Recon of ORS and DV'!D:D,'Recon of ORS and DV'!B:B,'DV List'!A111)</f>
        <v>#VALUE!</v>
      </c>
      <c r="F111" s="276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2" t="e">
        <f>SUMIFS('[1]MAIN-101'!$Z$1:$Z$3000,'[1]MAIN-101'!$X$1:$X$3000,A112)</f>
        <v>#VALUE!</v>
      </c>
      <c r="E112" s="562" t="e">
        <f>SUMIFS('Recon of ORS and DV'!D:D,'Recon of ORS and DV'!B:B,'DV List'!A112)</f>
        <v>#VALUE!</v>
      </c>
      <c r="F112" s="276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2" t="e">
        <f>SUMIFS('[1]MAIN-101'!$Z$1:$Z$3000,'[1]MAIN-101'!$X$1:$X$3000,A113)</f>
        <v>#VALUE!</v>
      </c>
      <c r="E113" s="562">
        <f>SUMIFS('Recon of ORS and DV'!D:D,'Recon of ORS and DV'!B:B,'DV List'!A113)</f>
        <v>0</v>
      </c>
      <c r="F113" s="276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2" t="e">
        <f>SUMIFS('[1]MAIN-101'!$Z$1:$Z$3000,'[1]MAIN-101'!$X$1:$X$3000,A114)</f>
        <v>#VALUE!</v>
      </c>
      <c r="E114" s="562">
        <f>SUMIFS('Recon of ORS and DV'!D:D,'Recon of ORS and DV'!B:B,'DV List'!A114)</f>
        <v>0</v>
      </c>
      <c r="F114" s="276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2" t="e">
        <f>SUMIFS('[1]MAIN-101'!$Z$1:$Z$3000,'[1]MAIN-101'!$X$1:$X$3000,A115)</f>
        <v>#VALUE!</v>
      </c>
      <c r="E115" s="562">
        <f>SUMIFS('Recon of ORS and DV'!D:D,'Recon of ORS and DV'!B:B,'DV List'!A115)</f>
        <v>0</v>
      </c>
      <c r="F115" s="276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2" t="e">
        <f>SUMIFS('[1]MAIN-101'!$Z$1:$Z$3000,'[1]MAIN-101'!$X$1:$X$3000,A116)</f>
        <v>#VALUE!</v>
      </c>
      <c r="E116" s="562">
        <f>SUMIFS('Recon of ORS and DV'!D:D,'Recon of ORS and DV'!B:B,'DV List'!A116)</f>
        <v>0</v>
      </c>
      <c r="F116" s="276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2" t="e">
        <f>SUMIFS('[1]MAIN-101'!$Z$1:$Z$3000,'[1]MAIN-101'!$X$1:$X$3000,A117)</f>
        <v>#VALUE!</v>
      </c>
      <c r="E117" s="562" t="e">
        <f>SUMIFS('Recon of ORS and DV'!D:D,'Recon of ORS and DV'!B:B,'DV List'!A117)</f>
        <v>#VALUE!</v>
      </c>
      <c r="F117" s="276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2" t="e">
        <f>SUMIFS('[1]MAIN-101'!$Z$1:$Z$3000,'[1]MAIN-101'!$X$1:$X$3000,A118)</f>
        <v>#VALUE!</v>
      </c>
      <c r="E118" s="562">
        <f>SUMIFS('Recon of ORS and DV'!D:D,'Recon of ORS and DV'!B:B,'DV List'!A118)</f>
        <v>0</v>
      </c>
      <c r="F118" s="276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2" t="e">
        <f>SUMIFS('[1]MAIN-101'!$Z$1:$Z$3000,'[1]MAIN-101'!$X$1:$X$3000,A119)</f>
        <v>#VALUE!</v>
      </c>
      <c r="E119" s="562">
        <f>SUMIFS('Recon of ORS and DV'!D:D,'Recon of ORS and DV'!B:B,'DV List'!A119)</f>
        <v>0</v>
      </c>
      <c r="F119" s="276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2" t="e">
        <f>SUMIFS('[1]MAIN-101'!$Z$1:$Z$3000,'[1]MAIN-101'!$X$1:$X$3000,A120)</f>
        <v>#VALUE!</v>
      </c>
      <c r="E120" s="562">
        <f>SUMIFS('Recon of ORS and DV'!D:D,'Recon of ORS and DV'!B:B,'DV List'!A120)</f>
        <v>0</v>
      </c>
      <c r="F120" s="276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2" t="e">
        <f>SUMIFS('[1]MAIN-101'!$Z$1:$Z$3000,'[1]MAIN-101'!$X$1:$X$3000,A121)</f>
        <v>#VALUE!</v>
      </c>
      <c r="E121" s="562">
        <f>SUMIFS('Recon of ORS and DV'!D:D,'Recon of ORS and DV'!B:B,'DV List'!A121)</f>
        <v>0</v>
      </c>
      <c r="F121" s="276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2" t="e">
        <f>SUMIFS('[1]MAIN-101'!$Z$1:$Z$3000,'[1]MAIN-101'!$X$1:$X$3000,A122)</f>
        <v>#VALUE!</v>
      </c>
      <c r="E122" s="562">
        <f>SUMIFS('Recon of ORS and DV'!D:D,'Recon of ORS and DV'!B:B,'DV List'!A122)</f>
        <v>0</v>
      </c>
      <c r="F122" s="276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2" t="e">
        <f>SUMIFS('[1]MAIN-101'!$Z$1:$Z$3000,'[1]MAIN-101'!$X$1:$X$3000,A123)</f>
        <v>#VALUE!</v>
      </c>
      <c r="E123" s="562">
        <f>SUMIFS('Recon of ORS and DV'!D:D,'Recon of ORS and DV'!B:B,'DV List'!A123)</f>
        <v>0</v>
      </c>
      <c r="F123" s="276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2" t="e">
        <f>SUMIFS('[1]MAIN-101'!$Z$1:$Z$3000,'[1]MAIN-101'!$X$1:$X$3000,A124)</f>
        <v>#VALUE!</v>
      </c>
      <c r="E124" s="562">
        <f>SUMIFS('Recon of ORS and DV'!D:D,'Recon of ORS and DV'!B:B,'DV List'!A124)</f>
        <v>0</v>
      </c>
      <c r="F124" s="276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2" t="e">
        <f>SUMIFS('[1]MAIN-101'!$Z$1:$Z$3000,'[1]MAIN-101'!$X$1:$X$3000,A125)</f>
        <v>#VALUE!</v>
      </c>
      <c r="E125" s="562">
        <f>SUMIFS('Recon of ORS and DV'!D:D,'Recon of ORS and DV'!B:B,'DV List'!A125)</f>
        <v>0</v>
      </c>
      <c r="F125" s="276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2" t="e">
        <f>SUMIFS('[1]MAIN-101'!$Z$1:$Z$3000,'[1]MAIN-101'!$X$1:$X$3000,A126)</f>
        <v>#VALUE!</v>
      </c>
      <c r="E126" s="562">
        <f>SUMIFS('Recon of ORS and DV'!D:D,'Recon of ORS and DV'!B:B,'DV List'!A126)</f>
        <v>0</v>
      </c>
      <c r="F126" s="276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2" t="e">
        <f>SUMIFS('[1]MAIN-101'!$Z$1:$Z$3000,'[1]MAIN-101'!$X$1:$X$3000,A127)</f>
        <v>#VALUE!</v>
      </c>
      <c r="E127" s="562">
        <f>SUMIFS('Recon of ORS and DV'!D:D,'Recon of ORS and DV'!B:B,'DV List'!A127)</f>
        <v>0</v>
      </c>
      <c r="F127" s="276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2" t="e">
        <f>SUMIFS('[1]MAIN-101'!$Z$1:$Z$3000,'[1]MAIN-101'!$X$1:$X$3000,A128)</f>
        <v>#VALUE!</v>
      </c>
      <c r="E128" s="562">
        <f>SUMIFS('Recon of ORS and DV'!D:D,'Recon of ORS and DV'!B:B,'DV List'!A128)</f>
        <v>0</v>
      </c>
      <c r="F128" s="276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2" t="e">
        <f>SUMIFS('[1]MAIN-101'!$Z$1:$Z$3000,'[1]MAIN-101'!$X$1:$X$3000,A129)</f>
        <v>#VALUE!</v>
      </c>
      <c r="E129" s="562">
        <f>SUMIFS('Recon of ORS and DV'!D:D,'Recon of ORS and DV'!B:B,'DV List'!A129)</f>
        <v>0</v>
      </c>
      <c r="F129" s="276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2" t="e">
        <f>SUMIFS('[1]MAIN-101'!$Z$1:$Z$3000,'[1]MAIN-101'!$X$1:$X$3000,A130)</f>
        <v>#VALUE!</v>
      </c>
      <c r="E130" s="562">
        <f>SUMIFS('Recon of ORS and DV'!D:D,'Recon of ORS and DV'!B:B,'DV List'!A130)</f>
        <v>0</v>
      </c>
      <c r="F130" s="276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2" t="e">
        <f>SUMIFS('[1]MAIN-101'!$Z$1:$Z$3000,'[1]MAIN-101'!$X$1:$X$3000,A131)</f>
        <v>#VALUE!</v>
      </c>
      <c r="E131" s="562">
        <f>SUMIFS('Recon of ORS and DV'!D:D,'Recon of ORS and DV'!B:B,'DV List'!A131)</f>
        <v>0</v>
      </c>
      <c r="F131" s="276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2" t="e">
        <f>SUMIFS('[1]MAIN-101'!$Z$1:$Z$3000,'[1]MAIN-101'!$X$1:$X$3000,A132)</f>
        <v>#VALUE!</v>
      </c>
      <c r="E132" s="562">
        <f>SUMIFS('Recon of ORS and DV'!D:D,'Recon of ORS and DV'!B:B,'DV List'!A132)</f>
        <v>0</v>
      </c>
      <c r="F132" s="276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2" t="e">
        <f>SUMIFS('[1]MAIN-101'!$Z$1:$Z$3000,'[1]MAIN-101'!$X$1:$X$3000,A133)</f>
        <v>#VALUE!</v>
      </c>
      <c r="E133" s="562">
        <f>SUMIFS('Recon of ORS and DV'!D:D,'Recon of ORS and DV'!B:B,'DV List'!A133)</f>
        <v>0</v>
      </c>
      <c r="F133" s="276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2" t="e">
        <f>SUMIFS('[1]MAIN-101'!$Z$1:$Z$3000,'[1]MAIN-101'!$X$1:$X$3000,A134)</f>
        <v>#VALUE!</v>
      </c>
      <c r="E134" s="562">
        <f>SUMIFS('Recon of ORS and DV'!D:D,'Recon of ORS and DV'!B:B,'DV List'!A134)</f>
        <v>0</v>
      </c>
      <c r="F134" s="276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2" t="e">
        <f>SUMIFS('[1]MAIN-101'!$Z$1:$Z$3000,'[1]MAIN-101'!$X$1:$X$3000,A135)</f>
        <v>#VALUE!</v>
      </c>
      <c r="E135" s="562">
        <f>SUMIFS('Recon of ORS and DV'!D:D,'Recon of ORS and DV'!B:B,'DV List'!A135)</f>
        <v>0</v>
      </c>
      <c r="F135" s="276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2" t="e">
        <f>SUMIFS('[1]MAIN-101'!$Z$1:$Z$3000,'[1]MAIN-101'!$X$1:$X$3000,A136)</f>
        <v>#VALUE!</v>
      </c>
      <c r="E136" s="562">
        <f>SUMIFS('Recon of ORS and DV'!D:D,'Recon of ORS and DV'!B:B,'DV List'!A136)</f>
        <v>0</v>
      </c>
      <c r="F136" s="276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2" t="e">
        <f>SUMIFS('[1]MAIN-101'!$Z$1:$Z$3000,'[1]MAIN-101'!$X$1:$X$3000,A137)</f>
        <v>#VALUE!</v>
      </c>
      <c r="E137" s="562">
        <f>SUMIFS('Recon of ORS and DV'!D:D,'Recon of ORS and DV'!B:B,'DV List'!A137)</f>
        <v>0</v>
      </c>
      <c r="F137" s="276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2" t="e">
        <f>SUMIFS('[1]MAIN-101'!$Z$1:$Z$3000,'[1]MAIN-101'!$X$1:$X$3000,A138)</f>
        <v>#VALUE!</v>
      </c>
      <c r="E138" s="562">
        <f>SUMIFS('Recon of ORS and DV'!D:D,'Recon of ORS and DV'!B:B,'DV List'!A138)</f>
        <v>0</v>
      </c>
      <c r="F138" s="276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2" t="e">
        <f>SUMIFS('[1]MAIN-101'!$Z$1:$Z$3000,'[1]MAIN-101'!$X$1:$X$3000,A139)</f>
        <v>#VALUE!</v>
      </c>
      <c r="E139" s="562">
        <f>SUMIFS('Recon of ORS and DV'!D:D,'Recon of ORS and DV'!B:B,'DV List'!A139)</f>
        <v>0</v>
      </c>
      <c r="F139" s="276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2" t="e">
        <f>SUMIFS('[1]MAIN-101'!$Z$1:$Z$3000,'[1]MAIN-101'!$X$1:$X$3000,A140)</f>
        <v>#VALUE!</v>
      </c>
      <c r="E140" s="562">
        <f>SUMIFS('Recon of ORS and DV'!D:D,'Recon of ORS and DV'!B:B,'DV List'!A140)</f>
        <v>0</v>
      </c>
      <c r="F140" s="276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2" t="e">
        <f>SUMIFS('[1]MAIN-101'!$Z$1:$Z$3000,'[1]MAIN-101'!$X$1:$X$3000,A141)</f>
        <v>#VALUE!</v>
      </c>
      <c r="E141" s="562">
        <f>SUMIFS('Recon of ORS and DV'!D:D,'Recon of ORS and DV'!B:B,'DV List'!A141)</f>
        <v>0</v>
      </c>
      <c r="F141" s="276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2" t="e">
        <f>SUMIFS('[1]MAIN-101'!$Z$1:$Z$3000,'[1]MAIN-101'!$X$1:$X$3000,A142)</f>
        <v>#VALUE!</v>
      </c>
      <c r="E142" s="562">
        <f>SUMIFS('Recon of ORS and DV'!D:D,'Recon of ORS and DV'!B:B,'DV List'!A142)</f>
        <v>0</v>
      </c>
      <c r="F142" s="276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2" t="e">
        <f>SUMIFS('[1]MAIN-101'!$Z$1:$Z$3000,'[1]MAIN-101'!$X$1:$X$3000,A143)</f>
        <v>#VALUE!</v>
      </c>
      <c r="E143" s="562" t="e">
        <f>SUMIFS('Recon of ORS and DV'!D:D,'Recon of ORS and DV'!B:B,'DV List'!A143)</f>
        <v>#VALUE!</v>
      </c>
      <c r="F143" s="276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2" t="e">
        <f>SUMIFS('[1]MAIN-101'!$Z$1:$Z$3000,'[1]MAIN-101'!$X$1:$X$3000,A144)</f>
        <v>#VALUE!</v>
      </c>
      <c r="E144" s="562">
        <f>SUMIFS('Recon of ORS and DV'!D:D,'Recon of ORS and DV'!B:B,'DV List'!A144)</f>
        <v>0</v>
      </c>
      <c r="F144" s="276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2" t="e">
        <f>SUMIFS('[1]MAIN-101'!$Z$1:$Z$3000,'[1]MAIN-101'!$X$1:$X$3000,A145)</f>
        <v>#VALUE!</v>
      </c>
      <c r="E145" s="562" t="e">
        <f>SUMIFS('Recon of ORS and DV'!D:D,'Recon of ORS and DV'!B:B,'DV List'!A145)</f>
        <v>#VALUE!</v>
      </c>
      <c r="F145" s="276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2" t="e">
        <f>SUMIFS('[1]MAIN-101'!$Z$1:$Z$3000,'[1]MAIN-101'!$X$1:$X$3000,A146)</f>
        <v>#VALUE!</v>
      </c>
      <c r="E146" s="562" t="e">
        <f>SUMIFS('Recon of ORS and DV'!D:D,'Recon of ORS and DV'!B:B,'DV List'!A146)</f>
        <v>#VALUE!</v>
      </c>
      <c r="F146" s="276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2" t="e">
        <f>SUMIFS('[1]MAIN-101'!$Z$1:$Z$3000,'[1]MAIN-101'!$X$1:$X$3000,A147)</f>
        <v>#VALUE!</v>
      </c>
      <c r="E147" s="562" t="e">
        <f>SUMIFS('Recon of ORS and DV'!D:D,'Recon of ORS and DV'!B:B,'DV List'!A147)</f>
        <v>#VALUE!</v>
      </c>
      <c r="F147" s="276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2" t="e">
        <f>SUMIFS('[1]MAIN-101'!$Z$1:$Z$3000,'[1]MAIN-101'!$X$1:$X$3000,A148)</f>
        <v>#VALUE!</v>
      </c>
      <c r="E148" s="562" t="e">
        <f>SUMIFS('Recon of ORS and DV'!D:D,'Recon of ORS and DV'!B:B,'DV List'!A148)</f>
        <v>#VALUE!</v>
      </c>
      <c r="F148" s="276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2" t="e">
        <f>SUMIFS('[1]MAIN-101'!$Z$1:$Z$3000,'[1]MAIN-101'!$X$1:$X$3000,A149)</f>
        <v>#VALUE!</v>
      </c>
      <c r="E149" s="562" t="e">
        <f>SUMIFS('Recon of ORS and DV'!D:D,'Recon of ORS and DV'!B:B,'DV List'!A149)</f>
        <v>#VALUE!</v>
      </c>
      <c r="F149" s="276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2" t="e">
        <f>SUMIFS('[1]MAIN-101'!$Z$1:$Z$3000,'[1]MAIN-101'!$X$1:$X$3000,A150)</f>
        <v>#VALUE!</v>
      </c>
      <c r="E150" s="562" t="e">
        <f>SUMIFS('Recon of ORS and DV'!D:D,'Recon of ORS and DV'!B:B,'DV List'!A150)</f>
        <v>#VALUE!</v>
      </c>
      <c r="F150" s="276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2" t="e">
        <f>SUMIFS('[1]MAIN-101'!$Z$1:$Z$3000,'[1]MAIN-101'!$X$1:$X$3000,A151)</f>
        <v>#VALUE!</v>
      </c>
      <c r="E151" s="562" t="e">
        <f>SUMIFS('Recon of ORS and DV'!D:D,'Recon of ORS and DV'!B:B,'DV List'!A151)</f>
        <v>#VALUE!</v>
      </c>
      <c r="F151" s="276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2" t="e">
        <f>SUMIFS('[1]MAIN-101'!$Z$1:$Z$3000,'[1]MAIN-101'!$X$1:$X$3000,A152)</f>
        <v>#VALUE!</v>
      </c>
      <c r="E152" s="562" t="e">
        <f>SUMIFS('Recon of ORS and DV'!D:D,'Recon of ORS and DV'!B:B,'DV List'!A152)</f>
        <v>#VALUE!</v>
      </c>
      <c r="F152" s="276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2" t="e">
        <f>SUMIFS('[1]MAIN-101'!$Z$1:$Z$3000,'[1]MAIN-101'!$X$1:$X$3000,A153)</f>
        <v>#VALUE!</v>
      </c>
      <c r="E153" s="562" t="e">
        <f>SUMIFS('Recon of ORS and DV'!D:D,'Recon of ORS and DV'!B:B,'DV List'!A153)</f>
        <v>#VALUE!</v>
      </c>
      <c r="F153" s="276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2" t="e">
        <f>SUMIFS('[1]MAIN-101'!$Z$1:$Z$3000,'[1]MAIN-101'!$X$1:$X$3000,A154)</f>
        <v>#VALUE!</v>
      </c>
      <c r="E154" s="562" t="e">
        <f>SUMIFS('Recon of ORS and DV'!D:D,'Recon of ORS and DV'!B:B,'DV List'!A154)</f>
        <v>#VALUE!</v>
      </c>
      <c r="F154" s="276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2" t="e">
        <f>SUMIFS('[1]MAIN-101'!$Z$1:$Z$3000,'[1]MAIN-101'!$X$1:$X$3000,A155)</f>
        <v>#VALUE!</v>
      </c>
      <c r="E155" s="562" t="e">
        <f>SUMIFS('Recon of ORS and DV'!D:D,'Recon of ORS and DV'!B:B,'DV List'!A155)</f>
        <v>#VALUE!</v>
      </c>
      <c r="F155" s="276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2" t="e">
        <f>SUMIFS('[1]MAIN-101'!$Z$1:$Z$3000,'[1]MAIN-101'!$X$1:$X$3000,A156)</f>
        <v>#VALUE!</v>
      </c>
      <c r="E156" s="562" t="e">
        <f>SUMIFS('Recon of ORS and DV'!D:D,'Recon of ORS and DV'!B:B,'DV List'!A156)</f>
        <v>#VALUE!</v>
      </c>
      <c r="F156" s="276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2" t="e">
        <f>SUMIFS('[1]MAIN-101'!$Z$1:$Z$3000,'[1]MAIN-101'!$X$1:$X$3000,A157)</f>
        <v>#VALUE!</v>
      </c>
      <c r="E157" s="562" t="e">
        <f>SUMIFS('Recon of ORS and DV'!D:D,'Recon of ORS and DV'!B:B,'DV List'!A157)</f>
        <v>#VALUE!</v>
      </c>
      <c r="F157" s="276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2" t="e">
        <f>SUMIFS('[1]MAIN-101'!$Z$1:$Z$3000,'[1]MAIN-101'!$X$1:$X$3000,A158)</f>
        <v>#VALUE!</v>
      </c>
      <c r="E158" s="562" t="e">
        <f>SUMIFS('Recon of ORS and DV'!D:D,'Recon of ORS and DV'!B:B,'DV List'!A158)</f>
        <v>#VALUE!</v>
      </c>
      <c r="F158" s="276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2" t="e">
        <f>SUMIFS('[1]MAIN-101'!$Z$1:$Z$3000,'[1]MAIN-101'!$X$1:$X$3000,A159)</f>
        <v>#VALUE!</v>
      </c>
      <c r="E159" s="562" t="e">
        <f>SUMIFS('Recon of ORS and DV'!D:D,'Recon of ORS and DV'!B:B,'DV List'!A159)</f>
        <v>#VALUE!</v>
      </c>
      <c r="F159" s="276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2" t="e">
        <f>SUMIFS('[1]MAIN-101'!$Z$1:$Z$3000,'[1]MAIN-101'!$X$1:$X$3000,A160)</f>
        <v>#VALUE!</v>
      </c>
      <c r="E160" s="562" t="e">
        <f>SUMIFS('Recon of ORS and DV'!D:D,'Recon of ORS and DV'!B:B,'DV List'!A160)</f>
        <v>#VALUE!</v>
      </c>
      <c r="F160" s="276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2" t="e">
        <f>SUMIFS('[1]MAIN-101'!$Z$1:$Z$3000,'[1]MAIN-101'!$X$1:$X$3000,A161)</f>
        <v>#VALUE!</v>
      </c>
      <c r="E161" s="562" t="e">
        <f>SUMIFS('Recon of ORS and DV'!D:D,'Recon of ORS and DV'!B:B,'DV List'!A161)</f>
        <v>#VALUE!</v>
      </c>
      <c r="F161" s="276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2" t="e">
        <f>SUMIFS('[1]MAIN-101'!$Z$1:$Z$3000,'[1]MAIN-101'!$X$1:$X$3000,A162)</f>
        <v>#VALUE!</v>
      </c>
      <c r="E162" s="562" t="e">
        <f>SUMIFS('Recon of ORS and DV'!D:D,'Recon of ORS and DV'!B:B,'DV List'!A162)</f>
        <v>#VALUE!</v>
      </c>
      <c r="F162" s="276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2" t="e">
        <f>SUMIFS('[1]MAIN-101'!$Z$1:$Z$3000,'[1]MAIN-101'!$X$1:$X$3000,A163)</f>
        <v>#VALUE!</v>
      </c>
      <c r="E163" s="562">
        <f>SUMIFS('Recon of ORS and DV'!D:D,'Recon of ORS and DV'!B:B,'DV List'!A163)</f>
        <v>0</v>
      </c>
      <c r="F163" s="276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2" t="e">
        <f>SUMIFS('[1]MAIN-101'!$Z$1:$Z$3000,'[1]MAIN-101'!$X$1:$X$3000,A164)</f>
        <v>#VALUE!</v>
      </c>
      <c r="E164" s="562">
        <f>SUMIFS('Recon of ORS and DV'!D:D,'Recon of ORS and DV'!B:B,'DV List'!A164)</f>
        <v>0</v>
      </c>
      <c r="F164" s="276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2" t="e">
        <f>SUMIFS('[1]MAIN-101'!$Z$1:$Z$3000,'[1]MAIN-101'!$X$1:$X$3000,A165)</f>
        <v>#VALUE!</v>
      </c>
      <c r="E165" s="562">
        <f>SUMIFS('Recon of ORS and DV'!D:D,'Recon of ORS and DV'!B:B,'DV List'!A165)</f>
        <v>0</v>
      </c>
      <c r="F165" s="276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2" t="e">
        <f>SUMIFS('[1]MAIN-101'!$Z$1:$Z$3000,'[1]MAIN-101'!$X$1:$X$3000,A166)</f>
        <v>#VALUE!</v>
      </c>
      <c r="E166" s="562">
        <f>SUMIFS('Recon of ORS and DV'!D:D,'Recon of ORS and DV'!B:B,'DV List'!A166)</f>
        <v>0</v>
      </c>
      <c r="F166" s="276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2" t="e">
        <f>SUMIFS('[1]MAIN-101'!$Z$1:$Z$3000,'[1]MAIN-101'!$X$1:$X$3000,A167)</f>
        <v>#VALUE!</v>
      </c>
      <c r="E167" s="562" t="e">
        <f>SUMIFS('Recon of ORS and DV'!D:D,'Recon of ORS and DV'!B:B,'DV List'!A167)</f>
        <v>#VALUE!</v>
      </c>
      <c r="F167" s="276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2" t="e">
        <f>SUMIFS('[1]MAIN-101'!$Z$1:$Z$3000,'[1]MAIN-101'!$X$1:$X$3000,A168)</f>
        <v>#VALUE!</v>
      </c>
      <c r="E168" s="562" t="e">
        <f>SUMIFS('Recon of ORS and DV'!D:D,'Recon of ORS and DV'!B:B,'DV List'!A168)</f>
        <v>#VALUE!</v>
      </c>
      <c r="F168" s="276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2" t="e">
        <f>SUMIFS('[1]MAIN-101'!$Z$1:$Z$3000,'[1]MAIN-101'!$X$1:$X$3000,A169)</f>
        <v>#VALUE!</v>
      </c>
      <c r="E169" s="562">
        <f>SUMIFS('Recon of ORS and DV'!D:D,'Recon of ORS and DV'!B:B,'DV List'!A169)</f>
        <v>0</v>
      </c>
      <c r="F169" s="276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2" t="e">
        <f>SUMIFS('[1]MAIN-101'!$Z$1:$Z$3000,'[1]MAIN-101'!$X$1:$X$3000,A170)</f>
        <v>#VALUE!</v>
      </c>
      <c r="E170" s="562" t="e">
        <f>SUMIFS('Recon of ORS and DV'!D:D,'Recon of ORS and DV'!B:B,'DV List'!A170)</f>
        <v>#VALUE!</v>
      </c>
      <c r="F170" s="276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2" t="e">
        <f>SUMIFS('[1]MAIN-101'!$Z$1:$Z$3000,'[1]MAIN-101'!$X$1:$X$3000,A171)</f>
        <v>#VALUE!</v>
      </c>
      <c r="E171" s="562" t="e">
        <f>SUMIFS('Recon of ORS and DV'!D:D,'Recon of ORS and DV'!B:B,'DV List'!A171)</f>
        <v>#VALUE!</v>
      </c>
      <c r="F171" s="276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2" t="e">
        <f>SUMIFS('[1]MAIN-101'!$Z$1:$Z$3000,'[1]MAIN-101'!$X$1:$X$3000,A172)</f>
        <v>#VALUE!</v>
      </c>
      <c r="E172" s="562" t="e">
        <f>SUMIFS('Recon of ORS and DV'!D:D,'Recon of ORS and DV'!B:B,'DV List'!A172)</f>
        <v>#VALUE!</v>
      </c>
      <c r="F172" s="276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2" t="e">
        <f>SUMIFS('[1]MAIN-101'!$Z$1:$Z$3000,'[1]MAIN-101'!$X$1:$X$3000,A173)</f>
        <v>#VALUE!</v>
      </c>
      <c r="E173" s="562" t="e">
        <f>SUMIFS('Recon of ORS and DV'!D:D,'Recon of ORS and DV'!B:B,'DV List'!A173)</f>
        <v>#VALUE!</v>
      </c>
      <c r="F173" s="276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2" t="e">
        <f>SUMIFS('[1]MAIN-101'!$Z$1:$Z$3000,'[1]MAIN-101'!$X$1:$X$3000,A174)</f>
        <v>#VALUE!</v>
      </c>
      <c r="E174" s="562" t="e">
        <f>SUMIFS('Recon of ORS and DV'!D:D,'Recon of ORS and DV'!B:B,'DV List'!A174)</f>
        <v>#VALUE!</v>
      </c>
      <c r="F174" s="276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2" t="e">
        <f>SUMIFS('[1]MAIN-101'!$Z$1:$Z$3000,'[1]MAIN-101'!$X$1:$X$3000,A175)</f>
        <v>#VALUE!</v>
      </c>
      <c r="E175" s="562">
        <f>SUMIFS('Recon of ORS and DV'!D:D,'Recon of ORS and DV'!B:B,'DV List'!A175)</f>
        <v>0</v>
      </c>
      <c r="F175" s="276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2" t="e">
        <f>SUMIFS('[1]MAIN-101'!$Z$1:$Z$3000,'[1]MAIN-101'!$X$1:$X$3000,A176)</f>
        <v>#VALUE!</v>
      </c>
      <c r="E176" s="562">
        <f>SUMIFS('Recon of ORS and DV'!D:D,'Recon of ORS and DV'!B:B,'DV List'!A176)</f>
        <v>0</v>
      </c>
      <c r="F176" s="276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2" t="e">
        <f>SUMIFS('[1]MAIN-101'!$Z$1:$Z$3000,'[1]MAIN-101'!$X$1:$X$3000,A177)</f>
        <v>#VALUE!</v>
      </c>
      <c r="E177" s="562">
        <f>SUMIFS('Recon of ORS and DV'!D:D,'Recon of ORS and DV'!B:B,'DV List'!A177)</f>
        <v>0</v>
      </c>
      <c r="F177" s="276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2" t="e">
        <f>SUMIFS('[1]MAIN-101'!$Z$1:$Z$3000,'[1]MAIN-101'!$X$1:$X$3000,A178)</f>
        <v>#VALUE!</v>
      </c>
      <c r="E178" s="562">
        <f>SUMIFS('Recon of ORS and DV'!D:D,'Recon of ORS and DV'!B:B,'DV List'!A178)</f>
        <v>0</v>
      </c>
      <c r="F178" s="276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2" t="e">
        <f>SUMIFS('[1]MAIN-101'!$Z$1:$Z$3000,'[1]MAIN-101'!$X$1:$X$3000,A179)</f>
        <v>#VALUE!</v>
      </c>
      <c r="E179" s="562">
        <f>SUMIFS('Recon of ORS and DV'!D:D,'Recon of ORS and DV'!B:B,'DV List'!A179)</f>
        <v>0</v>
      </c>
      <c r="F179" s="276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2" t="e">
        <f>SUMIFS('[1]MAIN-101'!$Z$1:$Z$3000,'[1]MAIN-101'!$X$1:$X$3000,A180)</f>
        <v>#VALUE!</v>
      </c>
      <c r="E180" s="562" t="e">
        <f>SUMIFS('Recon of ORS and DV'!D:D,'Recon of ORS and DV'!B:B,'DV List'!A180)</f>
        <v>#VALUE!</v>
      </c>
      <c r="F180" s="276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2" t="e">
        <f>SUMIFS('[1]MAIN-101'!$Z$1:$Z$3000,'[1]MAIN-101'!$X$1:$X$3000,A181)</f>
        <v>#VALUE!</v>
      </c>
      <c r="E181" s="562" t="e">
        <f>SUMIFS('Recon of ORS and DV'!D:D,'Recon of ORS and DV'!B:B,'DV List'!A181)</f>
        <v>#VALUE!</v>
      </c>
      <c r="F181" s="276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2" t="e">
        <f>SUMIFS('[1]MAIN-101'!$Z$1:$Z$3000,'[1]MAIN-101'!$X$1:$X$3000,A182)</f>
        <v>#VALUE!</v>
      </c>
      <c r="E182" s="562" t="e">
        <f>SUMIFS('Recon of ORS and DV'!D:D,'Recon of ORS and DV'!B:B,'DV List'!A182)</f>
        <v>#VALUE!</v>
      </c>
      <c r="F182" s="276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2" t="e">
        <f>SUMIFS('[1]MAIN-101'!$Z$1:$Z$3000,'[1]MAIN-101'!$X$1:$X$3000,A183)</f>
        <v>#VALUE!</v>
      </c>
      <c r="E183" s="562">
        <f>SUMIFS('Recon of ORS and DV'!D:D,'Recon of ORS and DV'!B:B,'DV List'!A183)</f>
        <v>0</v>
      </c>
      <c r="F183" s="276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2" t="e">
        <f>SUMIFS('[1]MAIN-101'!$Z$1:$Z$3000,'[1]MAIN-101'!$X$1:$X$3000,A184)</f>
        <v>#VALUE!</v>
      </c>
      <c r="E184" s="562">
        <f>SUMIFS('Recon of ORS and DV'!D:D,'Recon of ORS and DV'!B:B,'DV List'!A184)</f>
        <v>0</v>
      </c>
      <c r="F184" s="276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2" t="e">
        <f>SUMIFS('[1]MAIN-101'!$Z$1:$Z$3000,'[1]MAIN-101'!$X$1:$X$3000,A185)</f>
        <v>#VALUE!</v>
      </c>
      <c r="E185" s="562">
        <f>SUMIFS('Recon of ORS and DV'!D:D,'Recon of ORS and DV'!B:B,'DV List'!A185)</f>
        <v>0</v>
      </c>
      <c r="F185" s="276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2" t="e">
        <f>SUMIFS('[1]MAIN-101'!$Z$1:$Z$3000,'[1]MAIN-101'!$X$1:$X$3000,A186)</f>
        <v>#VALUE!</v>
      </c>
      <c r="E186" s="562" t="e">
        <f>SUMIFS('Recon of ORS and DV'!D:D,'Recon of ORS and DV'!B:B,'DV List'!A186)</f>
        <v>#VALUE!</v>
      </c>
      <c r="F186" s="276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2" t="e">
        <f>SUMIFS('[1]MAIN-101'!$Z$1:$Z$3000,'[1]MAIN-101'!$X$1:$X$3000,A187)</f>
        <v>#VALUE!</v>
      </c>
      <c r="E187" s="562" t="e">
        <f>SUMIFS('Recon of ORS and DV'!D:D,'Recon of ORS and DV'!B:B,'DV List'!A187)</f>
        <v>#VALUE!</v>
      </c>
      <c r="F187" s="276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2" t="e">
        <f>SUMIFS('[1]MAIN-101'!$Z$1:$Z$3000,'[1]MAIN-101'!$X$1:$X$3000,A188)</f>
        <v>#VALUE!</v>
      </c>
      <c r="E188" s="562" t="e">
        <f>SUMIFS('Recon of ORS and DV'!D:D,'Recon of ORS and DV'!B:B,'DV List'!A188)</f>
        <v>#VALUE!</v>
      </c>
      <c r="F188" s="276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2" t="e">
        <f>SUMIFS('[1]MAIN-101'!$Z$1:$Z$3000,'[1]MAIN-101'!$X$1:$X$3000,A189)</f>
        <v>#VALUE!</v>
      </c>
      <c r="E189" s="562" t="e">
        <f>SUMIFS('Recon of ORS and DV'!D:D,'Recon of ORS and DV'!B:B,'DV List'!A189)</f>
        <v>#VALUE!</v>
      </c>
      <c r="F189" s="276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2" t="e">
        <f>SUMIFS('[1]MAIN-101'!$Z$1:$Z$3000,'[1]MAIN-101'!$X$1:$X$3000,A190)</f>
        <v>#VALUE!</v>
      </c>
      <c r="E190" s="562" t="e">
        <f>SUMIFS('Recon of ORS and DV'!D:D,'Recon of ORS and DV'!B:B,'DV List'!A190)</f>
        <v>#VALUE!</v>
      </c>
      <c r="F190" s="276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2" t="e">
        <f>SUMIFS('[1]MAIN-101'!$Z$1:$Z$3000,'[1]MAIN-101'!$X$1:$X$3000,A191)</f>
        <v>#VALUE!</v>
      </c>
      <c r="E191" s="562" t="e">
        <f>SUMIFS('Recon of ORS and DV'!D:D,'Recon of ORS and DV'!B:B,'DV List'!A191)</f>
        <v>#VALUE!</v>
      </c>
      <c r="F191" s="276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2" t="e">
        <f>SUMIFS('[1]MAIN-101'!$Z$1:$Z$3000,'[1]MAIN-101'!$X$1:$X$3000,A192)</f>
        <v>#VALUE!</v>
      </c>
      <c r="E192" s="562">
        <f>SUMIFS('Recon of ORS and DV'!D:D,'Recon of ORS and DV'!B:B,'DV List'!A192)</f>
        <v>0</v>
      </c>
      <c r="F192" s="276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2" t="e">
        <f>SUMIFS('[1]MAIN-101'!$Z$1:$Z$3000,'[1]MAIN-101'!$X$1:$X$3000,A193)</f>
        <v>#VALUE!</v>
      </c>
      <c r="E193" s="562">
        <f>SUMIFS('Recon of ORS and DV'!D:D,'Recon of ORS and DV'!B:B,'DV List'!A193)</f>
        <v>0</v>
      </c>
      <c r="F193" s="276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2" t="e">
        <f>SUMIFS('[1]MAIN-101'!$Z$1:$Z$3000,'[1]MAIN-101'!$X$1:$X$3000,A194)</f>
        <v>#VALUE!</v>
      </c>
      <c r="E194" s="562">
        <f>SUMIFS('Recon of ORS and DV'!D:D,'Recon of ORS and DV'!B:B,'DV List'!A194)</f>
        <v>0</v>
      </c>
      <c r="F194" s="276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2" t="e">
        <f>SUMIFS('[1]MAIN-101'!$Z$1:$Z$3000,'[1]MAIN-101'!$X$1:$X$3000,A195)</f>
        <v>#VALUE!</v>
      </c>
      <c r="E195" s="562" t="e">
        <f>SUMIFS('Recon of ORS and DV'!D:D,'Recon of ORS and DV'!B:B,'DV List'!A195)</f>
        <v>#VALUE!</v>
      </c>
      <c r="F195" s="276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2" t="e">
        <f>SUMIFS('[1]MAIN-101'!$Z$1:$Z$3000,'[1]MAIN-101'!$X$1:$X$3000,A196)</f>
        <v>#VALUE!</v>
      </c>
      <c r="E196" s="562" t="e">
        <f>SUMIFS('Recon of ORS and DV'!D:D,'Recon of ORS and DV'!B:B,'DV List'!A196)</f>
        <v>#VALUE!</v>
      </c>
      <c r="F196" s="276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2" t="e">
        <f>SUMIFS('[1]MAIN-101'!$Z$1:$Z$3000,'[1]MAIN-101'!$X$1:$X$3000,A197)</f>
        <v>#VALUE!</v>
      </c>
      <c r="E197" s="562" t="e">
        <f>SUMIFS('Recon of ORS and DV'!D:D,'Recon of ORS and DV'!B:B,'DV List'!A197)</f>
        <v>#VALUE!</v>
      </c>
      <c r="F197" s="276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2" t="e">
        <f>SUMIFS('[1]MAIN-101'!$Z$1:$Z$3000,'[1]MAIN-101'!$X$1:$X$3000,A198)</f>
        <v>#VALUE!</v>
      </c>
      <c r="E198" s="562" t="e">
        <f>SUMIFS('Recon of ORS and DV'!D:D,'Recon of ORS and DV'!B:B,'DV List'!A198)</f>
        <v>#VALUE!</v>
      </c>
      <c r="F198" s="276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2" t="e">
        <f>SUMIFS('[1]MAIN-101'!$Z$1:$Z$3000,'[1]MAIN-101'!$X$1:$X$3000,A199)</f>
        <v>#VALUE!</v>
      </c>
      <c r="E199" s="562" t="e">
        <f>SUMIFS('Recon of ORS and DV'!D:D,'Recon of ORS and DV'!B:B,'DV List'!A199)</f>
        <v>#VALUE!</v>
      </c>
      <c r="F199" s="276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2" t="e">
        <f>SUMIFS('[1]MAIN-101'!$Z$1:$Z$3000,'[1]MAIN-101'!$X$1:$X$3000,A200)</f>
        <v>#VALUE!</v>
      </c>
      <c r="E200" s="562" t="e">
        <f>SUMIFS('Recon of ORS and DV'!D:D,'Recon of ORS and DV'!B:B,'DV List'!A200)</f>
        <v>#VALUE!</v>
      </c>
      <c r="F200" s="276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2" t="e">
        <f>SUMIFS('[1]MAIN-101'!$Z$1:$Z$3000,'[1]MAIN-101'!$X$1:$X$3000,A201)</f>
        <v>#VALUE!</v>
      </c>
      <c r="E201" s="562" t="e">
        <f>SUMIFS('Recon of ORS and DV'!D:D,'Recon of ORS and DV'!B:B,'DV List'!A201)</f>
        <v>#VALUE!</v>
      </c>
      <c r="F201" s="276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2" t="e">
        <f>SUMIFS('[1]MAIN-101'!$Z$1:$Z$3000,'[1]MAIN-101'!$X$1:$X$3000,A202)</f>
        <v>#VALUE!</v>
      </c>
      <c r="E202" s="562" t="e">
        <f>SUMIFS('Recon of ORS and DV'!D:D,'Recon of ORS and DV'!B:B,'DV List'!A202)</f>
        <v>#VALUE!</v>
      </c>
      <c r="F202" s="276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2" t="e">
        <f>SUMIFS('[1]MAIN-101'!$Z$1:$Z$3000,'[1]MAIN-101'!$X$1:$X$3000,A203)</f>
        <v>#VALUE!</v>
      </c>
      <c r="E203" s="562" t="e">
        <f>SUMIFS('Recon of ORS and DV'!D:D,'Recon of ORS and DV'!B:B,'DV List'!A203)</f>
        <v>#VALUE!</v>
      </c>
      <c r="F203" s="276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2" t="e">
        <f>SUMIFS('[1]MAIN-101'!$Z$1:$Z$3000,'[1]MAIN-101'!$X$1:$X$3000,A204)</f>
        <v>#VALUE!</v>
      </c>
      <c r="E204" s="562" t="e">
        <f>SUMIFS('Recon of ORS and DV'!D:D,'Recon of ORS and DV'!B:B,'DV List'!A204)</f>
        <v>#VALUE!</v>
      </c>
      <c r="F204" s="276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2" t="e">
        <f>SUMIFS('[1]MAIN-101'!$Z$1:$Z$3000,'[1]MAIN-101'!$X$1:$X$3000,A205)</f>
        <v>#VALUE!</v>
      </c>
      <c r="E205" s="562" t="e">
        <f>SUMIFS('Recon of ORS and DV'!D:D,'Recon of ORS and DV'!B:B,'DV List'!A205)</f>
        <v>#VALUE!</v>
      </c>
      <c r="F205" s="276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2" t="e">
        <f>SUMIFS('[1]MAIN-101'!$Z$1:$Z$3000,'[1]MAIN-101'!$X$1:$X$3000,A206)</f>
        <v>#VALUE!</v>
      </c>
      <c r="E206" s="562" t="e">
        <f>SUMIFS('Recon of ORS and DV'!D:D,'Recon of ORS and DV'!B:B,'DV List'!A206)</f>
        <v>#VALUE!</v>
      </c>
      <c r="F206" s="276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2" t="e">
        <f>SUMIFS('[1]MAIN-101'!$Z$1:$Z$3000,'[1]MAIN-101'!$X$1:$X$3000,A207)</f>
        <v>#VALUE!</v>
      </c>
      <c r="E207" s="562" t="e">
        <f>SUMIFS('Recon of ORS and DV'!D:D,'Recon of ORS and DV'!B:B,'DV List'!A207)</f>
        <v>#VALUE!</v>
      </c>
      <c r="F207" s="276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2" t="e">
        <f>SUMIFS('[1]MAIN-101'!$Z$1:$Z$3000,'[1]MAIN-101'!$X$1:$X$3000,A208)</f>
        <v>#VALUE!</v>
      </c>
      <c r="E208" s="562" t="e">
        <f>SUMIFS('Recon of ORS and DV'!D:D,'Recon of ORS and DV'!B:B,'DV List'!A208)</f>
        <v>#VALUE!</v>
      </c>
      <c r="F208" s="276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2" t="e">
        <f>SUMIFS('[1]MAIN-101'!$Z$1:$Z$3000,'[1]MAIN-101'!$X$1:$X$3000,A209)</f>
        <v>#VALUE!</v>
      </c>
      <c r="E209" s="562" t="e">
        <f>SUMIFS('Recon of ORS and DV'!D:D,'Recon of ORS and DV'!B:B,'DV List'!A209)</f>
        <v>#VALUE!</v>
      </c>
      <c r="F209" s="276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2" t="e">
        <f>SUMIFS('[1]MAIN-101'!$Z$1:$Z$3000,'[1]MAIN-101'!$X$1:$X$3000,A210)</f>
        <v>#VALUE!</v>
      </c>
      <c r="E210" s="562" t="e">
        <f>SUMIFS('Recon of ORS and DV'!D:D,'Recon of ORS and DV'!B:B,'DV List'!A210)</f>
        <v>#VALUE!</v>
      </c>
      <c r="F210" s="276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2" t="e">
        <f>SUMIFS('[1]MAIN-101'!$Z$1:$Z$3000,'[1]MAIN-101'!$X$1:$X$3000,A211)</f>
        <v>#VALUE!</v>
      </c>
      <c r="E211" s="562" t="e">
        <f>SUMIFS('Recon of ORS and DV'!D:D,'Recon of ORS and DV'!B:B,'DV List'!A211)</f>
        <v>#VALUE!</v>
      </c>
      <c r="F211" s="276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2" t="e">
        <f>SUMIFS('[1]MAIN-101'!$Z$1:$Z$3000,'[1]MAIN-101'!$X$1:$X$3000,A212)</f>
        <v>#VALUE!</v>
      </c>
      <c r="E212" s="562" t="e">
        <f>SUMIFS('Recon of ORS and DV'!D:D,'Recon of ORS and DV'!B:B,'DV List'!A212)</f>
        <v>#VALUE!</v>
      </c>
      <c r="F212" s="276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2" t="e">
        <f>SUMIFS('[1]MAIN-101'!$Z$1:$Z$3000,'[1]MAIN-101'!$X$1:$X$3000,A213)</f>
        <v>#VALUE!</v>
      </c>
      <c r="E213" s="562" t="e">
        <f>SUMIFS('Recon of ORS and DV'!D:D,'Recon of ORS and DV'!B:B,'DV List'!A213)</f>
        <v>#VALUE!</v>
      </c>
      <c r="F213" s="276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2" t="e">
        <f>SUMIFS('[1]MAIN-101'!$Z$1:$Z$3000,'[1]MAIN-101'!$X$1:$X$3000,A214)</f>
        <v>#VALUE!</v>
      </c>
      <c r="E214" s="562" t="e">
        <f>SUMIFS('Recon of ORS and DV'!D:D,'Recon of ORS and DV'!B:B,'DV List'!A214)</f>
        <v>#VALUE!</v>
      </c>
      <c r="F214" s="276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2" t="e">
        <f>SUMIFS('[1]MAIN-101'!$Z$1:$Z$3000,'[1]MAIN-101'!$X$1:$X$3000,A215)</f>
        <v>#VALUE!</v>
      </c>
      <c r="E215" s="562" t="e">
        <f>SUMIFS('Recon of ORS and DV'!D:D,'Recon of ORS and DV'!B:B,'DV List'!A215)</f>
        <v>#VALUE!</v>
      </c>
      <c r="F215" s="276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2" t="e">
        <f>SUMIFS('[1]MAIN-101'!$Z$1:$Z$3000,'[1]MAIN-101'!$X$1:$X$3000,A216)</f>
        <v>#VALUE!</v>
      </c>
      <c r="E216" s="562" t="e">
        <f>SUMIFS('Recon of ORS and DV'!D:D,'Recon of ORS and DV'!B:B,'DV List'!A216)</f>
        <v>#VALUE!</v>
      </c>
      <c r="F216" s="276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2" t="e">
        <f>SUMIFS('[1]MAIN-101'!$Z$1:$Z$3000,'[1]MAIN-101'!$X$1:$X$3000,A217)</f>
        <v>#VALUE!</v>
      </c>
      <c r="E217" s="562" t="e">
        <f>SUMIFS('Recon of ORS and DV'!D:D,'Recon of ORS and DV'!B:B,'DV List'!A217)</f>
        <v>#VALUE!</v>
      </c>
      <c r="F217" s="276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2" t="e">
        <f>SUMIFS('[1]MAIN-101'!$Z$1:$Z$3000,'[1]MAIN-101'!$X$1:$X$3000,A218)</f>
        <v>#VALUE!</v>
      </c>
      <c r="E218" s="562" t="e">
        <f>SUMIFS('Recon of ORS and DV'!D:D,'Recon of ORS and DV'!B:B,'DV List'!A218)</f>
        <v>#VALUE!</v>
      </c>
      <c r="F218" s="276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2" t="e">
        <f>SUMIFS('[1]MAIN-101'!$Z$1:$Z$3000,'[1]MAIN-101'!$X$1:$X$3000,A219)</f>
        <v>#VALUE!</v>
      </c>
      <c r="E219" s="562" t="e">
        <f>SUMIFS('Recon of ORS and DV'!D:D,'Recon of ORS and DV'!B:B,'DV List'!A219)</f>
        <v>#VALUE!</v>
      </c>
      <c r="F219" s="276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2" t="e">
        <f>SUMIFS('[1]MAIN-101'!$Z$1:$Z$3000,'[1]MAIN-101'!$X$1:$X$3000,A220)</f>
        <v>#VALUE!</v>
      </c>
      <c r="E220" s="562" t="e">
        <f>SUMIFS('Recon of ORS and DV'!D:D,'Recon of ORS and DV'!B:B,'DV List'!A220)</f>
        <v>#VALUE!</v>
      </c>
      <c r="F220" s="276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2" t="e">
        <f>SUMIFS('[1]MAIN-101'!$Z$1:$Z$3000,'[1]MAIN-101'!$X$1:$X$3000,A221)</f>
        <v>#VALUE!</v>
      </c>
      <c r="E221" s="562">
        <f>SUMIFS('Recon of ORS and DV'!D:D,'Recon of ORS and DV'!B:B,'DV List'!A221)</f>
        <v>0</v>
      </c>
      <c r="F221" s="276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2" t="e">
        <f>SUMIFS('[1]MAIN-101'!$Z$1:$Z$3000,'[1]MAIN-101'!$X$1:$X$3000,A222)</f>
        <v>#VALUE!</v>
      </c>
      <c r="E222" s="562" t="e">
        <f>SUMIFS('Recon of ORS and DV'!D:D,'Recon of ORS and DV'!B:B,'DV List'!A222)</f>
        <v>#VALUE!</v>
      </c>
      <c r="F222" s="276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2" t="e">
        <f>SUMIFS('[1]MAIN-101'!$Z$1:$Z$3000,'[1]MAIN-101'!$X$1:$X$3000,A223)</f>
        <v>#VALUE!</v>
      </c>
      <c r="E223" s="562" t="e">
        <f>SUMIFS('Recon of ORS and DV'!D:D,'Recon of ORS and DV'!B:B,'DV List'!A223)</f>
        <v>#VALUE!</v>
      </c>
      <c r="F223" s="276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2" t="e">
        <f>SUMIFS('[1]MAIN-101'!$Z$1:$Z$3000,'[1]MAIN-101'!$X$1:$X$3000,A224)</f>
        <v>#VALUE!</v>
      </c>
      <c r="E224" s="562" t="e">
        <f>SUMIFS('Recon of ORS and DV'!D:D,'Recon of ORS and DV'!B:B,'DV List'!A224)</f>
        <v>#VALUE!</v>
      </c>
      <c r="F224" s="276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2" t="e">
        <f>SUMIFS('[1]MAIN-101'!$Z$1:$Z$3000,'[1]MAIN-101'!$X$1:$X$3000,A225)</f>
        <v>#VALUE!</v>
      </c>
      <c r="E225" s="562" t="e">
        <f>SUMIFS('Recon of ORS and DV'!D:D,'Recon of ORS and DV'!B:B,'DV List'!A225)</f>
        <v>#VALUE!</v>
      </c>
      <c r="F225" s="276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2" t="e">
        <f>SUMIFS('[1]MAIN-101'!$Z$1:$Z$3000,'[1]MAIN-101'!$X$1:$X$3000,A226)</f>
        <v>#VALUE!</v>
      </c>
      <c r="E226" s="562" t="e">
        <f>SUMIFS('Recon of ORS and DV'!D:D,'Recon of ORS and DV'!B:B,'DV List'!A226)</f>
        <v>#VALUE!</v>
      </c>
      <c r="F226" s="276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2" t="e">
        <f>SUMIFS('[1]MAIN-101'!$Z$1:$Z$3000,'[1]MAIN-101'!$X$1:$X$3000,A227)</f>
        <v>#VALUE!</v>
      </c>
      <c r="E227" s="562" t="e">
        <f>SUMIFS('Recon of ORS and DV'!D:D,'Recon of ORS and DV'!B:B,'DV List'!A227)</f>
        <v>#VALUE!</v>
      </c>
      <c r="F227" s="276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2" t="e">
        <f>SUMIFS('[1]MAIN-101'!$Z$1:$Z$3000,'[1]MAIN-101'!$X$1:$X$3000,A228)</f>
        <v>#VALUE!</v>
      </c>
      <c r="E228" s="562">
        <f>SUMIFS('Recon of ORS and DV'!D:D,'Recon of ORS and DV'!B:B,'DV List'!A228)</f>
        <v>0</v>
      </c>
      <c r="F228" s="276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2" t="e">
        <f>SUMIFS('[1]MAIN-101'!$Z$1:$Z$3000,'[1]MAIN-101'!$X$1:$X$3000,A229)</f>
        <v>#VALUE!</v>
      </c>
      <c r="E229" s="562" t="e">
        <f>SUMIFS('Recon of ORS and DV'!D:D,'Recon of ORS and DV'!B:B,'DV List'!A229)</f>
        <v>#VALUE!</v>
      </c>
      <c r="F229" s="276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2" t="e">
        <f>SUMIFS('[1]MAIN-101'!$Z$1:$Z$3000,'[1]MAIN-101'!$X$1:$X$3000,A230)</f>
        <v>#VALUE!</v>
      </c>
      <c r="E230" s="562" t="e">
        <f>SUMIFS('Recon of ORS and DV'!D:D,'Recon of ORS and DV'!B:B,'DV List'!A230)</f>
        <v>#VALUE!</v>
      </c>
      <c r="F230" s="276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2" t="e">
        <f>SUMIFS('[1]MAIN-101'!$Z$1:$Z$3000,'[1]MAIN-101'!$X$1:$X$3000,A231)</f>
        <v>#VALUE!</v>
      </c>
      <c r="E231" s="562" t="e">
        <f>SUMIFS('Recon of ORS and DV'!D:D,'Recon of ORS and DV'!B:B,'DV List'!A231)</f>
        <v>#VALUE!</v>
      </c>
      <c r="F231" s="276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2" t="e">
        <f>SUMIFS('[1]MAIN-101'!$Z$1:$Z$3000,'[1]MAIN-101'!$X$1:$X$3000,A232)</f>
        <v>#VALUE!</v>
      </c>
      <c r="E232" s="562" t="e">
        <f>SUMIFS('Recon of ORS and DV'!D:D,'Recon of ORS and DV'!B:B,'DV List'!A232)</f>
        <v>#VALUE!</v>
      </c>
      <c r="F232" s="276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2" t="e">
        <f>SUMIFS('[1]MAIN-101'!$Z$1:$Z$3000,'[1]MAIN-101'!$X$1:$X$3000,A233)</f>
        <v>#VALUE!</v>
      </c>
      <c r="E233" s="562" t="e">
        <f>SUMIFS('Recon of ORS and DV'!D:D,'Recon of ORS and DV'!B:B,'DV List'!A233)</f>
        <v>#VALUE!</v>
      </c>
      <c r="F233" s="276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2" t="e">
        <f>SUMIFS('[1]MAIN-101'!$Z$1:$Z$3000,'[1]MAIN-101'!$X$1:$X$3000,A234)</f>
        <v>#VALUE!</v>
      </c>
      <c r="E234" s="562" t="e">
        <f>SUMIFS('Recon of ORS and DV'!D:D,'Recon of ORS and DV'!B:B,'DV List'!A234)</f>
        <v>#VALUE!</v>
      </c>
      <c r="F234" s="276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2" t="e">
        <f>SUMIFS('[1]MAIN-101'!$Z$1:$Z$3000,'[1]MAIN-101'!$X$1:$X$3000,A235)</f>
        <v>#VALUE!</v>
      </c>
      <c r="E235" s="562" t="e">
        <f>SUMIFS('Recon of ORS and DV'!D:D,'Recon of ORS and DV'!B:B,'DV List'!A235)</f>
        <v>#VALUE!</v>
      </c>
      <c r="F235" s="276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2" t="e">
        <f>SUMIFS('[1]MAIN-101'!$Z$1:$Z$3000,'[1]MAIN-101'!$X$1:$X$3000,A236)</f>
        <v>#VALUE!</v>
      </c>
      <c r="E236" s="562" t="e">
        <f>SUMIFS('Recon of ORS and DV'!D:D,'Recon of ORS and DV'!B:B,'DV List'!A236)</f>
        <v>#VALUE!</v>
      </c>
      <c r="F236" s="276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2" t="e">
        <f>SUMIFS('[1]MAIN-101'!$Z$1:$Z$3000,'[1]MAIN-101'!$X$1:$X$3000,A237)</f>
        <v>#VALUE!</v>
      </c>
      <c r="E237" s="562" t="e">
        <f>SUMIFS('Recon of ORS and DV'!D:D,'Recon of ORS and DV'!B:B,'DV List'!A237)</f>
        <v>#VALUE!</v>
      </c>
      <c r="F237" s="276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2" t="e">
        <f>SUMIFS('[1]MAIN-101'!$Z$1:$Z$3000,'[1]MAIN-101'!$X$1:$X$3000,A238)</f>
        <v>#VALUE!</v>
      </c>
      <c r="E238" s="562" t="e">
        <f>SUMIFS('Recon of ORS and DV'!D:D,'Recon of ORS and DV'!B:B,'DV List'!A238)</f>
        <v>#VALUE!</v>
      </c>
      <c r="F238" s="276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2" t="e">
        <f>SUMIFS('[1]MAIN-101'!$Z$1:$Z$3000,'[1]MAIN-101'!$X$1:$X$3000,A239)</f>
        <v>#VALUE!</v>
      </c>
      <c r="E239" s="562" t="e">
        <f>SUMIFS('Recon of ORS and DV'!D:D,'Recon of ORS and DV'!B:B,'DV List'!A239)</f>
        <v>#VALUE!</v>
      </c>
      <c r="F239" s="276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2" t="e">
        <f>SUMIFS('[1]MAIN-101'!$Z$1:$Z$3000,'[1]MAIN-101'!$X$1:$X$3000,A240)</f>
        <v>#VALUE!</v>
      </c>
      <c r="E240" s="562" t="e">
        <f>SUMIFS('Recon of ORS and DV'!D:D,'Recon of ORS and DV'!B:B,'DV List'!A240)</f>
        <v>#VALUE!</v>
      </c>
      <c r="F240" s="276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2" t="e">
        <f>SUMIFS('[1]MAIN-101'!$Z$1:$Z$3000,'[1]MAIN-101'!$X$1:$X$3000,A241)</f>
        <v>#VALUE!</v>
      </c>
      <c r="E241" s="562" t="e">
        <f>SUMIFS('Recon of ORS and DV'!D:D,'Recon of ORS and DV'!B:B,'DV List'!A241)</f>
        <v>#VALUE!</v>
      </c>
      <c r="F241" s="276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2" t="e">
        <f>SUMIFS('[1]MAIN-101'!$Z$1:$Z$3000,'[1]MAIN-101'!$X$1:$X$3000,A242)</f>
        <v>#VALUE!</v>
      </c>
      <c r="E242" s="562" t="e">
        <f>SUMIFS('Recon of ORS and DV'!D:D,'Recon of ORS and DV'!B:B,'DV List'!A242)</f>
        <v>#VALUE!</v>
      </c>
      <c r="F242" s="276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2" t="e">
        <f>SUMIFS('[1]MAIN-101'!$Z$1:$Z$3000,'[1]MAIN-101'!$X$1:$X$3000,A243)</f>
        <v>#VALUE!</v>
      </c>
      <c r="E243" s="562" t="e">
        <f>SUMIFS('Recon of ORS and DV'!D:D,'Recon of ORS and DV'!B:B,'DV List'!A243)</f>
        <v>#VALUE!</v>
      </c>
      <c r="F243" s="276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2" t="e">
        <f>SUMIFS('[1]MAIN-101'!$Z$1:$Z$3000,'[1]MAIN-101'!$X$1:$X$3000,A244)</f>
        <v>#VALUE!</v>
      </c>
      <c r="E244" s="562" t="e">
        <f>SUMIFS('Recon of ORS and DV'!D:D,'Recon of ORS and DV'!B:B,'DV List'!A244)</f>
        <v>#VALUE!</v>
      </c>
      <c r="F244" s="276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2" t="e">
        <f>SUMIFS('[1]MAIN-101'!$Z$1:$Z$3000,'[1]MAIN-101'!$X$1:$X$3000,A245)</f>
        <v>#VALUE!</v>
      </c>
      <c r="E245" s="562" t="e">
        <f>SUMIFS('Recon of ORS and DV'!D:D,'Recon of ORS and DV'!B:B,'DV List'!A245)</f>
        <v>#VALUE!</v>
      </c>
      <c r="F245" s="276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2" t="e">
        <f>SUMIFS('[1]MAIN-101'!$Z$1:$Z$3000,'[1]MAIN-101'!$X$1:$X$3000,A246)</f>
        <v>#VALUE!</v>
      </c>
      <c r="E246" s="562">
        <f>SUMIFS('Recon of ORS and DV'!D:D,'Recon of ORS and DV'!B:B,'DV List'!A246)</f>
        <v>0</v>
      </c>
      <c r="F246" s="276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2" t="e">
        <f>SUMIFS('[1]MAIN-101'!$Z$1:$Z$3000,'[1]MAIN-101'!$X$1:$X$3000,A247)</f>
        <v>#VALUE!</v>
      </c>
      <c r="E247" s="562">
        <f>SUMIFS('Recon of ORS and DV'!D:D,'Recon of ORS and DV'!B:B,'DV List'!A247)</f>
        <v>0</v>
      </c>
      <c r="F247" s="276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2" t="e">
        <f>SUMIFS('[1]MAIN-101'!$Z$1:$Z$3000,'[1]MAIN-101'!$X$1:$X$3000,A248)</f>
        <v>#VALUE!</v>
      </c>
      <c r="E248" s="562">
        <f>SUMIFS('Recon of ORS and DV'!D:D,'Recon of ORS and DV'!B:B,'DV List'!A248)</f>
        <v>0</v>
      </c>
      <c r="F248" s="276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2" t="e">
        <f>SUMIFS('[1]MAIN-101'!$Z$1:$Z$3000,'[1]MAIN-101'!$X$1:$X$3000,A249)</f>
        <v>#VALUE!</v>
      </c>
      <c r="E249" s="562" t="e">
        <f>SUMIFS('Recon of ORS and DV'!D:D,'Recon of ORS and DV'!B:B,'DV List'!A249)</f>
        <v>#VALUE!</v>
      </c>
      <c r="F249" s="276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2" t="e">
        <f>SUMIFS('[1]MAIN-101'!$Z$1:$Z$3000,'[1]MAIN-101'!$X$1:$X$3000,A250)</f>
        <v>#VALUE!</v>
      </c>
      <c r="E250" s="562" t="e">
        <f>SUMIFS('Recon of ORS and DV'!D:D,'Recon of ORS and DV'!B:B,'DV List'!A250)</f>
        <v>#VALUE!</v>
      </c>
      <c r="F250" s="276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2" t="e">
        <f>SUMIFS('[1]MAIN-101'!$Z$1:$Z$3000,'[1]MAIN-101'!$X$1:$X$3000,A251)</f>
        <v>#VALUE!</v>
      </c>
      <c r="E251" s="562">
        <f>SUMIFS('Recon of ORS and DV'!D:D,'Recon of ORS and DV'!B:B,'DV List'!A251)</f>
        <v>0</v>
      </c>
      <c r="F251" s="276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2" t="e">
        <f>SUMIFS('[1]MAIN-101'!$Z$1:$Z$3000,'[1]MAIN-101'!$X$1:$X$3000,A252)</f>
        <v>#VALUE!</v>
      </c>
      <c r="E252" s="562" t="e">
        <f>SUMIFS('Recon of ORS and DV'!D:D,'Recon of ORS and DV'!B:B,'DV List'!A252)</f>
        <v>#VALUE!</v>
      </c>
      <c r="F252" s="276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2" t="e">
        <f>SUMIFS('[1]MAIN-101'!$Z$1:$Z$3000,'[1]MAIN-101'!$X$1:$X$3000,A253)</f>
        <v>#VALUE!</v>
      </c>
      <c r="E253" s="562" t="e">
        <f>SUMIFS('Recon of ORS and DV'!D:D,'Recon of ORS and DV'!B:B,'DV List'!A253)</f>
        <v>#VALUE!</v>
      </c>
      <c r="F253" s="276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2" t="e">
        <f>SUMIFS('[1]MAIN-101'!$Z$1:$Z$3000,'[1]MAIN-101'!$X$1:$X$3000,A254)</f>
        <v>#VALUE!</v>
      </c>
      <c r="E254" s="562" t="e">
        <f>SUMIFS('Recon of ORS and DV'!D:D,'Recon of ORS and DV'!B:B,'DV List'!A254)</f>
        <v>#VALUE!</v>
      </c>
      <c r="F254" s="276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2" t="e">
        <f>SUMIFS('[1]MAIN-101'!$Z$1:$Z$3000,'[1]MAIN-101'!$X$1:$X$3000,A255)</f>
        <v>#VALUE!</v>
      </c>
      <c r="E255" s="562" t="e">
        <f>SUMIFS('Recon of ORS and DV'!D:D,'Recon of ORS and DV'!B:B,'DV List'!A255)</f>
        <v>#VALUE!</v>
      </c>
      <c r="F255" s="276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2" t="e">
        <f>SUMIFS('[1]MAIN-101'!$Z$1:$Z$3000,'[1]MAIN-101'!$X$1:$X$3000,A256)</f>
        <v>#VALUE!</v>
      </c>
      <c r="E256" s="562" t="e">
        <f>SUMIFS('Recon of ORS and DV'!D:D,'Recon of ORS and DV'!B:B,'DV List'!A256)</f>
        <v>#VALUE!</v>
      </c>
      <c r="F256" s="276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2" t="e">
        <f>SUMIFS('[1]MAIN-101'!$Z$1:$Z$3000,'[1]MAIN-101'!$X$1:$X$3000,A257)</f>
        <v>#VALUE!</v>
      </c>
      <c r="E257" s="562" t="e">
        <f>SUMIFS('Recon of ORS and DV'!D:D,'Recon of ORS and DV'!B:B,'DV List'!A257)</f>
        <v>#VALUE!</v>
      </c>
      <c r="F257" s="276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2" t="e">
        <f>SUMIFS('[1]MAIN-101'!$Z$1:$Z$3000,'[1]MAIN-101'!$X$1:$X$3000,A258)</f>
        <v>#VALUE!</v>
      </c>
      <c r="E258" s="562" t="e">
        <f>SUMIFS('Recon of ORS and DV'!D:D,'Recon of ORS and DV'!B:B,'DV List'!A258)</f>
        <v>#VALUE!</v>
      </c>
      <c r="F258" s="276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2" t="e">
        <f>SUMIFS('[1]MAIN-101'!$Z$1:$Z$3000,'[1]MAIN-101'!$X$1:$X$3000,A259)</f>
        <v>#VALUE!</v>
      </c>
      <c r="E259" s="562">
        <f>SUMIFS('Recon of ORS and DV'!D:D,'Recon of ORS and DV'!B:B,'DV List'!A259)</f>
        <v>0</v>
      </c>
      <c r="F259" s="276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2" t="e">
        <f>SUMIFS('[1]MAIN-101'!$Z$1:$Z$3000,'[1]MAIN-101'!$X$1:$X$3000,A260)</f>
        <v>#VALUE!</v>
      </c>
      <c r="E260" s="562">
        <f>SUMIFS('Recon of ORS and DV'!D:D,'Recon of ORS and DV'!B:B,'DV List'!A260)</f>
        <v>0</v>
      </c>
      <c r="F260" s="276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2" t="e">
        <f>SUMIFS('[1]MAIN-101'!$Z$1:$Z$3000,'[1]MAIN-101'!$X$1:$X$3000,A261)</f>
        <v>#VALUE!</v>
      </c>
      <c r="E261" s="562">
        <f>SUMIFS('Recon of ORS and DV'!D:D,'Recon of ORS and DV'!B:B,'DV List'!A261)</f>
        <v>0</v>
      </c>
      <c r="F261" s="276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2" t="e">
        <f>SUMIFS('[1]MAIN-101'!$Z$1:$Z$3000,'[1]MAIN-101'!$X$1:$X$3000,A262)</f>
        <v>#VALUE!</v>
      </c>
      <c r="E262" s="562">
        <f>SUMIFS('Recon of ORS and DV'!D:D,'Recon of ORS and DV'!B:B,'DV List'!A262)</f>
        <v>0</v>
      </c>
      <c r="F262" s="276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2" t="e">
        <f>SUMIFS('[1]MAIN-101'!$Z$1:$Z$3000,'[1]MAIN-101'!$X$1:$X$3000,A263)</f>
        <v>#VALUE!</v>
      </c>
      <c r="E263" s="562">
        <f>SUMIFS('Recon of ORS and DV'!D:D,'Recon of ORS and DV'!B:B,'DV List'!A263)</f>
        <v>0</v>
      </c>
      <c r="F263" s="276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2" t="e">
        <f>SUMIFS('[1]MAIN-101'!$Z$1:$Z$3000,'[1]MAIN-101'!$X$1:$X$3000,A264)</f>
        <v>#VALUE!</v>
      </c>
      <c r="E264" s="562">
        <f>SUMIFS('Recon of ORS and DV'!D:D,'Recon of ORS and DV'!B:B,'DV List'!A264)</f>
        <v>0</v>
      </c>
      <c r="F264" s="276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2" t="e">
        <f>SUMIFS('[1]MAIN-101'!$Z$1:$Z$3000,'[1]MAIN-101'!$X$1:$X$3000,A265)</f>
        <v>#VALUE!</v>
      </c>
      <c r="E265" s="562">
        <f>SUMIFS('Recon of ORS and DV'!D:D,'Recon of ORS and DV'!B:B,'DV List'!A265)</f>
        <v>0</v>
      </c>
      <c r="F265" s="276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2" t="e">
        <f>SUMIFS('[1]MAIN-101'!$Z$1:$Z$3000,'[1]MAIN-101'!$X$1:$X$3000,A266)</f>
        <v>#VALUE!</v>
      </c>
      <c r="E266" s="562">
        <f>SUMIFS('Recon of ORS and DV'!D:D,'Recon of ORS and DV'!B:B,'DV List'!A266)</f>
        <v>0</v>
      </c>
      <c r="F266" s="276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2" t="e">
        <f>SUMIFS('[1]MAIN-101'!$Z$1:$Z$3000,'[1]MAIN-101'!$X$1:$X$3000,A267)</f>
        <v>#VALUE!</v>
      </c>
      <c r="E267" s="562">
        <f>SUMIFS('Recon of ORS and DV'!D:D,'Recon of ORS and DV'!B:B,'DV List'!A267)</f>
        <v>0</v>
      </c>
      <c r="F267" s="276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2" t="e">
        <f>SUMIFS('[1]MAIN-101'!$Z$1:$Z$3000,'[1]MAIN-101'!$X$1:$X$3000,A268)</f>
        <v>#VALUE!</v>
      </c>
      <c r="E268" s="562">
        <f>SUMIFS('Recon of ORS and DV'!D:D,'Recon of ORS and DV'!B:B,'DV List'!A268)</f>
        <v>0</v>
      </c>
      <c r="F268" s="276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2" t="e">
        <f>SUMIFS('[1]MAIN-101'!$Z$1:$Z$3000,'[1]MAIN-101'!$X$1:$X$3000,A269)</f>
        <v>#VALUE!</v>
      </c>
      <c r="E269" s="562">
        <f>SUMIFS('Recon of ORS and DV'!D:D,'Recon of ORS and DV'!B:B,'DV List'!A269)</f>
        <v>0</v>
      </c>
      <c r="F269" s="276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2" t="e">
        <f>SUMIFS('[1]MAIN-101'!$Z$1:$Z$3000,'[1]MAIN-101'!$X$1:$X$3000,A270)</f>
        <v>#VALUE!</v>
      </c>
      <c r="E270" s="562">
        <f>SUMIFS('Recon of ORS and DV'!D:D,'Recon of ORS and DV'!B:B,'DV List'!A270)</f>
        <v>0</v>
      </c>
      <c r="F270" s="276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2" t="e">
        <f>SUMIFS('[1]MAIN-101'!$Z$1:$Z$3000,'[1]MAIN-101'!$X$1:$X$3000,A271)</f>
        <v>#VALUE!</v>
      </c>
      <c r="E271" s="562">
        <f>SUMIFS('Recon of ORS and DV'!D:D,'Recon of ORS and DV'!B:B,'DV List'!A271)</f>
        <v>0</v>
      </c>
      <c r="F271" s="276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2" t="e">
        <f>SUMIFS('[1]MAIN-101'!$Z$1:$Z$3000,'[1]MAIN-101'!$X$1:$X$3000,A272)</f>
        <v>#VALUE!</v>
      </c>
      <c r="E272" s="562">
        <f>SUMIFS('Recon of ORS and DV'!D:D,'Recon of ORS and DV'!B:B,'DV List'!A272)</f>
        <v>0</v>
      </c>
      <c r="F272" s="276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2" t="e">
        <f>SUMIFS('[1]MAIN-101'!$Z$1:$Z$3000,'[1]MAIN-101'!$X$1:$X$3000,A273)</f>
        <v>#VALUE!</v>
      </c>
      <c r="E273" s="562">
        <f>SUMIFS('Recon of ORS and DV'!D:D,'Recon of ORS and DV'!B:B,'DV List'!A273)</f>
        <v>0</v>
      </c>
      <c r="F273" s="276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2" t="e">
        <f>SUMIFS('[1]MAIN-101'!$Z$1:$Z$3000,'[1]MAIN-101'!$X$1:$X$3000,A274)</f>
        <v>#VALUE!</v>
      </c>
      <c r="E274" s="562">
        <f>SUMIFS('Recon of ORS and DV'!D:D,'Recon of ORS and DV'!B:B,'DV List'!A274)</f>
        <v>0</v>
      </c>
      <c r="F274" s="276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2" t="e">
        <f>SUMIFS('[1]MAIN-101'!$Z$1:$Z$3000,'[1]MAIN-101'!$X$1:$X$3000,A275)</f>
        <v>#VALUE!</v>
      </c>
      <c r="E275" s="562">
        <f>SUMIFS('Recon of ORS and DV'!D:D,'Recon of ORS and DV'!B:B,'DV List'!A275)</f>
        <v>0</v>
      </c>
      <c r="F275" s="276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2" t="e">
        <f>SUMIFS('[1]MAIN-101'!$Z$1:$Z$3000,'[1]MAIN-101'!$X$1:$X$3000,A276)</f>
        <v>#VALUE!</v>
      </c>
      <c r="E276" s="562">
        <f>SUMIFS('Recon of ORS and DV'!D:D,'Recon of ORS and DV'!B:B,'DV List'!A276)</f>
        <v>0</v>
      </c>
      <c r="F276" s="276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2" t="e">
        <f>SUMIFS('[1]MAIN-101'!$Z$1:$Z$3000,'[1]MAIN-101'!$X$1:$X$3000,A277)</f>
        <v>#VALUE!</v>
      </c>
      <c r="E277" s="562">
        <f>SUMIFS('Recon of ORS and DV'!D:D,'Recon of ORS and DV'!B:B,'DV List'!A277)</f>
        <v>0</v>
      </c>
      <c r="F277" s="276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2" t="e">
        <f>SUMIFS('[1]MAIN-101'!$Z$1:$Z$3000,'[1]MAIN-101'!$X$1:$X$3000,A278)</f>
        <v>#VALUE!</v>
      </c>
      <c r="E278" s="562">
        <f>SUMIFS('Recon of ORS and DV'!D:D,'Recon of ORS and DV'!B:B,'DV List'!A278)</f>
        <v>0</v>
      </c>
      <c r="F278" s="276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2" t="e">
        <f>SUMIFS('[1]MAIN-101'!$Z$1:$Z$3000,'[1]MAIN-101'!$X$1:$X$3000,A279)</f>
        <v>#VALUE!</v>
      </c>
      <c r="E279" s="562">
        <f>SUMIFS('Recon of ORS and DV'!D:D,'Recon of ORS and DV'!B:B,'DV List'!A279)</f>
        <v>0</v>
      </c>
      <c r="F279" s="276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2" t="e">
        <f>SUMIFS('[1]MAIN-101'!$Z$1:$Z$3000,'[1]MAIN-101'!$X$1:$X$3000,A280)</f>
        <v>#VALUE!</v>
      </c>
      <c r="E280" s="562">
        <f>SUMIFS('Recon of ORS and DV'!D:D,'Recon of ORS and DV'!B:B,'DV List'!A280)</f>
        <v>0</v>
      </c>
      <c r="F280" s="276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2" t="e">
        <f>SUMIFS('[1]MAIN-101'!$Z$1:$Z$3000,'[1]MAIN-101'!$X$1:$X$3000,A281)</f>
        <v>#VALUE!</v>
      </c>
      <c r="E281" s="562">
        <f>SUMIFS('Recon of ORS and DV'!D:D,'Recon of ORS and DV'!B:B,'DV List'!A281)</f>
        <v>0</v>
      </c>
      <c r="F281" s="276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2" t="e">
        <f>SUMIFS('[1]MAIN-101'!$Z$1:$Z$3000,'[1]MAIN-101'!$X$1:$X$3000,A282)</f>
        <v>#VALUE!</v>
      </c>
      <c r="E282" s="562">
        <f>SUMIFS('Recon of ORS and DV'!D:D,'Recon of ORS and DV'!B:B,'DV List'!A282)</f>
        <v>0</v>
      </c>
      <c r="F282" s="276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2" t="e">
        <f>SUMIFS('[1]MAIN-101'!$Z$1:$Z$3000,'[1]MAIN-101'!$X$1:$X$3000,A283)</f>
        <v>#VALUE!</v>
      </c>
      <c r="E283" s="562" t="e">
        <f>SUMIFS('Recon of ORS and DV'!D:D,'Recon of ORS and DV'!B:B,'DV List'!A283)</f>
        <v>#VALUE!</v>
      </c>
      <c r="F283" s="276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2" t="e">
        <f>SUMIFS('[1]MAIN-101'!$Z$1:$Z$3000,'[1]MAIN-101'!$X$1:$X$3000,A284)</f>
        <v>#VALUE!</v>
      </c>
      <c r="E284" s="562" t="e">
        <f>SUMIFS('Recon of ORS and DV'!D:D,'Recon of ORS and DV'!B:B,'DV List'!A284)</f>
        <v>#VALUE!</v>
      </c>
      <c r="F284" s="276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2" t="e">
        <f>SUMIFS('[1]MAIN-101'!$Z$1:$Z$3000,'[1]MAIN-101'!$X$1:$X$3000,A285)</f>
        <v>#VALUE!</v>
      </c>
      <c r="E285" s="562" t="e">
        <f>SUMIFS('Recon of ORS and DV'!D:D,'Recon of ORS and DV'!B:B,'DV List'!A285)</f>
        <v>#VALUE!</v>
      </c>
      <c r="F285" s="276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2" t="e">
        <f>SUMIFS('[1]MAIN-101'!$Z$1:$Z$3000,'[1]MAIN-101'!$X$1:$X$3000,A286)</f>
        <v>#VALUE!</v>
      </c>
      <c r="E286" s="562" t="e">
        <f>SUMIFS('Recon of ORS and DV'!D:D,'Recon of ORS and DV'!B:B,'DV List'!A286)</f>
        <v>#VALUE!</v>
      </c>
      <c r="F286" s="276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2" t="e">
        <f>SUMIFS('[1]MAIN-101'!$Z$1:$Z$3000,'[1]MAIN-101'!$X$1:$X$3000,A287)</f>
        <v>#VALUE!</v>
      </c>
      <c r="E287" s="562" t="e">
        <f>SUMIFS('Recon of ORS and DV'!D:D,'Recon of ORS and DV'!B:B,'DV List'!A287)</f>
        <v>#VALUE!</v>
      </c>
      <c r="F287" s="276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2" t="e">
        <f>SUMIFS('[1]MAIN-101'!$Z$1:$Z$3000,'[1]MAIN-101'!$X$1:$X$3000,A288)</f>
        <v>#VALUE!</v>
      </c>
      <c r="E288" s="562" t="e">
        <f>SUMIFS('Recon of ORS and DV'!D:D,'Recon of ORS and DV'!B:B,'DV List'!A288)</f>
        <v>#VALUE!</v>
      </c>
      <c r="F288" s="276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2" t="e">
        <f>SUMIFS('[1]MAIN-101'!$Z$1:$Z$3000,'[1]MAIN-101'!$X$1:$X$3000,A289)</f>
        <v>#VALUE!</v>
      </c>
      <c r="E289" s="562" t="e">
        <f>SUMIFS('Recon of ORS and DV'!D:D,'Recon of ORS and DV'!B:B,'DV List'!A289)</f>
        <v>#VALUE!</v>
      </c>
      <c r="F289" s="276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2" t="e">
        <f>SUMIFS('[1]MAIN-101'!$Z$1:$Z$3000,'[1]MAIN-101'!$X$1:$X$3000,A290)</f>
        <v>#VALUE!</v>
      </c>
      <c r="E290" s="562">
        <f>SUMIFS('Recon of ORS and DV'!D:D,'Recon of ORS and DV'!B:B,'DV List'!A290)</f>
        <v>0</v>
      </c>
      <c r="F290" s="276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2" t="e">
        <f>SUMIFS('[1]MAIN-101'!$Z$1:$Z$3000,'[1]MAIN-101'!$X$1:$X$3000,A291)</f>
        <v>#VALUE!</v>
      </c>
      <c r="E291" s="562" t="e">
        <f>SUMIFS('Recon of ORS and DV'!D:D,'Recon of ORS and DV'!B:B,'DV List'!A291)</f>
        <v>#VALUE!</v>
      </c>
      <c r="F291" s="276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2" t="e">
        <f>SUMIFS('[1]MAIN-101'!$Z$1:$Z$3000,'[1]MAIN-101'!$X$1:$X$3000,A292)</f>
        <v>#VALUE!</v>
      </c>
      <c r="E292" s="562" t="e">
        <f>SUMIFS('Recon of ORS and DV'!D:D,'Recon of ORS and DV'!B:B,'DV List'!A292)</f>
        <v>#VALUE!</v>
      </c>
      <c r="F292" s="276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2" t="e">
        <f>SUMIFS('[1]MAIN-101'!$Z$1:$Z$3000,'[1]MAIN-101'!$X$1:$X$3000,A293)</f>
        <v>#VALUE!</v>
      </c>
      <c r="E293" s="562">
        <f>SUMIFS('Recon of ORS and DV'!D:D,'Recon of ORS and DV'!B:B,'DV List'!A293)</f>
        <v>0</v>
      </c>
      <c r="F293" s="276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2" t="e">
        <f>SUMIFS('[1]MAIN-101'!$Z$1:$Z$3000,'[1]MAIN-101'!$X$1:$X$3000,A294)</f>
        <v>#VALUE!</v>
      </c>
      <c r="E294" s="562">
        <f>SUMIFS('Recon of ORS and DV'!D:D,'Recon of ORS and DV'!B:B,'DV List'!A294)</f>
        <v>0</v>
      </c>
      <c r="F294" s="276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2" t="e">
        <f>SUMIFS('[1]MAIN-101'!$Z$1:$Z$3000,'[1]MAIN-101'!$X$1:$X$3000,A295)</f>
        <v>#VALUE!</v>
      </c>
      <c r="E295" s="562">
        <f>SUMIFS('Recon of ORS and DV'!D:D,'Recon of ORS and DV'!B:B,'DV List'!A295)</f>
        <v>0</v>
      </c>
      <c r="F295" s="276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2" t="e">
        <f>SUMIFS('[1]MAIN-101'!$Z$1:$Z$3000,'[1]MAIN-101'!$X$1:$X$3000,A296)</f>
        <v>#VALUE!</v>
      </c>
      <c r="E296" s="562">
        <f>SUMIFS('Recon of ORS and DV'!D:D,'Recon of ORS and DV'!B:B,'DV List'!A296)</f>
        <v>0</v>
      </c>
      <c r="F296" s="276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2" t="e">
        <f>SUMIFS('[1]MAIN-101'!$Z$1:$Z$3000,'[1]MAIN-101'!$X$1:$X$3000,A297)</f>
        <v>#VALUE!</v>
      </c>
      <c r="E297" s="562">
        <f>SUMIFS('Recon of ORS and DV'!D:D,'Recon of ORS and DV'!B:B,'DV List'!A297)</f>
        <v>0</v>
      </c>
      <c r="F297" s="276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2" t="e">
        <f>SUMIFS('[1]MAIN-101'!$Z$1:$Z$3000,'[1]MAIN-101'!$X$1:$X$3000,A298)</f>
        <v>#VALUE!</v>
      </c>
      <c r="E298" s="562">
        <f>SUMIFS('Recon of ORS and DV'!D:D,'Recon of ORS and DV'!B:B,'DV List'!A298)</f>
        <v>0</v>
      </c>
      <c r="F298" s="276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2" t="e">
        <f>SUMIFS('[1]MAIN-101'!$Z$1:$Z$3000,'[1]MAIN-101'!$X$1:$X$3000,A299)</f>
        <v>#VALUE!</v>
      </c>
      <c r="E299" s="562">
        <f>SUMIFS('Recon of ORS and DV'!D:D,'Recon of ORS and DV'!B:B,'DV List'!A299)</f>
        <v>0</v>
      </c>
      <c r="F299" s="276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2" t="e">
        <f>SUMIFS('[1]MAIN-101'!$Z$1:$Z$3000,'[1]MAIN-101'!$X$1:$X$3000,A300)</f>
        <v>#VALUE!</v>
      </c>
      <c r="E300" s="562">
        <f>SUMIFS('Recon of ORS and DV'!D:D,'Recon of ORS and DV'!B:B,'DV List'!A300)</f>
        <v>0</v>
      </c>
      <c r="F300" s="276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2" t="e">
        <f>SUMIFS('[1]MAIN-101'!$Z$1:$Z$3000,'[1]MAIN-101'!$X$1:$X$3000,A301)</f>
        <v>#VALUE!</v>
      </c>
      <c r="E301" s="562">
        <f>SUMIFS('Recon of ORS and DV'!D:D,'Recon of ORS and DV'!B:B,'DV List'!A301)</f>
        <v>0</v>
      </c>
      <c r="F301" s="276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2" t="e">
        <f>SUMIFS('[1]MAIN-101'!$Z$1:$Z$3000,'[1]MAIN-101'!$X$1:$X$3000,A302)</f>
        <v>#VALUE!</v>
      </c>
      <c r="E302" s="562">
        <f>SUMIFS('Recon of ORS and DV'!D:D,'Recon of ORS and DV'!B:B,'DV List'!A302)</f>
        <v>0</v>
      </c>
      <c r="F302" s="276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2" t="e">
        <f>SUMIFS('[1]MAIN-101'!$Z$1:$Z$3000,'[1]MAIN-101'!$X$1:$X$3000,A303)</f>
        <v>#VALUE!</v>
      </c>
      <c r="E303" s="562" t="e">
        <f>SUMIFS('Recon of ORS and DV'!D:D,'Recon of ORS and DV'!B:B,'DV List'!A303)</f>
        <v>#VALUE!</v>
      </c>
      <c r="F303" s="276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2" t="e">
        <f>SUMIFS('[1]MAIN-101'!$Z$1:$Z$3000,'[1]MAIN-101'!$X$1:$X$3000,A304)</f>
        <v>#VALUE!</v>
      </c>
      <c r="E304" s="562">
        <f>SUMIFS('Recon of ORS and DV'!D:D,'Recon of ORS and DV'!B:B,'DV List'!A304)</f>
        <v>0</v>
      </c>
      <c r="F304" s="276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2" t="e">
        <f>SUMIFS('[1]MAIN-101'!$Z$1:$Z$3000,'[1]MAIN-101'!$X$1:$X$3000,A305)</f>
        <v>#VALUE!</v>
      </c>
      <c r="E305" s="562">
        <f>SUMIFS('Recon of ORS and DV'!D:D,'Recon of ORS and DV'!B:B,'DV List'!A305)</f>
        <v>0</v>
      </c>
      <c r="F305" s="276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2" t="e">
        <f>SUMIFS('[1]MAIN-101'!$Z$1:$Z$3000,'[1]MAIN-101'!$X$1:$X$3000,A306)</f>
        <v>#VALUE!</v>
      </c>
      <c r="E306" s="562">
        <f>SUMIFS('Recon of ORS and DV'!D:D,'Recon of ORS and DV'!B:B,'DV List'!A306)</f>
        <v>0</v>
      </c>
      <c r="F306" s="276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2" t="e">
        <f>SUMIFS('[1]MAIN-101'!$Z$1:$Z$3000,'[1]MAIN-101'!$X$1:$X$3000,A307)</f>
        <v>#VALUE!</v>
      </c>
      <c r="E307" s="562">
        <f>SUMIFS('Recon of ORS and DV'!D:D,'Recon of ORS and DV'!B:B,'DV List'!A307)</f>
        <v>0</v>
      </c>
      <c r="F307" s="276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2" t="e">
        <f>SUMIFS('[1]MAIN-101'!$Z$1:$Z$3000,'[1]MAIN-101'!$X$1:$X$3000,A308)</f>
        <v>#VALUE!</v>
      </c>
      <c r="E308" s="562">
        <f>SUMIFS('Recon of ORS and DV'!D:D,'Recon of ORS and DV'!B:B,'DV List'!A308)</f>
        <v>0</v>
      </c>
      <c r="F308" s="276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2" t="e">
        <f>SUMIFS('[1]MAIN-101'!$Z$1:$Z$3000,'[1]MAIN-101'!$X$1:$X$3000,A309)</f>
        <v>#VALUE!</v>
      </c>
      <c r="E309" s="562">
        <f>SUMIFS('Recon of ORS and DV'!D:D,'Recon of ORS and DV'!B:B,'DV List'!A309)</f>
        <v>0</v>
      </c>
      <c r="F309" s="276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2" t="e">
        <f>SUMIFS('[1]MAIN-101'!$Z$1:$Z$3000,'[1]MAIN-101'!$X$1:$X$3000,A310)</f>
        <v>#VALUE!</v>
      </c>
      <c r="E310" s="562">
        <f>SUMIFS('Recon of ORS and DV'!D:D,'Recon of ORS and DV'!B:B,'DV List'!A310)</f>
        <v>0</v>
      </c>
      <c r="F310" s="276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2" t="e">
        <f>SUMIFS('[1]MAIN-101'!$Z$1:$Z$3000,'[1]MAIN-101'!$X$1:$X$3000,A311)</f>
        <v>#VALUE!</v>
      </c>
      <c r="E311" s="562">
        <f>SUMIFS('Recon of ORS and DV'!D:D,'Recon of ORS and DV'!B:B,'DV List'!A311)</f>
        <v>0</v>
      </c>
      <c r="F311" s="276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2" t="e">
        <f>SUMIFS('[1]MAIN-101'!$Z$1:$Z$3000,'[1]MAIN-101'!$X$1:$X$3000,A312)</f>
        <v>#VALUE!</v>
      </c>
      <c r="E312" s="562">
        <f>SUMIFS('Recon of ORS and DV'!D:D,'Recon of ORS and DV'!B:B,'DV List'!A312)</f>
        <v>0</v>
      </c>
      <c r="F312" s="276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2" t="e">
        <f>SUMIFS('[1]MAIN-101'!$Z$1:$Z$3000,'[1]MAIN-101'!$X$1:$X$3000,A313)</f>
        <v>#VALUE!</v>
      </c>
      <c r="E313" s="562">
        <f>SUMIFS('Recon of ORS and DV'!D:D,'Recon of ORS and DV'!B:B,'DV List'!A313)</f>
        <v>0</v>
      </c>
      <c r="F313" s="276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2" t="e">
        <f>SUMIFS('[1]MAIN-101'!$Z$1:$Z$3000,'[1]MAIN-101'!$X$1:$X$3000,A314)</f>
        <v>#VALUE!</v>
      </c>
      <c r="E314" s="562">
        <f>SUMIFS('Recon of ORS and DV'!D:D,'Recon of ORS and DV'!B:B,'DV List'!A314)</f>
        <v>0</v>
      </c>
      <c r="F314" s="276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2" t="e">
        <f>SUMIFS('[1]MAIN-101'!$Z$1:$Z$3000,'[1]MAIN-101'!$X$1:$X$3000,A315)</f>
        <v>#VALUE!</v>
      </c>
      <c r="E315" s="562">
        <f>SUMIFS('Recon of ORS and DV'!D:D,'Recon of ORS and DV'!B:B,'DV List'!A315)</f>
        <v>0</v>
      </c>
      <c r="F315" s="276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2" t="e">
        <f>SUMIFS('[1]MAIN-101'!$Z$1:$Z$3000,'[1]MAIN-101'!$X$1:$X$3000,A316)</f>
        <v>#VALUE!</v>
      </c>
      <c r="E316" s="562">
        <f>SUMIFS('Recon of ORS and DV'!D:D,'Recon of ORS and DV'!B:B,'DV List'!A316)</f>
        <v>0</v>
      </c>
      <c r="F316" s="276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2" t="e">
        <f>SUMIFS('[1]MAIN-101'!$Z$1:$Z$3000,'[1]MAIN-101'!$X$1:$X$3000,A317)</f>
        <v>#VALUE!</v>
      </c>
      <c r="E317" s="562">
        <f>SUMIFS('Recon of ORS and DV'!D:D,'Recon of ORS and DV'!B:B,'DV List'!A317)</f>
        <v>0</v>
      </c>
      <c r="F317" s="276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2" t="e">
        <f>SUMIFS('[1]MAIN-101'!$Z$1:$Z$3000,'[1]MAIN-101'!$X$1:$X$3000,A318)</f>
        <v>#VALUE!</v>
      </c>
      <c r="E318" s="562">
        <f>SUMIFS('Recon of ORS and DV'!D:D,'Recon of ORS and DV'!B:B,'DV List'!A318)</f>
        <v>0</v>
      </c>
      <c r="F318" s="276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2" t="e">
        <f>SUMIFS('[1]MAIN-101'!$Z$1:$Z$3000,'[1]MAIN-101'!$X$1:$X$3000,A319)</f>
        <v>#VALUE!</v>
      </c>
      <c r="E319" s="562" t="e">
        <f>SUMIFS('Recon of ORS and DV'!D:D,'Recon of ORS and DV'!B:B,'DV List'!A319)</f>
        <v>#VALUE!</v>
      </c>
      <c r="F319" s="276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2" t="e">
        <f>SUMIFS('[1]MAIN-101'!$Z$1:$Z$3000,'[1]MAIN-101'!$X$1:$X$3000,A320)</f>
        <v>#VALUE!</v>
      </c>
      <c r="E320" s="562" t="e">
        <f>SUMIFS('Recon of ORS and DV'!D:D,'Recon of ORS and DV'!B:B,'DV List'!A320)</f>
        <v>#VALUE!</v>
      </c>
      <c r="F320" s="276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2" t="e">
        <f>SUMIFS('[1]MAIN-101'!$Z$1:$Z$3000,'[1]MAIN-101'!$X$1:$X$3000,A321)</f>
        <v>#VALUE!</v>
      </c>
      <c r="E321" s="562" t="e">
        <f>SUMIFS('Recon of ORS and DV'!D:D,'Recon of ORS and DV'!B:B,'DV List'!A321)</f>
        <v>#VALUE!</v>
      </c>
      <c r="F321" s="276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2" t="e">
        <f>SUMIFS('[1]MAIN-101'!$Z$1:$Z$3000,'[1]MAIN-101'!$X$1:$X$3000,A322)</f>
        <v>#VALUE!</v>
      </c>
      <c r="E322" s="562" t="e">
        <f>SUMIFS('Recon of ORS and DV'!D:D,'Recon of ORS and DV'!B:B,'DV List'!A322)</f>
        <v>#VALUE!</v>
      </c>
      <c r="F322" s="276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2" t="e">
        <f>SUMIFS('[1]MAIN-101'!$Z$1:$Z$3000,'[1]MAIN-101'!$X$1:$X$3000,A323)</f>
        <v>#VALUE!</v>
      </c>
      <c r="E323" s="562" t="e">
        <f>SUMIFS('Recon of ORS and DV'!D:D,'Recon of ORS and DV'!B:B,'DV List'!A323)</f>
        <v>#VALUE!</v>
      </c>
      <c r="F323" s="276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2" t="e">
        <f>SUMIFS('[1]MAIN-101'!$Z$1:$Z$3000,'[1]MAIN-101'!$X$1:$X$3000,A324)</f>
        <v>#VALUE!</v>
      </c>
      <c r="E324" s="562" t="e">
        <f>SUMIFS('Recon of ORS and DV'!D:D,'Recon of ORS and DV'!B:B,'DV List'!A324)</f>
        <v>#VALUE!</v>
      </c>
      <c r="F324" s="276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2" t="e">
        <f>SUMIFS('[1]MAIN-101'!$Z$1:$Z$3000,'[1]MAIN-101'!$X$1:$X$3000,A325)</f>
        <v>#VALUE!</v>
      </c>
      <c r="E325" s="562" t="e">
        <f>SUMIFS('Recon of ORS and DV'!D:D,'Recon of ORS and DV'!B:B,'DV List'!A325)</f>
        <v>#VALUE!</v>
      </c>
      <c r="F325" s="276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2" t="e">
        <f>SUMIFS('[1]MAIN-101'!$Z$1:$Z$3000,'[1]MAIN-101'!$X$1:$X$3000,A326)</f>
        <v>#VALUE!</v>
      </c>
      <c r="E326" s="562" t="e">
        <f>SUMIFS('Recon of ORS and DV'!D:D,'Recon of ORS and DV'!B:B,'DV List'!A326)</f>
        <v>#VALUE!</v>
      </c>
      <c r="F326" s="276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2" t="e">
        <f>SUMIFS('[1]MAIN-101'!$Z$1:$Z$3000,'[1]MAIN-101'!$X$1:$X$3000,A327)</f>
        <v>#VALUE!</v>
      </c>
      <c r="E327" s="562" t="e">
        <f>SUMIFS('Recon of ORS and DV'!D:D,'Recon of ORS and DV'!B:B,'DV List'!A327)</f>
        <v>#VALUE!</v>
      </c>
      <c r="F327" s="276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2" t="e">
        <f>SUMIFS('[1]MAIN-101'!$Z$1:$Z$3000,'[1]MAIN-101'!$X$1:$X$3000,A328)</f>
        <v>#VALUE!</v>
      </c>
      <c r="E328" s="562" t="e">
        <f>SUMIFS('Recon of ORS and DV'!D:D,'Recon of ORS and DV'!B:B,'DV List'!A328)</f>
        <v>#VALUE!</v>
      </c>
      <c r="F328" s="276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2" t="e">
        <f>SUMIFS('[1]MAIN-101'!$Z$1:$Z$3000,'[1]MAIN-101'!$X$1:$X$3000,A329)</f>
        <v>#VALUE!</v>
      </c>
      <c r="E329" s="562" t="e">
        <f>SUMIFS('Recon of ORS and DV'!D:D,'Recon of ORS and DV'!B:B,'DV List'!A329)</f>
        <v>#VALUE!</v>
      </c>
      <c r="F329" s="276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2" t="e">
        <f>SUMIFS('[1]MAIN-101'!$Z$1:$Z$3000,'[1]MAIN-101'!$X$1:$X$3000,A330)</f>
        <v>#VALUE!</v>
      </c>
      <c r="E330" s="562">
        <f>SUMIFS('Recon of ORS and DV'!D:D,'Recon of ORS and DV'!B:B,'DV List'!A330)</f>
        <v>0</v>
      </c>
      <c r="F330" s="276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2" t="e">
        <f>SUMIFS('[1]MAIN-101'!$Z$1:$Z$3000,'[1]MAIN-101'!$X$1:$X$3000,A331)</f>
        <v>#VALUE!</v>
      </c>
      <c r="E331" s="562">
        <f>SUMIFS('Recon of ORS and DV'!D:D,'Recon of ORS and DV'!B:B,'DV List'!A331)</f>
        <v>0</v>
      </c>
      <c r="F331" s="276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2" t="e">
        <f>SUMIFS('[1]MAIN-101'!$Z$1:$Z$3000,'[1]MAIN-101'!$X$1:$X$3000,A332)</f>
        <v>#VALUE!</v>
      </c>
      <c r="E332" s="562">
        <f>SUMIFS('Recon of ORS and DV'!D:D,'Recon of ORS and DV'!B:B,'DV List'!A332)</f>
        <v>0</v>
      </c>
      <c r="F332" s="276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2" t="e">
        <f>SUMIFS('[1]MAIN-101'!$Z$1:$Z$3000,'[1]MAIN-101'!$X$1:$X$3000,A333)</f>
        <v>#VALUE!</v>
      </c>
      <c r="E333" s="562">
        <f>SUMIFS('Recon of ORS and DV'!D:D,'Recon of ORS and DV'!B:B,'DV List'!A333)</f>
        <v>0</v>
      </c>
      <c r="F333" s="276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2" t="e">
        <f>SUMIFS('[1]MAIN-101'!$Z$1:$Z$3000,'[1]MAIN-101'!$X$1:$X$3000,A334)</f>
        <v>#VALUE!</v>
      </c>
      <c r="E334" s="562" t="e">
        <f>SUMIFS('Recon of ORS and DV'!D:D,'Recon of ORS and DV'!B:B,'DV List'!A334)</f>
        <v>#VALUE!</v>
      </c>
      <c r="F334" s="276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2" t="e">
        <f>SUMIFS('[1]MAIN-101'!$Z$1:$Z$3000,'[1]MAIN-101'!$X$1:$X$3000,A335)</f>
        <v>#VALUE!</v>
      </c>
      <c r="E335" s="562">
        <f>SUMIFS('Recon of ORS and DV'!D:D,'Recon of ORS and DV'!B:B,'DV List'!A335)</f>
        <v>0</v>
      </c>
      <c r="F335" s="276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2" t="e">
        <f>SUMIFS('[1]MAIN-101'!$Z$1:$Z$3000,'[1]MAIN-101'!$X$1:$X$3000,A336)</f>
        <v>#VALUE!</v>
      </c>
      <c r="E336" s="562" t="e">
        <f>SUMIFS('Recon of ORS and DV'!D:D,'Recon of ORS and DV'!B:B,'DV List'!A336)</f>
        <v>#VALUE!</v>
      </c>
      <c r="F336" s="276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2" t="e">
        <f>SUMIFS('[1]MAIN-101'!$Z$1:$Z$3000,'[1]MAIN-101'!$X$1:$X$3000,A337)</f>
        <v>#VALUE!</v>
      </c>
      <c r="E337" s="562" t="e">
        <f>SUMIFS('Recon of ORS and DV'!D:D,'Recon of ORS and DV'!B:B,'DV List'!A337)</f>
        <v>#VALUE!</v>
      </c>
      <c r="F337" s="276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2" t="e">
        <f>SUMIFS('[1]MAIN-101'!$Z$1:$Z$3000,'[1]MAIN-101'!$X$1:$X$3000,A338)</f>
        <v>#VALUE!</v>
      </c>
      <c r="E338" s="562" t="e">
        <f>SUMIFS('Recon of ORS and DV'!D:D,'Recon of ORS and DV'!B:B,'DV List'!A338)</f>
        <v>#VALUE!</v>
      </c>
      <c r="F338" s="276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2" t="e">
        <f>SUMIFS('[1]MAIN-101'!$Z$1:$Z$3000,'[1]MAIN-101'!$X$1:$X$3000,A339)</f>
        <v>#VALUE!</v>
      </c>
      <c r="E339" s="562" t="e">
        <f>SUMIFS('Recon of ORS and DV'!D:D,'Recon of ORS and DV'!B:B,'DV List'!A339)</f>
        <v>#VALUE!</v>
      </c>
      <c r="F339" s="276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2" t="e">
        <f>SUMIFS('[1]MAIN-101'!$Z$1:$Z$3000,'[1]MAIN-101'!$X$1:$X$3000,A340)</f>
        <v>#VALUE!</v>
      </c>
      <c r="E340" s="562" t="e">
        <f>SUMIFS('Recon of ORS and DV'!D:D,'Recon of ORS and DV'!B:B,'DV List'!A340)</f>
        <v>#VALUE!</v>
      </c>
      <c r="F340" s="276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2" t="e">
        <f>SUMIFS('[1]MAIN-101'!$Z$1:$Z$3000,'[1]MAIN-101'!$X$1:$X$3000,A341)</f>
        <v>#VALUE!</v>
      </c>
      <c r="E341" s="562" t="e">
        <f>SUMIFS('Recon of ORS and DV'!D:D,'Recon of ORS and DV'!B:B,'DV List'!A341)</f>
        <v>#VALUE!</v>
      </c>
      <c r="F341" s="276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2" t="e">
        <f>SUMIFS('[1]MAIN-101'!$Z$1:$Z$3000,'[1]MAIN-101'!$X$1:$X$3000,A342)</f>
        <v>#VALUE!</v>
      </c>
      <c r="E342" s="562" t="e">
        <f>SUMIFS('Recon of ORS and DV'!D:D,'Recon of ORS and DV'!B:B,'DV List'!A342)</f>
        <v>#VALUE!</v>
      </c>
      <c r="F342" s="276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2" t="e">
        <f>SUMIFS('[1]MAIN-101'!$Z$1:$Z$3000,'[1]MAIN-101'!$X$1:$X$3000,A343)</f>
        <v>#VALUE!</v>
      </c>
      <c r="E343" s="562" t="e">
        <f>SUMIFS('Recon of ORS and DV'!D:D,'Recon of ORS and DV'!B:B,'DV List'!A343)</f>
        <v>#VALUE!</v>
      </c>
      <c r="F343" s="276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2" t="e">
        <f>SUMIFS('[1]MAIN-101'!$Z$1:$Z$3000,'[1]MAIN-101'!$X$1:$X$3000,A344)</f>
        <v>#VALUE!</v>
      </c>
      <c r="E344" s="562" t="e">
        <f>SUMIFS('Recon of ORS and DV'!D:D,'Recon of ORS and DV'!B:B,'DV List'!A344)</f>
        <v>#VALUE!</v>
      </c>
      <c r="F344" s="276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2" t="e">
        <f>SUMIFS('[1]MAIN-101'!$Z$1:$Z$3000,'[1]MAIN-101'!$X$1:$X$3000,A345)</f>
        <v>#VALUE!</v>
      </c>
      <c r="E345" s="562" t="e">
        <f>SUMIFS('Recon of ORS and DV'!D:D,'Recon of ORS and DV'!B:B,'DV List'!A345)</f>
        <v>#VALUE!</v>
      </c>
      <c r="F345" s="276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2" t="e">
        <f>SUMIFS('[1]MAIN-101'!$Z$1:$Z$3000,'[1]MAIN-101'!$X$1:$X$3000,A346)</f>
        <v>#VALUE!</v>
      </c>
      <c r="E346" s="562" t="e">
        <f>SUMIFS('Recon of ORS and DV'!D:D,'Recon of ORS and DV'!B:B,'DV List'!A346)</f>
        <v>#VALUE!</v>
      </c>
      <c r="F346" s="276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2" t="e">
        <f>SUMIFS('[1]MAIN-101'!$Z$1:$Z$3000,'[1]MAIN-101'!$X$1:$X$3000,A347)</f>
        <v>#VALUE!</v>
      </c>
      <c r="E347" s="562" t="e">
        <f>SUMIFS('Recon of ORS and DV'!D:D,'Recon of ORS and DV'!B:B,'DV List'!A347)</f>
        <v>#VALUE!</v>
      </c>
      <c r="F347" s="276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2" t="e">
        <f>SUMIFS('[1]MAIN-101'!$Z$1:$Z$3000,'[1]MAIN-101'!$X$1:$X$3000,A348)</f>
        <v>#VALUE!</v>
      </c>
      <c r="E348" s="562" t="e">
        <f>SUMIFS('Recon of ORS and DV'!D:D,'Recon of ORS and DV'!B:B,'DV List'!A348)</f>
        <v>#VALUE!</v>
      </c>
      <c r="F348" s="276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2" t="e">
        <f>SUMIFS('[1]MAIN-101'!$Z$1:$Z$3000,'[1]MAIN-101'!$X$1:$X$3000,A349)</f>
        <v>#VALUE!</v>
      </c>
      <c r="E349" s="562" t="e">
        <f>SUMIFS('Recon of ORS and DV'!D:D,'Recon of ORS and DV'!B:B,'DV List'!A349)</f>
        <v>#VALUE!</v>
      </c>
      <c r="F349" s="276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2" t="e">
        <f>SUMIFS('[1]MAIN-101'!$Z$1:$Z$3000,'[1]MAIN-101'!$X$1:$X$3000,A350)</f>
        <v>#VALUE!</v>
      </c>
      <c r="E350" s="562" t="e">
        <f>SUMIFS('Recon of ORS and DV'!D:D,'Recon of ORS and DV'!B:B,'DV List'!A350)</f>
        <v>#VALUE!</v>
      </c>
      <c r="F350" s="276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2" t="e">
        <f>SUMIFS('[1]MAIN-101'!$Z$1:$Z$3000,'[1]MAIN-101'!$X$1:$X$3000,A351)</f>
        <v>#VALUE!</v>
      </c>
      <c r="E351" s="562" t="e">
        <f>SUMIFS('Recon of ORS and DV'!D:D,'Recon of ORS and DV'!B:B,'DV List'!A351)</f>
        <v>#VALUE!</v>
      </c>
      <c r="F351" s="276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2" t="e">
        <f>SUMIFS('[1]MAIN-101'!$Z$1:$Z$3000,'[1]MAIN-101'!$X$1:$X$3000,A352)</f>
        <v>#VALUE!</v>
      </c>
      <c r="E352" s="562" t="e">
        <f>SUMIFS('Recon of ORS and DV'!D:D,'Recon of ORS and DV'!B:B,'DV List'!A352)</f>
        <v>#VALUE!</v>
      </c>
      <c r="F352" s="276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2" t="e">
        <f>SUMIFS('[1]MAIN-101'!$Z$1:$Z$3000,'[1]MAIN-101'!$X$1:$X$3000,A353)</f>
        <v>#VALUE!</v>
      </c>
      <c r="E353" s="562" t="e">
        <f>SUMIFS('Recon of ORS and DV'!D:D,'Recon of ORS and DV'!B:B,'DV List'!A353)</f>
        <v>#VALUE!</v>
      </c>
      <c r="F353" s="276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2" t="e">
        <f>SUMIFS('[1]MAIN-101'!$Z$1:$Z$3000,'[1]MAIN-101'!$X$1:$X$3000,A354)</f>
        <v>#VALUE!</v>
      </c>
      <c r="E354" s="562" t="e">
        <f>SUMIFS('Recon of ORS and DV'!D:D,'Recon of ORS and DV'!B:B,'DV List'!A354)</f>
        <v>#VALUE!</v>
      </c>
      <c r="F354" s="276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2" t="e">
        <f>SUMIFS('[1]MAIN-101'!$Z$1:$Z$3000,'[1]MAIN-101'!$X$1:$X$3000,A355)</f>
        <v>#VALUE!</v>
      </c>
      <c r="E355" s="562" t="e">
        <f>SUMIFS('Recon of ORS and DV'!D:D,'Recon of ORS and DV'!B:B,'DV List'!A355)</f>
        <v>#VALUE!</v>
      </c>
      <c r="F355" s="276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2" t="e">
        <f>SUMIFS('[1]MAIN-101'!$Z$1:$Z$3000,'[1]MAIN-101'!$X$1:$X$3000,A356)</f>
        <v>#VALUE!</v>
      </c>
      <c r="E356" s="562" t="e">
        <f>SUMIFS('Recon of ORS and DV'!D:D,'Recon of ORS and DV'!B:B,'DV List'!A356)</f>
        <v>#VALUE!</v>
      </c>
      <c r="F356" s="276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2" t="e">
        <f>SUMIFS('[1]MAIN-101'!$Z$1:$Z$3000,'[1]MAIN-101'!$X$1:$X$3000,A357)</f>
        <v>#VALUE!</v>
      </c>
      <c r="E357" s="562" t="e">
        <f>SUMIFS('Recon of ORS and DV'!D:D,'Recon of ORS and DV'!B:B,'DV List'!A357)</f>
        <v>#VALUE!</v>
      </c>
      <c r="F357" s="276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2" t="e">
        <f>SUMIFS('[1]MAIN-101'!$Z$1:$Z$3000,'[1]MAIN-101'!$X$1:$X$3000,A358)</f>
        <v>#VALUE!</v>
      </c>
      <c r="E358" s="562" t="e">
        <f>SUMIFS('Recon of ORS and DV'!D:D,'Recon of ORS and DV'!B:B,'DV List'!A358)</f>
        <v>#VALUE!</v>
      </c>
      <c r="F358" s="276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2" t="e">
        <f>SUMIFS('[1]MAIN-101'!$Z$1:$Z$3000,'[1]MAIN-101'!$X$1:$X$3000,A359)</f>
        <v>#VALUE!</v>
      </c>
      <c r="E359" s="562" t="e">
        <f>SUMIFS('Recon of ORS and DV'!D:D,'Recon of ORS and DV'!B:B,'DV List'!A359)</f>
        <v>#VALUE!</v>
      </c>
      <c r="F359" s="276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2" t="e">
        <f>SUMIFS('[1]MAIN-101'!$Z$1:$Z$3000,'[1]MAIN-101'!$X$1:$X$3000,A360)</f>
        <v>#VALUE!</v>
      </c>
      <c r="E360" s="562" t="e">
        <f>SUMIFS('Recon of ORS and DV'!D:D,'Recon of ORS and DV'!B:B,'DV List'!A360)</f>
        <v>#VALUE!</v>
      </c>
      <c r="F360" s="276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2" t="e">
        <f>SUMIFS('[1]MAIN-101'!$Z$1:$Z$3000,'[1]MAIN-101'!$X$1:$X$3000,A361)</f>
        <v>#VALUE!</v>
      </c>
      <c r="E361" s="562" t="e">
        <f>SUMIFS('Recon of ORS and DV'!D:D,'Recon of ORS and DV'!B:B,'DV List'!A361)</f>
        <v>#VALUE!</v>
      </c>
      <c r="F361" s="276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2" t="e">
        <f>SUMIFS('[1]MAIN-101'!$Z$1:$Z$3000,'[1]MAIN-101'!$X$1:$X$3000,A362)</f>
        <v>#VALUE!</v>
      </c>
      <c r="E362" s="562" t="e">
        <f>SUMIFS('Recon of ORS and DV'!D:D,'Recon of ORS and DV'!B:B,'DV List'!A362)</f>
        <v>#VALUE!</v>
      </c>
      <c r="F362" s="276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2" t="e">
        <f>SUMIFS('[1]MAIN-101'!$Z$1:$Z$3000,'[1]MAIN-101'!$X$1:$X$3000,A363)</f>
        <v>#VALUE!</v>
      </c>
      <c r="E363" s="562" t="e">
        <f>SUMIFS('Recon of ORS and DV'!D:D,'Recon of ORS and DV'!B:B,'DV List'!A363)</f>
        <v>#VALUE!</v>
      </c>
      <c r="F363" s="276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2" t="e">
        <f>SUMIFS('[1]MAIN-101'!$Z$1:$Z$3000,'[1]MAIN-101'!$X$1:$X$3000,A364)</f>
        <v>#VALUE!</v>
      </c>
      <c r="E364" s="562" t="e">
        <f>SUMIFS('Recon of ORS and DV'!D:D,'Recon of ORS and DV'!B:B,'DV List'!A364)</f>
        <v>#VALUE!</v>
      </c>
      <c r="F364" s="276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2" t="e">
        <f>SUMIFS('[1]MAIN-101'!$Z$1:$Z$3000,'[1]MAIN-101'!$X$1:$X$3000,A365)</f>
        <v>#VALUE!</v>
      </c>
      <c r="E365" s="562">
        <f>SUMIFS('Recon of ORS and DV'!D:D,'Recon of ORS and DV'!B:B,'DV List'!A365)</f>
        <v>0</v>
      </c>
      <c r="F365" s="276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2" t="e">
        <f>SUMIFS('[1]MAIN-101'!$Z$1:$Z$3000,'[1]MAIN-101'!$X$1:$X$3000,A366)</f>
        <v>#VALUE!</v>
      </c>
      <c r="E366" s="562" t="e">
        <f>SUMIFS('Recon of ORS and DV'!D:D,'Recon of ORS and DV'!B:B,'DV List'!A366)</f>
        <v>#VALUE!</v>
      </c>
      <c r="F366" s="276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2" t="e">
        <f>SUMIFS('[1]MAIN-101'!$Z$1:$Z$3000,'[1]MAIN-101'!$X$1:$X$3000,A367)</f>
        <v>#VALUE!</v>
      </c>
      <c r="E367" s="562">
        <f>SUMIFS('Recon of ORS and DV'!D:D,'Recon of ORS and DV'!B:B,'DV List'!A367)</f>
        <v>0</v>
      </c>
      <c r="F367" s="276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2" t="e">
        <f>SUMIFS('[1]MAIN-101'!$Z$1:$Z$3000,'[1]MAIN-101'!$X$1:$X$3000,A368)</f>
        <v>#VALUE!</v>
      </c>
      <c r="E368" s="562" t="e">
        <f>SUMIFS('Recon of ORS and DV'!D:D,'Recon of ORS and DV'!B:B,'DV List'!A368)</f>
        <v>#VALUE!</v>
      </c>
      <c r="F368" s="276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2" t="e">
        <f>SUMIFS('[1]MAIN-101'!$Z$1:$Z$3000,'[1]MAIN-101'!$X$1:$X$3000,A369)</f>
        <v>#VALUE!</v>
      </c>
      <c r="E369" s="562" t="e">
        <f>SUMIFS('Recon of ORS and DV'!D:D,'Recon of ORS and DV'!B:B,'DV List'!A369)</f>
        <v>#VALUE!</v>
      </c>
      <c r="F369" s="276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2" t="e">
        <f>SUMIFS('[1]MAIN-101'!$Z$1:$Z$3000,'[1]MAIN-101'!$X$1:$X$3000,A370)</f>
        <v>#VALUE!</v>
      </c>
      <c r="E370" s="562" t="e">
        <f>SUMIFS('Recon of ORS and DV'!D:D,'Recon of ORS and DV'!B:B,'DV List'!A370)</f>
        <v>#VALUE!</v>
      </c>
      <c r="F370" s="276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2" t="e">
        <f>SUMIFS('[1]MAIN-101'!$Z$1:$Z$3000,'[1]MAIN-101'!$X$1:$X$3000,A371)</f>
        <v>#VALUE!</v>
      </c>
      <c r="E371" s="562" t="e">
        <f>SUMIFS('Recon of ORS and DV'!D:D,'Recon of ORS and DV'!B:B,'DV List'!A371)</f>
        <v>#VALUE!</v>
      </c>
      <c r="F371" s="276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2" t="e">
        <f>SUMIFS('[1]MAIN-101'!$Z$1:$Z$3000,'[1]MAIN-101'!$X$1:$X$3000,A372)</f>
        <v>#VALUE!</v>
      </c>
      <c r="E372" s="562" t="e">
        <f>SUMIFS('Recon of ORS and DV'!D:D,'Recon of ORS and DV'!B:B,'DV List'!A372)</f>
        <v>#VALUE!</v>
      </c>
      <c r="F372" s="276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2" t="e">
        <f>SUMIFS('[1]MAIN-101'!$Z$1:$Z$3000,'[1]MAIN-101'!$X$1:$X$3000,A373)</f>
        <v>#VALUE!</v>
      </c>
      <c r="E373" s="562" t="e">
        <f>SUMIFS('Recon of ORS and DV'!D:D,'Recon of ORS and DV'!B:B,'DV List'!A373)</f>
        <v>#VALUE!</v>
      </c>
      <c r="F373" s="276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2" t="e">
        <f>SUMIFS('[1]MAIN-101'!$Z$1:$Z$3000,'[1]MAIN-101'!$X$1:$X$3000,A374)</f>
        <v>#VALUE!</v>
      </c>
      <c r="E374" s="562" t="e">
        <f>SUMIFS('Recon of ORS and DV'!D:D,'Recon of ORS and DV'!B:B,'DV List'!A374)</f>
        <v>#VALUE!</v>
      </c>
      <c r="F374" s="276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2" t="e">
        <f>SUMIFS('[1]MAIN-101'!$Z$1:$Z$3000,'[1]MAIN-101'!$X$1:$X$3000,A375)</f>
        <v>#VALUE!</v>
      </c>
      <c r="E375" s="562" t="e">
        <f>SUMIFS('Recon of ORS and DV'!D:D,'Recon of ORS and DV'!B:B,'DV List'!A375)</f>
        <v>#VALUE!</v>
      </c>
      <c r="F375" s="276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2" t="e">
        <f>SUMIFS('[1]MAIN-101'!$Z$1:$Z$3000,'[1]MAIN-101'!$X$1:$X$3000,A376)</f>
        <v>#VALUE!</v>
      </c>
      <c r="E376" s="562" t="e">
        <f>SUMIFS('Recon of ORS and DV'!D:D,'Recon of ORS and DV'!B:B,'DV List'!A376)</f>
        <v>#VALUE!</v>
      </c>
      <c r="F376" s="276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2" t="e">
        <f>SUMIFS('[1]MAIN-101'!$Z$1:$Z$3000,'[1]MAIN-101'!$X$1:$X$3000,A377)</f>
        <v>#VALUE!</v>
      </c>
      <c r="E377" s="562" t="e">
        <f>SUMIFS('Recon of ORS and DV'!D:D,'Recon of ORS and DV'!B:B,'DV List'!A377)</f>
        <v>#VALUE!</v>
      </c>
      <c r="F377" s="276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2" t="e">
        <f>SUMIFS('[1]MAIN-101'!$Z$1:$Z$3000,'[1]MAIN-101'!$X$1:$X$3000,A378)</f>
        <v>#VALUE!</v>
      </c>
      <c r="E378" s="562" t="e">
        <f>SUMIFS('Recon of ORS and DV'!D:D,'Recon of ORS and DV'!B:B,'DV List'!A378)</f>
        <v>#VALUE!</v>
      </c>
      <c r="F378" s="276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2" t="e">
        <f>SUMIFS('[1]MAIN-101'!$Z$1:$Z$3000,'[1]MAIN-101'!$X$1:$X$3000,A379)</f>
        <v>#VALUE!</v>
      </c>
      <c r="E379" s="562" t="e">
        <f>SUMIFS('Recon of ORS and DV'!D:D,'Recon of ORS and DV'!B:B,'DV List'!A379)</f>
        <v>#VALUE!</v>
      </c>
      <c r="F379" s="276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2" t="e">
        <f>SUMIFS('[1]MAIN-101'!$Z$1:$Z$3000,'[1]MAIN-101'!$X$1:$X$3000,A380)</f>
        <v>#VALUE!</v>
      </c>
      <c r="E380" s="562" t="e">
        <f>SUMIFS('Recon of ORS and DV'!D:D,'Recon of ORS and DV'!B:B,'DV List'!A380)</f>
        <v>#VALUE!</v>
      </c>
      <c r="F380" s="276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2" t="e">
        <f>SUMIFS('[1]MAIN-101'!$Z$1:$Z$3000,'[1]MAIN-101'!$X$1:$X$3000,A381)</f>
        <v>#VALUE!</v>
      </c>
      <c r="E381" s="562" t="e">
        <f>SUMIFS('Recon of ORS and DV'!D:D,'Recon of ORS and DV'!B:B,'DV List'!A381)</f>
        <v>#VALUE!</v>
      </c>
      <c r="F381" s="276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2" t="e">
        <f>SUMIFS('[1]MAIN-101'!$Z$1:$Z$3000,'[1]MAIN-101'!$X$1:$X$3000,A382)</f>
        <v>#VALUE!</v>
      </c>
      <c r="E382" s="562" t="e">
        <f>SUMIFS('Recon of ORS and DV'!D:D,'Recon of ORS and DV'!B:B,'DV List'!A382)</f>
        <v>#VALUE!</v>
      </c>
      <c r="F382" s="276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2" t="e">
        <f>SUMIFS('[1]MAIN-101'!$Z$1:$Z$3000,'[1]MAIN-101'!$X$1:$X$3000,A383)</f>
        <v>#VALUE!</v>
      </c>
      <c r="E383" s="562" t="e">
        <f>SUMIFS('Recon of ORS and DV'!D:D,'Recon of ORS and DV'!B:B,'DV List'!A383)</f>
        <v>#VALUE!</v>
      </c>
      <c r="F383" s="276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2" t="e">
        <f>SUMIFS('[1]MAIN-101'!$Z$1:$Z$3000,'[1]MAIN-101'!$X$1:$X$3000,A384)</f>
        <v>#VALUE!</v>
      </c>
      <c r="E384" s="562" t="e">
        <f>SUMIFS('Recon of ORS and DV'!D:D,'Recon of ORS and DV'!B:B,'DV List'!A384)</f>
        <v>#VALUE!</v>
      </c>
      <c r="F384" s="276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2" t="e">
        <f>SUMIFS('[1]MAIN-101'!$Z$1:$Z$3000,'[1]MAIN-101'!$X$1:$X$3000,A385)</f>
        <v>#VALUE!</v>
      </c>
      <c r="E385" s="562" t="e">
        <f>SUMIFS('Recon of ORS and DV'!D:D,'Recon of ORS and DV'!B:B,'DV List'!A385)</f>
        <v>#VALUE!</v>
      </c>
      <c r="F385" s="276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2" t="e">
        <f>SUMIFS('[1]MAIN-101'!$Z$1:$Z$3000,'[1]MAIN-101'!$X$1:$X$3000,A386)</f>
        <v>#VALUE!</v>
      </c>
      <c r="E386" s="562" t="e">
        <f>SUMIFS('Recon of ORS and DV'!D:D,'Recon of ORS and DV'!B:B,'DV List'!A386)</f>
        <v>#VALUE!</v>
      </c>
      <c r="F386" s="276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2" t="e">
        <f>SUMIFS('[1]MAIN-101'!$Z$1:$Z$3000,'[1]MAIN-101'!$X$1:$X$3000,A387)</f>
        <v>#VALUE!</v>
      </c>
      <c r="E387" s="562" t="e">
        <f>SUMIFS('Recon of ORS and DV'!D:D,'Recon of ORS and DV'!B:B,'DV List'!A387)</f>
        <v>#VALUE!</v>
      </c>
      <c r="F387" s="276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2" t="e">
        <f>SUMIFS('[1]MAIN-101'!$Z$1:$Z$3000,'[1]MAIN-101'!$X$1:$X$3000,A388)</f>
        <v>#VALUE!</v>
      </c>
      <c r="E388" s="562" t="e">
        <f>SUMIFS('Recon of ORS and DV'!D:D,'Recon of ORS and DV'!B:B,'DV List'!A388)</f>
        <v>#VALUE!</v>
      </c>
      <c r="F388" s="276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2" t="e">
        <f>SUMIFS('[1]MAIN-101'!$Z$1:$Z$3000,'[1]MAIN-101'!$X$1:$X$3000,A389)</f>
        <v>#VALUE!</v>
      </c>
      <c r="E389" s="562" t="e">
        <f>SUMIFS('Recon of ORS and DV'!D:D,'Recon of ORS and DV'!B:B,'DV List'!A389)</f>
        <v>#VALUE!</v>
      </c>
      <c r="F389" s="276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2" t="e">
        <f>SUMIFS('[1]MAIN-101'!$Z$1:$Z$3000,'[1]MAIN-101'!$X$1:$X$3000,A390)</f>
        <v>#VALUE!</v>
      </c>
      <c r="E390" s="562" t="e">
        <f>SUMIFS('Recon of ORS and DV'!D:D,'Recon of ORS and DV'!B:B,'DV List'!A390)</f>
        <v>#VALUE!</v>
      </c>
      <c r="F390" s="276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2" t="e">
        <f>SUMIFS('[1]MAIN-101'!$Z$1:$Z$3000,'[1]MAIN-101'!$X$1:$X$3000,A391)</f>
        <v>#VALUE!</v>
      </c>
      <c r="E391" s="562" t="e">
        <f>SUMIFS('Recon of ORS and DV'!D:D,'Recon of ORS and DV'!B:B,'DV List'!A391)</f>
        <v>#VALUE!</v>
      </c>
      <c r="F391" s="276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2" t="e">
        <f>SUMIFS('[1]MAIN-101'!$Z$1:$Z$3000,'[1]MAIN-101'!$X$1:$X$3000,A392)</f>
        <v>#VALUE!</v>
      </c>
      <c r="E392" s="562" t="e">
        <f>SUMIFS('Recon of ORS and DV'!D:D,'Recon of ORS and DV'!B:B,'DV List'!A392)</f>
        <v>#VALUE!</v>
      </c>
      <c r="F392" s="276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2" t="e">
        <f>SUMIFS('[1]MAIN-101'!$Z$1:$Z$3000,'[1]MAIN-101'!$X$1:$X$3000,A393)</f>
        <v>#VALUE!</v>
      </c>
      <c r="E393" s="562" t="e">
        <f>SUMIFS('Recon of ORS and DV'!D:D,'Recon of ORS and DV'!B:B,'DV List'!A393)</f>
        <v>#VALUE!</v>
      </c>
      <c r="F393" s="276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2" t="e">
        <f>SUMIFS('[1]MAIN-101'!$Z$1:$Z$3000,'[1]MAIN-101'!$X$1:$X$3000,A394)</f>
        <v>#VALUE!</v>
      </c>
      <c r="E394" s="562" t="e">
        <f>SUMIFS('Recon of ORS and DV'!D:D,'Recon of ORS and DV'!B:B,'DV List'!A394)</f>
        <v>#VALUE!</v>
      </c>
      <c r="F394" s="276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2" t="e">
        <f>SUMIFS('[1]MAIN-101'!$Z$1:$Z$3000,'[1]MAIN-101'!$X$1:$X$3000,A395)</f>
        <v>#VALUE!</v>
      </c>
      <c r="E395" s="562" t="e">
        <f>SUMIFS('Recon of ORS and DV'!D:D,'Recon of ORS and DV'!B:B,'DV List'!A395)</f>
        <v>#VALUE!</v>
      </c>
      <c r="F395" s="276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2" t="e">
        <f>SUMIFS('[1]MAIN-101'!$Z$1:$Z$3000,'[1]MAIN-101'!$X$1:$X$3000,A396)</f>
        <v>#VALUE!</v>
      </c>
      <c r="E396" s="562" t="e">
        <f>SUMIFS('Recon of ORS and DV'!D:D,'Recon of ORS and DV'!B:B,'DV List'!A396)</f>
        <v>#VALUE!</v>
      </c>
      <c r="F396" s="276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2" t="e">
        <f>SUMIFS('[1]MAIN-101'!$Z$1:$Z$3000,'[1]MAIN-101'!$X$1:$X$3000,A397)</f>
        <v>#VALUE!</v>
      </c>
      <c r="E397" s="562" t="e">
        <f>SUMIFS('Recon of ORS and DV'!D:D,'Recon of ORS and DV'!B:B,'DV List'!A397)</f>
        <v>#VALUE!</v>
      </c>
      <c r="F397" s="276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2" t="e">
        <f>SUMIFS('[1]MAIN-101'!$Z$1:$Z$3000,'[1]MAIN-101'!$X$1:$X$3000,A398)</f>
        <v>#VALUE!</v>
      </c>
      <c r="E398" s="562" t="e">
        <f>SUMIFS('Recon of ORS and DV'!D:D,'Recon of ORS and DV'!B:B,'DV List'!A398)</f>
        <v>#VALUE!</v>
      </c>
      <c r="F398" s="276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2" t="e">
        <f>SUMIFS('[1]MAIN-101'!$Z$1:$Z$3000,'[1]MAIN-101'!$X$1:$X$3000,A399)</f>
        <v>#VALUE!</v>
      </c>
      <c r="E399" s="562" t="e">
        <f>SUMIFS('Recon of ORS and DV'!D:D,'Recon of ORS and DV'!B:B,'DV List'!A399)</f>
        <v>#VALUE!</v>
      </c>
      <c r="F399" s="276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2" t="e">
        <f>SUMIFS('[1]MAIN-101'!$Z$1:$Z$3000,'[1]MAIN-101'!$X$1:$X$3000,A400)</f>
        <v>#VALUE!</v>
      </c>
      <c r="E400" s="562" t="e">
        <f>SUMIFS('Recon of ORS and DV'!D:D,'Recon of ORS and DV'!B:B,'DV List'!A400)</f>
        <v>#VALUE!</v>
      </c>
      <c r="F400" s="276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2" t="e">
        <f>SUMIFS('[1]MAIN-101'!$Z$1:$Z$3000,'[1]MAIN-101'!$X$1:$X$3000,A401)</f>
        <v>#VALUE!</v>
      </c>
      <c r="E401" s="562" t="e">
        <f>SUMIFS('Recon of ORS and DV'!D:D,'Recon of ORS and DV'!B:B,'DV List'!A401)</f>
        <v>#VALUE!</v>
      </c>
      <c r="F401" s="276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2" t="e">
        <f>SUMIFS('[1]MAIN-101'!$Z$1:$Z$3000,'[1]MAIN-101'!$X$1:$X$3000,A402)</f>
        <v>#VALUE!</v>
      </c>
      <c r="E402" s="562" t="e">
        <f>SUMIFS('Recon of ORS and DV'!D:D,'Recon of ORS and DV'!B:B,'DV List'!A402)</f>
        <v>#VALUE!</v>
      </c>
      <c r="F402" s="276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2" t="e">
        <f>SUMIFS('[1]MAIN-101'!$Z$1:$Z$3000,'[1]MAIN-101'!$X$1:$X$3000,A403)</f>
        <v>#VALUE!</v>
      </c>
      <c r="E403" s="562" t="e">
        <f>SUMIFS('Recon of ORS and DV'!D:D,'Recon of ORS and DV'!B:B,'DV List'!A403)</f>
        <v>#VALUE!</v>
      </c>
      <c r="F403" s="276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2" t="e">
        <f>SUMIFS('[1]MAIN-101'!$Z$1:$Z$3000,'[1]MAIN-101'!$X$1:$X$3000,A404)</f>
        <v>#VALUE!</v>
      </c>
      <c r="E404" s="562" t="e">
        <f>SUMIFS('Recon of ORS and DV'!D:D,'Recon of ORS and DV'!B:B,'DV List'!A404)</f>
        <v>#VALUE!</v>
      </c>
      <c r="F404" s="276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2" t="e">
        <f>SUMIFS('[1]MAIN-101'!$Z$1:$Z$3000,'[1]MAIN-101'!$X$1:$X$3000,A405)</f>
        <v>#VALUE!</v>
      </c>
      <c r="E405" s="562" t="e">
        <f>SUMIFS('Recon of ORS and DV'!D:D,'Recon of ORS and DV'!B:B,'DV List'!A405)</f>
        <v>#VALUE!</v>
      </c>
      <c r="F405" s="276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2" t="e">
        <f>SUMIFS('[1]MAIN-101'!$Z$1:$Z$3000,'[1]MAIN-101'!$X$1:$X$3000,A406)</f>
        <v>#VALUE!</v>
      </c>
      <c r="E406" s="562" t="e">
        <f>SUMIFS('Recon of ORS and DV'!D:D,'Recon of ORS and DV'!B:B,'DV List'!A406)</f>
        <v>#VALUE!</v>
      </c>
      <c r="F406" s="276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2" t="e">
        <f>SUMIFS('[1]MAIN-101'!$Z$1:$Z$3000,'[1]MAIN-101'!$X$1:$X$3000,A407)</f>
        <v>#VALUE!</v>
      </c>
      <c r="E407" s="562" t="e">
        <f>SUMIFS('Recon of ORS and DV'!D:D,'Recon of ORS and DV'!B:B,'DV List'!A407)</f>
        <v>#VALUE!</v>
      </c>
      <c r="F407" s="276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2" t="e">
        <f>SUMIFS('[1]MAIN-101'!$Z$1:$Z$3000,'[1]MAIN-101'!$X$1:$X$3000,A408)</f>
        <v>#VALUE!</v>
      </c>
      <c r="E408" s="562" t="e">
        <f>SUMIFS('Recon of ORS and DV'!D:D,'Recon of ORS and DV'!B:B,'DV List'!A408)</f>
        <v>#VALUE!</v>
      </c>
      <c r="F408" s="276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2" t="e">
        <f>SUMIFS('[1]MAIN-101'!$Z$1:$Z$3000,'[1]MAIN-101'!$X$1:$X$3000,A409)</f>
        <v>#VALUE!</v>
      </c>
      <c r="E409" s="562" t="e">
        <f>SUMIFS('Recon of ORS and DV'!D:D,'Recon of ORS and DV'!B:B,'DV List'!A409)</f>
        <v>#VALUE!</v>
      </c>
      <c r="F409" s="276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2" t="e">
        <f>SUMIFS('[1]MAIN-101'!$Z$1:$Z$3000,'[1]MAIN-101'!$X$1:$X$3000,A410)</f>
        <v>#VALUE!</v>
      </c>
      <c r="E410" s="562" t="e">
        <f>SUMIFS('Recon of ORS and DV'!D:D,'Recon of ORS and DV'!B:B,'DV List'!A410)</f>
        <v>#VALUE!</v>
      </c>
      <c r="F410" s="276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2" t="e">
        <f>SUMIFS('[1]MAIN-101'!$Z$1:$Z$3000,'[1]MAIN-101'!$X$1:$X$3000,A411)</f>
        <v>#VALUE!</v>
      </c>
      <c r="E411" s="562" t="e">
        <f>SUMIFS('Recon of ORS and DV'!D:D,'Recon of ORS and DV'!B:B,'DV List'!A411)</f>
        <v>#VALUE!</v>
      </c>
      <c r="F411" s="276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2" t="e">
        <f>SUMIFS('[1]MAIN-101'!$Z$1:$Z$3000,'[1]MAIN-101'!$X$1:$X$3000,A412)</f>
        <v>#VALUE!</v>
      </c>
      <c r="E412" s="562">
        <f>SUMIFS('Recon of ORS and DV'!D:D,'Recon of ORS and DV'!B:B,'DV List'!A412)</f>
        <v>0</v>
      </c>
      <c r="F412" s="276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2" t="e">
        <f>SUMIFS('[1]MAIN-101'!$Z$1:$Z$3000,'[1]MAIN-101'!$X$1:$X$3000,A413)</f>
        <v>#VALUE!</v>
      </c>
      <c r="E413" s="562">
        <f>SUMIFS('Recon of ORS and DV'!D:D,'Recon of ORS and DV'!B:B,'DV List'!A413)</f>
        <v>0</v>
      </c>
      <c r="F413" s="276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2" t="e">
        <f>SUMIFS('[1]MAIN-101'!$Z$1:$Z$3000,'[1]MAIN-101'!$X$1:$X$3000,A414)</f>
        <v>#VALUE!</v>
      </c>
      <c r="E414" s="562">
        <f>SUMIFS('Recon of ORS and DV'!D:D,'Recon of ORS and DV'!B:B,'DV List'!A414)</f>
        <v>0</v>
      </c>
      <c r="F414" s="276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2" t="e">
        <f>SUMIFS('[1]MAIN-101'!$Z$1:$Z$3000,'[1]MAIN-101'!$X$1:$X$3000,A415)</f>
        <v>#VALUE!</v>
      </c>
      <c r="E415" s="562">
        <f>SUMIFS('Recon of ORS and DV'!D:D,'Recon of ORS and DV'!B:B,'DV List'!A415)</f>
        <v>0</v>
      </c>
      <c r="F415" s="276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2" t="e">
        <f>SUMIFS('[1]MAIN-101'!$Z$1:$Z$3000,'[1]MAIN-101'!$X$1:$X$3000,A416)</f>
        <v>#VALUE!</v>
      </c>
      <c r="E416" s="562">
        <f>SUMIFS('Recon of ORS and DV'!D:D,'Recon of ORS and DV'!B:B,'DV List'!A416)</f>
        <v>0</v>
      </c>
      <c r="F416" s="276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2" t="e">
        <f>SUMIFS('[1]MAIN-101'!$Z$1:$Z$3000,'[1]MAIN-101'!$X$1:$X$3000,A417)</f>
        <v>#VALUE!</v>
      </c>
      <c r="E417" s="562">
        <f>SUMIFS('Recon of ORS and DV'!D:D,'Recon of ORS and DV'!B:B,'DV List'!A417)</f>
        <v>0</v>
      </c>
      <c r="F417" s="276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2" t="e">
        <f>SUMIFS('[1]MAIN-101'!$Z$1:$Z$3000,'[1]MAIN-101'!$X$1:$X$3000,A418)</f>
        <v>#VALUE!</v>
      </c>
      <c r="E418" s="562">
        <f>SUMIFS('Recon of ORS and DV'!D:D,'Recon of ORS and DV'!B:B,'DV List'!A418)</f>
        <v>0</v>
      </c>
      <c r="F418" s="276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2" t="e">
        <f>SUMIFS('[1]MAIN-101'!$Z$1:$Z$3000,'[1]MAIN-101'!$X$1:$X$3000,A419)</f>
        <v>#VALUE!</v>
      </c>
      <c r="E419" s="562">
        <f>SUMIFS('Recon of ORS and DV'!D:D,'Recon of ORS and DV'!B:B,'DV List'!A419)</f>
        <v>0</v>
      </c>
      <c r="F419" s="276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2" t="e">
        <f>SUMIFS('[1]MAIN-101'!$Z$1:$Z$3000,'[1]MAIN-101'!$X$1:$X$3000,A420)</f>
        <v>#VALUE!</v>
      </c>
      <c r="E420" s="562">
        <f>SUMIFS('Recon of ORS and DV'!D:D,'Recon of ORS and DV'!B:B,'DV List'!A420)</f>
        <v>0</v>
      </c>
      <c r="F420" s="276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2" t="e">
        <f>SUMIFS('[1]MAIN-101'!$Z$1:$Z$3000,'[1]MAIN-101'!$X$1:$X$3000,A421)</f>
        <v>#VALUE!</v>
      </c>
      <c r="E421" s="562">
        <f>SUMIFS('Recon of ORS and DV'!D:D,'Recon of ORS and DV'!B:B,'DV List'!A421)</f>
        <v>0</v>
      </c>
      <c r="F421" s="276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2" t="e">
        <f>SUMIFS('[1]MAIN-101'!$Z$1:$Z$3000,'[1]MAIN-101'!$X$1:$X$3000,A422)</f>
        <v>#VALUE!</v>
      </c>
      <c r="E422" s="562">
        <f>SUMIFS('Recon of ORS and DV'!D:D,'Recon of ORS and DV'!B:B,'DV List'!A422)</f>
        <v>0</v>
      </c>
      <c r="F422" s="276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2" t="e">
        <f>SUMIFS('[1]MAIN-101'!$Z$1:$Z$3000,'[1]MAIN-101'!$X$1:$X$3000,A423)</f>
        <v>#VALUE!</v>
      </c>
      <c r="E423" s="562">
        <f>SUMIFS('Recon of ORS and DV'!D:D,'Recon of ORS and DV'!B:B,'DV List'!A423)</f>
        <v>0</v>
      </c>
      <c r="F423" s="276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2" t="e">
        <f>SUMIFS('[1]MAIN-101'!$Z$1:$Z$3000,'[1]MAIN-101'!$X$1:$X$3000,A424)</f>
        <v>#VALUE!</v>
      </c>
      <c r="E424" s="562">
        <f>SUMIFS('Recon of ORS and DV'!D:D,'Recon of ORS and DV'!B:B,'DV List'!A424)</f>
        <v>0</v>
      </c>
      <c r="F424" s="276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2" t="e">
        <f>SUMIFS('[1]MAIN-101'!$Z$1:$Z$3000,'[1]MAIN-101'!$X$1:$X$3000,A425)</f>
        <v>#VALUE!</v>
      </c>
      <c r="E425" s="562">
        <f>SUMIFS('Recon of ORS and DV'!D:D,'Recon of ORS and DV'!B:B,'DV List'!A425)</f>
        <v>0</v>
      </c>
      <c r="F425" s="276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2" t="e">
        <f>SUMIFS('[1]MAIN-101'!$Z$1:$Z$3000,'[1]MAIN-101'!$X$1:$X$3000,A426)</f>
        <v>#VALUE!</v>
      </c>
      <c r="E426" s="562" t="e">
        <f>SUMIFS('Recon of ORS and DV'!D:D,'Recon of ORS and DV'!B:B,'DV List'!A426)</f>
        <v>#VALUE!</v>
      </c>
      <c r="F426" s="276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2" t="e">
        <f>SUMIFS('[1]MAIN-101'!$Z$1:$Z$3000,'[1]MAIN-101'!$X$1:$X$3000,A427)</f>
        <v>#VALUE!</v>
      </c>
      <c r="E427" s="562" t="e">
        <f>SUMIFS('Recon of ORS and DV'!D:D,'Recon of ORS and DV'!B:B,'DV List'!A427)</f>
        <v>#VALUE!</v>
      </c>
      <c r="F427" s="276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2" t="e">
        <f>SUMIFS('[1]MAIN-101'!$Z$1:$Z$3000,'[1]MAIN-101'!$X$1:$X$3000,A428)</f>
        <v>#VALUE!</v>
      </c>
      <c r="E428" s="562" t="e">
        <f>SUMIFS('Recon of ORS and DV'!D:D,'Recon of ORS and DV'!B:B,'DV List'!A428)</f>
        <v>#VALUE!</v>
      </c>
      <c r="F428" s="276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2" t="e">
        <f>SUMIFS('[1]MAIN-101'!$Z$1:$Z$3000,'[1]MAIN-101'!$X$1:$X$3000,A429)</f>
        <v>#VALUE!</v>
      </c>
      <c r="E429" s="562" t="e">
        <f>SUMIFS('Recon of ORS and DV'!D:D,'Recon of ORS and DV'!B:B,'DV List'!A429)</f>
        <v>#VALUE!</v>
      </c>
      <c r="F429" s="276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2" t="e">
        <f>SUMIFS('[1]MAIN-101'!$Z$1:$Z$3000,'[1]MAIN-101'!$X$1:$X$3000,A430)</f>
        <v>#VALUE!</v>
      </c>
      <c r="E430" s="562">
        <f>SUMIFS('Recon of ORS and DV'!D:D,'Recon of ORS and DV'!B:B,'DV List'!A430)</f>
        <v>0</v>
      </c>
      <c r="F430" s="276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2" t="e">
        <f>SUMIFS('[1]MAIN-101'!$Z$1:$Z$3000,'[1]MAIN-101'!$X$1:$X$3000,A431)</f>
        <v>#VALUE!</v>
      </c>
      <c r="E431" s="562">
        <f>SUMIFS('Recon of ORS and DV'!D:D,'Recon of ORS and DV'!B:B,'DV List'!A431)</f>
        <v>0</v>
      </c>
      <c r="F431" s="276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2" t="e">
        <f>SUMIFS('[1]MAIN-101'!$Z$1:$Z$3000,'[1]MAIN-101'!$X$1:$X$3000,A432)</f>
        <v>#VALUE!</v>
      </c>
      <c r="E432" s="562">
        <f>SUMIFS('Recon of ORS and DV'!D:D,'Recon of ORS and DV'!B:B,'DV List'!A432)</f>
        <v>0</v>
      </c>
      <c r="F432" s="276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2" t="e">
        <f>SUMIFS('[1]MAIN-101'!$Z$1:$Z$3000,'[1]MAIN-101'!$X$1:$X$3000,A433)</f>
        <v>#VALUE!</v>
      </c>
      <c r="E433" s="562">
        <f>SUMIFS('Recon of ORS and DV'!D:D,'Recon of ORS and DV'!B:B,'DV List'!A433)</f>
        <v>0</v>
      </c>
      <c r="F433" s="276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2" t="e">
        <f>SUMIFS('[1]MAIN-101'!$Z$1:$Z$3000,'[1]MAIN-101'!$X$1:$X$3000,A434)</f>
        <v>#VALUE!</v>
      </c>
      <c r="E434" s="562">
        <f>SUMIFS('Recon of ORS and DV'!D:D,'Recon of ORS and DV'!B:B,'DV List'!A434)</f>
        <v>0</v>
      </c>
      <c r="F434" s="276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2" t="e">
        <f>SUMIFS('[1]MAIN-101'!$Z$1:$Z$3000,'[1]MAIN-101'!$X$1:$X$3000,A435)</f>
        <v>#VALUE!</v>
      </c>
      <c r="E435" s="562">
        <f>SUMIFS('Recon of ORS and DV'!D:D,'Recon of ORS and DV'!B:B,'DV List'!A435)</f>
        <v>0</v>
      </c>
      <c r="F435" s="276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2" t="e">
        <f>SUMIFS('[1]MAIN-101'!$Z$1:$Z$3000,'[1]MAIN-101'!$X$1:$X$3000,A436)</f>
        <v>#VALUE!</v>
      </c>
      <c r="E436" s="562">
        <f>SUMIFS('Recon of ORS and DV'!D:D,'Recon of ORS and DV'!B:B,'DV List'!A436)</f>
        <v>0</v>
      </c>
      <c r="F436" s="276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2" t="e">
        <f>SUMIFS('[1]MAIN-101'!$Z$1:$Z$3000,'[1]MAIN-101'!$X$1:$X$3000,A437)</f>
        <v>#VALUE!</v>
      </c>
      <c r="E437" s="562">
        <f>SUMIFS('Recon of ORS and DV'!D:D,'Recon of ORS and DV'!B:B,'DV List'!A437)</f>
        <v>0</v>
      </c>
      <c r="F437" s="276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2" t="e">
        <f>SUMIFS('[1]MAIN-101'!$Z$1:$Z$3000,'[1]MAIN-101'!$X$1:$X$3000,A438)</f>
        <v>#VALUE!</v>
      </c>
      <c r="E438" s="562">
        <f>SUMIFS('Recon of ORS and DV'!D:D,'Recon of ORS and DV'!B:B,'DV List'!A438)</f>
        <v>0</v>
      </c>
      <c r="F438" s="276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2" t="e">
        <f>SUMIFS('[1]MAIN-101'!$Z$1:$Z$3000,'[1]MAIN-101'!$X$1:$X$3000,A439)</f>
        <v>#VALUE!</v>
      </c>
      <c r="E439" s="562">
        <f>SUMIFS('Recon of ORS and DV'!D:D,'Recon of ORS and DV'!B:B,'DV List'!A439)</f>
        <v>0</v>
      </c>
      <c r="F439" s="276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2" t="e">
        <f>SUMIFS('[1]MAIN-101'!$Z$1:$Z$3000,'[1]MAIN-101'!$X$1:$X$3000,A440)</f>
        <v>#VALUE!</v>
      </c>
      <c r="E440" s="562">
        <f>SUMIFS('Recon of ORS and DV'!D:D,'Recon of ORS and DV'!B:B,'DV List'!A440)</f>
        <v>0</v>
      </c>
      <c r="F440" s="276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2" t="e">
        <f>SUMIFS('[1]MAIN-101'!$Z$1:$Z$3000,'[1]MAIN-101'!$X$1:$X$3000,A441)</f>
        <v>#VALUE!</v>
      </c>
      <c r="E441" s="562">
        <f>SUMIFS('Recon of ORS and DV'!D:D,'Recon of ORS and DV'!B:B,'DV List'!A441)</f>
        <v>0</v>
      </c>
      <c r="F441" s="276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2" t="e">
        <f>SUMIFS('[1]MAIN-101'!$Z$1:$Z$3000,'[1]MAIN-101'!$X$1:$X$3000,A442)</f>
        <v>#VALUE!</v>
      </c>
      <c r="E442" s="562">
        <f>SUMIFS('Recon of ORS and DV'!D:D,'Recon of ORS and DV'!B:B,'DV List'!A442)</f>
        <v>0</v>
      </c>
      <c r="F442" s="276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2" t="e">
        <f>SUMIFS('[1]MAIN-101'!$Z$1:$Z$3000,'[1]MAIN-101'!$X$1:$X$3000,A443)</f>
        <v>#VALUE!</v>
      </c>
      <c r="E443" s="562">
        <f>SUMIFS('Recon of ORS and DV'!D:D,'Recon of ORS and DV'!B:B,'DV List'!A443)</f>
        <v>0</v>
      </c>
      <c r="F443" s="276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2" t="e">
        <f>SUMIFS('[1]MAIN-101'!$Z$1:$Z$3000,'[1]MAIN-101'!$X$1:$X$3000,A444)</f>
        <v>#VALUE!</v>
      </c>
      <c r="E444" s="562">
        <f>SUMIFS('Recon of ORS and DV'!D:D,'Recon of ORS and DV'!B:B,'DV List'!A444)</f>
        <v>0</v>
      </c>
      <c r="F444" s="276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2" t="e">
        <f>SUMIFS('[1]MAIN-101'!$Z$1:$Z$3000,'[1]MAIN-101'!$X$1:$X$3000,A445)</f>
        <v>#VALUE!</v>
      </c>
      <c r="E445" s="562">
        <f>SUMIFS('Recon of ORS and DV'!D:D,'Recon of ORS and DV'!B:B,'DV List'!A445)</f>
        <v>0</v>
      </c>
      <c r="F445" s="276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2" t="e">
        <f>SUMIFS('[1]MAIN-101'!$Z$1:$Z$3000,'[1]MAIN-101'!$X$1:$X$3000,A446)</f>
        <v>#VALUE!</v>
      </c>
      <c r="E446" s="562">
        <f>SUMIFS('Recon of ORS and DV'!D:D,'Recon of ORS and DV'!B:B,'DV List'!A446)</f>
        <v>0</v>
      </c>
      <c r="F446" s="276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2" t="e">
        <f>SUMIFS('[1]MAIN-101'!$Z$1:$Z$3000,'[1]MAIN-101'!$X$1:$X$3000,A447)</f>
        <v>#VALUE!</v>
      </c>
      <c r="E447" s="562">
        <f>SUMIFS('Recon of ORS and DV'!D:D,'Recon of ORS and DV'!B:B,'DV List'!A447)</f>
        <v>0</v>
      </c>
      <c r="F447" s="276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2" t="e">
        <f>SUMIFS('[1]MAIN-101'!$Z$1:$Z$3000,'[1]MAIN-101'!$X$1:$X$3000,A448)</f>
        <v>#VALUE!</v>
      </c>
      <c r="E448" s="562">
        <f>SUMIFS('Recon of ORS and DV'!D:D,'Recon of ORS and DV'!B:B,'DV List'!A448)</f>
        <v>0</v>
      </c>
      <c r="F448" s="276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2" t="e">
        <f>SUMIFS('[1]MAIN-101'!$Z$1:$Z$3000,'[1]MAIN-101'!$X$1:$X$3000,A449)</f>
        <v>#VALUE!</v>
      </c>
      <c r="E449" s="562">
        <f>SUMIFS('Recon of ORS and DV'!D:D,'Recon of ORS and DV'!B:B,'DV List'!A449)</f>
        <v>0</v>
      </c>
      <c r="F449" s="276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2" t="e">
        <f>SUMIFS('[1]MAIN-101'!$Z$1:$Z$3000,'[1]MAIN-101'!$X$1:$X$3000,A450)</f>
        <v>#VALUE!</v>
      </c>
      <c r="E450" s="562">
        <f>SUMIFS('Recon of ORS and DV'!D:D,'Recon of ORS and DV'!B:B,'DV List'!A450)</f>
        <v>0</v>
      </c>
      <c r="F450" s="276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2" t="e">
        <f>SUMIFS('[1]MAIN-101'!$Z$1:$Z$3000,'[1]MAIN-101'!$X$1:$X$3000,A451)</f>
        <v>#VALUE!</v>
      </c>
      <c r="E451" s="562">
        <f>SUMIFS('Recon of ORS and DV'!D:D,'Recon of ORS and DV'!B:B,'DV List'!A451)</f>
        <v>0</v>
      </c>
      <c r="F451" s="276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2" t="e">
        <f>SUMIFS('[1]MAIN-101'!$Z$1:$Z$3000,'[1]MAIN-101'!$X$1:$X$3000,A452)</f>
        <v>#VALUE!</v>
      </c>
      <c r="E452" s="562">
        <f>SUMIFS('Recon of ORS and DV'!D:D,'Recon of ORS and DV'!B:B,'DV List'!A452)</f>
        <v>0</v>
      </c>
      <c r="F452" s="276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2" t="e">
        <f>SUMIFS('[1]MAIN-101'!$Z$1:$Z$3000,'[1]MAIN-101'!$X$1:$X$3000,A453)</f>
        <v>#VALUE!</v>
      </c>
      <c r="E453" s="562">
        <f>SUMIFS('Recon of ORS and DV'!D:D,'Recon of ORS and DV'!B:B,'DV List'!A453)</f>
        <v>0</v>
      </c>
      <c r="F453" s="276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2" t="e">
        <f>SUMIFS('[1]MAIN-101'!$Z$1:$Z$3000,'[1]MAIN-101'!$X$1:$X$3000,A454)</f>
        <v>#VALUE!</v>
      </c>
      <c r="E454" s="562">
        <f>SUMIFS('Recon of ORS and DV'!D:D,'Recon of ORS and DV'!B:B,'DV List'!A454)</f>
        <v>0</v>
      </c>
      <c r="F454" s="276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2" t="e">
        <f>SUMIFS('[1]MAIN-101'!$Z$1:$Z$3000,'[1]MAIN-101'!$X$1:$X$3000,A455)</f>
        <v>#VALUE!</v>
      </c>
      <c r="E455" s="562">
        <f>SUMIFS('Recon of ORS and DV'!D:D,'Recon of ORS and DV'!B:B,'DV List'!A455)</f>
        <v>0</v>
      </c>
      <c r="F455" s="276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2" t="e">
        <f>SUMIFS('[1]MAIN-101'!$Z$1:$Z$3000,'[1]MAIN-101'!$X$1:$X$3000,A456)</f>
        <v>#VALUE!</v>
      </c>
      <c r="E456" s="562">
        <f>SUMIFS('Recon of ORS and DV'!D:D,'Recon of ORS and DV'!B:B,'DV List'!A456)</f>
        <v>0</v>
      </c>
      <c r="F456" s="276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2" t="e">
        <f>SUMIFS('[1]MAIN-101'!$Z$1:$Z$3000,'[1]MAIN-101'!$X$1:$X$3000,A457)</f>
        <v>#VALUE!</v>
      </c>
      <c r="E457" s="562">
        <f>SUMIFS('Recon of ORS and DV'!D:D,'Recon of ORS and DV'!B:B,'DV List'!A457)</f>
        <v>0</v>
      </c>
      <c r="F457" s="276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2" t="e">
        <f>SUMIFS('[1]MAIN-101'!$Z$1:$Z$3000,'[1]MAIN-101'!$X$1:$X$3000,A458)</f>
        <v>#VALUE!</v>
      </c>
      <c r="E458" s="562">
        <f>SUMIFS('Recon of ORS and DV'!D:D,'Recon of ORS and DV'!B:B,'DV List'!A458)</f>
        <v>0</v>
      </c>
      <c r="F458" s="276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2" t="e">
        <f>SUMIFS('[1]MAIN-101'!$Z$1:$Z$3000,'[1]MAIN-101'!$X$1:$X$3000,A459)</f>
        <v>#VALUE!</v>
      </c>
      <c r="E459" s="562">
        <f>SUMIFS('Recon of ORS and DV'!D:D,'Recon of ORS and DV'!B:B,'DV List'!A459)</f>
        <v>0</v>
      </c>
      <c r="F459" s="276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2" t="e">
        <f>SUMIFS('[1]MAIN-101'!$Z$1:$Z$3000,'[1]MAIN-101'!$X$1:$X$3000,A460)</f>
        <v>#VALUE!</v>
      </c>
      <c r="E460" s="562" t="e">
        <f>SUMIFS('Recon of ORS and DV'!D:D,'Recon of ORS and DV'!B:B,'DV List'!A460)</f>
        <v>#VALUE!</v>
      </c>
      <c r="F460" s="276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2" t="e">
        <f>SUMIFS('[1]MAIN-101'!$Z$1:$Z$3000,'[1]MAIN-101'!$X$1:$X$3000,A461)</f>
        <v>#VALUE!</v>
      </c>
      <c r="E461" s="562">
        <f>SUMIFS('Recon of ORS and DV'!D:D,'Recon of ORS and DV'!B:B,'DV List'!A461)</f>
        <v>0</v>
      </c>
      <c r="F461" s="276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2" t="e">
        <f>SUMIFS('[1]MAIN-101'!$Z$1:$Z$3000,'[1]MAIN-101'!$X$1:$X$3000,A462)</f>
        <v>#VALUE!</v>
      </c>
      <c r="E462" s="562">
        <f>SUMIFS('Recon of ORS and DV'!D:D,'Recon of ORS and DV'!B:B,'DV List'!A462)</f>
        <v>0</v>
      </c>
      <c r="F462" s="276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2" t="e">
        <f>SUMIFS('[1]MAIN-101'!$Z$1:$Z$3000,'[1]MAIN-101'!$X$1:$X$3000,A463)</f>
        <v>#VALUE!</v>
      </c>
      <c r="E463" s="562">
        <f>SUMIFS('Recon of ORS and DV'!D:D,'Recon of ORS and DV'!B:B,'DV List'!A463)</f>
        <v>0</v>
      </c>
      <c r="F463" s="276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2" t="e">
        <f>SUMIFS('[1]MAIN-101'!$Z$1:$Z$3000,'[1]MAIN-101'!$X$1:$X$3000,A464)</f>
        <v>#VALUE!</v>
      </c>
      <c r="E464" s="562">
        <f>SUMIFS('Recon of ORS and DV'!D:D,'Recon of ORS and DV'!B:B,'DV List'!A464)</f>
        <v>0</v>
      </c>
      <c r="F464" s="276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2" t="e">
        <f>SUMIFS('[1]MAIN-101'!$Z$1:$Z$3000,'[1]MAIN-101'!$X$1:$X$3000,A465)</f>
        <v>#VALUE!</v>
      </c>
      <c r="E465" s="562" t="e">
        <f>SUMIFS('Recon of ORS and DV'!D:D,'Recon of ORS and DV'!B:B,'DV List'!A465)</f>
        <v>#VALUE!</v>
      </c>
      <c r="F465" s="276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2" t="e">
        <f>SUMIFS('[1]MAIN-101'!$Z$1:$Z$3000,'[1]MAIN-101'!$X$1:$X$3000,A466)</f>
        <v>#VALUE!</v>
      </c>
      <c r="E466" s="562" t="e">
        <f>SUMIFS('Recon of ORS and DV'!D:D,'Recon of ORS and DV'!B:B,'DV List'!A466)</f>
        <v>#VALUE!</v>
      </c>
      <c r="F466" s="276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2" t="e">
        <f>SUMIFS('[1]MAIN-101'!$Z$1:$Z$3000,'[1]MAIN-101'!$X$1:$X$3000,A467)</f>
        <v>#VALUE!</v>
      </c>
      <c r="E467" s="562">
        <f>SUMIFS('Recon of ORS and DV'!D:D,'Recon of ORS and DV'!B:B,'DV List'!A467)</f>
        <v>0</v>
      </c>
      <c r="F467" s="276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2" t="e">
        <f>SUMIFS('[1]MAIN-101'!$Z$1:$Z$3000,'[1]MAIN-101'!$X$1:$X$3000,A468)</f>
        <v>#VALUE!</v>
      </c>
      <c r="E468" s="562" t="e">
        <f>SUMIFS('Recon of ORS and DV'!D:D,'Recon of ORS and DV'!B:B,'DV List'!A468)</f>
        <v>#VALUE!</v>
      </c>
      <c r="F468" s="276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2" t="e">
        <f>SUMIFS('[1]MAIN-101'!$Z$1:$Z$3000,'[1]MAIN-101'!$X$1:$X$3000,A469)</f>
        <v>#VALUE!</v>
      </c>
      <c r="E469" s="562" t="e">
        <f>SUMIFS('Recon of ORS and DV'!D:D,'Recon of ORS and DV'!B:B,'DV List'!A469)</f>
        <v>#VALUE!</v>
      </c>
      <c r="F469" s="276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2" t="e">
        <f>SUMIFS('[1]MAIN-101'!$Z$1:$Z$3000,'[1]MAIN-101'!$X$1:$X$3000,A470)</f>
        <v>#VALUE!</v>
      </c>
      <c r="E470" s="562" t="e">
        <f>SUMIFS('Recon of ORS and DV'!D:D,'Recon of ORS and DV'!B:B,'DV List'!A470)</f>
        <v>#VALUE!</v>
      </c>
      <c r="F470" s="276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2" t="e">
        <f>SUMIFS('[1]MAIN-101'!$Z$1:$Z$3000,'[1]MAIN-101'!$X$1:$X$3000,A471)</f>
        <v>#VALUE!</v>
      </c>
      <c r="E471" s="562" t="e">
        <f>SUMIFS('Recon of ORS and DV'!D:D,'Recon of ORS and DV'!B:B,'DV List'!A471)</f>
        <v>#VALUE!</v>
      </c>
      <c r="F471" s="276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2" t="e">
        <f>SUMIFS('[1]MAIN-101'!$Z$1:$Z$3000,'[1]MAIN-101'!$X$1:$X$3000,A472)</f>
        <v>#VALUE!</v>
      </c>
      <c r="E472" s="562" t="e">
        <f>SUMIFS('Recon of ORS and DV'!D:D,'Recon of ORS and DV'!B:B,'DV List'!A472)</f>
        <v>#VALUE!</v>
      </c>
      <c r="F472" s="276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2" t="e">
        <f>SUMIFS('[1]MAIN-101'!$Z$1:$Z$3000,'[1]MAIN-101'!$X$1:$X$3000,A473)</f>
        <v>#VALUE!</v>
      </c>
      <c r="E473" s="562" t="e">
        <f>SUMIFS('Recon of ORS and DV'!D:D,'Recon of ORS and DV'!B:B,'DV List'!A473)</f>
        <v>#VALUE!</v>
      </c>
      <c r="F473" s="276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2" t="e">
        <f>SUMIFS('[1]MAIN-101'!$Z$1:$Z$3000,'[1]MAIN-101'!$X$1:$X$3000,A474)</f>
        <v>#VALUE!</v>
      </c>
      <c r="E474" s="562" t="e">
        <f>SUMIFS('Recon of ORS and DV'!D:D,'Recon of ORS and DV'!B:B,'DV List'!A474)</f>
        <v>#VALUE!</v>
      </c>
      <c r="F474" s="276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2" t="e">
        <f>SUMIFS('[1]MAIN-101'!$Z$1:$Z$3000,'[1]MAIN-101'!$X$1:$X$3000,A475)</f>
        <v>#VALUE!</v>
      </c>
      <c r="E475" s="562">
        <f>SUMIFS('Recon of ORS and DV'!D:D,'Recon of ORS and DV'!B:B,'DV List'!A475)</f>
        <v>0</v>
      </c>
      <c r="F475" s="276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2" t="e">
        <f>SUMIFS('[1]MAIN-101'!$Z$1:$Z$3000,'[1]MAIN-101'!$X$1:$X$3000,A476)</f>
        <v>#VALUE!</v>
      </c>
      <c r="E476" s="562">
        <f>SUMIFS('Recon of ORS and DV'!D:D,'Recon of ORS and DV'!B:B,'DV List'!A476)</f>
        <v>0</v>
      </c>
      <c r="F476" s="276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2" t="e">
        <f>SUMIFS('[1]MAIN-101'!$Z$1:$Z$3000,'[1]MAIN-101'!$X$1:$X$3000,A477)</f>
        <v>#VALUE!</v>
      </c>
      <c r="E477" s="562">
        <f>SUMIFS('Recon of ORS and DV'!D:D,'Recon of ORS and DV'!B:B,'DV List'!A477)</f>
        <v>0</v>
      </c>
      <c r="F477" s="276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2" t="e">
        <f>SUMIFS('[1]MAIN-101'!$Z$1:$Z$3000,'[1]MAIN-101'!$X$1:$X$3000,A478)</f>
        <v>#VALUE!</v>
      </c>
      <c r="E478" s="562" t="e">
        <f>SUMIFS('Recon of ORS and DV'!D:D,'Recon of ORS and DV'!B:B,'DV List'!A478)</f>
        <v>#VALUE!</v>
      </c>
      <c r="F478" s="276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2" t="e">
        <f>SUMIFS('[1]MAIN-101'!$Z$1:$Z$3000,'[1]MAIN-101'!$X$1:$X$3000,A479)</f>
        <v>#VALUE!</v>
      </c>
      <c r="E479" s="562">
        <f>SUMIFS('Recon of ORS and DV'!D:D,'Recon of ORS and DV'!B:B,'DV List'!A479)</f>
        <v>0</v>
      </c>
      <c r="F479" s="276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2" t="e">
        <f>SUMIFS('[1]MAIN-101'!$Z$1:$Z$3000,'[1]MAIN-101'!$X$1:$X$3000,A480)</f>
        <v>#VALUE!</v>
      </c>
      <c r="E480" s="562">
        <f>SUMIFS('Recon of ORS and DV'!D:D,'Recon of ORS and DV'!B:B,'DV List'!A480)</f>
        <v>0</v>
      </c>
      <c r="F480" s="276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2" t="e">
        <f>SUMIFS('[1]MAIN-101'!$Z$1:$Z$3000,'[1]MAIN-101'!$X$1:$X$3000,A481)</f>
        <v>#VALUE!</v>
      </c>
      <c r="E481" s="562" t="e">
        <f>SUMIFS('Recon of ORS and DV'!D:D,'Recon of ORS and DV'!B:B,'DV List'!A481)</f>
        <v>#VALUE!</v>
      </c>
      <c r="F481" s="276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2" t="e">
        <f>SUMIFS('[1]MAIN-101'!$Z$1:$Z$3000,'[1]MAIN-101'!$X$1:$X$3000,A482)</f>
        <v>#VALUE!</v>
      </c>
      <c r="E482" s="562" t="e">
        <f>SUMIFS('Recon of ORS and DV'!D:D,'Recon of ORS and DV'!B:B,'DV List'!A482)</f>
        <v>#VALUE!</v>
      </c>
      <c r="F482" s="276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2" t="e">
        <f>SUMIFS('[1]MAIN-101'!$Z$1:$Z$3000,'[1]MAIN-101'!$X$1:$X$3000,A483)</f>
        <v>#VALUE!</v>
      </c>
      <c r="E483" s="562" t="e">
        <f>SUMIFS('Recon of ORS and DV'!D:D,'Recon of ORS and DV'!B:B,'DV List'!A483)</f>
        <v>#VALUE!</v>
      </c>
      <c r="F483" s="276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2" t="e">
        <f>SUMIFS('[1]MAIN-101'!$Z$1:$Z$3000,'[1]MAIN-101'!$X$1:$X$3000,A484)</f>
        <v>#VALUE!</v>
      </c>
      <c r="E484" s="562" t="e">
        <f>SUMIFS('Recon of ORS and DV'!D:D,'Recon of ORS and DV'!B:B,'DV List'!A484)</f>
        <v>#VALUE!</v>
      </c>
      <c r="F484" s="276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2" t="e">
        <f>SUMIFS('[1]MAIN-101'!$Z$1:$Z$3000,'[1]MAIN-101'!$X$1:$X$3000,A485)</f>
        <v>#VALUE!</v>
      </c>
      <c r="E485" s="562" t="e">
        <f>SUMIFS('Recon of ORS and DV'!D:D,'Recon of ORS and DV'!B:B,'DV List'!A485)</f>
        <v>#VALUE!</v>
      </c>
      <c r="F485" s="276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2" t="e">
        <f>SUMIFS('[1]MAIN-101'!$Z$1:$Z$3000,'[1]MAIN-101'!$X$1:$X$3000,A486)</f>
        <v>#VALUE!</v>
      </c>
      <c r="E486" s="562" t="e">
        <f>SUMIFS('Recon of ORS and DV'!D:D,'Recon of ORS and DV'!B:B,'DV List'!A486)</f>
        <v>#VALUE!</v>
      </c>
      <c r="F486" s="276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2" t="e">
        <f>SUMIFS('[1]MAIN-101'!$Z$1:$Z$3000,'[1]MAIN-101'!$X$1:$X$3000,A487)</f>
        <v>#VALUE!</v>
      </c>
      <c r="E487" s="562" t="e">
        <f>SUMIFS('Recon of ORS and DV'!D:D,'Recon of ORS and DV'!B:B,'DV List'!A487)</f>
        <v>#VALUE!</v>
      </c>
      <c r="F487" s="276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2" t="e">
        <f>SUMIFS('[1]MAIN-101'!$Z$1:$Z$3000,'[1]MAIN-101'!$X$1:$X$3000,A488)</f>
        <v>#VALUE!</v>
      </c>
      <c r="E488" s="562" t="e">
        <f>SUMIFS('Recon of ORS and DV'!D:D,'Recon of ORS and DV'!B:B,'DV List'!A488)</f>
        <v>#VALUE!</v>
      </c>
      <c r="F488" s="276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2" t="e">
        <f>SUMIFS('[1]MAIN-101'!$Z$1:$Z$3000,'[1]MAIN-101'!$X$1:$X$3000,A489)</f>
        <v>#VALUE!</v>
      </c>
      <c r="E489" s="562" t="e">
        <f>SUMIFS('Recon of ORS and DV'!D:D,'Recon of ORS and DV'!B:B,'DV List'!A489)</f>
        <v>#VALUE!</v>
      </c>
      <c r="F489" s="276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2" t="e">
        <f>SUMIFS('[1]MAIN-101'!$Z$1:$Z$3000,'[1]MAIN-101'!$X$1:$X$3000,A490)</f>
        <v>#VALUE!</v>
      </c>
      <c r="E490" s="562" t="e">
        <f>SUMIFS('Recon of ORS and DV'!D:D,'Recon of ORS and DV'!B:B,'DV List'!A490)</f>
        <v>#VALUE!</v>
      </c>
      <c r="F490" s="276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2" t="e">
        <f>SUMIFS('[1]MAIN-101'!$Z$1:$Z$3000,'[1]MAIN-101'!$X$1:$X$3000,A491)</f>
        <v>#VALUE!</v>
      </c>
      <c r="E491" s="562" t="e">
        <f>SUMIFS('Recon of ORS and DV'!D:D,'Recon of ORS and DV'!B:B,'DV List'!A491)</f>
        <v>#VALUE!</v>
      </c>
      <c r="F491" s="276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2" t="e">
        <f>SUMIFS('[1]MAIN-101'!$Z$1:$Z$3000,'[1]MAIN-101'!$X$1:$X$3000,A492)</f>
        <v>#VALUE!</v>
      </c>
      <c r="E492" s="562" t="e">
        <f>SUMIFS('Recon of ORS and DV'!D:D,'Recon of ORS and DV'!B:B,'DV List'!A492)</f>
        <v>#VALUE!</v>
      </c>
      <c r="F492" s="276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2" t="e">
        <f>SUMIFS('[1]MAIN-101'!$Z$1:$Z$3000,'[1]MAIN-101'!$X$1:$X$3000,A493)</f>
        <v>#VALUE!</v>
      </c>
      <c r="E493" s="562">
        <f>SUMIFS('Recon of ORS and DV'!D:D,'Recon of ORS and DV'!B:B,'DV List'!A493)</f>
        <v>0</v>
      </c>
      <c r="F493" s="276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2" t="e">
        <f>SUMIFS('[1]MAIN-101'!$Z$1:$Z$3000,'[1]MAIN-101'!$X$1:$X$3000,A494)</f>
        <v>#VALUE!</v>
      </c>
      <c r="E494" s="562">
        <f>SUMIFS('Recon of ORS and DV'!D:D,'Recon of ORS and DV'!B:B,'DV List'!A494)</f>
        <v>0</v>
      </c>
      <c r="F494" s="276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2" t="e">
        <f>SUMIFS('[1]MAIN-101'!$Z$1:$Z$3000,'[1]MAIN-101'!$X$1:$X$3000,A495)</f>
        <v>#VALUE!</v>
      </c>
      <c r="E495" s="562">
        <f>SUMIFS('Recon of ORS and DV'!D:D,'Recon of ORS and DV'!B:B,'DV List'!A495)</f>
        <v>0</v>
      </c>
      <c r="F495" s="276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2" t="e">
        <f>SUMIFS('[1]MAIN-101'!$Z$1:$Z$3000,'[1]MAIN-101'!$X$1:$X$3000,A496)</f>
        <v>#VALUE!</v>
      </c>
      <c r="E496" s="562">
        <f>SUMIFS('Recon of ORS and DV'!D:D,'Recon of ORS and DV'!B:B,'DV List'!A496)</f>
        <v>0</v>
      </c>
      <c r="F496" s="276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2" t="e">
        <f>SUMIFS('[1]MAIN-101'!$Z$1:$Z$3000,'[1]MAIN-101'!$X$1:$X$3000,A497)</f>
        <v>#VALUE!</v>
      </c>
      <c r="E497" s="562" t="e">
        <f>SUMIFS('Recon of ORS and DV'!D:D,'Recon of ORS and DV'!B:B,'DV List'!A497)</f>
        <v>#VALUE!</v>
      </c>
      <c r="F497" s="276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2" t="e">
        <f>SUMIFS('[1]MAIN-101'!$Z$1:$Z$3000,'[1]MAIN-101'!$X$1:$X$3000,A498)</f>
        <v>#VALUE!</v>
      </c>
      <c r="E498" s="562" t="e">
        <f>SUMIFS('Recon of ORS and DV'!D:D,'Recon of ORS and DV'!B:B,'DV List'!A498)</f>
        <v>#VALUE!</v>
      </c>
      <c r="F498" s="276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2" t="e">
        <f>SUMIFS('[1]MAIN-101'!$Z$1:$Z$3000,'[1]MAIN-101'!$X$1:$X$3000,A499)</f>
        <v>#VALUE!</v>
      </c>
      <c r="E499" s="562" t="e">
        <f>SUMIFS('Recon of ORS and DV'!D:D,'Recon of ORS and DV'!B:B,'DV List'!A499)</f>
        <v>#VALUE!</v>
      </c>
      <c r="F499" s="276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2" t="e">
        <f>SUMIFS('[1]MAIN-101'!$Z$1:$Z$3000,'[1]MAIN-101'!$X$1:$X$3000,A500)</f>
        <v>#VALUE!</v>
      </c>
      <c r="E500" s="562" t="e">
        <f>SUMIFS('Recon of ORS and DV'!D:D,'Recon of ORS and DV'!B:B,'DV List'!A500)</f>
        <v>#VALUE!</v>
      </c>
      <c r="F500" s="276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2" t="e">
        <f>SUMIFS('[1]MAIN-101'!$Z$1:$Z$3000,'[1]MAIN-101'!$X$1:$X$3000,A501)</f>
        <v>#VALUE!</v>
      </c>
      <c r="E501" s="562" t="e">
        <f>SUMIFS('Recon of ORS and DV'!D:D,'Recon of ORS and DV'!B:B,'DV List'!A501)</f>
        <v>#VALUE!</v>
      </c>
      <c r="F501" s="276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2" t="e">
        <f>SUMIFS('[1]MAIN-101'!$Z$1:$Z$3000,'[1]MAIN-101'!$X$1:$X$3000,A502)</f>
        <v>#VALUE!</v>
      </c>
      <c r="E502" s="562" t="e">
        <f>SUMIFS('Recon of ORS and DV'!D:D,'Recon of ORS and DV'!B:B,'DV List'!A502)</f>
        <v>#VALUE!</v>
      </c>
      <c r="F502" s="276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2" t="e">
        <f>SUMIFS('[1]MAIN-101'!$Z$1:$Z$3000,'[1]MAIN-101'!$X$1:$X$3000,A503)</f>
        <v>#VALUE!</v>
      </c>
      <c r="E503" s="562">
        <f>SUMIFS('Recon of ORS and DV'!D:D,'Recon of ORS and DV'!B:B,'DV List'!A503)</f>
        <v>0</v>
      </c>
      <c r="F503" s="276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2" t="e">
        <f>SUMIFS('[1]MAIN-101'!$Z$1:$Z$3000,'[1]MAIN-101'!$X$1:$X$3000,A504)</f>
        <v>#VALUE!</v>
      </c>
      <c r="E504" s="562">
        <f>SUMIFS('Recon of ORS and DV'!D:D,'Recon of ORS and DV'!B:B,'DV List'!A504)</f>
        <v>0</v>
      </c>
      <c r="F504" s="276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2" t="e">
        <f>SUMIFS('[1]MAIN-101'!$Z$1:$Z$3000,'[1]MAIN-101'!$X$1:$X$3000,A505)</f>
        <v>#VALUE!</v>
      </c>
      <c r="E505" s="562">
        <f>SUMIFS('Recon of ORS and DV'!D:D,'Recon of ORS and DV'!B:B,'DV List'!A505)</f>
        <v>0</v>
      </c>
      <c r="F505" s="276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2" t="e">
        <f>SUMIFS('[1]MAIN-101'!$Z$1:$Z$3000,'[1]MAIN-101'!$X$1:$X$3000,A506)</f>
        <v>#VALUE!</v>
      </c>
      <c r="E506" s="562">
        <f>SUMIFS('Recon of ORS and DV'!D:D,'Recon of ORS and DV'!B:B,'DV List'!A506)</f>
        <v>0</v>
      </c>
      <c r="F506" s="276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2" t="e">
        <f>SUMIFS('[1]MAIN-101'!$Z$1:$Z$3000,'[1]MAIN-101'!$X$1:$X$3000,A507)</f>
        <v>#VALUE!</v>
      </c>
      <c r="E507" s="562">
        <f>SUMIFS('Recon of ORS and DV'!D:D,'Recon of ORS and DV'!B:B,'DV List'!A507)</f>
        <v>0</v>
      </c>
      <c r="F507" s="276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2" t="e">
        <f>SUMIFS('[1]MAIN-101'!$Z$1:$Z$3000,'[1]MAIN-101'!$X$1:$X$3000,A508)</f>
        <v>#VALUE!</v>
      </c>
      <c r="E508" s="562">
        <f>SUMIFS('Recon of ORS and DV'!D:D,'Recon of ORS and DV'!B:B,'DV List'!A508)</f>
        <v>0</v>
      </c>
      <c r="F508" s="276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2" t="e">
        <f>SUMIFS('[1]MAIN-101'!$Z$1:$Z$3000,'[1]MAIN-101'!$X$1:$X$3000,A509)</f>
        <v>#VALUE!</v>
      </c>
      <c r="E509" s="562">
        <f>SUMIFS('Recon of ORS and DV'!D:D,'Recon of ORS and DV'!B:B,'DV List'!A509)</f>
        <v>0</v>
      </c>
      <c r="F509" s="276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2" t="e">
        <f>SUMIFS('[1]MAIN-101'!$Z$1:$Z$3000,'[1]MAIN-101'!$X$1:$X$3000,A510)</f>
        <v>#VALUE!</v>
      </c>
      <c r="E510" s="562" t="e">
        <f>SUMIFS('Recon of ORS and DV'!D:D,'Recon of ORS and DV'!B:B,'DV List'!A510)</f>
        <v>#VALUE!</v>
      </c>
      <c r="F510" s="276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2" t="e">
        <f>SUMIFS('[1]MAIN-101'!$Z$1:$Z$3000,'[1]MAIN-101'!$X$1:$X$3000,A511)</f>
        <v>#VALUE!</v>
      </c>
      <c r="E511" s="562" t="e">
        <f>SUMIFS('Recon of ORS and DV'!D:D,'Recon of ORS and DV'!B:B,'DV List'!A511)</f>
        <v>#VALUE!</v>
      </c>
      <c r="F511" s="276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2" t="e">
        <f>SUMIFS('[1]MAIN-101'!$Z$1:$Z$3000,'[1]MAIN-101'!$X$1:$X$3000,A512)</f>
        <v>#VALUE!</v>
      </c>
      <c r="E512" s="562">
        <f>SUMIFS('Recon of ORS and DV'!D:D,'Recon of ORS and DV'!B:B,'DV List'!A512)</f>
        <v>0</v>
      </c>
      <c r="F512" s="276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2" t="e">
        <f>SUMIFS('[1]MAIN-101'!$Z$1:$Z$3000,'[1]MAIN-101'!$X$1:$X$3000,A513)</f>
        <v>#VALUE!</v>
      </c>
      <c r="E513" s="562">
        <f>SUMIFS('Recon of ORS and DV'!D:D,'Recon of ORS and DV'!B:B,'DV List'!A513)</f>
        <v>0</v>
      </c>
      <c r="F513" s="276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2" t="e">
        <f>SUMIFS('[1]MAIN-101'!$Z$1:$Z$3000,'[1]MAIN-101'!$X$1:$X$3000,A514)</f>
        <v>#VALUE!</v>
      </c>
      <c r="E514" s="562">
        <f>SUMIFS('Recon of ORS and DV'!D:D,'Recon of ORS and DV'!B:B,'DV List'!A514)</f>
        <v>0</v>
      </c>
      <c r="F514" s="276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2" t="e">
        <f>SUMIFS('[1]MAIN-101'!$Z$1:$Z$3000,'[1]MAIN-101'!$X$1:$X$3000,A515)</f>
        <v>#VALUE!</v>
      </c>
      <c r="E515" s="562">
        <f>SUMIFS('Recon of ORS and DV'!D:D,'Recon of ORS and DV'!B:B,'DV List'!A515)</f>
        <v>0</v>
      </c>
      <c r="F515" s="276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2" t="e">
        <f>SUMIFS('[1]MAIN-101'!$Z$1:$Z$3000,'[1]MAIN-101'!$X$1:$X$3000,A516)</f>
        <v>#VALUE!</v>
      </c>
      <c r="E516" s="562">
        <f>SUMIFS('Recon of ORS and DV'!D:D,'Recon of ORS and DV'!B:B,'DV List'!A516)</f>
        <v>0</v>
      </c>
      <c r="F516" s="276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2" t="e">
        <f>SUMIFS('[1]MAIN-101'!$Z$1:$Z$3000,'[1]MAIN-101'!$X$1:$X$3000,A517)</f>
        <v>#VALUE!</v>
      </c>
      <c r="E517" s="562">
        <f>SUMIFS('Recon of ORS and DV'!D:D,'Recon of ORS and DV'!B:B,'DV List'!A517)</f>
        <v>0</v>
      </c>
      <c r="F517" s="276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2" t="e">
        <f>SUMIFS('[1]MAIN-101'!$Z$1:$Z$3000,'[1]MAIN-101'!$X$1:$X$3000,A518)</f>
        <v>#VALUE!</v>
      </c>
      <c r="E518" s="562">
        <f>SUMIFS('Recon of ORS and DV'!D:D,'Recon of ORS and DV'!B:B,'DV List'!A518)</f>
        <v>0</v>
      </c>
      <c r="F518" s="276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2" t="e">
        <f>SUMIFS('[1]MAIN-101'!$Z$1:$Z$3000,'[1]MAIN-101'!$X$1:$X$3000,A519)</f>
        <v>#VALUE!</v>
      </c>
      <c r="E519" s="562">
        <f>SUMIFS('Recon of ORS and DV'!D:D,'Recon of ORS and DV'!B:B,'DV List'!A519)</f>
        <v>0</v>
      </c>
      <c r="F519" s="276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2" t="e">
        <f>SUMIFS('[1]MAIN-101'!$Z$1:$Z$3000,'[1]MAIN-101'!$X$1:$X$3000,A520)</f>
        <v>#VALUE!</v>
      </c>
      <c r="E520" s="562">
        <f>SUMIFS('Recon of ORS and DV'!D:D,'Recon of ORS and DV'!B:B,'DV List'!A520)</f>
        <v>0</v>
      </c>
      <c r="F520" s="276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2" t="e">
        <f>SUMIFS('[1]MAIN-101'!$Z$1:$Z$3000,'[1]MAIN-101'!$X$1:$X$3000,A521)</f>
        <v>#VALUE!</v>
      </c>
      <c r="E521" s="562">
        <f>SUMIFS('Recon of ORS and DV'!D:D,'Recon of ORS and DV'!B:B,'DV List'!A521)</f>
        <v>0</v>
      </c>
      <c r="F521" s="276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2" t="e">
        <f>SUMIFS('[1]MAIN-101'!$Z$1:$Z$3000,'[1]MAIN-101'!$X$1:$X$3000,A522)</f>
        <v>#VALUE!</v>
      </c>
      <c r="E522" s="562">
        <f>SUMIFS('Recon of ORS and DV'!D:D,'Recon of ORS and DV'!B:B,'DV List'!A522)</f>
        <v>0</v>
      </c>
      <c r="F522" s="276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2" t="e">
        <f>SUMIFS('[1]MAIN-101'!$Z$1:$Z$3000,'[1]MAIN-101'!$X$1:$X$3000,A523)</f>
        <v>#VALUE!</v>
      </c>
      <c r="E523" s="562" t="e">
        <f>SUMIFS('Recon of ORS and DV'!D:D,'Recon of ORS and DV'!B:B,'DV List'!A523)</f>
        <v>#VALUE!</v>
      </c>
      <c r="F523" s="276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2" t="e">
        <f>SUMIFS('[1]MAIN-101'!$Z$1:$Z$3000,'[1]MAIN-101'!$X$1:$X$3000,A524)</f>
        <v>#VALUE!</v>
      </c>
      <c r="E524" s="562" t="e">
        <f>SUMIFS('Recon of ORS and DV'!D:D,'Recon of ORS and DV'!B:B,'DV List'!A524)</f>
        <v>#VALUE!</v>
      </c>
      <c r="F524" s="276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2" t="e">
        <f>SUMIFS('[1]MAIN-101'!$Z$1:$Z$3000,'[1]MAIN-101'!$X$1:$X$3000,A525)</f>
        <v>#VALUE!</v>
      </c>
      <c r="E525" s="562">
        <f>SUMIFS('Recon of ORS and DV'!D:D,'Recon of ORS and DV'!B:B,'DV List'!A525)</f>
        <v>505666.32</v>
      </c>
      <c r="F525" s="276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2" t="e">
        <f>SUMIFS('[1]MAIN-101'!$Z$1:$Z$3000,'[1]MAIN-101'!$X$1:$X$3000,A526)</f>
        <v>#VALUE!</v>
      </c>
      <c r="E526" s="562" t="e">
        <f>SUMIFS('Recon of ORS and DV'!D:D,'Recon of ORS and DV'!B:B,'DV List'!A526)</f>
        <v>#VALUE!</v>
      </c>
      <c r="F526" s="276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2" t="e">
        <f>SUMIFS('[1]MAIN-101'!$Z$1:$Z$3000,'[1]MAIN-101'!$X$1:$X$3000,A527)</f>
        <v>#VALUE!</v>
      </c>
      <c r="E527" s="562" t="e">
        <f>SUMIFS('Recon of ORS and DV'!D:D,'Recon of ORS and DV'!B:B,'DV List'!A527)</f>
        <v>#VALUE!</v>
      </c>
      <c r="F527" s="276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2" t="e">
        <f>SUMIFS('[1]MAIN-101'!$Z$1:$Z$3000,'[1]MAIN-101'!$X$1:$X$3000,A528)</f>
        <v>#VALUE!</v>
      </c>
      <c r="E528" s="562" t="e">
        <f>SUMIFS('Recon of ORS and DV'!D:D,'Recon of ORS and DV'!B:B,'DV List'!A528)</f>
        <v>#VALUE!</v>
      </c>
      <c r="F528" s="276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2" t="e">
        <f>SUMIFS('[1]MAIN-101'!$Z$1:$Z$3000,'[1]MAIN-101'!$X$1:$X$3000,A529)</f>
        <v>#VALUE!</v>
      </c>
      <c r="E529" s="562">
        <f>SUMIFS('Recon of ORS and DV'!D:D,'Recon of ORS and DV'!B:B,'DV List'!A529)</f>
        <v>0</v>
      </c>
      <c r="F529" s="276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2" t="e">
        <f>SUMIFS('[1]MAIN-101'!$Z$1:$Z$3000,'[1]MAIN-101'!$X$1:$X$3000,A530)</f>
        <v>#VALUE!</v>
      </c>
      <c r="E530" s="562">
        <f>SUMIFS('Recon of ORS and DV'!D:D,'Recon of ORS and DV'!B:B,'DV List'!A530)</f>
        <v>0</v>
      </c>
      <c r="F530" s="276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2" t="e">
        <f>SUMIFS('[1]MAIN-101'!$Z$1:$Z$3000,'[1]MAIN-101'!$X$1:$X$3000,A531)</f>
        <v>#VALUE!</v>
      </c>
      <c r="E531" s="562" t="e">
        <f>SUMIFS('Recon of ORS and DV'!D:D,'Recon of ORS and DV'!B:B,'DV List'!A531)</f>
        <v>#VALUE!</v>
      </c>
      <c r="F531" s="276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2" t="e">
        <f>SUMIFS('[1]MAIN-101'!$Z$1:$Z$3000,'[1]MAIN-101'!$X$1:$X$3000,A532)</f>
        <v>#VALUE!</v>
      </c>
      <c r="E532" s="562">
        <f>SUMIFS('Recon of ORS and DV'!D:D,'Recon of ORS and DV'!B:B,'DV List'!A532)</f>
        <v>0</v>
      </c>
      <c r="F532" s="276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2" t="e">
        <f>SUMIFS('[1]MAIN-101'!$Z$1:$Z$3000,'[1]MAIN-101'!$X$1:$X$3000,A533)</f>
        <v>#VALUE!</v>
      </c>
      <c r="E533" s="562">
        <f>SUMIFS('Recon of ORS and DV'!D:D,'Recon of ORS and DV'!B:B,'DV List'!A533)</f>
        <v>0</v>
      </c>
      <c r="F533" s="276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2" t="e">
        <f>SUMIFS('[1]MAIN-101'!$Z$1:$Z$3000,'[1]MAIN-101'!$X$1:$X$3000,A534)</f>
        <v>#VALUE!</v>
      </c>
      <c r="E534" s="562">
        <f>SUMIFS('Recon of ORS and DV'!D:D,'Recon of ORS and DV'!B:B,'DV List'!A534)</f>
        <v>0</v>
      </c>
      <c r="F534" s="276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2" t="e">
        <f>SUMIFS('[1]MAIN-101'!$Z$1:$Z$3000,'[1]MAIN-101'!$X$1:$X$3000,A535)</f>
        <v>#VALUE!</v>
      </c>
      <c r="E535" s="562">
        <f>SUMIFS('Recon of ORS and DV'!D:D,'Recon of ORS and DV'!B:B,'DV List'!A535)</f>
        <v>0</v>
      </c>
      <c r="F535" s="276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2" t="e">
        <f>SUMIFS('[1]MAIN-101'!$Z$1:$Z$3000,'[1]MAIN-101'!$X$1:$X$3000,A536)</f>
        <v>#VALUE!</v>
      </c>
      <c r="E536" s="562" t="e">
        <f>SUMIFS('Recon of ORS and DV'!D:D,'Recon of ORS and DV'!B:B,'DV List'!A536)</f>
        <v>#VALUE!</v>
      </c>
      <c r="F536" s="276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2" t="e">
        <f>SUMIFS('[1]MAIN-101'!$Z$1:$Z$3000,'[1]MAIN-101'!$X$1:$X$3000,A537)</f>
        <v>#VALUE!</v>
      </c>
      <c r="E537" s="562" t="e">
        <f>SUMIFS('Recon of ORS and DV'!D:D,'Recon of ORS and DV'!B:B,'DV List'!A537)</f>
        <v>#VALUE!</v>
      </c>
      <c r="F537" s="276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2" t="e">
        <f>SUMIFS('[1]MAIN-101'!$Z$1:$Z$3000,'[1]MAIN-101'!$X$1:$X$3000,A538)</f>
        <v>#VALUE!</v>
      </c>
      <c r="E538" s="562" t="e">
        <f>SUMIFS('Recon of ORS and DV'!D:D,'Recon of ORS and DV'!B:B,'DV List'!A538)</f>
        <v>#VALUE!</v>
      </c>
      <c r="F538" s="276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2" t="e">
        <f>SUMIFS('[1]MAIN-101'!$Z$1:$Z$3000,'[1]MAIN-101'!$X$1:$X$3000,A539)</f>
        <v>#VALUE!</v>
      </c>
      <c r="E539" s="562" t="e">
        <f>SUMIFS('Recon of ORS and DV'!D:D,'Recon of ORS and DV'!B:B,'DV List'!A539)</f>
        <v>#VALUE!</v>
      </c>
      <c r="F539" s="276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2" t="e">
        <f>SUMIFS('[1]MAIN-101'!$Z$1:$Z$3000,'[1]MAIN-101'!$X$1:$X$3000,A540)</f>
        <v>#VALUE!</v>
      </c>
      <c r="E540" s="562" t="e">
        <f>SUMIFS('Recon of ORS and DV'!D:D,'Recon of ORS and DV'!B:B,'DV List'!A540)</f>
        <v>#VALUE!</v>
      </c>
      <c r="F540" s="276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2" t="e">
        <f>SUMIFS('[1]MAIN-101'!$Z$1:$Z$3000,'[1]MAIN-101'!$X$1:$X$3000,A541)</f>
        <v>#VALUE!</v>
      </c>
      <c r="E541" s="562" t="e">
        <f>SUMIFS('Recon of ORS and DV'!D:D,'Recon of ORS and DV'!B:B,'DV List'!A541)</f>
        <v>#VALUE!</v>
      </c>
      <c r="F541" s="276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2" t="e">
        <f>SUMIFS('[1]MAIN-101'!$Z$1:$Z$3000,'[1]MAIN-101'!$X$1:$X$3000,A542)</f>
        <v>#VALUE!</v>
      </c>
      <c r="E542" s="562" t="e">
        <f>SUMIFS('Recon of ORS and DV'!D:D,'Recon of ORS and DV'!B:B,'DV List'!A542)</f>
        <v>#VALUE!</v>
      </c>
      <c r="F542" s="276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2" t="e">
        <f>SUMIFS('[1]MAIN-101'!$Z$1:$Z$3000,'[1]MAIN-101'!$X$1:$X$3000,A543)</f>
        <v>#VALUE!</v>
      </c>
      <c r="E543" s="562" t="e">
        <f>SUMIFS('Recon of ORS and DV'!D:D,'Recon of ORS and DV'!B:B,'DV List'!A543)</f>
        <v>#VALUE!</v>
      </c>
      <c r="F543" s="276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2" t="e">
        <f>SUMIFS('[1]MAIN-101'!$Z$1:$Z$3000,'[1]MAIN-101'!$X$1:$X$3000,A544)</f>
        <v>#VALUE!</v>
      </c>
      <c r="E544" s="562" t="e">
        <f>SUMIFS('Recon of ORS and DV'!D:D,'Recon of ORS and DV'!B:B,'DV List'!A544)</f>
        <v>#VALUE!</v>
      </c>
      <c r="F544" s="276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2" t="e">
        <f>SUMIFS('[1]MAIN-101'!$Z$1:$Z$3000,'[1]MAIN-101'!$X$1:$X$3000,A545)</f>
        <v>#VALUE!</v>
      </c>
      <c r="E545" s="562" t="e">
        <f>SUMIFS('Recon of ORS and DV'!D:D,'Recon of ORS and DV'!B:B,'DV List'!A545)</f>
        <v>#VALUE!</v>
      </c>
      <c r="F545" s="276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2" t="e">
        <f>SUMIFS('[1]MAIN-101'!$Z$1:$Z$3000,'[1]MAIN-101'!$X$1:$X$3000,A546)</f>
        <v>#VALUE!</v>
      </c>
      <c r="E546" s="562" t="e">
        <f>SUMIFS('Recon of ORS and DV'!D:D,'Recon of ORS and DV'!B:B,'DV List'!A546)</f>
        <v>#VALUE!</v>
      </c>
      <c r="F546" s="276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2" t="e">
        <f>SUMIFS('[1]MAIN-101'!$Z$1:$Z$3000,'[1]MAIN-101'!$X$1:$X$3000,A547)</f>
        <v>#VALUE!</v>
      </c>
      <c r="E547" s="562" t="e">
        <f>SUMIFS('Recon of ORS and DV'!D:D,'Recon of ORS and DV'!B:B,'DV List'!A547)</f>
        <v>#VALUE!</v>
      </c>
      <c r="F547" s="276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2" t="e">
        <f>SUMIFS('[1]MAIN-101'!$Z$1:$Z$3000,'[1]MAIN-101'!$X$1:$X$3000,A548)</f>
        <v>#VALUE!</v>
      </c>
      <c r="E548" s="562" t="e">
        <f>SUMIFS('Recon of ORS and DV'!D:D,'Recon of ORS and DV'!B:B,'DV List'!A548)</f>
        <v>#VALUE!</v>
      </c>
      <c r="F548" s="276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2" t="e">
        <f>SUMIFS('[1]MAIN-101'!$Z$1:$Z$3000,'[1]MAIN-101'!$X$1:$X$3000,A549)</f>
        <v>#VALUE!</v>
      </c>
      <c r="E549" s="562" t="e">
        <f>SUMIFS('Recon of ORS and DV'!D:D,'Recon of ORS and DV'!B:B,'DV List'!A549)</f>
        <v>#VALUE!</v>
      </c>
      <c r="F549" s="276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2" t="e">
        <f>SUMIFS('[1]MAIN-101'!$Z$1:$Z$3000,'[1]MAIN-101'!$X$1:$X$3000,A550)</f>
        <v>#VALUE!</v>
      </c>
      <c r="E550" s="562" t="e">
        <f>SUMIFS('Recon of ORS and DV'!D:D,'Recon of ORS and DV'!B:B,'DV List'!A550)</f>
        <v>#VALUE!</v>
      </c>
      <c r="F550" s="276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2" t="e">
        <f>SUMIFS('[1]MAIN-101'!$Z$1:$Z$3000,'[1]MAIN-101'!$X$1:$X$3000,A551)</f>
        <v>#VALUE!</v>
      </c>
      <c r="E551" s="562" t="e">
        <f>SUMIFS('Recon of ORS and DV'!D:D,'Recon of ORS and DV'!B:B,'DV List'!A551)</f>
        <v>#VALUE!</v>
      </c>
      <c r="F551" s="276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2" t="e">
        <f>SUMIFS('[1]MAIN-101'!$Z$1:$Z$3000,'[1]MAIN-101'!$X$1:$X$3000,A552)</f>
        <v>#VALUE!</v>
      </c>
      <c r="E552" s="562" t="e">
        <f>SUMIFS('Recon of ORS and DV'!D:D,'Recon of ORS and DV'!B:B,'DV List'!A552)</f>
        <v>#VALUE!</v>
      </c>
      <c r="F552" s="276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2" t="e">
        <f>SUMIFS('[1]MAIN-101'!$Z$1:$Z$3000,'[1]MAIN-101'!$X$1:$X$3000,A553)</f>
        <v>#VALUE!</v>
      </c>
      <c r="E553" s="562">
        <f>SUMIFS('Recon of ORS and DV'!D:D,'Recon of ORS and DV'!B:B,'DV List'!A553)</f>
        <v>0</v>
      </c>
      <c r="F553" s="276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2" t="e">
        <f>SUMIFS('[1]MAIN-101'!$Z$1:$Z$3000,'[1]MAIN-101'!$X$1:$X$3000,A554)</f>
        <v>#VALUE!</v>
      </c>
      <c r="E554" s="562" t="e">
        <f>SUMIFS('Recon of ORS and DV'!D:D,'Recon of ORS and DV'!B:B,'DV List'!A554)</f>
        <v>#VALUE!</v>
      </c>
      <c r="F554" s="276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2" t="e">
        <f>SUMIFS('[1]MAIN-101'!$Z$1:$Z$3000,'[1]MAIN-101'!$X$1:$X$3000,A555)</f>
        <v>#VALUE!</v>
      </c>
      <c r="E555" s="562" t="e">
        <f>SUMIFS('Recon of ORS and DV'!D:D,'Recon of ORS and DV'!B:B,'DV List'!A555)</f>
        <v>#VALUE!</v>
      </c>
      <c r="F555" s="276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2" t="e">
        <f>SUMIFS('[1]MAIN-101'!$Z$1:$Z$3000,'[1]MAIN-101'!$X$1:$X$3000,A556)</f>
        <v>#VALUE!</v>
      </c>
      <c r="E556" s="562" t="e">
        <f>SUMIFS('Recon of ORS and DV'!D:D,'Recon of ORS and DV'!B:B,'DV List'!A556)</f>
        <v>#VALUE!</v>
      </c>
      <c r="F556" s="276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2" t="e">
        <f>SUMIFS('[1]MAIN-101'!$Z$1:$Z$3000,'[1]MAIN-101'!$X$1:$X$3000,A557)</f>
        <v>#VALUE!</v>
      </c>
      <c r="E557" s="562" t="e">
        <f>SUMIFS('Recon of ORS and DV'!D:D,'Recon of ORS and DV'!B:B,'DV List'!A557)</f>
        <v>#VALUE!</v>
      </c>
      <c r="F557" s="276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2" t="e">
        <f>SUMIFS('[1]MAIN-101'!$Z$1:$Z$3000,'[1]MAIN-101'!$X$1:$X$3000,A558)</f>
        <v>#VALUE!</v>
      </c>
      <c r="E558" s="562" t="e">
        <f>SUMIFS('Recon of ORS and DV'!D:D,'Recon of ORS and DV'!B:B,'DV List'!A558)</f>
        <v>#VALUE!</v>
      </c>
      <c r="F558" s="276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2" t="e">
        <f>SUMIFS('[1]MAIN-101'!$Z$1:$Z$3000,'[1]MAIN-101'!$X$1:$X$3000,A559)</f>
        <v>#VALUE!</v>
      </c>
      <c r="E559" s="562">
        <f>SUMIFS('Recon of ORS and DV'!D:D,'Recon of ORS and DV'!B:B,'DV List'!A559)</f>
        <v>0</v>
      </c>
      <c r="F559" s="276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2" t="e">
        <f>SUMIFS('[1]MAIN-101'!$Z$1:$Z$3000,'[1]MAIN-101'!$X$1:$X$3000,A560)</f>
        <v>#VALUE!</v>
      </c>
      <c r="E560" s="562">
        <f>SUMIFS('Recon of ORS and DV'!D:D,'Recon of ORS and DV'!B:B,'DV List'!A560)</f>
        <v>0</v>
      </c>
      <c r="F560" s="276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2" t="e">
        <f>SUMIFS('[1]MAIN-101'!$Z$1:$Z$3000,'[1]MAIN-101'!$X$1:$X$3000,A561)</f>
        <v>#VALUE!</v>
      </c>
      <c r="E561" s="562">
        <f>SUMIFS('Recon of ORS and DV'!D:D,'Recon of ORS and DV'!B:B,'DV List'!A561)</f>
        <v>0</v>
      </c>
      <c r="F561" s="276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2" t="e">
        <f>SUMIFS('[1]MAIN-101'!$Z$1:$Z$3000,'[1]MAIN-101'!$X$1:$X$3000,A562)</f>
        <v>#VALUE!</v>
      </c>
      <c r="E562" s="562">
        <f>SUMIFS('Recon of ORS and DV'!D:D,'Recon of ORS and DV'!B:B,'DV List'!A562)</f>
        <v>0</v>
      </c>
      <c r="F562" s="276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2" t="e">
        <f>SUMIFS('[1]MAIN-101'!$Z$1:$Z$3000,'[1]MAIN-101'!$X$1:$X$3000,A563)</f>
        <v>#VALUE!</v>
      </c>
      <c r="E563" s="562" t="e">
        <f>SUMIFS('Recon of ORS and DV'!D:D,'Recon of ORS and DV'!B:B,'DV List'!A563)</f>
        <v>#VALUE!</v>
      </c>
      <c r="F563" s="276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2" t="e">
        <f>SUMIFS('[1]MAIN-101'!$Z$1:$Z$3000,'[1]MAIN-101'!$X$1:$X$3000,A564)</f>
        <v>#VALUE!</v>
      </c>
      <c r="E564" s="562" t="e">
        <f>SUMIFS('Recon of ORS and DV'!D:D,'Recon of ORS and DV'!B:B,'DV List'!A564)</f>
        <v>#VALUE!</v>
      </c>
      <c r="F564" s="276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2" t="e">
        <f>SUMIFS('[1]MAIN-101'!$Z$1:$Z$3000,'[1]MAIN-101'!$X$1:$X$3000,A565)</f>
        <v>#VALUE!</v>
      </c>
      <c r="E565" s="562" t="e">
        <f>SUMIFS('Recon of ORS and DV'!D:D,'Recon of ORS and DV'!B:B,'DV List'!A565)</f>
        <v>#VALUE!</v>
      </c>
      <c r="F565" s="276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2" t="e">
        <f>SUMIFS('[1]MAIN-101'!$Z$1:$Z$3000,'[1]MAIN-101'!$X$1:$X$3000,A566)</f>
        <v>#VALUE!</v>
      </c>
      <c r="E566" s="562" t="e">
        <f>SUMIFS('Recon of ORS and DV'!D:D,'Recon of ORS and DV'!B:B,'DV List'!A566)</f>
        <v>#VALUE!</v>
      </c>
      <c r="F566" s="276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2" t="e">
        <f>SUMIFS('[1]MAIN-101'!$Z$1:$Z$3000,'[1]MAIN-101'!$X$1:$X$3000,A567)</f>
        <v>#VALUE!</v>
      </c>
      <c r="E567" s="562" t="e">
        <f>SUMIFS('Recon of ORS and DV'!D:D,'Recon of ORS and DV'!B:B,'DV List'!A567)</f>
        <v>#VALUE!</v>
      </c>
      <c r="F567" s="276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2" t="e">
        <f>SUMIFS('[1]MAIN-101'!$Z$1:$Z$3000,'[1]MAIN-101'!$X$1:$X$3000,A568)</f>
        <v>#VALUE!</v>
      </c>
      <c r="E568" s="562" t="e">
        <f>SUMIFS('Recon of ORS and DV'!D:D,'Recon of ORS and DV'!B:B,'DV List'!A568)</f>
        <v>#VALUE!</v>
      </c>
      <c r="F568" s="276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2" t="e">
        <f>SUMIFS('[1]MAIN-101'!$Z$1:$Z$3000,'[1]MAIN-101'!$X$1:$X$3000,A569)</f>
        <v>#VALUE!</v>
      </c>
      <c r="E569" s="562" t="e">
        <f>SUMIFS('Recon of ORS and DV'!D:D,'Recon of ORS and DV'!B:B,'DV List'!A569)</f>
        <v>#VALUE!</v>
      </c>
      <c r="F569" s="276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2" t="e">
        <f>SUMIFS('[1]MAIN-101'!$Z$1:$Z$3000,'[1]MAIN-101'!$X$1:$X$3000,A570)</f>
        <v>#VALUE!</v>
      </c>
      <c r="E570" s="562">
        <f>SUMIFS('Recon of ORS and DV'!D:D,'Recon of ORS and DV'!B:B,'DV List'!A570)</f>
        <v>0</v>
      </c>
      <c r="F570" s="276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2" t="e">
        <f>SUMIFS('[1]MAIN-101'!$Z$1:$Z$3000,'[1]MAIN-101'!$X$1:$X$3000,A571)</f>
        <v>#VALUE!</v>
      </c>
      <c r="E571" s="562" t="e">
        <f>SUMIFS('Recon of ORS and DV'!D:D,'Recon of ORS and DV'!B:B,'DV List'!A571)</f>
        <v>#VALUE!</v>
      </c>
      <c r="F571" s="276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2" t="e">
        <f>SUMIFS('[1]MAIN-101'!$Z$1:$Z$3000,'[1]MAIN-101'!$X$1:$X$3000,A572)</f>
        <v>#VALUE!</v>
      </c>
      <c r="E572" s="562" t="e">
        <f>SUMIFS('Recon of ORS and DV'!D:D,'Recon of ORS and DV'!B:B,'DV List'!A572)</f>
        <v>#VALUE!</v>
      </c>
      <c r="F572" s="276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2" t="e">
        <f>SUMIFS('[1]MAIN-101'!$Z$1:$Z$3000,'[1]MAIN-101'!$X$1:$X$3000,A573)</f>
        <v>#VALUE!</v>
      </c>
      <c r="E573" s="562" t="e">
        <f>SUMIFS('Recon of ORS and DV'!D:D,'Recon of ORS and DV'!B:B,'DV List'!A573)</f>
        <v>#VALUE!</v>
      </c>
      <c r="F573" s="276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2" t="e">
        <f>SUMIFS('[1]MAIN-101'!$Z$1:$Z$3000,'[1]MAIN-101'!$X$1:$X$3000,A574)</f>
        <v>#VALUE!</v>
      </c>
      <c r="E574" s="562" t="e">
        <f>SUMIFS('Recon of ORS and DV'!D:D,'Recon of ORS and DV'!B:B,'DV List'!A574)</f>
        <v>#VALUE!</v>
      </c>
      <c r="F574" s="276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2" t="e">
        <f>SUMIFS('[1]MAIN-101'!$Z$1:$Z$3000,'[1]MAIN-101'!$X$1:$X$3000,A575)</f>
        <v>#VALUE!</v>
      </c>
      <c r="E575" s="562" t="e">
        <f>SUMIFS('Recon of ORS and DV'!D:D,'Recon of ORS and DV'!B:B,'DV List'!A575)</f>
        <v>#VALUE!</v>
      </c>
      <c r="F575" s="276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2" t="e">
        <f>SUMIFS('[1]MAIN-101'!$Z$1:$Z$3000,'[1]MAIN-101'!$X$1:$X$3000,A576)</f>
        <v>#VALUE!</v>
      </c>
      <c r="E576" s="562" t="e">
        <f>SUMIFS('Recon of ORS and DV'!D:D,'Recon of ORS and DV'!B:B,'DV List'!A576)</f>
        <v>#VALUE!</v>
      </c>
      <c r="F576" s="276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2" t="e">
        <f>SUMIFS('[1]MAIN-101'!$Z$1:$Z$3000,'[1]MAIN-101'!$X$1:$X$3000,A577)</f>
        <v>#VALUE!</v>
      </c>
      <c r="E577" s="562" t="e">
        <f>SUMIFS('Recon of ORS and DV'!D:D,'Recon of ORS and DV'!B:B,'DV List'!A577)</f>
        <v>#VALUE!</v>
      </c>
      <c r="F577" s="276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2" t="e">
        <f>SUMIFS('[1]MAIN-101'!$Z$1:$Z$3000,'[1]MAIN-101'!$X$1:$X$3000,A578)</f>
        <v>#VALUE!</v>
      </c>
      <c r="E578" s="562" t="e">
        <f>SUMIFS('Recon of ORS and DV'!D:D,'Recon of ORS and DV'!B:B,'DV List'!A578)</f>
        <v>#VALUE!</v>
      </c>
      <c r="F578" s="276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2" t="e">
        <f>SUMIFS('[1]MAIN-101'!$Z$1:$Z$3000,'[1]MAIN-101'!$X$1:$X$3000,A579)</f>
        <v>#VALUE!</v>
      </c>
      <c r="E579" s="562">
        <f>SUMIFS('Recon of ORS and DV'!D:D,'Recon of ORS and DV'!B:B,'DV List'!A579)</f>
        <v>0</v>
      </c>
      <c r="F579" s="276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2" t="e">
        <f>SUMIFS('[1]MAIN-101'!$Z$1:$Z$3000,'[1]MAIN-101'!$X$1:$X$3000,A580)</f>
        <v>#VALUE!</v>
      </c>
      <c r="E580" s="562">
        <f>SUMIFS('Recon of ORS and DV'!D:D,'Recon of ORS and DV'!B:B,'DV List'!A580)</f>
        <v>0</v>
      </c>
      <c r="F580" s="276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2" t="e">
        <f>SUMIFS('[1]MAIN-101'!$Z$1:$Z$3000,'[1]MAIN-101'!$X$1:$X$3000,A581)</f>
        <v>#VALUE!</v>
      </c>
      <c r="E581" s="562" t="e">
        <f>SUMIFS('Recon of ORS and DV'!D:D,'Recon of ORS and DV'!B:B,'DV List'!A581)</f>
        <v>#VALUE!</v>
      </c>
      <c r="F581" s="276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2" t="e">
        <f>SUMIFS('[1]MAIN-101'!$Z$1:$Z$3000,'[1]MAIN-101'!$X$1:$X$3000,A582)</f>
        <v>#VALUE!</v>
      </c>
      <c r="E582" s="562">
        <f>SUMIFS('Recon of ORS and DV'!D:D,'Recon of ORS and DV'!B:B,'DV List'!A582)</f>
        <v>0</v>
      </c>
      <c r="F582" s="276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2" t="e">
        <f>SUMIFS('[1]MAIN-101'!$Z$1:$Z$3000,'[1]MAIN-101'!$X$1:$X$3000,A583)</f>
        <v>#VALUE!</v>
      </c>
      <c r="E583" s="562">
        <f>SUMIFS('Recon of ORS and DV'!D:D,'Recon of ORS and DV'!B:B,'DV List'!A583)</f>
        <v>0</v>
      </c>
      <c r="F583" s="276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2" t="e">
        <f>SUMIFS('[1]MAIN-101'!$Z$1:$Z$3000,'[1]MAIN-101'!$X$1:$X$3000,A584)</f>
        <v>#VALUE!</v>
      </c>
      <c r="E584" s="562">
        <f>SUMIFS('Recon of ORS and DV'!D:D,'Recon of ORS and DV'!B:B,'DV List'!A584)</f>
        <v>0</v>
      </c>
      <c r="F584" s="276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2" t="e">
        <f>SUMIFS('[1]MAIN-101'!$Z$1:$Z$3000,'[1]MAIN-101'!$X$1:$X$3000,A585)</f>
        <v>#VALUE!</v>
      </c>
      <c r="E585" s="562" t="e">
        <f>SUMIFS('Recon of ORS and DV'!D:D,'Recon of ORS and DV'!B:B,'DV List'!A585)</f>
        <v>#VALUE!</v>
      </c>
      <c r="F585" s="276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2" t="e">
        <f>SUMIFS('[1]MAIN-101'!$Z$1:$Z$3000,'[1]MAIN-101'!$X$1:$X$3000,A586)</f>
        <v>#VALUE!</v>
      </c>
      <c r="E586" s="562" t="e">
        <f>SUMIFS('Recon of ORS and DV'!D:D,'Recon of ORS and DV'!B:B,'DV List'!A586)</f>
        <v>#VALUE!</v>
      </c>
      <c r="F586" s="276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2" t="e">
        <f>SUMIFS('[1]MAIN-101'!$Z$1:$Z$3000,'[1]MAIN-101'!$X$1:$X$3000,A587)</f>
        <v>#VALUE!</v>
      </c>
      <c r="E587" s="562" t="e">
        <f>SUMIFS('Recon of ORS and DV'!D:D,'Recon of ORS and DV'!B:B,'DV List'!A587)</f>
        <v>#VALUE!</v>
      </c>
      <c r="F587" s="276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2" t="e">
        <f>SUMIFS('[1]MAIN-101'!$Z$1:$Z$3000,'[1]MAIN-101'!$X$1:$X$3000,A588)</f>
        <v>#VALUE!</v>
      </c>
      <c r="E588" s="562" t="e">
        <f>SUMIFS('Recon of ORS and DV'!D:D,'Recon of ORS and DV'!B:B,'DV List'!A588)</f>
        <v>#VALUE!</v>
      </c>
      <c r="F588" s="276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2" t="e">
        <f>SUMIFS('[1]MAIN-101'!$Z$1:$Z$3000,'[1]MAIN-101'!$X$1:$X$3000,A589)</f>
        <v>#VALUE!</v>
      </c>
      <c r="E589" s="562" t="e">
        <f>SUMIFS('Recon of ORS and DV'!D:D,'Recon of ORS and DV'!B:B,'DV List'!A589)</f>
        <v>#VALUE!</v>
      </c>
      <c r="F589" s="276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2" t="e">
        <f>SUMIFS('[1]MAIN-101'!$Z$1:$Z$3000,'[1]MAIN-101'!$X$1:$X$3000,A590)</f>
        <v>#VALUE!</v>
      </c>
      <c r="E590" s="562">
        <f>SUMIFS('Recon of ORS and DV'!D:D,'Recon of ORS and DV'!B:B,'DV List'!A590)</f>
        <v>0</v>
      </c>
      <c r="F590" s="276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2" t="e">
        <f>SUMIFS('[1]MAIN-101'!$Z$1:$Z$3000,'[1]MAIN-101'!$X$1:$X$3000,A591)</f>
        <v>#VALUE!</v>
      </c>
      <c r="E591" s="562" t="e">
        <f>SUMIFS('Recon of ORS and DV'!D:D,'Recon of ORS and DV'!B:B,'DV List'!A591)</f>
        <v>#VALUE!</v>
      </c>
      <c r="F591" s="276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2" t="e">
        <f>SUMIFS('[1]MAIN-101'!$Z$1:$Z$3000,'[1]MAIN-101'!$X$1:$X$3000,A592)</f>
        <v>#VALUE!</v>
      </c>
      <c r="E592" s="562" t="e">
        <f>SUMIFS('Recon of ORS and DV'!D:D,'Recon of ORS and DV'!B:B,'DV List'!A592)</f>
        <v>#VALUE!</v>
      </c>
      <c r="F592" s="276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2" t="e">
        <f>SUMIFS('[1]MAIN-101'!$Z$1:$Z$3000,'[1]MAIN-101'!$X$1:$X$3000,A593)</f>
        <v>#VALUE!</v>
      </c>
      <c r="E593" s="562" t="e">
        <f>SUMIFS('Recon of ORS and DV'!D:D,'Recon of ORS and DV'!B:B,'DV List'!A593)</f>
        <v>#VALUE!</v>
      </c>
      <c r="F593" s="276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2" t="e">
        <f>SUMIFS('[1]MAIN-101'!$Z$1:$Z$3000,'[1]MAIN-101'!$X$1:$X$3000,A594)</f>
        <v>#VALUE!</v>
      </c>
      <c r="E594" s="562" t="e">
        <f>SUMIFS('Recon of ORS and DV'!D:D,'Recon of ORS and DV'!B:B,'DV List'!A594)</f>
        <v>#VALUE!</v>
      </c>
      <c r="F594" s="276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2" t="e">
        <f>SUMIFS('[1]MAIN-101'!$Z$1:$Z$3000,'[1]MAIN-101'!$X$1:$X$3000,A595)</f>
        <v>#VALUE!</v>
      </c>
      <c r="E595" s="562" t="e">
        <f>SUMIFS('Recon of ORS and DV'!D:D,'Recon of ORS and DV'!B:B,'DV List'!A595)</f>
        <v>#VALUE!</v>
      </c>
      <c r="F595" s="276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2" t="e">
        <f>SUMIFS('[1]MAIN-101'!$Z$1:$Z$3000,'[1]MAIN-101'!$X$1:$X$3000,A596)</f>
        <v>#VALUE!</v>
      </c>
      <c r="E596" s="562">
        <f>SUMIFS('Recon of ORS and DV'!D:D,'Recon of ORS and DV'!B:B,'DV List'!A596)</f>
        <v>0</v>
      </c>
      <c r="F596" s="276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2" t="e">
        <f>SUMIFS('[1]MAIN-101'!$Z$1:$Z$3000,'[1]MAIN-101'!$X$1:$X$3000,A597)</f>
        <v>#VALUE!</v>
      </c>
      <c r="E597" s="562" t="e">
        <f>SUMIFS('Recon of ORS and DV'!D:D,'Recon of ORS and DV'!B:B,'DV List'!A597)</f>
        <v>#VALUE!</v>
      </c>
      <c r="F597" s="276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2" t="e">
        <f>SUMIFS('[1]MAIN-101'!$Z$1:$Z$3000,'[1]MAIN-101'!$X$1:$X$3000,A598)</f>
        <v>#VALUE!</v>
      </c>
      <c r="E598" s="562" t="e">
        <f>SUMIFS('Recon of ORS and DV'!D:D,'Recon of ORS and DV'!B:B,'DV List'!A598)</f>
        <v>#VALUE!</v>
      </c>
      <c r="F598" s="276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2" t="e">
        <f>SUMIFS('[1]MAIN-101'!$Z$1:$Z$3000,'[1]MAIN-101'!$X$1:$X$3000,A599)</f>
        <v>#VALUE!</v>
      </c>
      <c r="E599" s="562" t="e">
        <f>SUMIFS('Recon of ORS and DV'!D:D,'Recon of ORS and DV'!B:B,'DV List'!A599)</f>
        <v>#VALUE!</v>
      </c>
      <c r="F599" s="276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2" t="e">
        <f>SUMIFS('[1]MAIN-101'!$Z$1:$Z$3000,'[1]MAIN-101'!$X$1:$X$3000,A600)</f>
        <v>#VALUE!</v>
      </c>
      <c r="E600" s="562" t="e">
        <f>SUMIFS('Recon of ORS and DV'!D:D,'Recon of ORS and DV'!B:B,'DV List'!A600)</f>
        <v>#VALUE!</v>
      </c>
      <c r="F600" s="276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2" t="e">
        <f>SUMIFS('[1]MAIN-101'!$Z$1:$Z$3000,'[1]MAIN-101'!$X$1:$X$3000,A601)</f>
        <v>#VALUE!</v>
      </c>
      <c r="E601" s="562" t="e">
        <f>SUMIFS('Recon of ORS and DV'!D:D,'Recon of ORS and DV'!B:B,'DV List'!A601)</f>
        <v>#VALUE!</v>
      </c>
      <c r="F601" s="276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2" t="e">
        <f>SUMIFS('[1]MAIN-101'!$Z$1:$Z$3000,'[1]MAIN-101'!$X$1:$X$3000,A602)</f>
        <v>#VALUE!</v>
      </c>
      <c r="E602" s="562" t="e">
        <f>SUMIFS('Recon of ORS and DV'!D:D,'Recon of ORS and DV'!B:B,'DV List'!A602)</f>
        <v>#VALUE!</v>
      </c>
      <c r="F602" s="276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2" t="e">
        <f>SUMIFS('[1]MAIN-101'!$Z$1:$Z$3000,'[1]MAIN-101'!$X$1:$X$3000,A603)</f>
        <v>#VALUE!</v>
      </c>
      <c r="E603" s="562">
        <f>SUMIFS('Recon of ORS and DV'!D:D,'Recon of ORS and DV'!B:B,'DV List'!A603)</f>
        <v>0</v>
      </c>
      <c r="F603" s="276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2" t="e">
        <f>SUMIFS('[1]MAIN-101'!$Z$1:$Z$3000,'[1]MAIN-101'!$X$1:$X$3000,A604)</f>
        <v>#VALUE!</v>
      </c>
      <c r="E604" s="562">
        <f>SUMIFS('Recon of ORS and DV'!D:D,'Recon of ORS and DV'!B:B,'DV List'!A604)</f>
        <v>0</v>
      </c>
      <c r="F604" s="276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2" t="e">
        <f>SUMIFS('[1]MAIN-101'!$Z$1:$Z$3000,'[1]MAIN-101'!$X$1:$X$3000,A605)</f>
        <v>#VALUE!</v>
      </c>
      <c r="E605" s="562" t="e">
        <f>SUMIFS('Recon of ORS and DV'!D:D,'Recon of ORS and DV'!B:B,'DV List'!A605)</f>
        <v>#VALUE!</v>
      </c>
      <c r="F605" s="276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2" t="e">
        <f>SUMIFS('[1]MAIN-101'!$Z$1:$Z$3000,'[1]MAIN-101'!$X$1:$X$3000,A606)</f>
        <v>#VALUE!</v>
      </c>
      <c r="E606" s="562" t="e">
        <f>SUMIFS('Recon of ORS and DV'!D:D,'Recon of ORS and DV'!B:B,'DV List'!A606)</f>
        <v>#VALUE!</v>
      </c>
      <c r="F606" s="276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2" t="e">
        <f>SUMIFS('[1]MAIN-101'!$Z$1:$Z$3000,'[1]MAIN-101'!$X$1:$X$3000,A607)</f>
        <v>#VALUE!</v>
      </c>
      <c r="E607" s="562" t="e">
        <f>SUMIFS('Recon of ORS and DV'!D:D,'Recon of ORS and DV'!B:B,'DV List'!A607)</f>
        <v>#VALUE!</v>
      </c>
      <c r="F607" s="276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5" bestFit="1" customWidth="1"/>
    <col min="2" max="2" width="21.33203125" style="395" customWidth="1"/>
    <col min="3" max="3" width="11.88671875" style="395" customWidth="1"/>
    <col min="4" max="4" width="8.5546875" style="395" customWidth="1"/>
    <col min="5" max="5" width="12.109375" style="395" customWidth="1"/>
    <col min="6" max="7" width="9.44140625" style="395" customWidth="1"/>
    <col min="8" max="8" width="33.109375" style="395" bestFit="1" customWidth="1"/>
    <col min="9" max="9" width="14.88671875" style="396" customWidth="1"/>
    <col min="10" max="10" width="15.6640625" style="395" customWidth="1"/>
    <col min="11" max="11" width="18.33203125" style="395" customWidth="1"/>
    <col min="12" max="12" width="16.6640625" style="395" customWidth="1"/>
    <col min="13" max="13" width="11.88671875" style="397" customWidth="1"/>
    <col min="14" max="14" width="26.33203125" style="395" customWidth="1"/>
    <col min="15" max="15" width="44.5546875" style="395" customWidth="1"/>
    <col min="16" max="16" width="18.88671875" style="395" customWidth="1"/>
    <col min="17" max="17" width="20" style="395" customWidth="1"/>
    <col min="18" max="18" width="18.33203125" style="395" customWidth="1"/>
    <col min="19" max="19" width="21.44140625" style="395" customWidth="1"/>
    <col min="20" max="20" width="25.5546875" style="395" customWidth="1"/>
    <col min="21" max="21" width="18.33203125" style="395" customWidth="1"/>
    <col min="22" max="22" width="25.33203125" style="395" customWidth="1"/>
    <col min="23" max="24" width="19" style="395" customWidth="1"/>
    <col min="25" max="25" width="18.33203125" style="399" customWidth="1"/>
    <col min="26" max="26" width="20.109375" style="396" customWidth="1"/>
    <col min="27" max="27" width="24.109375" style="395" customWidth="1"/>
    <col min="28" max="28" width="28.109375" style="395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2" customFormat="1" ht="23.4">
      <c r="A1" s="305" t="s">
        <v>957</v>
      </c>
      <c r="B1" s="306"/>
      <c r="C1" s="307"/>
      <c r="D1" s="308"/>
      <c r="E1" s="309"/>
      <c r="F1" s="306"/>
      <c r="G1" s="306"/>
      <c r="H1" s="306"/>
      <c r="I1" s="310"/>
      <c r="J1" s="306"/>
      <c r="K1" s="306"/>
      <c r="L1" s="306"/>
      <c r="M1" s="311"/>
      <c r="N1" s="312"/>
      <c r="O1" s="307"/>
      <c r="P1" s="313" t="s">
        <v>959</v>
      </c>
      <c r="Q1" s="314">
        <f>Q3/P3</f>
        <v>0.17636018446630852</v>
      </c>
      <c r="R1" s="315"/>
      <c r="S1" s="315"/>
      <c r="T1" s="315"/>
      <c r="U1" s="315"/>
      <c r="V1" s="315"/>
      <c r="W1" s="315"/>
      <c r="X1" s="315"/>
      <c r="Y1" s="316"/>
      <c r="Z1" s="310"/>
      <c r="AA1" s="315"/>
      <c r="AB1" s="315"/>
      <c r="AC1" s="116"/>
      <c r="AD1" s="113"/>
      <c r="AE1" s="116"/>
      <c r="AF1" s="116"/>
      <c r="AG1" s="117"/>
      <c r="AH1" s="117"/>
      <c r="AI1" s="49"/>
    </row>
    <row r="2" spans="1:35" s="32" customFormat="1" ht="16.5" customHeight="1">
      <c r="A2" s="317" t="s">
        <v>958</v>
      </c>
      <c r="B2" s="306"/>
      <c r="C2" s="307"/>
      <c r="D2" s="308"/>
      <c r="E2" s="309"/>
      <c r="F2" s="306"/>
      <c r="G2" s="306"/>
      <c r="H2" s="306"/>
      <c r="I2" s="310"/>
      <c r="J2" s="306"/>
      <c r="K2" s="306"/>
      <c r="L2" s="306"/>
      <c r="M2" s="311"/>
      <c r="N2" s="318"/>
      <c r="O2" s="312"/>
      <c r="P2" s="312"/>
      <c r="Q2" s="315"/>
      <c r="R2" s="315"/>
      <c r="S2" s="319" t="e">
        <f>VLOOKUP(H2,'Fund Utilization Report'!$A$4:$U$1800,13,FALSE)</f>
        <v>#N/A</v>
      </c>
      <c r="T2" s="319" t="e">
        <f>VLOOKUP(H2,'Fund Utilization Report'!$A$4:$U$1800,#REF!,FALSE)</f>
        <v>#REF!</v>
      </c>
      <c r="U2" s="319" t="e">
        <f>VLOOKUP(H2,'Fund Utilization Report'!$A$4:$U$1800,3,FALSE)</f>
        <v>#N/A</v>
      </c>
      <c r="V2" s="319" t="e">
        <f>VLOOKUP(H2,'Fund Utilization Report'!$A$4:$U$1800,4,FALSE)</f>
        <v>#N/A</v>
      </c>
      <c r="W2" s="319" t="e">
        <f>VLOOKUP(H2,'Fund Utilization Report'!$A$4:$U$1800,5,FALSE)</f>
        <v>#N/A</v>
      </c>
      <c r="X2" s="319" t="e">
        <f>VLOOKUP(H2,'Fund Utilization Report'!$A$4:$U$1800,6,FALSE)</f>
        <v>#N/A</v>
      </c>
      <c r="Y2" s="320" t="e">
        <f>VLOOKUP(H2,'Fund Utilization Report'!$A$4:$U$1800,7,FALSE)</f>
        <v>#N/A</v>
      </c>
      <c r="Z2" s="321" t="e">
        <f>VLOOKUP(H2,'Fund Utilization Report'!$A$4:$U$1800,8,FALSE)</f>
        <v>#N/A</v>
      </c>
      <c r="AA2" s="319" t="e">
        <f>VLOOKUP(H2,'Fund Utilization Report'!$A$4:$U$1800,14,FALSE)</f>
        <v>#N/A</v>
      </c>
      <c r="AB2" s="319" t="e">
        <f>VLOOKUP(H2,'Fund Utilization Report'!$A$4:$U$1800,15,FALSE)</f>
        <v>#N/A</v>
      </c>
      <c r="AC2" s="116"/>
      <c r="AD2" s="113"/>
      <c r="AE2" s="116"/>
      <c r="AF2" s="116"/>
      <c r="AG2" s="117"/>
      <c r="AH2" s="117"/>
      <c r="AI2" s="49"/>
    </row>
    <row r="3" spans="1:35" s="32" customFormat="1" ht="16.5" customHeight="1">
      <c r="A3" s="317" t="s">
        <v>785</v>
      </c>
      <c r="B3" s="306"/>
      <c r="C3" s="307"/>
      <c r="D3" s="308"/>
      <c r="E3" s="309"/>
      <c r="F3" s="306"/>
      <c r="G3" s="306"/>
      <c r="H3" s="306"/>
      <c r="I3" s="310"/>
      <c r="J3" s="306"/>
      <c r="K3" s="306"/>
      <c r="L3" s="306"/>
      <c r="M3" s="311"/>
      <c r="N3" s="318"/>
      <c r="O3" s="322"/>
      <c r="P3" s="323">
        <f>SUBTOTAL(9,P5:P50784)</f>
        <v>255587576.61999997</v>
      </c>
      <c r="Q3" s="323">
        <f>SUBTOTAL(9,Q5:Q50784)</f>
        <v>45075472.159999959</v>
      </c>
      <c r="R3" s="324"/>
      <c r="S3" s="325">
        <v>13</v>
      </c>
      <c r="T3" s="325">
        <v>2</v>
      </c>
      <c r="U3" s="325">
        <v>3</v>
      </c>
      <c r="V3" s="325">
        <v>4</v>
      </c>
      <c r="W3" s="325">
        <v>5</v>
      </c>
      <c r="X3" s="325">
        <v>6</v>
      </c>
      <c r="Y3" s="325">
        <v>7</v>
      </c>
      <c r="Z3" s="325">
        <v>8</v>
      </c>
      <c r="AA3" s="325">
        <v>14</v>
      </c>
      <c r="AB3" s="325">
        <v>15</v>
      </c>
      <c r="AC3" s="116"/>
      <c r="AD3" s="113"/>
      <c r="AE3" s="116"/>
      <c r="AF3" s="116"/>
      <c r="AG3" s="117"/>
      <c r="AH3" s="117"/>
      <c r="AI3" s="49"/>
    </row>
    <row r="4" spans="1:35" s="169" customFormat="1" ht="30" customHeight="1">
      <c r="A4" s="326" t="s">
        <v>941</v>
      </c>
      <c r="B4" s="327" t="s">
        <v>940</v>
      </c>
      <c r="C4" s="328" t="s">
        <v>146</v>
      </c>
      <c r="D4" s="329" t="s">
        <v>147</v>
      </c>
      <c r="E4" s="330" t="s">
        <v>1017</v>
      </c>
      <c r="F4" s="326" t="s">
        <v>148</v>
      </c>
      <c r="G4" s="326" t="s">
        <v>149</v>
      </c>
      <c r="H4" s="326" t="s">
        <v>875</v>
      </c>
      <c r="I4" s="331" t="s">
        <v>938</v>
      </c>
      <c r="J4" s="327" t="s">
        <v>939</v>
      </c>
      <c r="K4" s="326" t="s">
        <v>880</v>
      </c>
      <c r="L4" s="326" t="s">
        <v>944</v>
      </c>
      <c r="M4" s="332" t="s">
        <v>154</v>
      </c>
      <c r="N4" s="333" t="s">
        <v>155</v>
      </c>
      <c r="O4" s="333" t="s">
        <v>156</v>
      </c>
      <c r="P4" s="333" t="s">
        <v>937</v>
      </c>
      <c r="Q4" s="334" t="s">
        <v>936</v>
      </c>
      <c r="R4" s="334" t="s">
        <v>878</v>
      </c>
      <c r="S4" s="334" t="s">
        <v>922</v>
      </c>
      <c r="T4" s="334" t="s">
        <v>873</v>
      </c>
      <c r="U4" s="334" t="s">
        <v>1018</v>
      </c>
      <c r="V4" s="334" t="s">
        <v>886</v>
      </c>
      <c r="W4" s="334" t="s">
        <v>874</v>
      </c>
      <c r="X4" s="334" t="s">
        <v>1019</v>
      </c>
      <c r="Y4" s="335" t="s">
        <v>889</v>
      </c>
      <c r="Z4" s="336" t="s">
        <v>879</v>
      </c>
      <c r="AA4" s="334" t="s">
        <v>885</v>
      </c>
      <c r="AB4" s="337" t="s">
        <v>930</v>
      </c>
      <c r="AC4" s="300" t="s">
        <v>150</v>
      </c>
      <c r="AD4" s="213" t="s">
        <v>151</v>
      </c>
      <c r="AE4" s="217" t="s">
        <v>152</v>
      </c>
      <c r="AF4" s="217"/>
      <c r="AG4" s="300" t="s">
        <v>86</v>
      </c>
      <c r="AH4" s="300"/>
    </row>
    <row r="5" spans="1:35" s="169" customFormat="1" ht="13.8">
      <c r="A5" s="338" t="s">
        <v>942</v>
      </c>
      <c r="B5" s="338" t="s">
        <v>943</v>
      </c>
      <c r="C5" s="339"/>
      <c r="D5" s="340"/>
      <c r="E5" s="341"/>
      <c r="F5" s="342"/>
      <c r="G5" s="342"/>
      <c r="H5" s="343" t="s">
        <v>960</v>
      </c>
      <c r="I5" s="344"/>
      <c r="J5" s="345"/>
      <c r="K5" s="342"/>
      <c r="L5" s="342"/>
      <c r="M5" s="346"/>
      <c r="N5" s="347"/>
      <c r="O5" s="347" t="s">
        <v>1000</v>
      </c>
      <c r="P5" s="347">
        <v>20425000</v>
      </c>
      <c r="Q5" s="348"/>
      <c r="R5" s="348"/>
      <c r="S5" s="319" t="str">
        <f>VLOOKUP(H5,'Fund Utilization Report'!$A$4:$U$1800,13,FALSE)</f>
        <v>PS</v>
      </c>
      <c r="T5" s="319" t="str">
        <f>VLOOKUP(H5,'Fund Utilization Report'!$A$4:$U$1800,2,FALSE)</f>
        <v>GAA</v>
      </c>
      <c r="U5" s="319" t="str">
        <f>VLOOKUP(H5,'Fund Utilization Report'!$A$4:$U$1800,3,FALSE)</f>
        <v>FY2021, RA11518</v>
      </c>
      <c r="V5" s="319" t="str">
        <f>VLOOKUP(H5,'Fund Utilization Report'!$A$4:$U$1800,4,FALSE)</f>
        <v>GAS(GMS)</v>
      </c>
      <c r="W5" s="319" t="str">
        <f>VLOOKUP(H5,'Fund Utilization Report'!$A$4:$U$1800,5,FALSE)</f>
        <v>01101101</v>
      </c>
      <c r="X5" s="319" t="str">
        <f>VLOOKUP(H5,'Fund Utilization Report'!$A$4:$U$1800,6,FALSE)</f>
        <v>GOP</v>
      </c>
      <c r="Y5" s="320" t="str">
        <f>VLOOKUP(H5,'Fund Utilization Report'!$A$4:$U$1800,7,FALSE)</f>
        <v>PS</v>
      </c>
      <c r="Z5" s="321">
        <f>VLOOKUP(H5,'Fund Utilization Report'!$A$4:$U$1800,8,FALSE)</f>
        <v>5010000000</v>
      </c>
      <c r="AA5" s="319" t="str">
        <f>VLOOKUP(H5,'Fund Utilization Report'!$A$4:$U$1800,14,FALSE)</f>
        <v>100000100001000</v>
      </c>
      <c r="AB5" s="349" t="str">
        <f>VLOOKUP(H5,'Fund Utilization Report'!$A$4:$U$1800,15,FALSE)</f>
        <v>General Administration and Supervision - General Management and Supervision</v>
      </c>
      <c r="AC5" s="304"/>
      <c r="AD5" s="199"/>
      <c r="AE5" s="200"/>
      <c r="AF5" s="200"/>
      <c r="AG5" s="304"/>
      <c r="AH5" s="304"/>
    </row>
    <row r="6" spans="1:35" s="169" customFormat="1" ht="13.8">
      <c r="A6" s="338" t="s">
        <v>942</v>
      </c>
      <c r="B6" s="338" t="s">
        <v>943</v>
      </c>
      <c r="C6" s="339"/>
      <c r="D6" s="340"/>
      <c r="E6" s="341"/>
      <c r="F6" s="342"/>
      <c r="G6" s="342"/>
      <c r="H6" s="343" t="s">
        <v>961</v>
      </c>
      <c r="I6" s="344"/>
      <c r="J6" s="345"/>
      <c r="K6" s="342"/>
      <c r="L6" s="342"/>
      <c r="M6" s="346"/>
      <c r="N6" s="347"/>
      <c r="O6" s="347" t="s">
        <v>1000</v>
      </c>
      <c r="P6" s="347">
        <v>11251000</v>
      </c>
      <c r="Q6" s="348"/>
      <c r="R6" s="348"/>
      <c r="S6" s="319" t="str">
        <f>VLOOKUP(H6,'Fund Utilization Report'!$A$4:$U$1800,13,FALSE)</f>
        <v>MOOE</v>
      </c>
      <c r="T6" s="319" t="str">
        <f>VLOOKUP(H6,'Fund Utilization Report'!$A$4:$U$1800,2,FALSE)</f>
        <v>GAA</v>
      </c>
      <c r="U6" s="319" t="str">
        <f>VLOOKUP(H6,'Fund Utilization Report'!$A$4:$U$1800,3,FALSE)</f>
        <v>FY2021, RA11518</v>
      </c>
      <c r="V6" s="319" t="str">
        <f>VLOOKUP(H6,'Fund Utilization Report'!$A$4:$U$1800,4,FALSE)</f>
        <v>GAS(GMS)</v>
      </c>
      <c r="W6" s="319" t="str">
        <f>VLOOKUP(H6,'Fund Utilization Report'!$A$4:$U$1800,5,FALSE)</f>
        <v>01101101</v>
      </c>
      <c r="X6" s="319" t="str">
        <f>VLOOKUP(H6,'Fund Utilization Report'!$A$4:$U$1800,6,FALSE)</f>
        <v>GOP</v>
      </c>
      <c r="Y6" s="320" t="str">
        <f>VLOOKUP(H6,'Fund Utilization Report'!$A$4:$U$1800,7,FALSE)</f>
        <v>MOOE</v>
      </c>
      <c r="Z6" s="321">
        <f>VLOOKUP(H6,'Fund Utilization Report'!$A$4:$U$1800,8,FALSE)</f>
        <v>5020000000</v>
      </c>
      <c r="AA6" s="319" t="str">
        <f>VLOOKUP(H6,'Fund Utilization Report'!$A$4:$U$1800,14,FALSE)</f>
        <v>100000100001000</v>
      </c>
      <c r="AB6" s="349" t="str">
        <f>VLOOKUP(H6,'Fund Utilization Report'!$A$4:$U$1800,15,FALSE)</f>
        <v>General Administration and Supervision - General Management and Supervision</v>
      </c>
      <c r="AC6" s="304"/>
      <c r="AD6" s="199"/>
      <c r="AE6" s="200"/>
      <c r="AF6" s="200"/>
      <c r="AG6" s="304"/>
      <c r="AH6" s="304"/>
    </row>
    <row r="7" spans="1:35" s="169" customFormat="1" ht="13.8">
      <c r="A7" s="338" t="s">
        <v>942</v>
      </c>
      <c r="B7" s="338" t="s">
        <v>943</v>
      </c>
      <c r="C7" s="339"/>
      <c r="D7" s="340"/>
      <c r="E7" s="341"/>
      <c r="F7" s="342"/>
      <c r="G7" s="342"/>
      <c r="H7" s="343" t="s">
        <v>962</v>
      </c>
      <c r="I7" s="344"/>
      <c r="J7" s="345"/>
      <c r="K7" s="342"/>
      <c r="L7" s="342"/>
      <c r="M7" s="346"/>
      <c r="N7" s="347"/>
      <c r="O7" s="347" t="s">
        <v>1000</v>
      </c>
      <c r="P7" s="347">
        <v>1872000</v>
      </c>
      <c r="Q7" s="348"/>
      <c r="R7" s="348"/>
      <c r="S7" s="319" t="str">
        <f>VLOOKUP(H7,'Fund Utilization Report'!$A$4:$U$1800,13,FALSE)</f>
        <v>PS</v>
      </c>
      <c r="T7" s="319" t="str">
        <f>VLOOKUP(H7,'Fund Utilization Report'!$A$4:$U$1800,2,FALSE)</f>
        <v>GAA</v>
      </c>
      <c r="U7" s="319" t="str">
        <f>VLOOKUP(H7,'Fund Utilization Report'!$A$4:$U$1800,3,FALSE)</f>
        <v>FY2021, RA11518</v>
      </c>
      <c r="V7" s="319" t="str">
        <f>VLOOKUP(H7,'Fund Utilization Report'!$A$4:$U$1800,4,FALSE)</f>
        <v>GAS(GMS)</v>
      </c>
      <c r="W7" s="319" t="str">
        <f>VLOOKUP(H7,'Fund Utilization Report'!$A$4:$U$1800,5,FALSE)</f>
        <v>01101101</v>
      </c>
      <c r="X7" s="319" t="str">
        <f>VLOOKUP(H7,'Fund Utilization Report'!$A$4:$U$1800,6,FALSE)</f>
        <v>GOP</v>
      </c>
      <c r="Y7" s="320" t="str">
        <f>VLOOKUP(H7,'Fund Utilization Report'!$A$4:$U$1800,7,FALSE)</f>
        <v>RLIP</v>
      </c>
      <c r="Z7" s="321" t="str">
        <f>VLOOKUP(H7,'Fund Utilization Report'!$A$4:$U$1800,8,FALSE)</f>
        <v>50103010-00</v>
      </c>
      <c r="AA7" s="319" t="str">
        <f>VLOOKUP(H7,'Fund Utilization Report'!$A$4:$U$1800,14,FALSE)</f>
        <v>100000100001000</v>
      </c>
      <c r="AB7" s="349" t="str">
        <f>VLOOKUP(H7,'Fund Utilization Report'!$A$4:$U$1800,15,FALSE)</f>
        <v>General Administration and Supervision - General Management and Supervision</v>
      </c>
      <c r="AC7" s="304"/>
      <c r="AD7" s="199"/>
      <c r="AE7" s="200"/>
      <c r="AF7" s="200"/>
      <c r="AG7" s="304"/>
      <c r="AH7" s="304"/>
    </row>
    <row r="8" spans="1:35" s="169" customFormat="1" ht="13.8">
      <c r="A8" s="338" t="s">
        <v>942</v>
      </c>
      <c r="B8" s="338" t="s">
        <v>943</v>
      </c>
      <c r="C8" s="339"/>
      <c r="D8" s="340"/>
      <c r="E8" s="341"/>
      <c r="F8" s="342"/>
      <c r="G8" s="342"/>
      <c r="H8" s="343" t="s">
        <v>963</v>
      </c>
      <c r="I8" s="344"/>
      <c r="J8" s="345"/>
      <c r="K8" s="342"/>
      <c r="L8" s="342"/>
      <c r="M8" s="346"/>
      <c r="N8" s="347"/>
      <c r="O8" s="347" t="s">
        <v>1000</v>
      </c>
      <c r="P8" s="347">
        <v>2043000</v>
      </c>
      <c r="Q8" s="348"/>
      <c r="R8" s="348"/>
      <c r="S8" s="319" t="str">
        <f>VLOOKUP(H8,'Fund Utilization Report'!$A$4:$U$1800,13,FALSE)</f>
        <v>PS</v>
      </c>
      <c r="T8" s="319" t="str">
        <f>VLOOKUP(H8,'Fund Utilization Report'!$A$4:$U$1800,2,FALSE)</f>
        <v>GAA</v>
      </c>
      <c r="U8" s="319" t="str">
        <f>VLOOKUP(H8,'Fund Utilization Report'!$A$4:$U$1800,3,FALSE)</f>
        <v>FY2021, RA11518</v>
      </c>
      <c r="V8" s="319" t="str">
        <f>VLOOKUP(H8,'Fund Utilization Report'!$A$4:$U$1800,4,FALSE)</f>
        <v>GAS(ABP)</v>
      </c>
      <c r="W8" s="319" t="str">
        <f>VLOOKUP(H8,'Fund Utilization Report'!$A$4:$U$1800,5,FALSE)</f>
        <v>01101101</v>
      </c>
      <c r="X8" s="319" t="str">
        <f>VLOOKUP(H8,'Fund Utilization Report'!$A$4:$U$1800,6,FALSE)</f>
        <v>GOP</v>
      </c>
      <c r="Y8" s="320">
        <f>VLOOKUP(H8,'Fund Utilization Report'!$A$4:$U$1800,7,FALSE)</f>
        <v>742</v>
      </c>
      <c r="Z8" s="321">
        <f>VLOOKUP(H8,'Fund Utilization Report'!$A$4:$U$1800,8,FALSE)</f>
        <v>5010403001</v>
      </c>
      <c r="AA8" s="319" t="str">
        <f>VLOOKUP(H8,'Fund Utilization Report'!$A$4:$U$1800,14,FALSE)</f>
        <v>100000100001000</v>
      </c>
      <c r="AB8" s="349" t="str">
        <f>VLOOKUP(H8,'Fund Utilization Report'!$A$4:$U$1800,15,FALSE)</f>
        <v>General Administration and Supervision - Administration of Personnel Benefits</v>
      </c>
      <c r="AC8" s="304"/>
      <c r="AD8" s="199"/>
      <c r="AE8" s="200"/>
      <c r="AF8" s="200"/>
      <c r="AG8" s="304"/>
      <c r="AH8" s="304"/>
    </row>
    <row r="9" spans="1:35" s="169" customFormat="1" ht="13.8">
      <c r="A9" s="338" t="s">
        <v>942</v>
      </c>
      <c r="B9" s="338" t="s">
        <v>943</v>
      </c>
      <c r="C9" s="339"/>
      <c r="D9" s="340"/>
      <c r="E9" s="341"/>
      <c r="F9" s="342"/>
      <c r="G9" s="342"/>
      <c r="H9" s="343" t="s">
        <v>964</v>
      </c>
      <c r="I9" s="344"/>
      <c r="J9" s="345"/>
      <c r="K9" s="342"/>
      <c r="L9" s="342"/>
      <c r="M9" s="346"/>
      <c r="N9" s="347"/>
      <c r="O9" s="347" t="s">
        <v>1000</v>
      </c>
      <c r="P9" s="347">
        <v>6704000</v>
      </c>
      <c r="Q9" s="348"/>
      <c r="R9" s="348"/>
      <c r="S9" s="319" t="str">
        <f>VLOOKUP(H9,'Fund Utilization Report'!$A$4:$U$1800,13,FALSE)</f>
        <v>PS</v>
      </c>
      <c r="T9" s="319" t="str">
        <f>VLOOKUP(H9,'Fund Utilization Report'!$A$4:$U$1800,2,FALSE)</f>
        <v>GAA</v>
      </c>
      <c r="U9" s="319" t="str">
        <f>VLOOKUP(H9,'Fund Utilization Report'!$A$4:$U$1800,3,FALSE)</f>
        <v>FY2021, RA11518</v>
      </c>
      <c r="V9" s="319" t="str">
        <f>VLOOKUP(H9,'Fund Utilization Report'!$A$4:$U$1800,4,FALSE)</f>
        <v>OO1</v>
      </c>
      <c r="W9" s="319" t="str">
        <f>VLOOKUP(H9,'Fund Utilization Report'!$A$4:$U$1800,5,FALSE)</f>
        <v>01101101</v>
      </c>
      <c r="X9" s="319" t="str">
        <f>VLOOKUP(H9,'Fund Utilization Report'!$A$4:$U$1800,6,FALSE)</f>
        <v>GOP</v>
      </c>
      <c r="Y9" s="320" t="str">
        <f>VLOOKUP(H9,'Fund Utilization Report'!$A$4:$U$1800,7,FALSE)</f>
        <v>PS</v>
      </c>
      <c r="Z9" s="321">
        <f>VLOOKUP(H9,'Fund Utilization Report'!$A$4:$U$1800,8,FALSE)</f>
        <v>5010000000</v>
      </c>
      <c r="AA9" s="319" t="str">
        <f>VLOOKUP(H9,'Fund Utilization Report'!$A$4:$U$1800,14,FALSE)</f>
        <v>310100100002000</v>
      </c>
      <c r="AB9" s="349" t="str">
        <f>VLOOKUP(H9,'Fund Utilization Report'!$A$4:$U$1800,15,FALSE)</f>
        <v>Development,Facilitation, and promotion of exports and investment, domestic and foreign</v>
      </c>
      <c r="AC9" s="304"/>
      <c r="AD9" s="199"/>
      <c r="AE9" s="200"/>
      <c r="AF9" s="200"/>
      <c r="AG9" s="304"/>
      <c r="AH9" s="304"/>
    </row>
    <row r="10" spans="1:35" s="169" customFormat="1" ht="13.8">
      <c r="A10" s="338" t="s">
        <v>942</v>
      </c>
      <c r="B10" s="338" t="s">
        <v>943</v>
      </c>
      <c r="C10" s="339"/>
      <c r="D10" s="340"/>
      <c r="E10" s="341"/>
      <c r="F10" s="342"/>
      <c r="G10" s="342"/>
      <c r="H10" s="343" t="s">
        <v>965</v>
      </c>
      <c r="I10" s="344"/>
      <c r="J10" s="345"/>
      <c r="K10" s="342"/>
      <c r="L10" s="342"/>
      <c r="M10" s="346"/>
      <c r="N10" s="347"/>
      <c r="O10" s="347" t="s">
        <v>1000</v>
      </c>
      <c r="P10" s="347">
        <v>3219000</v>
      </c>
      <c r="Q10" s="348"/>
      <c r="R10" s="348"/>
      <c r="S10" s="319" t="str">
        <f>VLOOKUP(H10,'Fund Utilization Report'!$A$4:$U$1800,13,FALSE)</f>
        <v>MOOE</v>
      </c>
      <c r="T10" s="319" t="str">
        <f>VLOOKUP(H10,'Fund Utilization Report'!$A$4:$U$1800,2,FALSE)</f>
        <v>GAA</v>
      </c>
      <c r="U10" s="319" t="str">
        <f>VLOOKUP(H10,'Fund Utilization Report'!$A$4:$U$1800,3,FALSE)</f>
        <v>FY2021, RA11518</v>
      </c>
      <c r="V10" s="319" t="str">
        <f>VLOOKUP(H10,'Fund Utilization Report'!$A$4:$U$1800,4,FALSE)</f>
        <v>OO1</v>
      </c>
      <c r="W10" s="319" t="str">
        <f>VLOOKUP(H10,'Fund Utilization Report'!$A$4:$U$1800,5,FALSE)</f>
        <v>01101101</v>
      </c>
      <c r="X10" s="319" t="str">
        <f>VLOOKUP(H10,'Fund Utilization Report'!$A$4:$U$1800,6,FALSE)</f>
        <v>GOP</v>
      </c>
      <c r="Y10" s="320" t="str">
        <f>VLOOKUP(H10,'Fund Utilization Report'!$A$4:$U$1800,7,FALSE)</f>
        <v>MOOE</v>
      </c>
      <c r="Z10" s="321">
        <f>VLOOKUP(H10,'Fund Utilization Report'!$A$4:$U$1800,8,FALSE)</f>
        <v>5020000000</v>
      </c>
      <c r="AA10" s="319" t="str">
        <f>VLOOKUP(H10,'Fund Utilization Report'!$A$4:$U$1800,14,FALSE)</f>
        <v>310100100002000</v>
      </c>
      <c r="AB10" s="349" t="str">
        <f>VLOOKUP(H10,'Fund Utilization Report'!$A$4:$U$1800,15,FALSE)</f>
        <v>Development,Facilitation, and promotion of exports and investment, domestic and foreign</v>
      </c>
      <c r="AC10" s="304"/>
      <c r="AD10" s="199"/>
      <c r="AE10" s="200"/>
      <c r="AF10" s="200"/>
      <c r="AG10" s="304"/>
      <c r="AH10" s="304"/>
    </row>
    <row r="11" spans="1:35" s="169" customFormat="1" ht="13.8">
      <c r="A11" s="338" t="s">
        <v>942</v>
      </c>
      <c r="B11" s="338" t="s">
        <v>943</v>
      </c>
      <c r="C11" s="339"/>
      <c r="D11" s="340"/>
      <c r="E11" s="341"/>
      <c r="F11" s="342"/>
      <c r="G11" s="342"/>
      <c r="H11" s="343" t="s">
        <v>966</v>
      </c>
      <c r="I11" s="344"/>
      <c r="J11" s="345"/>
      <c r="K11" s="342"/>
      <c r="L11" s="342"/>
      <c r="M11" s="346"/>
      <c r="N11" s="347"/>
      <c r="O11" s="347" t="s">
        <v>1000</v>
      </c>
      <c r="P11" s="347">
        <v>638000</v>
      </c>
      <c r="Q11" s="348"/>
      <c r="R11" s="348"/>
      <c r="S11" s="319" t="str">
        <f>VLOOKUP(H11,'Fund Utilization Report'!$A$4:$U$1800,13,FALSE)</f>
        <v>PS</v>
      </c>
      <c r="T11" s="319" t="str">
        <f>VLOOKUP(H11,'Fund Utilization Report'!$A$4:$U$1800,2,FALSE)</f>
        <v>GAA</v>
      </c>
      <c r="U11" s="319" t="str">
        <f>VLOOKUP(H11,'Fund Utilization Report'!$A$4:$U$1800,3,FALSE)</f>
        <v>FY2021, RA11518</v>
      </c>
      <c r="V11" s="319" t="str">
        <f>VLOOKUP(H11,'Fund Utilization Report'!$A$4:$U$1800,4,FALSE)</f>
        <v>OO1</v>
      </c>
      <c r="W11" s="319" t="str">
        <f>VLOOKUP(H11,'Fund Utilization Report'!$A$4:$U$1800,5,FALSE)</f>
        <v>01101101</v>
      </c>
      <c r="X11" s="319" t="str">
        <f>VLOOKUP(H11,'Fund Utilization Report'!$A$4:$U$1800,6,FALSE)</f>
        <v>GOP</v>
      </c>
      <c r="Y11" s="320" t="str">
        <f>VLOOKUP(H11,'Fund Utilization Report'!$A$4:$U$1800,7,FALSE)</f>
        <v>RLIP</v>
      </c>
      <c r="Z11" s="321" t="str">
        <f>VLOOKUP(H11,'Fund Utilization Report'!$A$4:$U$1800,8,FALSE)</f>
        <v>50103010-00</v>
      </c>
      <c r="AA11" s="319" t="str">
        <f>VLOOKUP(H11,'Fund Utilization Report'!$A$4:$U$1800,14,FALSE)</f>
        <v>310100100002000</v>
      </c>
      <c r="AB11" s="349" t="str">
        <f>VLOOKUP(H11,'Fund Utilization Report'!$A$4:$U$1800,15,FALSE)</f>
        <v>Development,Facilitation, and promotion of exports and investment, domestic and foreign</v>
      </c>
      <c r="AC11" s="304"/>
      <c r="AD11" s="199"/>
      <c r="AE11" s="200"/>
      <c r="AF11" s="200"/>
      <c r="AG11" s="304"/>
      <c r="AH11" s="304"/>
    </row>
    <row r="12" spans="1:35" s="169" customFormat="1" ht="13.8">
      <c r="A12" s="338" t="s">
        <v>942</v>
      </c>
      <c r="B12" s="338" t="s">
        <v>943</v>
      </c>
      <c r="C12" s="339"/>
      <c r="D12" s="340"/>
      <c r="E12" s="341"/>
      <c r="F12" s="342"/>
      <c r="G12" s="342"/>
      <c r="H12" s="343" t="s">
        <v>967</v>
      </c>
      <c r="I12" s="344"/>
      <c r="J12" s="345"/>
      <c r="K12" s="342"/>
      <c r="L12" s="342"/>
      <c r="M12" s="346"/>
      <c r="N12" s="347"/>
      <c r="O12" s="347" t="s">
        <v>1000</v>
      </c>
      <c r="P12" s="347">
        <v>8859000</v>
      </c>
      <c r="Q12" s="348"/>
      <c r="R12" s="348"/>
      <c r="S12" s="319" t="str">
        <f>VLOOKUP(H12,'Fund Utilization Report'!$A$4:$U$1800,13,FALSE)</f>
        <v>PS</v>
      </c>
      <c r="T12" s="319" t="str">
        <f>VLOOKUP(H12,'Fund Utilization Report'!$A$4:$U$1800,2,FALSE)</f>
        <v>GAA</v>
      </c>
      <c r="U12" s="319" t="str">
        <f>VLOOKUP(H12,'Fund Utilization Report'!$A$4:$U$1800,3,FALSE)</f>
        <v>FY2021, RA11518</v>
      </c>
      <c r="V12" s="319" t="str">
        <f>VLOOKUP(H12,'Fund Utilization Report'!$A$4:$U$1800,4,FALSE)</f>
        <v>OO2</v>
      </c>
      <c r="W12" s="319" t="str">
        <f>VLOOKUP(H12,'Fund Utilization Report'!$A$4:$U$1800,5,FALSE)</f>
        <v>01101101</v>
      </c>
      <c r="X12" s="319" t="str">
        <f>VLOOKUP(H12,'Fund Utilization Report'!$A$4:$U$1800,6,FALSE)</f>
        <v>GOP</v>
      </c>
      <c r="Y12" s="320" t="str">
        <f>VLOOKUP(H12,'Fund Utilization Report'!$A$4:$U$1800,7,FALSE)</f>
        <v>PS</v>
      </c>
      <c r="Z12" s="321">
        <f>VLOOKUP(H12,'Fund Utilization Report'!$A$4:$U$1800,8,FALSE)</f>
        <v>5010000000</v>
      </c>
      <c r="AA12" s="319" t="str">
        <f>VLOOKUP(H12,'Fund Utilization Report'!$A$4:$U$1800,14,FALSE)</f>
        <v>320100100001000</v>
      </c>
      <c r="AB12" s="349" t="str">
        <f>VLOOKUP(H12,'Fund Utilization Report'!$A$4:$U$1800,15,FALSE)</f>
        <v>Formulation of Strategic plans,programs, and policies to develop competitve industries</v>
      </c>
      <c r="AC12" s="304"/>
      <c r="AD12" s="199"/>
      <c r="AE12" s="200"/>
      <c r="AF12" s="200"/>
      <c r="AG12" s="304"/>
      <c r="AH12" s="304"/>
    </row>
    <row r="13" spans="1:35" s="169" customFormat="1" ht="13.8">
      <c r="A13" s="338" t="s">
        <v>942</v>
      </c>
      <c r="B13" s="338" t="s">
        <v>943</v>
      </c>
      <c r="C13" s="339"/>
      <c r="D13" s="340"/>
      <c r="E13" s="341"/>
      <c r="F13" s="342"/>
      <c r="G13" s="342"/>
      <c r="H13" s="343" t="s">
        <v>968</v>
      </c>
      <c r="I13" s="344"/>
      <c r="J13" s="345"/>
      <c r="K13" s="342"/>
      <c r="L13" s="342"/>
      <c r="M13" s="346"/>
      <c r="N13" s="347"/>
      <c r="O13" s="347" t="s">
        <v>1000</v>
      </c>
      <c r="P13" s="347">
        <v>4712000</v>
      </c>
      <c r="Q13" s="348"/>
      <c r="R13" s="348"/>
      <c r="S13" s="319" t="str">
        <f>VLOOKUP(H13,'Fund Utilization Report'!$A$4:$U$1800,13,FALSE)</f>
        <v>MOOE</v>
      </c>
      <c r="T13" s="319" t="str">
        <f>VLOOKUP(H13,'Fund Utilization Report'!$A$4:$U$1800,2,FALSE)</f>
        <v>GAA</v>
      </c>
      <c r="U13" s="319" t="str">
        <f>VLOOKUP(H13,'Fund Utilization Report'!$A$4:$U$1800,3,FALSE)</f>
        <v>FY2021, RA11518</v>
      </c>
      <c r="V13" s="319" t="str">
        <f>VLOOKUP(H13,'Fund Utilization Report'!$A$4:$U$1800,4,FALSE)</f>
        <v>OO2</v>
      </c>
      <c r="W13" s="319" t="str">
        <f>VLOOKUP(H13,'Fund Utilization Report'!$A$4:$U$1800,5,FALSE)</f>
        <v>01101101</v>
      </c>
      <c r="X13" s="319" t="str">
        <f>VLOOKUP(H13,'Fund Utilization Report'!$A$4:$U$1800,6,FALSE)</f>
        <v>GOP</v>
      </c>
      <c r="Y13" s="320" t="str">
        <f>VLOOKUP(H13,'Fund Utilization Report'!$A$4:$U$1800,7,FALSE)</f>
        <v>MOOE</v>
      </c>
      <c r="Z13" s="321">
        <f>VLOOKUP(H13,'Fund Utilization Report'!$A$4:$U$1800,8,FALSE)</f>
        <v>5020000000</v>
      </c>
      <c r="AA13" s="319" t="str">
        <f>VLOOKUP(H13,'Fund Utilization Report'!$A$4:$U$1800,14,FALSE)</f>
        <v>320100100001000</v>
      </c>
      <c r="AB13" s="349" t="str">
        <f>VLOOKUP(H13,'Fund Utilization Report'!$A$4:$U$1800,15,FALSE)</f>
        <v>Formulation of Strategic plans,programs, and policies to develop competitve industries</v>
      </c>
      <c r="AC13" s="304"/>
      <c r="AD13" s="199"/>
      <c r="AE13" s="200"/>
      <c r="AF13" s="200"/>
      <c r="AG13" s="304"/>
      <c r="AH13" s="304"/>
    </row>
    <row r="14" spans="1:35" s="169" customFormat="1" ht="13.8">
      <c r="A14" s="338" t="s">
        <v>942</v>
      </c>
      <c r="B14" s="338" t="s">
        <v>943</v>
      </c>
      <c r="C14" s="339"/>
      <c r="D14" s="340"/>
      <c r="E14" s="341"/>
      <c r="F14" s="342"/>
      <c r="G14" s="342"/>
      <c r="H14" s="343" t="s">
        <v>969</v>
      </c>
      <c r="I14" s="344"/>
      <c r="J14" s="345"/>
      <c r="K14" s="342"/>
      <c r="L14" s="342"/>
      <c r="M14" s="346"/>
      <c r="N14" s="347"/>
      <c r="O14" s="347" t="s">
        <v>1000</v>
      </c>
      <c r="P14" s="347">
        <v>818000</v>
      </c>
      <c r="Q14" s="348"/>
      <c r="R14" s="348"/>
      <c r="S14" s="319" t="str">
        <f>VLOOKUP(H14,'Fund Utilization Report'!$A$4:$U$1800,13,FALSE)</f>
        <v>PS</v>
      </c>
      <c r="T14" s="319" t="str">
        <f>VLOOKUP(H14,'Fund Utilization Report'!$A$4:$U$1800,2,FALSE)</f>
        <v>GAA</v>
      </c>
      <c r="U14" s="319" t="str">
        <f>VLOOKUP(H14,'Fund Utilization Report'!$A$4:$U$1800,3,FALSE)</f>
        <v>FY2021, RA11518</v>
      </c>
      <c r="V14" s="319" t="str">
        <f>VLOOKUP(H14,'Fund Utilization Report'!$A$4:$U$1800,4,FALSE)</f>
        <v>OO2</v>
      </c>
      <c r="W14" s="319" t="str">
        <f>VLOOKUP(H14,'Fund Utilization Report'!$A$4:$U$1800,5,FALSE)</f>
        <v>01101101</v>
      </c>
      <c r="X14" s="319" t="str">
        <f>VLOOKUP(H14,'Fund Utilization Report'!$A$4:$U$1800,6,FALSE)</f>
        <v>GOP</v>
      </c>
      <c r="Y14" s="320" t="str">
        <f>VLOOKUP(H14,'Fund Utilization Report'!$A$4:$U$1800,7,FALSE)</f>
        <v>RLIP</v>
      </c>
      <c r="Z14" s="321" t="str">
        <f>VLOOKUP(H14,'Fund Utilization Report'!$A$4:$U$1800,8,FALSE)</f>
        <v>50103010-00</v>
      </c>
      <c r="AA14" s="319" t="str">
        <f>VLOOKUP(H14,'Fund Utilization Report'!$A$4:$U$1800,14,FALSE)</f>
        <v>320100100001000</v>
      </c>
      <c r="AB14" s="349" t="str">
        <f>VLOOKUP(H14,'Fund Utilization Report'!$A$4:$U$1800,15,FALSE)</f>
        <v>Formulation of Strategic plans,programs, and policies to develop competitve industries</v>
      </c>
      <c r="AC14" s="304"/>
      <c r="AD14" s="199"/>
      <c r="AE14" s="200"/>
      <c r="AF14" s="200"/>
      <c r="AG14" s="304"/>
      <c r="AH14" s="304"/>
    </row>
    <row r="15" spans="1:35" s="169" customFormat="1" ht="13.8">
      <c r="A15" s="338" t="s">
        <v>942</v>
      </c>
      <c r="B15" s="338" t="s">
        <v>943</v>
      </c>
      <c r="C15" s="339"/>
      <c r="D15" s="340"/>
      <c r="E15" s="341"/>
      <c r="F15" s="342"/>
      <c r="G15" s="342"/>
      <c r="H15" s="343" t="s">
        <v>970</v>
      </c>
      <c r="I15" s="344"/>
      <c r="J15" s="345"/>
      <c r="K15" s="342"/>
      <c r="L15" s="342"/>
      <c r="M15" s="346"/>
      <c r="N15" s="347"/>
      <c r="O15" s="347" t="s">
        <v>1000</v>
      </c>
      <c r="P15" s="347">
        <v>9805000</v>
      </c>
      <c r="Q15" s="348"/>
      <c r="R15" s="348"/>
      <c r="S15" s="319" t="str">
        <f>VLOOKUP(H15,'Fund Utilization Report'!$A$4:$U$1800,13,FALSE)</f>
        <v>PS</v>
      </c>
      <c r="T15" s="319" t="str">
        <f>VLOOKUP(H15,'Fund Utilization Report'!$A$4:$U$1800,2,FALSE)</f>
        <v>GAA</v>
      </c>
      <c r="U15" s="319" t="str">
        <f>VLOOKUP(H15,'Fund Utilization Report'!$A$4:$U$1800,3,FALSE)</f>
        <v>FY2021, RA11518</v>
      </c>
      <c r="V15" s="319" t="str">
        <f>VLOOKUP(H15,'Fund Utilization Report'!$A$4:$U$1800,4,FALSE)</f>
        <v>OO3</v>
      </c>
      <c r="W15" s="319" t="str">
        <f>VLOOKUP(H15,'Fund Utilization Report'!$A$4:$U$1800,5,FALSE)</f>
        <v>01101101</v>
      </c>
      <c r="X15" s="319" t="str">
        <f>VLOOKUP(H15,'Fund Utilization Report'!$A$4:$U$1800,6,FALSE)</f>
        <v>GOP</v>
      </c>
      <c r="Y15" s="320" t="str">
        <f>VLOOKUP(H15,'Fund Utilization Report'!$A$4:$U$1800,7,FALSE)</f>
        <v>PS</v>
      </c>
      <c r="Z15" s="321">
        <f>VLOOKUP(H15,'Fund Utilization Report'!$A$4:$U$1800,8,FALSE)</f>
        <v>5010000000</v>
      </c>
      <c r="AA15" s="319" t="str">
        <f>VLOOKUP(H15,'Fund Utilization Report'!$A$4:$U$1800,14,FALSE)</f>
        <v>330100100002000</v>
      </c>
      <c r="AB15" s="349" t="str">
        <f>VLOOKUP(H15,'Fund Utilization Report'!$A$4:$U$1800,15,FALSE)</f>
        <v>Implementation of the MSME Development Plan and other initiatives to promote the growth of Micro, Small and Medium Enterprises</v>
      </c>
      <c r="AC15" s="304"/>
      <c r="AD15" s="199"/>
      <c r="AE15" s="200"/>
      <c r="AF15" s="200"/>
      <c r="AG15" s="304"/>
      <c r="AH15" s="304"/>
    </row>
    <row r="16" spans="1:35" s="169" customFormat="1" ht="13.8">
      <c r="A16" s="338" t="s">
        <v>942</v>
      </c>
      <c r="B16" s="338" t="s">
        <v>943</v>
      </c>
      <c r="C16" s="339"/>
      <c r="D16" s="340"/>
      <c r="E16" s="341"/>
      <c r="F16" s="342"/>
      <c r="G16" s="342"/>
      <c r="H16" s="343" t="s">
        <v>971</v>
      </c>
      <c r="I16" s="344"/>
      <c r="J16" s="345"/>
      <c r="K16" s="342"/>
      <c r="L16" s="342"/>
      <c r="M16" s="346"/>
      <c r="N16" s="347"/>
      <c r="O16" s="347" t="s">
        <v>1000</v>
      </c>
      <c r="P16" s="347">
        <v>8135000</v>
      </c>
      <c r="Q16" s="348"/>
      <c r="R16" s="348"/>
      <c r="S16" s="319" t="str">
        <f>VLOOKUP(H16,'Fund Utilization Report'!$A$4:$U$1800,13,FALSE)</f>
        <v>MOOE</v>
      </c>
      <c r="T16" s="319" t="str">
        <f>VLOOKUP(H16,'Fund Utilization Report'!$A$4:$U$1800,2,FALSE)</f>
        <v>GAA</v>
      </c>
      <c r="U16" s="319" t="str">
        <f>VLOOKUP(H16,'Fund Utilization Report'!$A$4:$U$1800,3,FALSE)</f>
        <v>FY2021, RA11518</v>
      </c>
      <c r="V16" s="319" t="str">
        <f>VLOOKUP(H16,'Fund Utilization Report'!$A$4:$U$1800,4,FALSE)</f>
        <v>OO3</v>
      </c>
      <c r="W16" s="319" t="str">
        <f>VLOOKUP(H16,'Fund Utilization Report'!$A$4:$U$1800,5,FALSE)</f>
        <v>01101101</v>
      </c>
      <c r="X16" s="319" t="str">
        <f>VLOOKUP(H16,'Fund Utilization Report'!$A$4:$U$1800,6,FALSE)</f>
        <v>GOP</v>
      </c>
      <c r="Y16" s="320" t="str">
        <f>VLOOKUP(H16,'Fund Utilization Report'!$A$4:$U$1800,7,FALSE)</f>
        <v>MOOE</v>
      </c>
      <c r="Z16" s="321">
        <f>VLOOKUP(H16,'Fund Utilization Report'!$A$4:$U$1800,8,FALSE)</f>
        <v>5020000000</v>
      </c>
      <c r="AA16" s="319" t="str">
        <f>VLOOKUP(H16,'Fund Utilization Report'!$A$4:$U$1800,14,FALSE)</f>
        <v>330100100002000</v>
      </c>
      <c r="AB16" s="349" t="str">
        <f>VLOOKUP(H16,'Fund Utilization Report'!$A$4:$U$1800,15,FALSE)</f>
        <v>Implementation of the MSME Development Plan and other initiatives to promote the growth of Micro, Small and Medium Enterprises</v>
      </c>
      <c r="AC16" s="304"/>
      <c r="AD16" s="199"/>
      <c r="AE16" s="200"/>
      <c r="AF16" s="200"/>
      <c r="AG16" s="304"/>
      <c r="AH16" s="304"/>
    </row>
    <row r="17" spans="1:34" s="169" customFormat="1" ht="13.8">
      <c r="A17" s="338" t="s">
        <v>942</v>
      </c>
      <c r="B17" s="338" t="s">
        <v>943</v>
      </c>
      <c r="C17" s="339"/>
      <c r="D17" s="340"/>
      <c r="E17" s="341"/>
      <c r="F17" s="342"/>
      <c r="G17" s="342"/>
      <c r="H17" s="343" t="s">
        <v>972</v>
      </c>
      <c r="I17" s="344"/>
      <c r="J17" s="345"/>
      <c r="K17" s="342"/>
      <c r="L17" s="342"/>
      <c r="M17" s="346"/>
      <c r="N17" s="347"/>
      <c r="O17" s="347" t="s">
        <v>1000</v>
      </c>
      <c r="P17" s="347">
        <v>918000</v>
      </c>
      <c r="Q17" s="348"/>
      <c r="R17" s="348"/>
      <c r="S17" s="319" t="str">
        <f>VLOOKUP(H17,'Fund Utilization Report'!$A$4:$U$1800,13,FALSE)</f>
        <v>PS</v>
      </c>
      <c r="T17" s="319" t="str">
        <f>VLOOKUP(H17,'Fund Utilization Report'!$A$4:$U$1800,2,FALSE)</f>
        <v>GAA</v>
      </c>
      <c r="U17" s="319" t="str">
        <f>VLOOKUP(H17,'Fund Utilization Report'!$A$4:$U$1800,3,FALSE)</f>
        <v>FY2021, RA11518</v>
      </c>
      <c r="V17" s="319" t="str">
        <f>VLOOKUP(H17,'Fund Utilization Report'!$A$4:$U$1800,4,FALSE)</f>
        <v>OO3</v>
      </c>
      <c r="W17" s="319" t="str">
        <f>VLOOKUP(H17,'Fund Utilization Report'!$A$4:$U$1800,5,FALSE)</f>
        <v>01101101</v>
      </c>
      <c r="X17" s="319" t="str">
        <f>VLOOKUP(H17,'Fund Utilization Report'!$A$4:$U$1800,6,FALSE)</f>
        <v>GOP</v>
      </c>
      <c r="Y17" s="320" t="str">
        <f>VLOOKUP(H17,'Fund Utilization Report'!$A$4:$U$1800,7,FALSE)</f>
        <v>RLIP</v>
      </c>
      <c r="Z17" s="321" t="str">
        <f>VLOOKUP(H17,'Fund Utilization Report'!$A$4:$U$1800,8,FALSE)</f>
        <v>50103010-00</v>
      </c>
      <c r="AA17" s="319" t="str">
        <f>VLOOKUP(H17,'Fund Utilization Report'!$A$4:$U$1800,14,FALSE)</f>
        <v>330100100002000</v>
      </c>
      <c r="AB17" s="349" t="str">
        <f>VLOOKUP(H17,'Fund Utilization Report'!$A$4:$U$1800,15,FALSE)</f>
        <v>Implementation of the MSME Development Plan and other initiatives to promote the growth of Micro, Small and Medium Enterprises</v>
      </c>
      <c r="AC17" s="304"/>
      <c r="AD17" s="199"/>
      <c r="AE17" s="200"/>
      <c r="AF17" s="200"/>
      <c r="AG17" s="304"/>
      <c r="AH17" s="304"/>
    </row>
    <row r="18" spans="1:34" s="169" customFormat="1" ht="13.8">
      <c r="A18" s="338" t="s">
        <v>942</v>
      </c>
      <c r="B18" s="338" t="s">
        <v>943</v>
      </c>
      <c r="C18" s="339"/>
      <c r="D18" s="340"/>
      <c r="E18" s="341"/>
      <c r="F18" s="342"/>
      <c r="G18" s="342"/>
      <c r="H18" s="343" t="s">
        <v>973</v>
      </c>
      <c r="I18" s="344"/>
      <c r="J18" s="345"/>
      <c r="K18" s="342"/>
      <c r="L18" s="342"/>
      <c r="M18" s="346"/>
      <c r="N18" s="347"/>
      <c r="O18" s="347" t="s">
        <v>1000</v>
      </c>
      <c r="P18" s="347">
        <v>7768000</v>
      </c>
      <c r="Q18" s="348"/>
      <c r="R18" s="348"/>
      <c r="S18" s="319" t="str">
        <f>VLOOKUP(H18,'Fund Utilization Report'!$A$4:$U$1800,13,FALSE)</f>
        <v>PS</v>
      </c>
      <c r="T18" s="319" t="str">
        <f>VLOOKUP(H18,'Fund Utilization Report'!$A$4:$U$1800,2,FALSE)</f>
        <v>GAA</v>
      </c>
      <c r="U18" s="319" t="str">
        <f>VLOOKUP(H18,'Fund Utilization Report'!$A$4:$U$1800,3,FALSE)</f>
        <v>FY2021, RA11518</v>
      </c>
      <c r="V18" s="319" t="str">
        <f>VLOOKUP(H18,'Fund Utilization Report'!$A$4:$U$1800,4,FALSE)</f>
        <v>OO4.1(FTL)</v>
      </c>
      <c r="W18" s="319" t="str">
        <f>VLOOKUP(H18,'Fund Utilization Report'!$A$4:$U$1800,5,FALSE)</f>
        <v>01101101</v>
      </c>
      <c r="X18" s="319" t="str">
        <f>VLOOKUP(H18,'Fund Utilization Report'!$A$4:$U$1800,6,FALSE)</f>
        <v>GOP</v>
      </c>
      <c r="Y18" s="320" t="str">
        <f>VLOOKUP(H18,'Fund Utilization Report'!$A$4:$U$1800,7,FALSE)</f>
        <v>PS</v>
      </c>
      <c r="Z18" s="321">
        <f>VLOOKUP(H18,'Fund Utilization Report'!$A$4:$U$1800,8,FALSE)</f>
        <v>5010000000</v>
      </c>
      <c r="AA18" s="319" t="str">
        <f>VLOOKUP(H18,'Fund Utilization Report'!$A$4:$U$1800,14,FALSE)</f>
        <v>340100100002000</v>
      </c>
      <c r="AB18" s="349" t="str">
        <f>VLOOKUP(H18,'Fund Utilization Report'!$A$4:$U$1800,15,FALSE)</f>
        <v>Monitoring and Enforcement of FTL including consumer complaints handling</v>
      </c>
      <c r="AC18" s="304"/>
      <c r="AD18" s="199"/>
      <c r="AE18" s="200"/>
      <c r="AF18" s="200"/>
      <c r="AG18" s="304"/>
      <c r="AH18" s="304"/>
    </row>
    <row r="19" spans="1:34" s="169" customFormat="1" ht="13.8">
      <c r="A19" s="338" t="s">
        <v>942</v>
      </c>
      <c r="B19" s="338" t="s">
        <v>943</v>
      </c>
      <c r="C19" s="339"/>
      <c r="D19" s="340"/>
      <c r="E19" s="341"/>
      <c r="F19" s="342"/>
      <c r="G19" s="342"/>
      <c r="H19" s="343" t="s">
        <v>974</v>
      </c>
      <c r="I19" s="344"/>
      <c r="J19" s="345"/>
      <c r="K19" s="342"/>
      <c r="L19" s="342"/>
      <c r="M19" s="346"/>
      <c r="N19" s="347"/>
      <c r="O19" s="347" t="s">
        <v>1000</v>
      </c>
      <c r="P19" s="347">
        <v>1412000</v>
      </c>
      <c r="Q19" s="348"/>
      <c r="R19" s="348"/>
      <c r="S19" s="319" t="str">
        <f>VLOOKUP(H19,'Fund Utilization Report'!$A$4:$U$1800,13,FALSE)</f>
        <v>MOOE</v>
      </c>
      <c r="T19" s="319" t="str">
        <f>VLOOKUP(H19,'Fund Utilization Report'!$A$4:$U$1800,2,FALSE)</f>
        <v>GAA</v>
      </c>
      <c r="U19" s="319" t="str">
        <f>VLOOKUP(H19,'Fund Utilization Report'!$A$4:$U$1800,3,FALSE)</f>
        <v>FY2021, RA11518</v>
      </c>
      <c r="V19" s="319" t="str">
        <f>VLOOKUP(H19,'Fund Utilization Report'!$A$4:$U$1800,4,FALSE)</f>
        <v>OO4.1(FTL)</v>
      </c>
      <c r="W19" s="319" t="str">
        <f>VLOOKUP(H19,'Fund Utilization Report'!$A$4:$U$1800,5,FALSE)</f>
        <v>01101101</v>
      </c>
      <c r="X19" s="319" t="str">
        <f>VLOOKUP(H19,'Fund Utilization Report'!$A$4:$U$1800,6,FALSE)</f>
        <v>GOP</v>
      </c>
      <c r="Y19" s="320" t="str">
        <f>VLOOKUP(H19,'Fund Utilization Report'!$A$4:$U$1800,7,FALSE)</f>
        <v>MOOE</v>
      </c>
      <c r="Z19" s="321">
        <f>VLOOKUP(H19,'Fund Utilization Report'!$A$4:$U$1800,8,FALSE)</f>
        <v>5020000000</v>
      </c>
      <c r="AA19" s="319" t="str">
        <f>VLOOKUP(H19,'Fund Utilization Report'!$A$4:$U$1800,14,FALSE)</f>
        <v>340100100002000</v>
      </c>
      <c r="AB19" s="349" t="str">
        <f>VLOOKUP(H19,'Fund Utilization Report'!$A$4:$U$1800,15,FALSE)</f>
        <v>Monitoring and Enforcement of FTL including consumer complaints handling</v>
      </c>
      <c r="AC19" s="304"/>
      <c r="AD19" s="199"/>
      <c r="AE19" s="200"/>
      <c r="AF19" s="200"/>
      <c r="AG19" s="304"/>
      <c r="AH19" s="304"/>
    </row>
    <row r="20" spans="1:34" s="169" customFormat="1" ht="13.8">
      <c r="A20" s="338" t="s">
        <v>942</v>
      </c>
      <c r="B20" s="338" t="s">
        <v>943</v>
      </c>
      <c r="C20" s="339"/>
      <c r="D20" s="340"/>
      <c r="E20" s="341"/>
      <c r="F20" s="342"/>
      <c r="G20" s="342"/>
      <c r="H20" s="343" t="s">
        <v>975</v>
      </c>
      <c r="I20" s="344"/>
      <c r="J20" s="345"/>
      <c r="K20" s="342"/>
      <c r="L20" s="342"/>
      <c r="M20" s="346"/>
      <c r="N20" s="347"/>
      <c r="O20" s="347" t="s">
        <v>1000</v>
      </c>
      <c r="P20" s="347">
        <v>730000</v>
      </c>
      <c r="Q20" s="348"/>
      <c r="R20" s="348"/>
      <c r="S20" s="319" t="str">
        <f>VLOOKUP(H20,'Fund Utilization Report'!$A$4:$U$1800,13,FALSE)</f>
        <v>PS</v>
      </c>
      <c r="T20" s="319" t="str">
        <f>VLOOKUP(H20,'Fund Utilization Report'!$A$4:$U$1800,2,FALSE)</f>
        <v>GAA</v>
      </c>
      <c r="U20" s="319" t="str">
        <f>VLOOKUP(H20,'Fund Utilization Report'!$A$4:$U$1800,3,FALSE)</f>
        <v>FY2021, RA11518</v>
      </c>
      <c r="V20" s="319" t="str">
        <f>VLOOKUP(H20,'Fund Utilization Report'!$A$4:$U$1800,4,FALSE)</f>
        <v>OO4.1(FTL)</v>
      </c>
      <c r="W20" s="319" t="str">
        <f>VLOOKUP(H20,'Fund Utilization Report'!$A$4:$U$1800,5,FALSE)</f>
        <v>01101101</v>
      </c>
      <c r="X20" s="319" t="str">
        <f>VLOOKUP(H20,'Fund Utilization Report'!$A$4:$U$1800,6,FALSE)</f>
        <v>GOP</v>
      </c>
      <c r="Y20" s="320" t="str">
        <f>VLOOKUP(H20,'Fund Utilization Report'!$A$4:$U$1800,7,FALSE)</f>
        <v>RLIP</v>
      </c>
      <c r="Z20" s="321" t="str">
        <f>VLOOKUP(H20,'Fund Utilization Report'!$A$4:$U$1800,8,FALSE)</f>
        <v>50103010-00</v>
      </c>
      <c r="AA20" s="319" t="str">
        <f>VLOOKUP(H20,'Fund Utilization Report'!$A$4:$U$1800,14,FALSE)</f>
        <v>340100100002000</v>
      </c>
      <c r="AB20" s="349" t="str">
        <f>VLOOKUP(H20,'Fund Utilization Report'!$A$4:$U$1800,15,FALSE)</f>
        <v>Monitoring and Enforcement of FTL including consumer complaints handling</v>
      </c>
      <c r="AC20" s="304"/>
      <c r="AD20" s="199"/>
      <c r="AE20" s="200"/>
      <c r="AF20" s="200"/>
      <c r="AG20" s="304"/>
      <c r="AH20" s="304"/>
    </row>
    <row r="21" spans="1:34" s="169" customFormat="1" ht="13.8">
      <c r="A21" s="338" t="s">
        <v>942</v>
      </c>
      <c r="B21" s="338" t="s">
        <v>943</v>
      </c>
      <c r="C21" s="339"/>
      <c r="D21" s="340"/>
      <c r="E21" s="341"/>
      <c r="F21" s="342"/>
      <c r="G21" s="342"/>
      <c r="H21" s="343" t="s">
        <v>976</v>
      </c>
      <c r="I21" s="344"/>
      <c r="J21" s="345"/>
      <c r="K21" s="342"/>
      <c r="L21" s="342"/>
      <c r="M21" s="346"/>
      <c r="N21" s="347"/>
      <c r="O21" s="347" t="s">
        <v>1000</v>
      </c>
      <c r="P21" s="347">
        <v>2643000</v>
      </c>
      <c r="Q21" s="348"/>
      <c r="R21" s="348"/>
      <c r="S21" s="319" t="str">
        <f>VLOOKUP(H21,'Fund Utilization Report'!$A$4:$U$1800,13,FALSE)</f>
        <v>PS</v>
      </c>
      <c r="T21" s="319" t="str">
        <f>VLOOKUP(H21,'Fund Utilization Report'!$A$4:$U$1800,2,FALSE)</f>
        <v>GAA</v>
      </c>
      <c r="U21" s="319" t="str">
        <f>VLOOKUP(H21,'Fund Utilization Report'!$A$4:$U$1800,3,FALSE)</f>
        <v>FY2021, RA11518</v>
      </c>
      <c r="V21" s="319" t="str">
        <f>VLOOKUP(H21,'Fund Utilization Report'!$A$4:$U$1800,4,FALSE)</f>
        <v>OO4.1(Acc)</v>
      </c>
      <c r="W21" s="319" t="str">
        <f>VLOOKUP(H21,'Fund Utilization Report'!$A$4:$U$1800,5,FALSE)</f>
        <v>01101101</v>
      </c>
      <c r="X21" s="319" t="str">
        <f>VLOOKUP(H21,'Fund Utilization Report'!$A$4:$U$1800,6,FALSE)</f>
        <v>GOP</v>
      </c>
      <c r="Y21" s="320" t="str">
        <f>VLOOKUP(H21,'Fund Utilization Report'!$A$4:$U$1800,7,FALSE)</f>
        <v>PS</v>
      </c>
      <c r="Z21" s="321">
        <f>VLOOKUP(H21,'Fund Utilization Report'!$A$4:$U$1800,8,FALSE)</f>
        <v>5010000000</v>
      </c>
      <c r="AA21" s="319" t="str">
        <f>VLOOKUP(H21,'Fund Utilization Report'!$A$4:$U$1800,14,FALSE)</f>
        <v>340100100003000</v>
      </c>
      <c r="AB21" s="349" t="str">
        <f>VLOOKUP(H21,'Fund Utilization Report'!$A$4:$U$1800,15,FALSE)</f>
        <v>Accreditation and Issuance of Business Licenses, Permits, registration and authorities</v>
      </c>
      <c r="AC21" s="304"/>
      <c r="AD21" s="199"/>
      <c r="AE21" s="200"/>
      <c r="AF21" s="200"/>
      <c r="AG21" s="304"/>
      <c r="AH21" s="304"/>
    </row>
    <row r="22" spans="1:34" s="169" customFormat="1" ht="13.8">
      <c r="A22" s="338" t="s">
        <v>942</v>
      </c>
      <c r="B22" s="338" t="s">
        <v>943</v>
      </c>
      <c r="C22" s="339"/>
      <c r="D22" s="340"/>
      <c r="E22" s="341"/>
      <c r="F22" s="342"/>
      <c r="G22" s="342"/>
      <c r="H22" s="343" t="s">
        <v>977</v>
      </c>
      <c r="I22" s="344"/>
      <c r="J22" s="345"/>
      <c r="K22" s="342"/>
      <c r="L22" s="342"/>
      <c r="M22" s="346"/>
      <c r="N22" s="347"/>
      <c r="O22" s="347" t="s">
        <v>1000</v>
      </c>
      <c r="P22" s="347">
        <v>1679000</v>
      </c>
      <c r="Q22" s="348"/>
      <c r="R22" s="348"/>
      <c r="S22" s="319" t="str">
        <f>VLOOKUP(H22,'Fund Utilization Report'!$A$4:$U$1800,13,FALSE)</f>
        <v>MOOE</v>
      </c>
      <c r="T22" s="319" t="str">
        <f>VLOOKUP(H22,'Fund Utilization Report'!$A$4:$U$1800,2,FALSE)</f>
        <v>GAA</v>
      </c>
      <c r="U22" s="319" t="str">
        <f>VLOOKUP(H22,'Fund Utilization Report'!$A$4:$U$1800,3,FALSE)</f>
        <v>FY2021, RA11518</v>
      </c>
      <c r="V22" s="319" t="str">
        <f>VLOOKUP(H22,'Fund Utilization Report'!$A$4:$U$1800,4,FALSE)</f>
        <v>OO4.1(Acc)</v>
      </c>
      <c r="W22" s="319" t="str">
        <f>VLOOKUP(H22,'Fund Utilization Report'!$A$4:$U$1800,5,FALSE)</f>
        <v>01101101</v>
      </c>
      <c r="X22" s="319" t="str">
        <f>VLOOKUP(H22,'Fund Utilization Report'!$A$4:$U$1800,6,FALSE)</f>
        <v>GOP</v>
      </c>
      <c r="Y22" s="320" t="str">
        <f>VLOOKUP(H22,'Fund Utilization Report'!$A$4:$U$1800,7,FALSE)</f>
        <v>MOOE</v>
      </c>
      <c r="Z22" s="321">
        <f>VLOOKUP(H22,'Fund Utilization Report'!$A$4:$U$1800,8,FALSE)</f>
        <v>5020000000</v>
      </c>
      <c r="AA22" s="319" t="str">
        <f>VLOOKUP(H22,'Fund Utilization Report'!$A$4:$U$1800,14,FALSE)</f>
        <v>340100100003000</v>
      </c>
      <c r="AB22" s="349" t="str">
        <f>VLOOKUP(H22,'Fund Utilization Report'!$A$4:$U$1800,15,FALSE)</f>
        <v>Accreditation and Issuance of Business Licenses, Permits, registration and authorities</v>
      </c>
      <c r="AC22" s="304"/>
      <c r="AD22" s="199"/>
      <c r="AE22" s="200"/>
      <c r="AF22" s="200"/>
      <c r="AG22" s="304"/>
      <c r="AH22" s="304"/>
    </row>
    <row r="23" spans="1:34" s="169" customFormat="1" ht="13.8">
      <c r="A23" s="338" t="s">
        <v>942</v>
      </c>
      <c r="B23" s="338" t="s">
        <v>943</v>
      </c>
      <c r="C23" s="339"/>
      <c r="D23" s="340"/>
      <c r="E23" s="341"/>
      <c r="F23" s="342"/>
      <c r="G23" s="342"/>
      <c r="H23" s="343" t="s">
        <v>978</v>
      </c>
      <c r="I23" s="344"/>
      <c r="J23" s="345"/>
      <c r="K23" s="342"/>
      <c r="L23" s="342"/>
      <c r="M23" s="346"/>
      <c r="N23" s="347"/>
      <c r="O23" s="347" t="s">
        <v>1000</v>
      </c>
      <c r="P23" s="347">
        <v>247000</v>
      </c>
      <c r="Q23" s="348"/>
      <c r="R23" s="348"/>
      <c r="S23" s="319" t="str">
        <f>VLOOKUP(H23,'Fund Utilization Report'!$A$4:$U$1800,13,FALSE)</f>
        <v>PS</v>
      </c>
      <c r="T23" s="319" t="str">
        <f>VLOOKUP(H23,'Fund Utilization Report'!$A$4:$U$1800,2,FALSE)</f>
        <v>GAA</v>
      </c>
      <c r="U23" s="319" t="str">
        <f>VLOOKUP(H23,'Fund Utilization Report'!$A$4:$U$1800,3,FALSE)</f>
        <v>FY2021, RA11518</v>
      </c>
      <c r="V23" s="319" t="str">
        <f>VLOOKUP(H23,'Fund Utilization Report'!$A$4:$U$1800,4,FALSE)</f>
        <v>OO4.1(Acc)</v>
      </c>
      <c r="W23" s="319" t="str">
        <f>VLOOKUP(H23,'Fund Utilization Report'!$A$4:$U$1800,5,FALSE)</f>
        <v>01101101</v>
      </c>
      <c r="X23" s="319" t="str">
        <f>VLOOKUP(H23,'Fund Utilization Report'!$A$4:$U$1800,6,FALSE)</f>
        <v>GOP</v>
      </c>
      <c r="Y23" s="320" t="str">
        <f>VLOOKUP(H23,'Fund Utilization Report'!$A$4:$U$1800,7,FALSE)</f>
        <v>RLIP</v>
      </c>
      <c r="Z23" s="321" t="str">
        <f>VLOOKUP(H23,'Fund Utilization Report'!$A$4:$U$1800,8,FALSE)</f>
        <v>50103010-00</v>
      </c>
      <c r="AA23" s="319" t="str">
        <f>VLOOKUP(H23,'Fund Utilization Report'!$A$4:$U$1800,14,FALSE)</f>
        <v>340100100003000</v>
      </c>
      <c r="AB23" s="349" t="str">
        <f>VLOOKUP(H23,'Fund Utilization Report'!$A$4:$U$1800,15,FALSE)</f>
        <v>Accreditation and Issuance of Business Licenses, Permits, registration and authorities</v>
      </c>
      <c r="AC23" s="304"/>
      <c r="AD23" s="199"/>
      <c r="AE23" s="200"/>
      <c r="AF23" s="200"/>
      <c r="AG23" s="304"/>
      <c r="AH23" s="304"/>
    </row>
    <row r="24" spans="1:34" s="169" customFormat="1" ht="13.8">
      <c r="A24" s="338" t="s">
        <v>942</v>
      </c>
      <c r="B24" s="338" t="s">
        <v>943</v>
      </c>
      <c r="C24" s="339"/>
      <c r="D24" s="340"/>
      <c r="E24" s="341"/>
      <c r="F24" s="342"/>
      <c r="G24" s="342"/>
      <c r="H24" s="343" t="s">
        <v>979</v>
      </c>
      <c r="I24" s="344"/>
      <c r="J24" s="345"/>
      <c r="K24" s="342"/>
      <c r="L24" s="342"/>
      <c r="M24" s="346"/>
      <c r="N24" s="347"/>
      <c r="O24" s="347" t="s">
        <v>1000</v>
      </c>
      <c r="P24" s="347">
        <v>998000</v>
      </c>
      <c r="Q24" s="348"/>
      <c r="R24" s="348"/>
      <c r="S24" s="319" t="str">
        <f>VLOOKUP(H24,'Fund Utilization Report'!$A$4:$U$1800,13,FALSE)</f>
        <v>MOOE</v>
      </c>
      <c r="T24" s="319" t="str">
        <f>VLOOKUP(H24,'Fund Utilization Report'!$A$4:$U$1800,2,FALSE)</f>
        <v>GAA</v>
      </c>
      <c r="U24" s="319" t="str">
        <f>VLOOKUP(H24,'Fund Utilization Report'!$A$4:$U$1800,3,FALSE)</f>
        <v>FY2021, RA11518</v>
      </c>
      <c r="V24" s="319" t="str">
        <f>VLOOKUP(H24,'Fund Utilization Report'!$A$4:$U$1800,4,FALSE)</f>
        <v>OO 4.2</v>
      </c>
      <c r="W24" s="319" t="str">
        <f>VLOOKUP(H24,'Fund Utilization Report'!$A$4:$U$1800,5,FALSE)</f>
        <v>01101101</v>
      </c>
      <c r="X24" s="319" t="str">
        <f>VLOOKUP(H24,'Fund Utilization Report'!$A$4:$U$1800,6,FALSE)</f>
        <v>GOP</v>
      </c>
      <c r="Y24" s="320" t="str">
        <f>VLOOKUP(H24,'Fund Utilization Report'!$A$4:$U$1800,7,FALSE)</f>
        <v>MOOE</v>
      </c>
      <c r="Z24" s="321">
        <f>VLOOKUP(H24,'Fund Utilization Report'!$A$4:$U$1800,8,FALSE)</f>
        <v>5020000000</v>
      </c>
      <c r="AA24" s="319" t="str">
        <f>VLOOKUP(H24,'Fund Utilization Report'!$A$4:$U$1800,14,FALSE)</f>
        <v>340200100002000</v>
      </c>
      <c r="AB24" s="349" t="str">
        <f>VLOOKUP(H24,'Fund Utilization Report'!$A$4:$U$1800,15,FALSE)</f>
        <v>Implementation of Plans, projects and activities on consumer awareness, education, and advocacy</v>
      </c>
      <c r="AC24" s="304"/>
      <c r="AD24" s="199"/>
      <c r="AE24" s="200"/>
      <c r="AF24" s="200"/>
      <c r="AG24" s="304"/>
      <c r="AH24" s="304"/>
    </row>
    <row r="25" spans="1:34" s="169" customFormat="1" ht="13.8">
      <c r="A25" s="338" t="s">
        <v>942</v>
      </c>
      <c r="B25" s="338" t="s">
        <v>943</v>
      </c>
      <c r="C25" s="339"/>
      <c r="D25" s="340"/>
      <c r="E25" s="341"/>
      <c r="F25" s="342"/>
      <c r="G25" s="342"/>
      <c r="H25" s="343" t="s">
        <v>980</v>
      </c>
      <c r="I25" s="344"/>
      <c r="J25" s="345"/>
      <c r="K25" s="342"/>
      <c r="L25" s="342"/>
      <c r="M25" s="346"/>
      <c r="N25" s="347"/>
      <c r="O25" s="347" t="s">
        <v>1000</v>
      </c>
      <c r="P25" s="347">
        <v>28602000</v>
      </c>
      <c r="Q25" s="348"/>
      <c r="R25" s="348"/>
      <c r="S25" s="319" t="str">
        <f>VLOOKUP(H25,'Fund Utilization Report'!$A$4:$U$1800,13,FALSE)</f>
        <v>MOOE</v>
      </c>
      <c r="T25" s="319" t="str">
        <f>VLOOKUP(H25,'Fund Utilization Report'!$A$4:$U$1800,2,FALSE)</f>
        <v>GAA</v>
      </c>
      <c r="U25" s="319" t="str">
        <f>VLOOKUP(H25,'Fund Utilization Report'!$A$4:$U$1800,3,FALSE)</f>
        <v>FY2021, RA11518</v>
      </c>
      <c r="V25" s="319" t="str">
        <f>VLOOKUP(H25,'Fund Utilization Report'!$A$4:$U$1800,4,FALSE)</f>
        <v>NC</v>
      </c>
      <c r="W25" s="319" t="str">
        <f>VLOOKUP(H25,'Fund Utilization Report'!$A$4:$U$1800,5,FALSE)</f>
        <v>01101101</v>
      </c>
      <c r="X25" s="319" t="str">
        <f>VLOOKUP(H25,'Fund Utilization Report'!$A$4:$U$1800,6,FALSE)</f>
        <v>GOP</v>
      </c>
      <c r="Y25" s="320" t="str">
        <f>VLOOKUP(H25,'Fund Utilization Report'!$A$4:$U$1800,7,FALSE)</f>
        <v>MOOE</v>
      </c>
      <c r="Z25" s="321">
        <f>VLOOKUP(H25,'Fund Utilization Report'!$A$4:$U$1800,8,FALSE)</f>
        <v>5020000000</v>
      </c>
      <c r="AA25" s="319" t="str">
        <f>VLOOKUP(H25,'Fund Utilization Report'!$A$4:$U$1800,14,FALSE)</f>
        <v>330100200001000</v>
      </c>
      <c r="AB25" s="349" t="str">
        <f>VLOOKUP(H25,'Fund Utilization Report'!$A$4:$U$1800,15,FALSE)</f>
        <v>Establishment of Negosyo Centers</v>
      </c>
      <c r="AC25" s="304"/>
      <c r="AD25" s="199"/>
      <c r="AE25" s="200"/>
      <c r="AF25" s="200"/>
      <c r="AG25" s="304"/>
      <c r="AH25" s="304"/>
    </row>
    <row r="26" spans="1:34" s="169" customFormat="1" ht="13.8">
      <c r="A26" s="338" t="s">
        <v>942</v>
      </c>
      <c r="B26" s="338" t="s">
        <v>943</v>
      </c>
      <c r="C26" s="339"/>
      <c r="D26" s="340"/>
      <c r="E26" s="341"/>
      <c r="F26" s="342"/>
      <c r="G26" s="342"/>
      <c r="H26" s="343" t="s">
        <v>981</v>
      </c>
      <c r="I26" s="344"/>
      <c r="J26" s="345"/>
      <c r="K26" s="342"/>
      <c r="L26" s="342"/>
      <c r="M26" s="346"/>
      <c r="N26" s="347"/>
      <c r="O26" s="347" t="s">
        <v>1000</v>
      </c>
      <c r="P26" s="347">
        <v>5150000</v>
      </c>
      <c r="Q26" s="348"/>
      <c r="R26" s="348"/>
      <c r="S26" s="319" t="str">
        <f>VLOOKUP(H26,'Fund Utilization Report'!$A$4:$U$1800,13,FALSE)</f>
        <v>CO</v>
      </c>
      <c r="T26" s="319" t="str">
        <f>VLOOKUP(H26,'Fund Utilization Report'!$A$4:$U$1800,2,FALSE)</f>
        <v>GAA</v>
      </c>
      <c r="U26" s="319" t="str">
        <f>VLOOKUP(H26,'Fund Utilization Report'!$A$4:$U$1800,3,FALSE)</f>
        <v>FY2021, RA11518</v>
      </c>
      <c r="V26" s="319" t="str">
        <f>VLOOKUP(H26,'Fund Utilization Report'!$A$4:$U$1800,4,FALSE)</f>
        <v>NC</v>
      </c>
      <c r="W26" s="319" t="str">
        <f>VLOOKUP(H26,'Fund Utilization Report'!$A$4:$U$1800,5,FALSE)</f>
        <v>01101101</v>
      </c>
      <c r="X26" s="319" t="str">
        <f>VLOOKUP(H26,'Fund Utilization Report'!$A$4:$U$1800,6,FALSE)</f>
        <v>GOP</v>
      </c>
      <c r="Y26" s="320" t="str">
        <f>VLOOKUP(H26,'Fund Utilization Report'!$A$4:$U$1800,7,FALSE)</f>
        <v>CO</v>
      </c>
      <c r="Z26" s="321">
        <f>VLOOKUP(H26,'Fund Utilization Report'!$A$4:$U$1800,8,FALSE)</f>
        <v>5060000000</v>
      </c>
      <c r="AA26" s="319" t="str">
        <f>VLOOKUP(H26,'Fund Utilization Report'!$A$4:$U$1800,14,FALSE)</f>
        <v>330100200001000</v>
      </c>
      <c r="AB26" s="349" t="str">
        <f>VLOOKUP(H26,'Fund Utilization Report'!$A$4:$U$1800,15,FALSE)</f>
        <v>Establishment of Negosyo Centers</v>
      </c>
      <c r="AC26" s="304"/>
      <c r="AD26" s="199"/>
      <c r="AE26" s="200"/>
      <c r="AF26" s="200"/>
      <c r="AG26" s="304"/>
      <c r="AH26" s="304"/>
    </row>
    <row r="27" spans="1:34" s="169" customFormat="1" ht="13.8">
      <c r="A27" s="338" t="s">
        <v>942</v>
      </c>
      <c r="B27" s="338" t="s">
        <v>943</v>
      </c>
      <c r="C27" s="339"/>
      <c r="D27" s="340"/>
      <c r="E27" s="341"/>
      <c r="F27" s="342"/>
      <c r="G27" s="342"/>
      <c r="H27" s="343" t="s">
        <v>982</v>
      </c>
      <c r="I27" s="344"/>
      <c r="J27" s="345"/>
      <c r="K27" s="342"/>
      <c r="L27" s="342"/>
      <c r="M27" s="346"/>
      <c r="N27" s="347"/>
      <c r="O27" s="347" t="s">
        <v>1000</v>
      </c>
      <c r="P27" s="347">
        <v>6894000</v>
      </c>
      <c r="Q27" s="348"/>
      <c r="R27" s="348"/>
      <c r="S27" s="319" t="str">
        <f>VLOOKUP(H27,'Fund Utilization Report'!$A$4:$U$1800,13,FALSE)</f>
        <v>MOOE</v>
      </c>
      <c r="T27" s="319" t="str">
        <f>VLOOKUP(H27,'Fund Utilization Report'!$A$4:$U$1800,2,FALSE)</f>
        <v>GAA</v>
      </c>
      <c r="U27" s="319" t="str">
        <f>VLOOKUP(H27,'Fund Utilization Report'!$A$4:$U$1800,3,FALSE)</f>
        <v>FY2021, RA11518</v>
      </c>
      <c r="V27" s="319" t="str">
        <f>VLOOKUP(H27,'Fund Utilization Report'!$A$4:$U$1800,4,FALSE)</f>
        <v>OTOP</v>
      </c>
      <c r="W27" s="319" t="str">
        <f>VLOOKUP(H27,'Fund Utilization Report'!$A$4:$U$1800,5,FALSE)</f>
        <v>01101101</v>
      </c>
      <c r="X27" s="319" t="str">
        <f>VLOOKUP(H27,'Fund Utilization Report'!$A$4:$U$1800,6,FALSE)</f>
        <v>GOP</v>
      </c>
      <c r="Y27" s="320" t="str">
        <f>VLOOKUP(H27,'Fund Utilization Report'!$A$4:$U$1800,7,FALSE)</f>
        <v>MOOE</v>
      </c>
      <c r="Z27" s="321">
        <f>VLOOKUP(H27,'Fund Utilization Report'!$A$4:$U$1800,8,FALSE)</f>
        <v>5020000000</v>
      </c>
      <c r="AA27" s="319" t="str">
        <f>VLOOKUP(H27,'Fund Utilization Report'!$A$4:$U$1800,14,FALSE)</f>
        <v>330100200002000</v>
      </c>
      <c r="AB27" s="349" t="str">
        <f>VLOOKUP(H27,'Fund Utilization Report'!$A$4:$U$1800,15,FALSE)</f>
        <v>OTOP - Next Generation</v>
      </c>
      <c r="AC27" s="304"/>
      <c r="AD27" s="199"/>
      <c r="AE27" s="200"/>
      <c r="AF27" s="200"/>
      <c r="AG27" s="304"/>
      <c r="AH27" s="304"/>
    </row>
    <row r="28" spans="1:34" s="169" customFormat="1" ht="13.8">
      <c r="A28" s="338" t="s">
        <v>942</v>
      </c>
      <c r="B28" s="338" t="s">
        <v>943</v>
      </c>
      <c r="C28" s="339"/>
      <c r="D28" s="340"/>
      <c r="E28" s="341"/>
      <c r="F28" s="342"/>
      <c r="G28" s="342"/>
      <c r="H28" s="343" t="s">
        <v>983</v>
      </c>
      <c r="I28" s="344"/>
      <c r="J28" s="345"/>
      <c r="K28" s="342"/>
      <c r="L28" s="342"/>
      <c r="M28" s="346"/>
      <c r="N28" s="347"/>
      <c r="O28" s="347" t="s">
        <v>1000</v>
      </c>
      <c r="P28" s="347">
        <v>4416000</v>
      </c>
      <c r="Q28" s="348"/>
      <c r="R28" s="348"/>
      <c r="S28" s="319" t="str">
        <f>VLOOKUP(H28,'Fund Utilization Report'!$A$4:$U$1800,13,FALSE)</f>
        <v>MOOE</v>
      </c>
      <c r="T28" s="319" t="str">
        <f>VLOOKUP(H28,'Fund Utilization Report'!$A$4:$U$1800,2,FALSE)</f>
        <v>GAA</v>
      </c>
      <c r="U28" s="319" t="str">
        <f>VLOOKUP(H28,'Fund Utilization Report'!$A$4:$U$1800,3,FALSE)</f>
        <v>FY2021, RA11518</v>
      </c>
      <c r="V28" s="319" t="str">
        <f>VLOOKUP(H28,'Fund Utilization Report'!$A$4:$U$1800,4,FALSE)</f>
        <v>SSF</v>
      </c>
      <c r="W28" s="319" t="str">
        <f>VLOOKUP(H28,'Fund Utilization Report'!$A$4:$U$1800,5,FALSE)</f>
        <v>01101101</v>
      </c>
      <c r="X28" s="319" t="str">
        <f>VLOOKUP(H28,'Fund Utilization Report'!$A$4:$U$1800,6,FALSE)</f>
        <v>GOP</v>
      </c>
      <c r="Y28" s="320" t="str">
        <f>VLOOKUP(H28,'Fund Utilization Report'!$A$4:$U$1800,7,FALSE)</f>
        <v>MOOE</v>
      </c>
      <c r="Z28" s="321">
        <f>VLOOKUP(H28,'Fund Utilization Report'!$A$4:$U$1800,8,FALSE)</f>
        <v>5020000000</v>
      </c>
      <c r="AA28" s="319" t="str">
        <f>VLOOKUP(H28,'Fund Utilization Report'!$A$4:$U$1800,14,FALSE)</f>
        <v>330100200003000</v>
      </c>
      <c r="AB28" s="349" t="str">
        <f>VLOOKUP(H28,'Fund Utilization Report'!$A$4:$U$1800,15,FALSE)</f>
        <v>Shared Service Facilities Project</v>
      </c>
      <c r="AC28" s="304"/>
      <c r="AD28" s="199"/>
      <c r="AE28" s="200"/>
      <c r="AF28" s="200"/>
      <c r="AG28" s="304"/>
      <c r="AH28" s="304"/>
    </row>
    <row r="29" spans="1:34" s="169" customFormat="1" ht="13.8">
      <c r="A29" s="338" t="s">
        <v>942</v>
      </c>
      <c r="B29" s="338" t="s">
        <v>943</v>
      </c>
      <c r="C29" s="339"/>
      <c r="D29" s="340"/>
      <c r="E29" s="341"/>
      <c r="F29" s="342"/>
      <c r="G29" s="342"/>
      <c r="H29" s="343" t="s">
        <v>984</v>
      </c>
      <c r="I29" s="344"/>
      <c r="J29" s="345"/>
      <c r="K29" s="342"/>
      <c r="L29" s="342"/>
      <c r="M29" s="346"/>
      <c r="N29" s="347"/>
      <c r="O29" s="347" t="s">
        <v>1000</v>
      </c>
      <c r="P29" s="347">
        <v>97350000</v>
      </c>
      <c r="Q29" s="348"/>
      <c r="R29" s="348"/>
      <c r="S29" s="319" t="str">
        <f>VLOOKUP(H29,'Fund Utilization Report'!$A$4:$U$1800,13,FALSE)</f>
        <v>CO</v>
      </c>
      <c r="T29" s="319" t="str">
        <f>VLOOKUP(H29,'Fund Utilization Report'!$A$4:$U$1800,2,FALSE)</f>
        <v>GAA</v>
      </c>
      <c r="U29" s="319" t="str">
        <f>VLOOKUP(H29,'Fund Utilization Report'!$A$4:$U$1800,3,FALSE)</f>
        <v>FY2021, RA11518</v>
      </c>
      <c r="V29" s="319" t="str">
        <f>VLOOKUP(H29,'Fund Utilization Report'!$A$4:$U$1800,4,FALSE)</f>
        <v>SSF</v>
      </c>
      <c r="W29" s="319" t="str">
        <f>VLOOKUP(H29,'Fund Utilization Report'!$A$4:$U$1800,5,FALSE)</f>
        <v>01101101</v>
      </c>
      <c r="X29" s="319" t="str">
        <f>VLOOKUP(H29,'Fund Utilization Report'!$A$4:$U$1800,6,FALSE)</f>
        <v>GOP</v>
      </c>
      <c r="Y29" s="320" t="str">
        <f>VLOOKUP(H29,'Fund Utilization Report'!$A$4:$U$1800,7,FALSE)</f>
        <v>CO</v>
      </c>
      <c r="Z29" s="321">
        <f>VLOOKUP(H29,'Fund Utilization Report'!$A$4:$U$1800,8,FALSE)</f>
        <v>5060000000</v>
      </c>
      <c r="AA29" s="319" t="str">
        <f>VLOOKUP(H29,'Fund Utilization Report'!$A$4:$U$1800,14,FALSE)</f>
        <v>330100200003000</v>
      </c>
      <c r="AB29" s="349" t="str">
        <f>VLOOKUP(H29,'Fund Utilization Report'!$A$4:$U$1800,15,FALSE)</f>
        <v>Shared Service Facilities Project</v>
      </c>
      <c r="AC29" s="304"/>
      <c r="AD29" s="199"/>
      <c r="AE29" s="200"/>
      <c r="AF29" s="200"/>
      <c r="AG29" s="304"/>
      <c r="AH29" s="304"/>
    </row>
    <row r="30" spans="1:34" s="169" customFormat="1" ht="13.8">
      <c r="A30" s="338" t="s">
        <v>942</v>
      </c>
      <c r="B30" s="338" t="s">
        <v>943</v>
      </c>
      <c r="C30" s="339"/>
      <c r="D30" s="340"/>
      <c r="E30" s="341"/>
      <c r="F30" s="342"/>
      <c r="G30" s="342"/>
      <c r="H30" s="343" t="s">
        <v>985</v>
      </c>
      <c r="I30" s="344"/>
      <c r="J30" s="345"/>
      <c r="K30" s="342"/>
      <c r="L30" s="342"/>
      <c r="M30" s="346"/>
      <c r="N30" s="347"/>
      <c r="O30" s="347" t="s">
        <v>1000</v>
      </c>
      <c r="P30" s="347">
        <v>8628000</v>
      </c>
      <c r="Q30" s="348"/>
      <c r="R30" s="348"/>
      <c r="S30" s="319" t="str">
        <f>VLOOKUP(H30,'Fund Utilization Report'!$A$4:$U$1800,13,FALSE)</f>
        <v>MOOE</v>
      </c>
      <c r="T30" s="319" t="str">
        <f>VLOOKUP(H30,'Fund Utilization Report'!$A$4:$U$1800,2,FALSE)</f>
        <v>GAA</v>
      </c>
      <c r="U30" s="319" t="str">
        <f>VLOOKUP(H30,'Fund Utilization Report'!$A$4:$U$1800,3,FALSE)</f>
        <v>FY2021, RA11518</v>
      </c>
      <c r="V30" s="319" t="str">
        <f>VLOOKUP(H30,'Fund Utilization Report'!$A$4:$U$1800,4,FALSE)</f>
        <v>LSP-PBG</v>
      </c>
      <c r="W30" s="319" t="str">
        <f>VLOOKUP(H30,'Fund Utilization Report'!$A$4:$U$1800,5,FALSE)</f>
        <v>01101101</v>
      </c>
      <c r="X30" s="319" t="str">
        <f>VLOOKUP(H30,'Fund Utilization Report'!$A$4:$U$1800,6,FALSE)</f>
        <v>GOP</v>
      </c>
      <c r="Y30" s="320" t="str">
        <f>VLOOKUP(H30,'Fund Utilization Report'!$A$4:$U$1800,7,FALSE)</f>
        <v>MOOE</v>
      </c>
      <c r="Z30" s="321">
        <f>VLOOKUP(H30,'Fund Utilization Report'!$A$4:$U$1800,8,FALSE)</f>
        <v>5020000000</v>
      </c>
      <c r="AA30" s="319" t="str">
        <f>VLOOKUP(H30,'Fund Utilization Report'!$A$4:$U$1800,14,FALSE)</f>
        <v>330100200004000</v>
      </c>
      <c r="AB30" s="349" t="str">
        <f>VLOOKUP(H30,'Fund Utilization Report'!$A$4:$U$1800,15,FALSE)</f>
        <v>MSME Development Program : Livelihood Seeding Program and Pangkabuhayan sa Pagbangon at Ginhawa</v>
      </c>
      <c r="AC30" s="304"/>
      <c r="AD30" s="199"/>
      <c r="AE30" s="200"/>
      <c r="AF30" s="200"/>
      <c r="AG30" s="304"/>
      <c r="AH30" s="304"/>
    </row>
    <row r="31" spans="1:34" s="169" customFormat="1" ht="13.8">
      <c r="A31" s="338" t="s">
        <v>942</v>
      </c>
      <c r="B31" s="338" t="s">
        <v>943</v>
      </c>
      <c r="C31" s="339"/>
      <c r="D31" s="340"/>
      <c r="E31" s="341"/>
      <c r="F31" s="342"/>
      <c r="G31" s="342"/>
      <c r="H31" s="343" t="s">
        <v>986</v>
      </c>
      <c r="I31" s="344"/>
      <c r="J31" s="345"/>
      <c r="K31" s="342"/>
      <c r="L31" s="342"/>
      <c r="M31" s="346"/>
      <c r="N31" s="347"/>
      <c r="O31" s="347" t="s">
        <v>933</v>
      </c>
      <c r="P31" s="347">
        <v>213400</v>
      </c>
      <c r="Q31" s="348"/>
      <c r="R31" s="348"/>
      <c r="S31" s="319" t="str">
        <f>VLOOKUP(H31,'Fund Utilization Report'!$A$4:$U$1800,13,FALSE)</f>
        <v>MOOE</v>
      </c>
      <c r="T31" s="319" t="str">
        <f>VLOOKUP(H31,'Fund Utilization Report'!$A$4:$U$1800,2,FALSE)</f>
        <v>SAA37</v>
      </c>
      <c r="U31" s="319" t="str">
        <f>VLOOKUP(H31,'Fund Utilization Report'!$A$4:$U$1800,3,FALSE)</f>
        <v>2021-01-0037</v>
      </c>
      <c r="V31" s="319" t="str">
        <f>VLOOKUP(H31,'Fund Utilization Report'!$A$4:$U$1800,4,FALSE)</f>
        <v>CARP</v>
      </c>
      <c r="W31" s="319" t="str">
        <f>VLOOKUP(H31,'Fund Utilization Report'!$A$4:$U$1800,5,FALSE)</f>
        <v>01101101</v>
      </c>
      <c r="X31" s="319" t="str">
        <f>VLOOKUP(H31,'Fund Utilization Report'!$A$4:$U$1800,6,FALSE)</f>
        <v>GOP</v>
      </c>
      <c r="Y31" s="320">
        <f>VLOOKUP(H31,'Fund Utilization Report'!$A$4:$U$1800,7,FALSE)</f>
        <v>751</v>
      </c>
      <c r="Z31" s="321" t="str">
        <f>VLOOKUP(H31,'Fund Utilization Report'!$A$4:$U$1800,8,FALSE)</f>
        <v>50201010 00</v>
      </c>
      <c r="AA31" s="319" t="str">
        <f>VLOOKUP(H31,'Fund Utilization Report'!$A$4:$U$1800,14,FALSE)</f>
        <v>330100100003000</v>
      </c>
      <c r="AB31" s="349" t="str">
        <f>VLOOKUP(H31,'Fund Utilization Report'!$A$4:$U$1800,15,FALSE)</f>
        <v>MSME Development Program : Program Beneficiaries Development Component of the Comprehensive Agrarian Reform Program</v>
      </c>
      <c r="AC31" s="304"/>
      <c r="AD31" s="199"/>
      <c r="AE31" s="200"/>
      <c r="AF31" s="200"/>
      <c r="AG31" s="304"/>
      <c r="AH31" s="304"/>
    </row>
    <row r="32" spans="1:34" s="169" customFormat="1" ht="13.8">
      <c r="A32" s="338" t="s">
        <v>942</v>
      </c>
      <c r="B32" s="338" t="s">
        <v>943</v>
      </c>
      <c r="C32" s="339"/>
      <c r="D32" s="340"/>
      <c r="E32" s="341"/>
      <c r="F32" s="342"/>
      <c r="G32" s="342"/>
      <c r="H32" s="343" t="s">
        <v>987</v>
      </c>
      <c r="I32" s="344"/>
      <c r="J32" s="345"/>
      <c r="K32" s="342"/>
      <c r="L32" s="342"/>
      <c r="M32" s="346"/>
      <c r="N32" s="347"/>
      <c r="O32" s="347" t="s">
        <v>933</v>
      </c>
      <c r="P32" s="347">
        <v>450261.72</v>
      </c>
      <c r="Q32" s="348"/>
      <c r="R32" s="348"/>
      <c r="S32" s="319" t="str">
        <f>VLOOKUP(H32,'Fund Utilization Report'!$A$4:$U$1800,13,FALSE)</f>
        <v>MOOE</v>
      </c>
      <c r="T32" s="319" t="str">
        <f>VLOOKUP(H32,'Fund Utilization Report'!$A$4:$U$1800,2,FALSE)</f>
        <v>SAA37</v>
      </c>
      <c r="U32" s="319" t="str">
        <f>VLOOKUP(H32,'Fund Utilization Report'!$A$4:$U$1800,3,FALSE)</f>
        <v>2021-01-0037</v>
      </c>
      <c r="V32" s="319" t="str">
        <f>VLOOKUP(H32,'Fund Utilization Report'!$A$4:$U$1800,4,FALSE)</f>
        <v>CARP</v>
      </c>
      <c r="W32" s="319" t="str">
        <f>VLOOKUP(H32,'Fund Utilization Report'!$A$4:$U$1800,5,FALSE)</f>
        <v>01101101</v>
      </c>
      <c r="X32" s="319" t="str">
        <f>VLOOKUP(H32,'Fund Utilization Report'!$A$4:$U$1800,6,FALSE)</f>
        <v>GOP</v>
      </c>
      <c r="Y32" s="320">
        <f>VLOOKUP(H32,'Fund Utilization Report'!$A$4:$U$1800,7,FALSE)</f>
        <v>753</v>
      </c>
      <c r="Z32" s="321" t="str">
        <f>VLOOKUP(H32,'Fund Utilization Report'!$A$4:$U$1800,8,FALSE)</f>
        <v>50202010 00</v>
      </c>
      <c r="AA32" s="319" t="str">
        <f>VLOOKUP(H32,'Fund Utilization Report'!$A$4:$U$1800,14,FALSE)</f>
        <v>330100100003000</v>
      </c>
      <c r="AB32" s="349" t="str">
        <f>VLOOKUP(H32,'Fund Utilization Report'!$A$4:$U$1800,15,FALSE)</f>
        <v>MSME Development Program : Program Beneficiaries Development Component of the Comprehensive Agrarian Reform Program</v>
      </c>
      <c r="AC32" s="304"/>
      <c r="AD32" s="199"/>
      <c r="AE32" s="200"/>
      <c r="AF32" s="200"/>
      <c r="AG32" s="304"/>
      <c r="AH32" s="304"/>
    </row>
    <row r="33" spans="1:34" s="169" customFormat="1" ht="13.8">
      <c r="A33" s="338" t="s">
        <v>942</v>
      </c>
      <c r="B33" s="338" t="s">
        <v>943</v>
      </c>
      <c r="C33" s="339"/>
      <c r="D33" s="340"/>
      <c r="E33" s="341"/>
      <c r="F33" s="342"/>
      <c r="G33" s="342"/>
      <c r="H33" s="343" t="s">
        <v>988</v>
      </c>
      <c r="I33" s="344"/>
      <c r="J33" s="345"/>
      <c r="K33" s="342"/>
      <c r="L33" s="342"/>
      <c r="M33" s="346"/>
      <c r="N33" s="347"/>
      <c r="O33" s="347" t="s">
        <v>933</v>
      </c>
      <c r="P33" s="347">
        <v>20004</v>
      </c>
      <c r="Q33" s="348"/>
      <c r="R33" s="348"/>
      <c r="S33" s="319" t="str">
        <f>VLOOKUP(H33,'Fund Utilization Report'!$A$4:$U$1800,13,FALSE)</f>
        <v>MOOE</v>
      </c>
      <c r="T33" s="319" t="str">
        <f>VLOOKUP(H33,'Fund Utilization Report'!$A$4:$U$1800,2,FALSE)</f>
        <v>SAA37</v>
      </c>
      <c r="U33" s="319" t="str">
        <f>VLOOKUP(H33,'Fund Utilization Report'!$A$4:$U$1800,3,FALSE)</f>
        <v>2021-01-0037</v>
      </c>
      <c r="V33" s="319" t="str">
        <f>VLOOKUP(H33,'Fund Utilization Report'!$A$4:$U$1800,4,FALSE)</f>
        <v>CARP</v>
      </c>
      <c r="W33" s="319" t="str">
        <f>VLOOKUP(H33,'Fund Utilization Report'!$A$4:$U$1800,5,FALSE)</f>
        <v>01101101</v>
      </c>
      <c r="X33" s="319" t="str">
        <f>VLOOKUP(H33,'Fund Utilization Report'!$A$4:$U$1800,6,FALSE)</f>
        <v>GOP</v>
      </c>
      <c r="Y33" s="320">
        <f>VLOOKUP(H33,'Fund Utilization Report'!$A$4:$U$1800,7,FALSE)</f>
        <v>755</v>
      </c>
      <c r="Z33" s="321" t="str">
        <f>VLOOKUP(H33,'Fund Utilization Report'!$A$4:$U$1800,8,FALSE)</f>
        <v>50203010 00</v>
      </c>
      <c r="AA33" s="319" t="str">
        <f>VLOOKUP(H33,'Fund Utilization Report'!$A$4:$U$1800,14,FALSE)</f>
        <v>330100100003000</v>
      </c>
      <c r="AB33" s="349" t="str">
        <f>VLOOKUP(H33,'Fund Utilization Report'!$A$4:$U$1800,15,FALSE)</f>
        <v>MSME Development Program : Program Beneficiaries Development Component of the Comprehensive Agrarian Reform Program</v>
      </c>
      <c r="AC33" s="304"/>
      <c r="AD33" s="199"/>
      <c r="AE33" s="200"/>
      <c r="AF33" s="200"/>
      <c r="AG33" s="304"/>
      <c r="AH33" s="304"/>
    </row>
    <row r="34" spans="1:34" s="169" customFormat="1" ht="13.8">
      <c r="A34" s="338" t="s">
        <v>942</v>
      </c>
      <c r="B34" s="338" t="s">
        <v>943</v>
      </c>
      <c r="C34" s="339"/>
      <c r="D34" s="340"/>
      <c r="E34" s="341"/>
      <c r="F34" s="342"/>
      <c r="G34" s="342"/>
      <c r="H34" s="343" t="s">
        <v>989</v>
      </c>
      <c r="I34" s="344"/>
      <c r="J34" s="345"/>
      <c r="K34" s="342"/>
      <c r="L34" s="342"/>
      <c r="M34" s="346"/>
      <c r="N34" s="347"/>
      <c r="O34" s="347" t="s">
        <v>933</v>
      </c>
      <c r="P34" s="347">
        <v>1000</v>
      </c>
      <c r="Q34" s="348"/>
      <c r="R34" s="348"/>
      <c r="S34" s="319" t="str">
        <f>VLOOKUP(H34,'Fund Utilization Report'!$A$4:$U$1800,13,FALSE)</f>
        <v>MOOE</v>
      </c>
      <c r="T34" s="319" t="str">
        <f>VLOOKUP(H34,'Fund Utilization Report'!$A$4:$U$1800,2,FALSE)</f>
        <v>SAA37</v>
      </c>
      <c r="U34" s="319" t="str">
        <f>VLOOKUP(H34,'Fund Utilization Report'!$A$4:$U$1800,3,FALSE)</f>
        <v>2021-01-0037</v>
      </c>
      <c r="V34" s="319" t="str">
        <f>VLOOKUP(H34,'Fund Utilization Report'!$A$4:$U$1800,4,FALSE)</f>
        <v>CARP</v>
      </c>
      <c r="W34" s="319" t="str">
        <f>VLOOKUP(H34,'Fund Utilization Report'!$A$4:$U$1800,5,FALSE)</f>
        <v>01101101</v>
      </c>
      <c r="X34" s="319" t="str">
        <f>VLOOKUP(H34,'Fund Utilization Report'!$A$4:$U$1800,6,FALSE)</f>
        <v>GOP</v>
      </c>
      <c r="Y34" s="320">
        <f>VLOOKUP(H34,'Fund Utilization Report'!$A$4:$U$1800,7,FALSE)</f>
        <v>761</v>
      </c>
      <c r="Z34" s="321" t="str">
        <f>VLOOKUP(H34,'Fund Utilization Report'!$A$4:$U$1800,8,FALSE)</f>
        <v>50203090 00</v>
      </c>
      <c r="AA34" s="319" t="str">
        <f>VLOOKUP(H34,'Fund Utilization Report'!$A$4:$U$1800,14,FALSE)</f>
        <v>330100100003000</v>
      </c>
      <c r="AB34" s="349" t="str">
        <f>VLOOKUP(H34,'Fund Utilization Report'!$A$4:$U$1800,15,FALSE)</f>
        <v>MSME Development Program : Program Beneficiaries Development Component of the Comprehensive Agrarian Reform Program</v>
      </c>
      <c r="AC34" s="304"/>
      <c r="AD34" s="199"/>
      <c r="AE34" s="200"/>
      <c r="AF34" s="200"/>
      <c r="AG34" s="304"/>
      <c r="AH34" s="304"/>
    </row>
    <row r="35" spans="1:34" s="169" customFormat="1" ht="13.8">
      <c r="A35" s="338" t="s">
        <v>942</v>
      </c>
      <c r="B35" s="338" t="s">
        <v>943</v>
      </c>
      <c r="C35" s="339"/>
      <c r="D35" s="340"/>
      <c r="E35" s="341"/>
      <c r="F35" s="342"/>
      <c r="G35" s="342"/>
      <c r="H35" s="343" t="s">
        <v>990</v>
      </c>
      <c r="I35" s="344"/>
      <c r="J35" s="345"/>
      <c r="K35" s="342"/>
      <c r="L35" s="342"/>
      <c r="M35" s="346"/>
      <c r="N35" s="347"/>
      <c r="O35" s="347" t="s">
        <v>933</v>
      </c>
      <c r="P35" s="347">
        <v>533.28</v>
      </c>
      <c r="Q35" s="348"/>
      <c r="R35" s="348"/>
      <c r="S35" s="319" t="str">
        <f>VLOOKUP(H35,'Fund Utilization Report'!$A$4:$U$1800,13,FALSE)</f>
        <v>MOOE</v>
      </c>
      <c r="T35" s="319" t="str">
        <f>VLOOKUP(H35,'Fund Utilization Report'!$A$4:$U$1800,2,FALSE)</f>
        <v>SAA37</v>
      </c>
      <c r="U35" s="319" t="str">
        <f>VLOOKUP(H35,'Fund Utilization Report'!$A$4:$U$1800,3,FALSE)</f>
        <v>2021-01-0037</v>
      </c>
      <c r="V35" s="319" t="str">
        <f>VLOOKUP(H35,'Fund Utilization Report'!$A$4:$U$1800,4,FALSE)</f>
        <v>CARP</v>
      </c>
      <c r="W35" s="319" t="str">
        <f>VLOOKUP(H35,'Fund Utilization Report'!$A$4:$U$1800,5,FALSE)</f>
        <v>01101101</v>
      </c>
      <c r="X35" s="319" t="str">
        <f>VLOOKUP(H35,'Fund Utilization Report'!$A$4:$U$1800,6,FALSE)</f>
        <v>GOP</v>
      </c>
      <c r="Y35" s="320">
        <f>VLOOKUP(H35,'Fund Utilization Report'!$A$4:$U$1800,7,FALSE)</f>
        <v>771</v>
      </c>
      <c r="Z35" s="321" t="str">
        <f>VLOOKUP(H35,'Fund Utilization Report'!$A$4:$U$1800,8,FALSE)</f>
        <v>50205010 00</v>
      </c>
      <c r="AA35" s="319" t="str">
        <f>VLOOKUP(H35,'Fund Utilization Report'!$A$4:$U$1800,14,FALSE)</f>
        <v>330100100003000</v>
      </c>
      <c r="AB35" s="349" t="str">
        <f>VLOOKUP(H35,'Fund Utilization Report'!$A$4:$U$1800,15,FALSE)</f>
        <v>MSME Development Program : Program Beneficiaries Development Component of the Comprehensive Agrarian Reform Program</v>
      </c>
      <c r="AC35" s="304"/>
      <c r="AD35" s="199"/>
      <c r="AE35" s="200"/>
      <c r="AF35" s="200"/>
      <c r="AG35" s="304"/>
      <c r="AH35" s="304"/>
    </row>
    <row r="36" spans="1:34" s="169" customFormat="1" ht="13.8">
      <c r="A36" s="338" t="s">
        <v>942</v>
      </c>
      <c r="B36" s="338" t="s">
        <v>943</v>
      </c>
      <c r="C36" s="339"/>
      <c r="D36" s="340"/>
      <c r="E36" s="341"/>
      <c r="F36" s="342"/>
      <c r="G36" s="342"/>
      <c r="H36" s="343" t="s">
        <v>991</v>
      </c>
      <c r="I36" s="344"/>
      <c r="J36" s="345"/>
      <c r="K36" s="342"/>
      <c r="L36" s="342"/>
      <c r="M36" s="346"/>
      <c r="N36" s="347"/>
      <c r="O36" s="347" t="s">
        <v>933</v>
      </c>
      <c r="P36" s="347">
        <v>7900</v>
      </c>
      <c r="Q36" s="348"/>
      <c r="R36" s="348"/>
      <c r="S36" s="319" t="str">
        <f>VLOOKUP(H36,'Fund Utilization Report'!$A$4:$U$1800,13,FALSE)</f>
        <v>MOOE</v>
      </c>
      <c r="T36" s="319" t="str">
        <f>VLOOKUP(H36,'Fund Utilization Report'!$A$4:$U$1800,2,FALSE)</f>
        <v>SAA37</v>
      </c>
      <c r="U36" s="319" t="str">
        <f>VLOOKUP(H36,'Fund Utilization Report'!$A$4:$U$1800,3,FALSE)</f>
        <v>2021-01-0037</v>
      </c>
      <c r="V36" s="319" t="str">
        <f>VLOOKUP(H36,'Fund Utilization Report'!$A$4:$U$1800,4,FALSE)</f>
        <v>CARP</v>
      </c>
      <c r="W36" s="319" t="str">
        <f>VLOOKUP(H36,'Fund Utilization Report'!$A$4:$U$1800,5,FALSE)</f>
        <v>01101101</v>
      </c>
      <c r="X36" s="319" t="str">
        <f>VLOOKUP(H36,'Fund Utilization Report'!$A$4:$U$1800,6,FALSE)</f>
        <v>GOP</v>
      </c>
      <c r="Y36" s="320">
        <f>VLOOKUP(H36,'Fund Utilization Report'!$A$4:$U$1800,7,FALSE)</f>
        <v>773</v>
      </c>
      <c r="Z36" s="321" t="str">
        <f>VLOOKUP(H36,'Fund Utilization Report'!$A$4:$U$1800,8,FALSE)</f>
        <v>50205020 01</v>
      </c>
      <c r="AA36" s="319" t="str">
        <f>VLOOKUP(H36,'Fund Utilization Report'!$A$4:$U$1800,14,FALSE)</f>
        <v>330100100003000</v>
      </c>
      <c r="AB36" s="349" t="str">
        <f>VLOOKUP(H36,'Fund Utilization Report'!$A$4:$U$1800,15,FALSE)</f>
        <v>MSME Development Program : Program Beneficiaries Development Component of the Comprehensive Agrarian Reform Program</v>
      </c>
      <c r="AC36" s="304"/>
      <c r="AD36" s="199"/>
      <c r="AE36" s="200"/>
      <c r="AF36" s="200"/>
      <c r="AG36" s="304"/>
      <c r="AH36" s="304"/>
    </row>
    <row r="37" spans="1:34" s="169" customFormat="1" ht="13.8">
      <c r="A37" s="338" t="s">
        <v>942</v>
      </c>
      <c r="B37" s="338" t="s">
        <v>943</v>
      </c>
      <c r="C37" s="339"/>
      <c r="D37" s="340"/>
      <c r="E37" s="341"/>
      <c r="F37" s="342"/>
      <c r="G37" s="342"/>
      <c r="H37" s="343" t="s">
        <v>992</v>
      </c>
      <c r="I37" s="344"/>
      <c r="J37" s="345"/>
      <c r="K37" s="342"/>
      <c r="L37" s="342"/>
      <c r="M37" s="346"/>
      <c r="N37" s="347"/>
      <c r="O37" s="347" t="s">
        <v>933</v>
      </c>
      <c r="P37" s="347">
        <v>1600</v>
      </c>
      <c r="Q37" s="348"/>
      <c r="R37" s="348"/>
      <c r="S37" s="319" t="str">
        <f>VLOOKUP(H37,'Fund Utilization Report'!$A$4:$U$1800,13,FALSE)</f>
        <v>MOOE</v>
      </c>
      <c r="T37" s="319" t="str">
        <f>VLOOKUP(H37,'Fund Utilization Report'!$A$4:$U$1800,2,FALSE)</f>
        <v>SAA37</v>
      </c>
      <c r="U37" s="319" t="str">
        <f>VLOOKUP(H37,'Fund Utilization Report'!$A$4:$U$1800,3,FALSE)</f>
        <v>2021-01-0037</v>
      </c>
      <c r="V37" s="319" t="str">
        <f>VLOOKUP(H37,'Fund Utilization Report'!$A$4:$U$1800,4,FALSE)</f>
        <v>CARP</v>
      </c>
      <c r="W37" s="319" t="str">
        <f>VLOOKUP(H37,'Fund Utilization Report'!$A$4:$U$1800,5,FALSE)</f>
        <v>01101101</v>
      </c>
      <c r="X37" s="319" t="str">
        <f>VLOOKUP(H37,'Fund Utilization Report'!$A$4:$U$1800,6,FALSE)</f>
        <v>GOP</v>
      </c>
      <c r="Y37" s="320">
        <f>VLOOKUP(H37,'Fund Utilization Report'!$A$4:$U$1800,7,FALSE)</f>
        <v>793</v>
      </c>
      <c r="Z37" s="321" t="str">
        <f>VLOOKUP(H37,'Fund Utilization Report'!$A$4:$U$1800,8,FALSE)</f>
        <v>50211030 00</v>
      </c>
      <c r="AA37" s="319" t="str">
        <f>VLOOKUP(H37,'Fund Utilization Report'!$A$4:$U$1800,14,FALSE)</f>
        <v>330100100003000</v>
      </c>
      <c r="AB37" s="349" t="str">
        <f>VLOOKUP(H37,'Fund Utilization Report'!$A$4:$U$1800,15,FALSE)</f>
        <v>MSME Development Program : Program Beneficiaries Development Component of the Comprehensive Agrarian Reform Program</v>
      </c>
      <c r="AC37" s="304"/>
      <c r="AD37" s="199"/>
      <c r="AE37" s="200"/>
      <c r="AF37" s="200"/>
      <c r="AG37" s="304"/>
      <c r="AH37" s="304"/>
    </row>
    <row r="38" spans="1:34" s="169" customFormat="1" ht="13.8">
      <c r="A38" s="338" t="s">
        <v>942</v>
      </c>
      <c r="B38" s="338" t="s">
        <v>943</v>
      </c>
      <c r="C38" s="339"/>
      <c r="D38" s="340"/>
      <c r="E38" s="341"/>
      <c r="F38" s="342"/>
      <c r="G38" s="342"/>
      <c r="H38" s="343" t="s">
        <v>993</v>
      </c>
      <c r="I38" s="344"/>
      <c r="J38" s="345"/>
      <c r="K38" s="342"/>
      <c r="L38" s="342"/>
      <c r="M38" s="346"/>
      <c r="N38" s="347"/>
      <c r="O38" s="347" t="s">
        <v>933</v>
      </c>
      <c r="P38" s="347">
        <v>384982.5</v>
      </c>
      <c r="Q38" s="348"/>
      <c r="R38" s="348"/>
      <c r="S38" s="319" t="str">
        <f>VLOOKUP(H38,'Fund Utilization Report'!$A$4:$U$1800,13,FALSE)</f>
        <v>MOOE</v>
      </c>
      <c r="T38" s="319" t="str">
        <f>VLOOKUP(H38,'Fund Utilization Report'!$A$4:$U$1800,2,FALSE)</f>
        <v>SAA37</v>
      </c>
      <c r="U38" s="319" t="str">
        <f>VLOOKUP(H38,'Fund Utilization Report'!$A$4:$U$1800,3,FALSE)</f>
        <v>2021-01-0037</v>
      </c>
      <c r="V38" s="319" t="str">
        <f>VLOOKUP(H38,'Fund Utilization Report'!$A$4:$U$1800,4,FALSE)</f>
        <v>CARP</v>
      </c>
      <c r="W38" s="319" t="str">
        <f>VLOOKUP(H38,'Fund Utilization Report'!$A$4:$U$1800,5,FALSE)</f>
        <v>01101101</v>
      </c>
      <c r="X38" s="319" t="str">
        <f>VLOOKUP(H38,'Fund Utilization Report'!$A$4:$U$1800,6,FALSE)</f>
        <v>GOP</v>
      </c>
      <c r="Y38" s="320">
        <f>VLOOKUP(H38,'Fund Utilization Report'!$A$4:$U$1800,7,FALSE)</f>
        <v>799</v>
      </c>
      <c r="Z38" s="321" t="str">
        <f>VLOOKUP(H38,'Fund Utilization Report'!$A$4:$U$1800,8,FALSE)</f>
        <v>50211990 00</v>
      </c>
      <c r="AA38" s="319" t="str">
        <f>VLOOKUP(H38,'Fund Utilization Report'!$A$4:$U$1800,14,FALSE)</f>
        <v>330100100003000</v>
      </c>
      <c r="AB38" s="349" t="str">
        <f>VLOOKUP(H38,'Fund Utilization Report'!$A$4:$U$1800,15,FALSE)</f>
        <v>MSME Development Program : Program Beneficiaries Development Component of the Comprehensive Agrarian Reform Program</v>
      </c>
      <c r="AC38" s="304"/>
      <c r="AD38" s="199"/>
      <c r="AE38" s="200"/>
      <c r="AF38" s="200"/>
      <c r="AG38" s="304"/>
      <c r="AH38" s="304"/>
    </row>
    <row r="39" spans="1:34" s="169" customFormat="1" ht="13.8">
      <c r="A39" s="338" t="s">
        <v>942</v>
      </c>
      <c r="B39" s="338" t="s">
        <v>943</v>
      </c>
      <c r="C39" s="339"/>
      <c r="D39" s="340"/>
      <c r="E39" s="341"/>
      <c r="F39" s="342"/>
      <c r="G39" s="342"/>
      <c r="H39" s="343" t="s">
        <v>994</v>
      </c>
      <c r="I39" s="344"/>
      <c r="J39" s="345"/>
      <c r="K39" s="342"/>
      <c r="L39" s="342"/>
      <c r="M39" s="346"/>
      <c r="N39" s="347"/>
      <c r="O39" s="347" t="s">
        <v>933</v>
      </c>
      <c r="P39" s="347">
        <v>6000</v>
      </c>
      <c r="Q39" s="348"/>
      <c r="R39" s="348"/>
      <c r="S39" s="319" t="str">
        <f>VLOOKUP(H39,'Fund Utilization Report'!$A$4:$U$1800,13,FALSE)</f>
        <v>MOOE</v>
      </c>
      <c r="T39" s="319" t="str">
        <f>VLOOKUP(H39,'Fund Utilization Report'!$A$4:$U$1800,2,FALSE)</f>
        <v>SAA37</v>
      </c>
      <c r="U39" s="319" t="str">
        <f>VLOOKUP(H39,'Fund Utilization Report'!$A$4:$U$1800,3,FALSE)</f>
        <v>2021-01-0037</v>
      </c>
      <c r="V39" s="319" t="str">
        <f>VLOOKUP(H39,'Fund Utilization Report'!$A$4:$U$1800,4,FALSE)</f>
        <v>CARP</v>
      </c>
      <c r="W39" s="319" t="str">
        <f>VLOOKUP(H39,'Fund Utilization Report'!$A$4:$U$1800,5,FALSE)</f>
        <v>01101101</v>
      </c>
      <c r="X39" s="319" t="str">
        <f>VLOOKUP(H39,'Fund Utilization Report'!$A$4:$U$1800,6,FALSE)</f>
        <v>GOP</v>
      </c>
      <c r="Y39" s="320">
        <f>VLOOKUP(H39,'Fund Utilization Report'!$A$4:$U$1800,7,FALSE)</f>
        <v>795</v>
      </c>
      <c r="Z39" s="321" t="str">
        <f>VLOOKUP(H39,'Fund Utilization Report'!$A$4:$U$1800,8,FALSE)</f>
        <v>50212990 00</v>
      </c>
      <c r="AA39" s="319" t="str">
        <f>VLOOKUP(H39,'Fund Utilization Report'!$A$4:$U$1800,14,FALSE)</f>
        <v>330100100003000</v>
      </c>
      <c r="AB39" s="349" t="str">
        <f>VLOOKUP(H39,'Fund Utilization Report'!$A$4:$U$1800,15,FALSE)</f>
        <v>MSME Development Program : Program Beneficiaries Development Component of the Comprehensive Agrarian Reform Program</v>
      </c>
      <c r="AC39" s="304"/>
      <c r="AD39" s="199"/>
      <c r="AE39" s="200"/>
      <c r="AF39" s="200"/>
      <c r="AG39" s="304"/>
      <c r="AH39" s="304"/>
    </row>
    <row r="40" spans="1:34" s="169" customFormat="1" ht="13.8">
      <c r="A40" s="338" t="s">
        <v>942</v>
      </c>
      <c r="B40" s="338" t="s">
        <v>943</v>
      </c>
      <c r="C40" s="339"/>
      <c r="D40" s="340"/>
      <c r="E40" s="341"/>
      <c r="F40" s="342"/>
      <c r="G40" s="342"/>
      <c r="H40" s="343" t="s">
        <v>995</v>
      </c>
      <c r="I40" s="344"/>
      <c r="J40" s="345"/>
      <c r="K40" s="342"/>
      <c r="L40" s="342"/>
      <c r="M40" s="346"/>
      <c r="N40" s="347"/>
      <c r="O40" s="347" t="s">
        <v>933</v>
      </c>
      <c r="P40" s="347">
        <v>937.5</v>
      </c>
      <c r="Q40" s="348"/>
      <c r="R40" s="348"/>
      <c r="S40" s="319" t="str">
        <f>VLOOKUP(H40,'Fund Utilization Report'!$A$4:$U$1800,13,FALSE)</f>
        <v>MOOE</v>
      </c>
      <c r="T40" s="319" t="str">
        <f>VLOOKUP(H40,'Fund Utilization Report'!$A$4:$U$1800,2,FALSE)</f>
        <v>SAA37</v>
      </c>
      <c r="U40" s="319" t="str">
        <f>VLOOKUP(H40,'Fund Utilization Report'!$A$4:$U$1800,3,FALSE)</f>
        <v>2021-01-0037</v>
      </c>
      <c r="V40" s="319" t="str">
        <f>VLOOKUP(H40,'Fund Utilization Report'!$A$4:$U$1800,4,FALSE)</f>
        <v>CARP</v>
      </c>
      <c r="W40" s="319" t="str">
        <f>VLOOKUP(H40,'Fund Utilization Report'!$A$4:$U$1800,5,FALSE)</f>
        <v>01101101</v>
      </c>
      <c r="X40" s="319" t="str">
        <f>VLOOKUP(H40,'Fund Utilization Report'!$A$4:$U$1800,6,FALSE)</f>
        <v>GOP</v>
      </c>
      <c r="Y40" s="320">
        <f>VLOOKUP(H40,'Fund Utilization Report'!$A$4:$U$1800,7,FALSE)</f>
        <v>781</v>
      </c>
      <c r="Z40" s="321" t="str">
        <f>VLOOKUP(H40,'Fund Utilization Report'!$A$4:$U$1800,8,FALSE)</f>
        <v>50299020 00</v>
      </c>
      <c r="AA40" s="319" t="str">
        <f>VLOOKUP(H40,'Fund Utilization Report'!$A$4:$U$1800,14,FALSE)</f>
        <v>330100100003000</v>
      </c>
      <c r="AB40" s="349" t="str">
        <f>VLOOKUP(H40,'Fund Utilization Report'!$A$4:$U$1800,15,FALSE)</f>
        <v>MSME Development Program : Program Beneficiaries Development Component of the Comprehensive Agrarian Reform Program</v>
      </c>
      <c r="AC40" s="304"/>
      <c r="AD40" s="199"/>
      <c r="AE40" s="200"/>
      <c r="AF40" s="200"/>
      <c r="AG40" s="304"/>
      <c r="AH40" s="304"/>
    </row>
    <row r="41" spans="1:34" s="169" customFormat="1" ht="13.8">
      <c r="A41" s="338" t="s">
        <v>942</v>
      </c>
      <c r="B41" s="338" t="s">
        <v>943</v>
      </c>
      <c r="C41" s="339"/>
      <c r="D41" s="340"/>
      <c r="E41" s="341"/>
      <c r="F41" s="342"/>
      <c r="G41" s="342"/>
      <c r="H41" s="343" t="s">
        <v>996</v>
      </c>
      <c r="I41" s="344"/>
      <c r="J41" s="345"/>
      <c r="K41" s="342"/>
      <c r="L41" s="342"/>
      <c r="M41" s="346"/>
      <c r="N41" s="347"/>
      <c r="O41" s="347" t="s">
        <v>933</v>
      </c>
      <c r="P41" s="347">
        <v>2500</v>
      </c>
      <c r="Q41" s="348"/>
      <c r="R41" s="348"/>
      <c r="S41" s="319" t="str">
        <f>VLOOKUP(H41,'Fund Utilization Report'!$A$4:$U$1800,13,FALSE)</f>
        <v>MOOE</v>
      </c>
      <c r="T41" s="319" t="str">
        <f>VLOOKUP(H41,'Fund Utilization Report'!$A$4:$U$1800,2,FALSE)</f>
        <v>SAA37</v>
      </c>
      <c r="U41" s="319" t="str">
        <f>VLOOKUP(H41,'Fund Utilization Report'!$A$4:$U$1800,3,FALSE)</f>
        <v>2021-01-0037</v>
      </c>
      <c r="V41" s="319" t="str">
        <f>VLOOKUP(H41,'Fund Utilization Report'!$A$4:$U$1800,4,FALSE)</f>
        <v>CARP</v>
      </c>
      <c r="W41" s="319" t="str">
        <f>VLOOKUP(H41,'Fund Utilization Report'!$A$4:$U$1800,5,FALSE)</f>
        <v>01101101</v>
      </c>
      <c r="X41" s="319" t="str">
        <f>VLOOKUP(H41,'Fund Utilization Report'!$A$4:$U$1800,6,FALSE)</f>
        <v>GOP</v>
      </c>
      <c r="Y41" s="320">
        <f>VLOOKUP(H41,'Fund Utilization Report'!$A$4:$U$1800,7,FALSE)</f>
        <v>783</v>
      </c>
      <c r="Z41" s="321" t="str">
        <f>VLOOKUP(H41,'Fund Utilization Report'!$A$4:$U$1800,8,FALSE)</f>
        <v>50299030 00</v>
      </c>
      <c r="AA41" s="319" t="str">
        <f>VLOOKUP(H41,'Fund Utilization Report'!$A$4:$U$1800,14,FALSE)</f>
        <v>330100100003000</v>
      </c>
      <c r="AB41" s="349" t="str">
        <f>VLOOKUP(H41,'Fund Utilization Report'!$A$4:$U$1800,15,FALSE)</f>
        <v>MSME Development Program : Program Beneficiaries Development Component of the Comprehensive Agrarian Reform Program</v>
      </c>
      <c r="AC41" s="304"/>
      <c r="AD41" s="199"/>
      <c r="AE41" s="200"/>
      <c r="AF41" s="200"/>
      <c r="AG41" s="304"/>
      <c r="AH41" s="304"/>
    </row>
    <row r="42" spans="1:34" s="169" customFormat="1" ht="13.8">
      <c r="A42" s="338" t="s">
        <v>942</v>
      </c>
      <c r="B42" s="338" t="s">
        <v>943</v>
      </c>
      <c r="C42" s="339"/>
      <c r="D42" s="340"/>
      <c r="E42" s="341"/>
      <c r="F42" s="342"/>
      <c r="G42" s="342"/>
      <c r="H42" s="343" t="s">
        <v>997</v>
      </c>
      <c r="I42" s="344"/>
      <c r="J42" s="345"/>
      <c r="K42" s="342"/>
      <c r="L42" s="342"/>
      <c r="M42" s="346"/>
      <c r="N42" s="347"/>
      <c r="O42" s="347" t="s">
        <v>933</v>
      </c>
      <c r="P42" s="347">
        <v>500</v>
      </c>
      <c r="Q42" s="348"/>
      <c r="R42" s="348"/>
      <c r="S42" s="319" t="str">
        <f>VLOOKUP(H42,'Fund Utilization Report'!$A$4:$U$1800,13,FALSE)</f>
        <v>MOOE</v>
      </c>
      <c r="T42" s="319" t="str">
        <f>VLOOKUP(H42,'Fund Utilization Report'!$A$4:$U$1800,2,FALSE)</f>
        <v>SAA37</v>
      </c>
      <c r="U42" s="319" t="str">
        <f>VLOOKUP(H42,'Fund Utilization Report'!$A$4:$U$1800,3,FALSE)</f>
        <v>2021-01-0037</v>
      </c>
      <c r="V42" s="319" t="str">
        <f>VLOOKUP(H42,'Fund Utilization Report'!$A$4:$U$1800,4,FALSE)</f>
        <v>CARP</v>
      </c>
      <c r="W42" s="319" t="str">
        <f>VLOOKUP(H42,'Fund Utilization Report'!$A$4:$U$1800,5,FALSE)</f>
        <v>01101101</v>
      </c>
      <c r="X42" s="319" t="str">
        <f>VLOOKUP(H42,'Fund Utilization Report'!$A$4:$U$1800,6,FALSE)</f>
        <v>GOP</v>
      </c>
      <c r="Y42" s="320">
        <f>VLOOKUP(H42,'Fund Utilization Report'!$A$4:$U$1800,7,FALSE)</f>
        <v>784</v>
      </c>
      <c r="Z42" s="321" t="str">
        <f>VLOOKUP(H42,'Fund Utilization Report'!$A$4:$U$1800,8,FALSE)</f>
        <v>50299040 00</v>
      </c>
      <c r="AA42" s="319" t="str">
        <f>VLOOKUP(H42,'Fund Utilization Report'!$A$4:$U$1800,14,FALSE)</f>
        <v>330100100003000</v>
      </c>
      <c r="AB42" s="349" t="str">
        <f>VLOOKUP(H42,'Fund Utilization Report'!$A$4:$U$1800,15,FALSE)</f>
        <v>MSME Development Program : Program Beneficiaries Development Component of the Comprehensive Agrarian Reform Program</v>
      </c>
      <c r="AC42" s="304"/>
      <c r="AD42" s="199"/>
      <c r="AE42" s="200"/>
      <c r="AF42" s="200"/>
      <c r="AG42" s="304"/>
      <c r="AH42" s="304"/>
    </row>
    <row r="43" spans="1:34" s="169" customFormat="1" ht="13.8">
      <c r="A43" s="338" t="s">
        <v>942</v>
      </c>
      <c r="B43" s="338" t="s">
        <v>943</v>
      </c>
      <c r="C43" s="339"/>
      <c r="D43" s="340"/>
      <c r="E43" s="341"/>
      <c r="F43" s="342"/>
      <c r="G43" s="342"/>
      <c r="H43" s="343" t="s">
        <v>998</v>
      </c>
      <c r="I43" s="344"/>
      <c r="J43" s="345"/>
      <c r="K43" s="342"/>
      <c r="L43" s="342"/>
      <c r="M43" s="346"/>
      <c r="N43" s="347"/>
      <c r="O43" s="347" t="s">
        <v>933</v>
      </c>
      <c r="P43" s="347">
        <v>2000</v>
      </c>
      <c r="Q43" s="348"/>
      <c r="R43" s="348"/>
      <c r="S43" s="319" t="str">
        <f>VLOOKUP(H43,'Fund Utilization Report'!$A$4:$U$1800,13,FALSE)</f>
        <v>MOOE</v>
      </c>
      <c r="T43" s="319" t="str">
        <f>VLOOKUP(H43,'Fund Utilization Report'!$A$4:$U$1800,2,FALSE)</f>
        <v>SAA37</v>
      </c>
      <c r="U43" s="319" t="str">
        <f>VLOOKUP(H43,'Fund Utilization Report'!$A$4:$U$1800,3,FALSE)</f>
        <v>2021-01-0037</v>
      </c>
      <c r="V43" s="319" t="str">
        <f>VLOOKUP(H43,'Fund Utilization Report'!$A$4:$U$1800,4,FALSE)</f>
        <v>CARP</v>
      </c>
      <c r="W43" s="319" t="str">
        <f>VLOOKUP(H43,'Fund Utilization Report'!$A$4:$U$1800,5,FALSE)</f>
        <v>01101101</v>
      </c>
      <c r="X43" s="319" t="str">
        <f>VLOOKUP(H43,'Fund Utilization Report'!$A$4:$U$1800,6,FALSE)</f>
        <v>GOP</v>
      </c>
      <c r="Y43" s="320">
        <f>VLOOKUP(H43,'Fund Utilization Report'!$A$4:$U$1800,7,FALSE)</f>
        <v>969</v>
      </c>
      <c r="Z43" s="321" t="str">
        <f>VLOOKUP(H43,'Fund Utilization Report'!$A$4:$U$1800,8,FALSE)</f>
        <v>50299990 99</v>
      </c>
      <c r="AA43" s="319" t="str">
        <f>VLOOKUP(H43,'Fund Utilization Report'!$A$4:$U$1800,14,FALSE)</f>
        <v>330100100003000</v>
      </c>
      <c r="AB43" s="349" t="str">
        <f>VLOOKUP(H43,'Fund Utilization Report'!$A$4:$U$1800,15,FALSE)</f>
        <v>MSME Development Program : Program Beneficiaries Development Component of the Comprehensive Agrarian Reform Program</v>
      </c>
      <c r="AC43" s="304"/>
      <c r="AD43" s="199"/>
      <c r="AE43" s="200"/>
      <c r="AF43" s="200"/>
      <c r="AG43" s="304"/>
      <c r="AH43" s="304"/>
    </row>
    <row r="44" spans="1:34" s="169" customFormat="1" ht="13.8">
      <c r="A44" s="338" t="s">
        <v>942</v>
      </c>
      <c r="B44" s="338" t="s">
        <v>943</v>
      </c>
      <c r="C44" s="339"/>
      <c r="D44" s="340"/>
      <c r="E44" s="341"/>
      <c r="F44" s="342"/>
      <c r="G44" s="342"/>
      <c r="H44" s="343" t="s">
        <v>999</v>
      </c>
      <c r="I44" s="344"/>
      <c r="J44" s="345"/>
      <c r="K44" s="342"/>
      <c r="L44" s="342"/>
      <c r="M44" s="346"/>
      <c r="N44" s="347"/>
      <c r="O44" s="347" t="s">
        <v>934</v>
      </c>
      <c r="P44" s="347">
        <v>5017266.7</v>
      </c>
      <c r="Q44" s="348"/>
      <c r="R44" s="348"/>
      <c r="S44" s="319" t="str">
        <f>VLOOKUP(H44,'Fund Utilization Report'!$A$4:$U$1800,13,FALSE)</f>
        <v>PS</v>
      </c>
      <c r="T44" s="319" t="str">
        <f>VLOOKUP(H44,'Fund Utilization Report'!$A$4:$U$1800,2,FALSE)</f>
        <v>SAA15</v>
      </c>
      <c r="U44" s="319" t="str">
        <f>VLOOKUP(H44,'Fund Utilization Report'!$A$4:$U$1800,3,FALSE)</f>
        <v>2021-01-0015</v>
      </c>
      <c r="V44" s="319" t="str">
        <f>VLOOKUP(H44,'Fund Utilization Report'!$A$4:$U$1800,4,FALSE)</f>
        <v>CARP</v>
      </c>
      <c r="W44" s="319" t="str">
        <f>VLOOKUP(H44,'Fund Utilization Report'!$A$4:$U$1800,5,FALSE)</f>
        <v>01101101</v>
      </c>
      <c r="X44" s="319" t="str">
        <f>VLOOKUP(H44,'Fund Utilization Report'!$A$4:$U$1800,6,FALSE)</f>
        <v>GOP</v>
      </c>
      <c r="Y44" s="320">
        <f>VLOOKUP(H44,'Fund Utilization Report'!$A$4:$U$1800,7,FALSE)</f>
        <v>706</v>
      </c>
      <c r="Z44" s="321" t="str">
        <f>VLOOKUP(H44,'Fund Utilization Report'!$A$4:$U$1800,8,FALSE)</f>
        <v>50101020 00</v>
      </c>
      <c r="AA44" s="319" t="str">
        <f>VLOOKUP(H44,'Fund Utilization Report'!$A$4:$U$1800,14,FALSE)</f>
        <v>330100100003000</v>
      </c>
      <c r="AB44" s="349" t="str">
        <f>VLOOKUP(H44,'Fund Utilization Report'!$A$4:$U$1800,15,FALSE)</f>
        <v>MSME Development Program : Program Beneficiaries Development Component of the Comprehensive Agrarian Reform Program</v>
      </c>
      <c r="AC44" s="304"/>
      <c r="AD44" s="199"/>
      <c r="AE44" s="200"/>
      <c r="AF44" s="200"/>
      <c r="AG44" s="304"/>
      <c r="AH44" s="304"/>
    </row>
    <row r="45" spans="1:34" s="169" customFormat="1" ht="13.8">
      <c r="A45" s="338" t="s">
        <v>942</v>
      </c>
      <c r="B45" s="430"/>
      <c r="C45" s="421"/>
      <c r="D45" s="422"/>
      <c r="E45" s="423"/>
      <c r="F45" s="424"/>
      <c r="G45" s="424"/>
      <c r="H45" s="429" t="s">
        <v>1221</v>
      </c>
      <c r="I45" s="425"/>
      <c r="J45" s="424" t="str">
        <f>IFERROR(VLOOKUP(I45,'Chart of accounts'!A:H,2,FALSE),"")</f>
        <v/>
      </c>
      <c r="K45" s="424" t="str">
        <f>IFERROR(VLOOKUP(I45,'Chart of accounts'!A:H,3,FALSE),"")</f>
        <v/>
      </c>
      <c r="L45" s="424" t="str">
        <f>IFERROR(VLOOKUP(I45,'Chart of accounts'!A:H,4,FALSE),"")</f>
        <v/>
      </c>
      <c r="M45" s="426"/>
      <c r="N45" s="427"/>
      <c r="O45" s="431" t="s">
        <v>1216</v>
      </c>
      <c r="P45" s="432">
        <v>3562690.92</v>
      </c>
      <c r="Q45" s="428"/>
      <c r="R45" s="428">
        <f>P45-Q45</f>
        <v>3562690.92</v>
      </c>
      <c r="S45" s="319" t="str">
        <f>VLOOKUP(H45,'Fund Utilization Report'!$A$4:$U$1800,13,FALSE)</f>
        <v>MOOE</v>
      </c>
      <c r="T45" s="319" t="s">
        <v>1216</v>
      </c>
      <c r="U45" s="319" t="s">
        <v>1217</v>
      </c>
      <c r="V45" s="319" t="s">
        <v>1011</v>
      </c>
      <c r="W45" s="319" t="str">
        <f>VLOOKUP(H45,'Fund Utilization Report'!$A$4:$U$1800,5,FALSE)</f>
        <v>01101101</v>
      </c>
      <c r="X45" s="319" t="str">
        <f>VLOOKUP(H45,'Fund Utilization Report'!$A$4:$U$1800,6,FALSE)</f>
        <v>GOP</v>
      </c>
      <c r="Y45" s="320">
        <f>VLOOKUP(H45,'Fund Utilization Report'!$A$4:$U$1800,7,FALSE)</f>
        <v>799</v>
      </c>
      <c r="Z45" s="321">
        <f>VLOOKUP(H45,'Fund Utilization Report'!$A$4:$U$1800,8,FALSE)</f>
        <v>5021199000</v>
      </c>
      <c r="AA45" s="319" t="str">
        <f>VLOOKUP(H45,'Fund Utilization Report'!$A$4:$U$1800,14,FALSE)</f>
        <v>330100300001000</v>
      </c>
      <c r="AB45" s="349" t="str">
        <f>VLOOKUP(H45,'Fund Utilization Report'!$A$4:$U$1800,15,FALSE)</f>
        <v>Rural Agro Enterprise Partnership for Inclusive Development (RAPID) Growth GOP Continuing</v>
      </c>
      <c r="AC45" s="304"/>
      <c r="AD45" s="199"/>
      <c r="AE45" s="200"/>
      <c r="AF45" s="200"/>
      <c r="AG45" s="304"/>
      <c r="AH45" s="304"/>
    </row>
    <row r="46" spans="1:34" s="32" customFormat="1">
      <c r="A46" s="338" t="s">
        <v>942</v>
      </c>
      <c r="B46" s="338" t="s">
        <v>943</v>
      </c>
      <c r="C46" s="350">
        <v>44209</v>
      </c>
      <c r="D46" s="351" t="s">
        <v>759</v>
      </c>
      <c r="E46" s="352" t="s">
        <v>11</v>
      </c>
      <c r="F46" s="338">
        <v>0.48749999999999999</v>
      </c>
      <c r="G46" s="338">
        <v>0.49236111111111108</v>
      </c>
      <c r="H46" s="338" t="s">
        <v>960</v>
      </c>
      <c r="I46" s="353">
        <v>713</v>
      </c>
      <c r="J46" s="338" t="str">
        <f>IFERROR(VLOOKUP(I46,'Chart of accounts'!A:H,2,FALSE),"")</f>
        <v>50102020 00</v>
      </c>
      <c r="K46" s="338" t="str">
        <f>IFERROR(VLOOKUP(I46,'Chart of accounts'!A:H,3,FALSE),"")</f>
        <v>Representation Allowance</v>
      </c>
      <c r="L46" s="338" t="str">
        <f>IFERROR(VLOOKUP(I46,'Chart of accounts'!A:H,4,FALSE),"")</f>
        <v>50102020 00 - Representation Allowance (713)</v>
      </c>
      <c r="M46" s="354" t="s">
        <v>2</v>
      </c>
      <c r="N46" s="355" t="s">
        <v>6</v>
      </c>
      <c r="O46" s="355" t="s">
        <v>760</v>
      </c>
      <c r="P46" s="355"/>
      <c r="Q46" s="319">
        <v>9000</v>
      </c>
      <c r="R46" s="319">
        <f>P46-Q46</f>
        <v>-9000</v>
      </c>
      <c r="S46" s="319" t="str">
        <f>VLOOKUP(H46,'Fund Utilization Report'!$A$4:$U$1800,13,FALSE)</f>
        <v>PS</v>
      </c>
      <c r="T46" s="319" t="str">
        <f>VLOOKUP(H46,'Fund Utilization Report'!$A$4:$U$1800,2,FALSE)</f>
        <v>GAA</v>
      </c>
      <c r="U46" s="319" t="str">
        <f>VLOOKUP(H46,'Fund Utilization Report'!$A$4:$U$1800,3,FALSE)</f>
        <v>FY2021, RA11518</v>
      </c>
      <c r="V46" s="319" t="str">
        <f>VLOOKUP(H46,'Fund Utilization Report'!$A$4:$U$1800,4,FALSE)</f>
        <v>GAS(GMS)</v>
      </c>
      <c r="W46" s="319" t="str">
        <f>VLOOKUP(H46,'Fund Utilization Report'!$A$4:$U$1800,5,FALSE)</f>
        <v>01101101</v>
      </c>
      <c r="X46" s="319" t="str">
        <f>VLOOKUP(H46,'Fund Utilization Report'!$A$4:$U$1800,6,FALSE)</f>
        <v>GOP</v>
      </c>
      <c r="Y46" s="320" t="str">
        <f>VLOOKUP(H46,'Fund Utilization Report'!$A$4:$U$1800,7,FALSE)</f>
        <v>PS</v>
      </c>
      <c r="Z46" s="321">
        <f>VLOOKUP(H46,'Fund Utilization Report'!$A$4:$U$1800,8,FALSE)</f>
        <v>5010000000</v>
      </c>
      <c r="AA46" s="319" t="str">
        <f>VLOOKUP(H46,'Fund Utilization Report'!$A$4:$U$1800,14,FALSE)</f>
        <v>100000100001000</v>
      </c>
      <c r="AB46" s="349" t="str">
        <f>VLOOKUP(H46,'Fund Utilization Report'!$A$4:$U$1800,15,FALSE)</f>
        <v>General Administration and Supervision - General Management and Supervision</v>
      </c>
      <c r="AC46" s="37" t="s">
        <v>0</v>
      </c>
      <c r="AD46" s="38">
        <v>1</v>
      </c>
      <c r="AE46" s="39">
        <v>713</v>
      </c>
      <c r="AF46" s="51" t="str">
        <f>VLOOKUP(AE46,'[2]Chart of accounts'!A:H,2,FALSE)</f>
        <v>50102020 00</v>
      </c>
      <c r="AG46" s="53" t="s">
        <v>1</v>
      </c>
      <c r="AH46" s="53" t="s">
        <v>1</v>
      </c>
    </row>
    <row r="47" spans="1:34" s="32" customFormat="1">
      <c r="A47" s="338" t="s">
        <v>942</v>
      </c>
      <c r="B47" s="338" t="s">
        <v>943</v>
      </c>
      <c r="C47" s="350">
        <v>44209</v>
      </c>
      <c r="D47" s="351" t="s">
        <v>759</v>
      </c>
      <c r="E47" s="352" t="s">
        <v>11</v>
      </c>
      <c r="F47" s="338">
        <v>0.48749999999999999</v>
      </c>
      <c r="G47" s="338">
        <v>0.49236111111111108</v>
      </c>
      <c r="H47" s="338" t="s">
        <v>960</v>
      </c>
      <c r="I47" s="353">
        <v>714</v>
      </c>
      <c r="J47" s="338" t="str">
        <f>IFERROR(VLOOKUP(I47,'Chart of accounts'!A:H,2,FALSE),"")</f>
        <v>50102030 01</v>
      </c>
      <c r="K47" s="338" t="str">
        <f>IFERROR(VLOOKUP(I47,'Chart of accounts'!A:H,3,FALSE),"")</f>
        <v xml:space="preserve">Transportation Allowance  </v>
      </c>
      <c r="L47" s="338" t="str">
        <f>IFERROR(VLOOKUP(I47,'Chart of accounts'!A:H,4,FALSE),"")</f>
        <v>50102030 01 - Transportation Allowance   (714)</v>
      </c>
      <c r="M47" s="354" t="s">
        <v>2</v>
      </c>
      <c r="N47" s="355" t="s">
        <v>6</v>
      </c>
      <c r="O47" s="355" t="s">
        <v>760</v>
      </c>
      <c r="P47" s="355"/>
      <c r="Q47" s="319">
        <v>9000</v>
      </c>
      <c r="R47" s="319">
        <f t="shared" ref="R47:R110" si="0">P47-Q47</f>
        <v>-9000</v>
      </c>
      <c r="S47" s="319" t="str">
        <f>VLOOKUP(H47,'Fund Utilization Report'!$A$4:$U$1800,13,FALSE)</f>
        <v>PS</v>
      </c>
      <c r="T47" s="319" t="str">
        <f>VLOOKUP(H47,'Fund Utilization Report'!$A$4:$U$1800,2,FALSE)</f>
        <v>GAA</v>
      </c>
      <c r="U47" s="319" t="str">
        <f>VLOOKUP(H47,'Fund Utilization Report'!$A$4:$U$1800,3,FALSE)</f>
        <v>FY2021, RA11518</v>
      </c>
      <c r="V47" s="319" t="str">
        <f>VLOOKUP(H47,'Fund Utilization Report'!$A$4:$U$1800,4,FALSE)</f>
        <v>GAS(GMS)</v>
      </c>
      <c r="W47" s="319" t="str">
        <f>VLOOKUP(H47,'Fund Utilization Report'!$A$4:$U$1800,5,FALSE)</f>
        <v>01101101</v>
      </c>
      <c r="X47" s="319" t="str">
        <f>VLOOKUP(H47,'Fund Utilization Report'!$A$4:$U$1800,6,FALSE)</f>
        <v>GOP</v>
      </c>
      <c r="Y47" s="320" t="str">
        <f>VLOOKUP(H47,'Fund Utilization Report'!$A$4:$U$1800,7,FALSE)</f>
        <v>PS</v>
      </c>
      <c r="Z47" s="321">
        <f>VLOOKUP(H47,'Fund Utilization Report'!$A$4:$U$1800,8,FALSE)</f>
        <v>5010000000</v>
      </c>
      <c r="AA47" s="319" t="str">
        <f>VLOOKUP(H47,'Fund Utilization Report'!$A$4:$U$1800,14,FALSE)</f>
        <v>100000100001000</v>
      </c>
      <c r="AB47" s="349" t="str">
        <f>VLOOKUP(H47,'Fund Utilization Report'!$A$4:$U$1800,15,FALSE)</f>
        <v>General Administration and Supervision - General Management and Supervision</v>
      </c>
      <c r="AC47" s="37" t="s">
        <v>0</v>
      </c>
      <c r="AD47" s="38">
        <v>1</v>
      </c>
      <c r="AE47" s="39">
        <v>714</v>
      </c>
      <c r="AF47" s="51" t="str">
        <f>VLOOKUP(AE47,'[2]Chart of accounts'!A:H,2,FALSE)</f>
        <v>50102030 01</v>
      </c>
      <c r="AG47" s="53" t="s">
        <v>1</v>
      </c>
      <c r="AH47" s="53" t="s">
        <v>1</v>
      </c>
    </row>
    <row r="48" spans="1:34" s="32" customFormat="1">
      <c r="A48" s="338" t="s">
        <v>942</v>
      </c>
      <c r="B48" s="338" t="s">
        <v>943</v>
      </c>
      <c r="C48" s="350">
        <v>44209</v>
      </c>
      <c r="D48" s="351" t="s">
        <v>759</v>
      </c>
      <c r="E48" s="352" t="s">
        <v>11</v>
      </c>
      <c r="F48" s="338">
        <v>0.48749999999999999</v>
      </c>
      <c r="G48" s="338">
        <v>0.49236111111111108</v>
      </c>
      <c r="H48" s="338" t="s">
        <v>960</v>
      </c>
      <c r="I48" s="353">
        <v>713</v>
      </c>
      <c r="J48" s="338" t="str">
        <f>IFERROR(VLOOKUP(I48,'Chart of accounts'!A:H,2,FALSE),"")</f>
        <v>50102020 00</v>
      </c>
      <c r="K48" s="338" t="str">
        <f>IFERROR(VLOOKUP(I48,'Chart of accounts'!A:H,3,FALSE),"")</f>
        <v>Representation Allowance</v>
      </c>
      <c r="L48" s="338" t="str">
        <f>IFERROR(VLOOKUP(I48,'Chart of accounts'!A:H,4,FALSE),"")</f>
        <v>50102020 00 - Representation Allowance (713)</v>
      </c>
      <c r="M48" s="354" t="s">
        <v>2</v>
      </c>
      <c r="N48" s="355" t="s">
        <v>796</v>
      </c>
      <c r="O48" s="355" t="s">
        <v>760</v>
      </c>
      <c r="P48" s="355"/>
      <c r="Q48" s="319">
        <v>8500</v>
      </c>
      <c r="R48" s="319">
        <f t="shared" si="0"/>
        <v>-8500</v>
      </c>
      <c r="S48" s="319" t="str">
        <f>VLOOKUP(H48,'Fund Utilization Report'!$A$4:$U$1800,13,FALSE)</f>
        <v>PS</v>
      </c>
      <c r="T48" s="319" t="str">
        <f>VLOOKUP(H48,'Fund Utilization Report'!$A$4:$U$1800,2,FALSE)</f>
        <v>GAA</v>
      </c>
      <c r="U48" s="319" t="str">
        <f>VLOOKUP(H48,'Fund Utilization Report'!$A$4:$U$1800,3,FALSE)</f>
        <v>FY2021, RA11518</v>
      </c>
      <c r="V48" s="319" t="str">
        <f>VLOOKUP(H48,'Fund Utilization Report'!$A$4:$U$1800,4,FALSE)</f>
        <v>GAS(GMS)</v>
      </c>
      <c r="W48" s="319" t="str">
        <f>VLOOKUP(H48,'Fund Utilization Report'!$A$4:$U$1800,5,FALSE)</f>
        <v>01101101</v>
      </c>
      <c r="X48" s="319" t="str">
        <f>VLOOKUP(H48,'Fund Utilization Report'!$A$4:$U$1800,6,FALSE)</f>
        <v>GOP</v>
      </c>
      <c r="Y48" s="320" t="str">
        <f>VLOOKUP(H48,'Fund Utilization Report'!$A$4:$U$1800,7,FALSE)</f>
        <v>PS</v>
      </c>
      <c r="Z48" s="321">
        <f>VLOOKUP(H48,'Fund Utilization Report'!$A$4:$U$1800,8,FALSE)</f>
        <v>5010000000</v>
      </c>
      <c r="AA48" s="319" t="str">
        <f>VLOOKUP(H48,'Fund Utilization Report'!$A$4:$U$1800,14,FALSE)</f>
        <v>100000100001000</v>
      </c>
      <c r="AB48" s="349" t="str">
        <f>VLOOKUP(H48,'Fund Utilization Report'!$A$4:$U$1800,15,FALSE)</f>
        <v>General Administration and Supervision - General Management and Supervision</v>
      </c>
      <c r="AC48" s="37" t="s">
        <v>0</v>
      </c>
      <c r="AD48" s="38">
        <v>1</v>
      </c>
      <c r="AE48" s="39">
        <v>713</v>
      </c>
      <c r="AF48" s="51" t="str">
        <f>VLOOKUP(AE48,'[2]Chart of accounts'!A:H,2,FALSE)</f>
        <v>50102020 00</v>
      </c>
      <c r="AG48" s="53" t="s">
        <v>1</v>
      </c>
      <c r="AH48" s="53" t="s">
        <v>1</v>
      </c>
    </row>
    <row r="49" spans="1:34" s="32" customFormat="1">
      <c r="A49" s="338" t="s">
        <v>942</v>
      </c>
      <c r="B49" s="338" t="s">
        <v>943</v>
      </c>
      <c r="C49" s="350">
        <v>44209</v>
      </c>
      <c r="D49" s="351" t="s">
        <v>759</v>
      </c>
      <c r="E49" s="352" t="s">
        <v>11</v>
      </c>
      <c r="F49" s="338">
        <v>0.48749999999999999</v>
      </c>
      <c r="G49" s="338">
        <v>0.49236111111111108</v>
      </c>
      <c r="H49" s="338" t="s">
        <v>960</v>
      </c>
      <c r="I49" s="353">
        <v>714</v>
      </c>
      <c r="J49" s="338" t="str">
        <f>IFERROR(VLOOKUP(I49,'Chart of accounts'!A:H,2,FALSE),"")</f>
        <v>50102030 01</v>
      </c>
      <c r="K49" s="338" t="str">
        <f>IFERROR(VLOOKUP(I49,'Chart of accounts'!A:H,3,FALSE),"")</f>
        <v xml:space="preserve">Transportation Allowance  </v>
      </c>
      <c r="L49" s="338" t="str">
        <f>IFERROR(VLOOKUP(I49,'Chart of accounts'!A:H,4,FALSE),"")</f>
        <v>50102030 01 - Transportation Allowance   (714)</v>
      </c>
      <c r="M49" s="354" t="s">
        <v>2</v>
      </c>
      <c r="N49" s="355" t="s">
        <v>796</v>
      </c>
      <c r="O49" s="355" t="s">
        <v>760</v>
      </c>
      <c r="P49" s="355"/>
      <c r="Q49" s="319">
        <v>8500</v>
      </c>
      <c r="R49" s="319">
        <f t="shared" si="0"/>
        <v>-8500</v>
      </c>
      <c r="S49" s="319" t="str">
        <f>VLOOKUP(H49,'Fund Utilization Report'!$A$4:$U$1800,13,FALSE)</f>
        <v>PS</v>
      </c>
      <c r="T49" s="319" t="str">
        <f>VLOOKUP(H49,'Fund Utilization Report'!$A$4:$U$1800,2,FALSE)</f>
        <v>GAA</v>
      </c>
      <c r="U49" s="319" t="str">
        <f>VLOOKUP(H49,'Fund Utilization Report'!$A$4:$U$1800,3,FALSE)</f>
        <v>FY2021, RA11518</v>
      </c>
      <c r="V49" s="319" t="str">
        <f>VLOOKUP(H49,'Fund Utilization Report'!$A$4:$U$1800,4,FALSE)</f>
        <v>GAS(GMS)</v>
      </c>
      <c r="W49" s="319" t="str">
        <f>VLOOKUP(H49,'Fund Utilization Report'!$A$4:$U$1800,5,FALSE)</f>
        <v>01101101</v>
      </c>
      <c r="X49" s="319" t="str">
        <f>VLOOKUP(H49,'Fund Utilization Report'!$A$4:$U$1800,6,FALSE)</f>
        <v>GOP</v>
      </c>
      <c r="Y49" s="320" t="str">
        <f>VLOOKUP(H49,'Fund Utilization Report'!$A$4:$U$1800,7,FALSE)</f>
        <v>PS</v>
      </c>
      <c r="Z49" s="321">
        <f>VLOOKUP(H49,'Fund Utilization Report'!$A$4:$U$1800,8,FALSE)</f>
        <v>5010000000</v>
      </c>
      <c r="AA49" s="319" t="str">
        <f>VLOOKUP(H49,'Fund Utilization Report'!$A$4:$U$1800,14,FALSE)</f>
        <v>100000100001000</v>
      </c>
      <c r="AB49" s="349" t="str">
        <f>VLOOKUP(H49,'Fund Utilization Report'!$A$4:$U$1800,15,FALSE)</f>
        <v>General Administration and Supervision - General Management and Supervision</v>
      </c>
      <c r="AC49" s="37" t="s">
        <v>0</v>
      </c>
      <c r="AD49" s="38">
        <v>1</v>
      </c>
      <c r="AE49" s="39">
        <v>714</v>
      </c>
      <c r="AF49" s="51" t="str">
        <f>VLOOKUP(AE49,'[2]Chart of accounts'!A:H,2,FALSE)</f>
        <v>50102030 01</v>
      </c>
      <c r="AG49" s="53" t="s">
        <v>1</v>
      </c>
      <c r="AH49" s="53" t="s">
        <v>1</v>
      </c>
    </row>
    <row r="50" spans="1:34" s="32" customFormat="1">
      <c r="A50" s="338" t="s">
        <v>942</v>
      </c>
      <c r="B50" s="338" t="s">
        <v>943</v>
      </c>
      <c r="C50" s="350">
        <v>44209</v>
      </c>
      <c r="D50" s="351" t="s">
        <v>759</v>
      </c>
      <c r="E50" s="352" t="s">
        <v>11</v>
      </c>
      <c r="F50" s="338">
        <v>0.48749999999999999</v>
      </c>
      <c r="G50" s="338">
        <v>0.49236111111111108</v>
      </c>
      <c r="H50" s="338" t="s">
        <v>960</v>
      </c>
      <c r="I50" s="353">
        <v>713</v>
      </c>
      <c r="J50" s="338" t="str">
        <f>IFERROR(VLOOKUP(I50,'Chart of accounts'!A:H,2,FALSE),"")</f>
        <v>50102020 00</v>
      </c>
      <c r="K50" s="338" t="str">
        <f>IFERROR(VLOOKUP(I50,'Chart of accounts'!A:H,3,FALSE),"")</f>
        <v>Representation Allowance</v>
      </c>
      <c r="L50" s="338" t="str">
        <f>IFERROR(VLOOKUP(I50,'Chart of accounts'!A:H,4,FALSE),"")</f>
        <v>50102020 00 - Representation Allowance (713)</v>
      </c>
      <c r="M50" s="354" t="s">
        <v>2</v>
      </c>
      <c r="N50" s="355" t="s">
        <v>797</v>
      </c>
      <c r="O50" s="355" t="s">
        <v>760</v>
      </c>
      <c r="P50" s="355"/>
      <c r="Q50" s="319">
        <v>5000</v>
      </c>
      <c r="R50" s="319">
        <f t="shared" si="0"/>
        <v>-5000</v>
      </c>
      <c r="S50" s="319" t="str">
        <f>VLOOKUP(H50,'Fund Utilization Report'!$A$4:$U$1800,13,FALSE)</f>
        <v>PS</v>
      </c>
      <c r="T50" s="319" t="str">
        <f>VLOOKUP(H50,'Fund Utilization Report'!$A$4:$U$1800,2,FALSE)</f>
        <v>GAA</v>
      </c>
      <c r="U50" s="319" t="str">
        <f>VLOOKUP(H50,'Fund Utilization Report'!$A$4:$U$1800,3,FALSE)</f>
        <v>FY2021, RA11518</v>
      </c>
      <c r="V50" s="319" t="str">
        <f>VLOOKUP(H50,'Fund Utilization Report'!$A$4:$U$1800,4,FALSE)</f>
        <v>GAS(GMS)</v>
      </c>
      <c r="W50" s="319" t="str">
        <f>VLOOKUP(H50,'Fund Utilization Report'!$A$4:$U$1800,5,FALSE)</f>
        <v>01101101</v>
      </c>
      <c r="X50" s="319" t="str">
        <f>VLOOKUP(H50,'Fund Utilization Report'!$A$4:$U$1800,6,FALSE)</f>
        <v>GOP</v>
      </c>
      <c r="Y50" s="320" t="str">
        <f>VLOOKUP(H50,'Fund Utilization Report'!$A$4:$U$1800,7,FALSE)</f>
        <v>PS</v>
      </c>
      <c r="Z50" s="321">
        <f>VLOOKUP(H50,'Fund Utilization Report'!$A$4:$U$1800,8,FALSE)</f>
        <v>5010000000</v>
      </c>
      <c r="AA50" s="319" t="str">
        <f>VLOOKUP(H50,'Fund Utilization Report'!$A$4:$U$1800,14,FALSE)</f>
        <v>100000100001000</v>
      </c>
      <c r="AB50" s="349" t="str">
        <f>VLOOKUP(H50,'Fund Utilization Report'!$A$4:$U$1800,15,FALSE)</f>
        <v>General Administration and Supervision - General Management and Supervision</v>
      </c>
      <c r="AC50" s="37" t="s">
        <v>0</v>
      </c>
      <c r="AD50" s="38">
        <v>1</v>
      </c>
      <c r="AE50" s="39">
        <v>713</v>
      </c>
      <c r="AF50" s="51" t="str">
        <f>VLOOKUP(AE50,'[2]Chart of accounts'!A:H,2,FALSE)</f>
        <v>50102020 00</v>
      </c>
      <c r="AG50" s="53" t="s">
        <v>1</v>
      </c>
      <c r="AH50" s="53" t="s">
        <v>1</v>
      </c>
    </row>
    <row r="51" spans="1:34" s="32" customFormat="1">
      <c r="A51" s="338" t="s">
        <v>942</v>
      </c>
      <c r="B51" s="338" t="s">
        <v>943</v>
      </c>
      <c r="C51" s="350">
        <v>44209</v>
      </c>
      <c r="D51" s="351" t="s">
        <v>759</v>
      </c>
      <c r="E51" s="352" t="s">
        <v>11</v>
      </c>
      <c r="F51" s="338">
        <v>0.48749999999999999</v>
      </c>
      <c r="G51" s="338">
        <v>0.49236111111111108</v>
      </c>
      <c r="H51" s="338" t="s">
        <v>960</v>
      </c>
      <c r="I51" s="353">
        <v>714</v>
      </c>
      <c r="J51" s="338" t="str">
        <f>IFERROR(VLOOKUP(I51,'Chart of accounts'!A:H,2,FALSE),"")</f>
        <v>50102030 01</v>
      </c>
      <c r="K51" s="338" t="str">
        <f>IFERROR(VLOOKUP(I51,'Chart of accounts'!A:H,3,FALSE),"")</f>
        <v xml:space="preserve">Transportation Allowance  </v>
      </c>
      <c r="L51" s="338" t="str">
        <f>IFERROR(VLOOKUP(I51,'Chart of accounts'!A:H,4,FALSE),"")</f>
        <v>50102030 01 - Transportation Allowance   (714)</v>
      </c>
      <c r="M51" s="354" t="s">
        <v>2</v>
      </c>
      <c r="N51" s="355" t="s">
        <v>797</v>
      </c>
      <c r="O51" s="355" t="s">
        <v>760</v>
      </c>
      <c r="P51" s="355"/>
      <c r="Q51" s="319">
        <v>5000</v>
      </c>
      <c r="R51" s="319">
        <f t="shared" si="0"/>
        <v>-5000</v>
      </c>
      <c r="S51" s="319" t="str">
        <f>VLOOKUP(H51,'Fund Utilization Report'!$A$4:$U$1800,13,FALSE)</f>
        <v>PS</v>
      </c>
      <c r="T51" s="319" t="str">
        <f>VLOOKUP(H51,'Fund Utilization Report'!$A$4:$U$1800,2,FALSE)</f>
        <v>GAA</v>
      </c>
      <c r="U51" s="319" t="str">
        <f>VLOOKUP(H51,'Fund Utilization Report'!$A$4:$U$1800,3,FALSE)</f>
        <v>FY2021, RA11518</v>
      </c>
      <c r="V51" s="319" t="str">
        <f>VLOOKUP(H51,'Fund Utilization Report'!$A$4:$U$1800,4,FALSE)</f>
        <v>GAS(GMS)</v>
      </c>
      <c r="W51" s="319" t="str">
        <f>VLOOKUP(H51,'Fund Utilization Report'!$A$4:$U$1800,5,FALSE)</f>
        <v>01101101</v>
      </c>
      <c r="X51" s="319" t="str">
        <f>VLOOKUP(H51,'Fund Utilization Report'!$A$4:$U$1800,6,FALSE)</f>
        <v>GOP</v>
      </c>
      <c r="Y51" s="320" t="str">
        <f>VLOOKUP(H51,'Fund Utilization Report'!$A$4:$U$1800,7,FALSE)</f>
        <v>PS</v>
      </c>
      <c r="Z51" s="321">
        <f>VLOOKUP(H51,'Fund Utilization Report'!$A$4:$U$1800,8,FALSE)</f>
        <v>5010000000</v>
      </c>
      <c r="AA51" s="319" t="str">
        <f>VLOOKUP(H51,'Fund Utilization Report'!$A$4:$U$1800,14,FALSE)</f>
        <v>100000100001000</v>
      </c>
      <c r="AB51" s="349" t="str">
        <f>VLOOKUP(H51,'Fund Utilization Report'!$A$4:$U$1800,15,FALSE)</f>
        <v>General Administration and Supervision - General Management and Supervision</v>
      </c>
      <c r="AC51" s="37" t="s">
        <v>0</v>
      </c>
      <c r="AD51" s="38">
        <v>1</v>
      </c>
      <c r="AE51" s="39">
        <v>714</v>
      </c>
      <c r="AF51" s="51" t="str">
        <f>VLOOKUP(AE51,'[2]Chart of accounts'!A:H,2,FALSE)</f>
        <v>50102030 01</v>
      </c>
      <c r="AG51" s="53" t="s">
        <v>1</v>
      </c>
      <c r="AH51" s="53" t="s">
        <v>1</v>
      </c>
    </row>
    <row r="52" spans="1:34" s="32" customFormat="1">
      <c r="A52" s="338" t="s">
        <v>942</v>
      </c>
      <c r="B52" s="338" t="s">
        <v>943</v>
      </c>
      <c r="C52" s="350">
        <v>44209</v>
      </c>
      <c r="D52" s="351" t="s">
        <v>759</v>
      </c>
      <c r="E52" s="352" t="s">
        <v>11</v>
      </c>
      <c r="F52" s="338">
        <v>0.48749999999999999</v>
      </c>
      <c r="G52" s="338">
        <v>0.49236111111111108</v>
      </c>
      <c r="H52" s="338" t="s">
        <v>970</v>
      </c>
      <c r="I52" s="353">
        <v>713</v>
      </c>
      <c r="J52" s="338" t="str">
        <f>IFERROR(VLOOKUP(I52,'Chart of accounts'!A:H,2,FALSE),"")</f>
        <v>50102020 00</v>
      </c>
      <c r="K52" s="338" t="str">
        <f>IFERROR(VLOOKUP(I52,'Chart of accounts'!A:H,3,FALSE),"")</f>
        <v>Representation Allowance</v>
      </c>
      <c r="L52" s="338" t="str">
        <f>IFERROR(VLOOKUP(I52,'Chart of accounts'!A:H,4,FALSE),"")</f>
        <v>50102020 00 - Representation Allowance (713)</v>
      </c>
      <c r="M52" s="354" t="s">
        <v>2</v>
      </c>
      <c r="N52" s="355" t="s">
        <v>798</v>
      </c>
      <c r="O52" s="355" t="s">
        <v>760</v>
      </c>
      <c r="P52" s="355"/>
      <c r="Q52" s="319">
        <v>5000</v>
      </c>
      <c r="R52" s="319">
        <f t="shared" si="0"/>
        <v>-5000</v>
      </c>
      <c r="S52" s="319" t="str">
        <f>VLOOKUP(H52,'Fund Utilization Report'!$A$4:$U$1800,13,FALSE)</f>
        <v>PS</v>
      </c>
      <c r="T52" s="319" t="str">
        <f>VLOOKUP(H52,'Fund Utilization Report'!$A$4:$U$1800,2,FALSE)</f>
        <v>GAA</v>
      </c>
      <c r="U52" s="319" t="str">
        <f>VLOOKUP(H52,'Fund Utilization Report'!$A$4:$U$1800,3,FALSE)</f>
        <v>FY2021, RA11518</v>
      </c>
      <c r="V52" s="319" t="str">
        <f>VLOOKUP(H52,'Fund Utilization Report'!$A$4:$U$1800,4,FALSE)</f>
        <v>OO3</v>
      </c>
      <c r="W52" s="319" t="str">
        <f>VLOOKUP(H52,'Fund Utilization Report'!$A$4:$U$1800,5,FALSE)</f>
        <v>01101101</v>
      </c>
      <c r="X52" s="319" t="str">
        <f>VLOOKUP(H52,'Fund Utilization Report'!$A$4:$U$1800,6,FALSE)</f>
        <v>GOP</v>
      </c>
      <c r="Y52" s="320" t="str">
        <f>VLOOKUP(H52,'Fund Utilization Report'!$A$4:$U$1800,7,FALSE)</f>
        <v>PS</v>
      </c>
      <c r="Z52" s="321">
        <f>VLOOKUP(H52,'Fund Utilization Report'!$A$4:$U$1800,8,FALSE)</f>
        <v>5010000000</v>
      </c>
      <c r="AA52" s="319" t="str">
        <f>VLOOKUP(H52,'Fund Utilization Report'!$A$4:$U$1800,14,FALSE)</f>
        <v>330100100002000</v>
      </c>
      <c r="AB52" s="349" t="str">
        <f>VLOOKUP(H52,'Fund Utilization Report'!$A$4:$U$1800,15,FALSE)</f>
        <v>Implementation of the MSME Development Plan and other initiatives to promote the growth of Micro, Small and Medium Enterprises</v>
      </c>
      <c r="AC52" s="37" t="s">
        <v>0</v>
      </c>
      <c r="AD52" s="38">
        <v>1</v>
      </c>
      <c r="AE52" s="39">
        <v>713</v>
      </c>
      <c r="AF52" s="51" t="str">
        <f>VLOOKUP(AE52,'[2]Chart of accounts'!A:H,2,FALSE)</f>
        <v>50102020 00</v>
      </c>
      <c r="AG52" s="53" t="s">
        <v>1</v>
      </c>
      <c r="AH52" s="53" t="s">
        <v>1</v>
      </c>
    </row>
    <row r="53" spans="1:34" s="32" customFormat="1">
      <c r="A53" s="338" t="s">
        <v>942</v>
      </c>
      <c r="B53" s="338" t="s">
        <v>943</v>
      </c>
      <c r="C53" s="350">
        <v>44209</v>
      </c>
      <c r="D53" s="351" t="s">
        <v>759</v>
      </c>
      <c r="E53" s="352" t="s">
        <v>11</v>
      </c>
      <c r="F53" s="338">
        <v>0.48749999999999999</v>
      </c>
      <c r="G53" s="338">
        <v>0.49236111111111108</v>
      </c>
      <c r="H53" s="338" t="s">
        <v>970</v>
      </c>
      <c r="I53" s="353">
        <v>714</v>
      </c>
      <c r="J53" s="338" t="str">
        <f>IFERROR(VLOOKUP(I53,'Chart of accounts'!A:H,2,FALSE),"")</f>
        <v>50102030 01</v>
      </c>
      <c r="K53" s="338" t="str">
        <f>IFERROR(VLOOKUP(I53,'Chart of accounts'!A:H,3,FALSE),"")</f>
        <v xml:space="preserve">Transportation Allowance  </v>
      </c>
      <c r="L53" s="338" t="str">
        <f>IFERROR(VLOOKUP(I53,'Chart of accounts'!A:H,4,FALSE),"")</f>
        <v>50102030 01 - Transportation Allowance   (714)</v>
      </c>
      <c r="M53" s="354" t="s">
        <v>2</v>
      </c>
      <c r="N53" s="355" t="s">
        <v>798</v>
      </c>
      <c r="O53" s="355" t="s">
        <v>760</v>
      </c>
      <c r="P53" s="355"/>
      <c r="Q53" s="319">
        <v>5000</v>
      </c>
      <c r="R53" s="319">
        <f t="shared" si="0"/>
        <v>-5000</v>
      </c>
      <c r="S53" s="319" t="str">
        <f>VLOOKUP(H53,'Fund Utilization Report'!$A$4:$U$1800,13,FALSE)</f>
        <v>PS</v>
      </c>
      <c r="T53" s="319" t="str">
        <f>VLOOKUP(H53,'Fund Utilization Report'!$A$4:$U$1800,2,FALSE)</f>
        <v>GAA</v>
      </c>
      <c r="U53" s="319" t="str">
        <f>VLOOKUP(H53,'Fund Utilization Report'!$A$4:$U$1800,3,FALSE)</f>
        <v>FY2021, RA11518</v>
      </c>
      <c r="V53" s="319" t="str">
        <f>VLOOKUP(H53,'Fund Utilization Report'!$A$4:$U$1800,4,FALSE)</f>
        <v>OO3</v>
      </c>
      <c r="W53" s="319" t="str">
        <f>VLOOKUP(H53,'Fund Utilization Report'!$A$4:$U$1800,5,FALSE)</f>
        <v>01101101</v>
      </c>
      <c r="X53" s="319" t="str">
        <f>VLOOKUP(H53,'Fund Utilization Report'!$A$4:$U$1800,6,FALSE)</f>
        <v>GOP</v>
      </c>
      <c r="Y53" s="320" t="str">
        <f>VLOOKUP(H53,'Fund Utilization Report'!$A$4:$U$1800,7,FALSE)</f>
        <v>PS</v>
      </c>
      <c r="Z53" s="321">
        <f>VLOOKUP(H53,'Fund Utilization Report'!$A$4:$U$1800,8,FALSE)</f>
        <v>5010000000</v>
      </c>
      <c r="AA53" s="319" t="str">
        <f>VLOOKUP(H53,'Fund Utilization Report'!$A$4:$U$1800,14,FALSE)</f>
        <v>330100100002000</v>
      </c>
      <c r="AB53" s="349" t="str">
        <f>VLOOKUP(H53,'Fund Utilization Report'!$A$4:$U$1800,15,FALSE)</f>
        <v>Implementation of the MSME Development Plan and other initiatives to promote the growth of Micro, Small and Medium Enterprises</v>
      </c>
      <c r="AC53" s="37" t="s">
        <v>0</v>
      </c>
      <c r="AD53" s="38">
        <v>1</v>
      </c>
      <c r="AE53" s="39">
        <v>714</v>
      </c>
      <c r="AF53" s="51" t="str">
        <f>VLOOKUP(AE53,'[2]Chart of accounts'!A:H,2,FALSE)</f>
        <v>50102030 01</v>
      </c>
      <c r="AG53" s="53" t="s">
        <v>1</v>
      </c>
      <c r="AH53" s="53" t="s">
        <v>1</v>
      </c>
    </row>
    <row r="54" spans="1:34" s="32" customFormat="1">
      <c r="A54" s="338" t="s">
        <v>942</v>
      </c>
      <c r="B54" s="338" t="s">
        <v>943</v>
      </c>
      <c r="C54" s="350">
        <v>44209</v>
      </c>
      <c r="D54" s="351" t="s">
        <v>759</v>
      </c>
      <c r="E54" s="352" t="s">
        <v>11</v>
      </c>
      <c r="F54" s="338">
        <v>0.48749999999999999</v>
      </c>
      <c r="G54" s="338">
        <v>0.49236111111111108</v>
      </c>
      <c r="H54" s="338" t="s">
        <v>973</v>
      </c>
      <c r="I54" s="353">
        <v>713</v>
      </c>
      <c r="J54" s="338" t="str">
        <f>IFERROR(VLOOKUP(I54,'Chart of accounts'!A:H,2,FALSE),"")</f>
        <v>50102020 00</v>
      </c>
      <c r="K54" s="338" t="str">
        <f>IFERROR(VLOOKUP(I54,'Chart of accounts'!A:H,3,FALSE),"")</f>
        <v>Representation Allowance</v>
      </c>
      <c r="L54" s="338" t="str">
        <f>IFERROR(VLOOKUP(I54,'Chart of accounts'!A:H,4,FALSE),"")</f>
        <v>50102020 00 - Representation Allowance (713)</v>
      </c>
      <c r="M54" s="354" t="s">
        <v>2</v>
      </c>
      <c r="N54" s="355" t="s">
        <v>799</v>
      </c>
      <c r="O54" s="355" t="s">
        <v>760</v>
      </c>
      <c r="P54" s="355"/>
      <c r="Q54" s="319">
        <v>5000</v>
      </c>
      <c r="R54" s="319">
        <f t="shared" si="0"/>
        <v>-5000</v>
      </c>
      <c r="S54" s="319" t="str">
        <f>VLOOKUP(H54,'Fund Utilization Report'!$A$4:$U$1800,13,FALSE)</f>
        <v>PS</v>
      </c>
      <c r="T54" s="319" t="str">
        <f>VLOOKUP(H54,'Fund Utilization Report'!$A$4:$U$1800,2,FALSE)</f>
        <v>GAA</v>
      </c>
      <c r="U54" s="319" t="str">
        <f>VLOOKUP(H54,'Fund Utilization Report'!$A$4:$U$1800,3,FALSE)</f>
        <v>FY2021, RA11518</v>
      </c>
      <c r="V54" s="319" t="str">
        <f>VLOOKUP(H54,'Fund Utilization Report'!$A$4:$U$1800,4,FALSE)</f>
        <v>OO4.1(FTL)</v>
      </c>
      <c r="W54" s="319" t="str">
        <f>VLOOKUP(H54,'Fund Utilization Report'!$A$4:$U$1800,5,FALSE)</f>
        <v>01101101</v>
      </c>
      <c r="X54" s="319" t="str">
        <f>VLOOKUP(H54,'Fund Utilization Report'!$A$4:$U$1800,6,FALSE)</f>
        <v>GOP</v>
      </c>
      <c r="Y54" s="320" t="str">
        <f>VLOOKUP(H54,'Fund Utilization Report'!$A$4:$U$1800,7,FALSE)</f>
        <v>PS</v>
      </c>
      <c r="Z54" s="321">
        <f>VLOOKUP(H54,'Fund Utilization Report'!$A$4:$U$1800,8,FALSE)</f>
        <v>5010000000</v>
      </c>
      <c r="AA54" s="319" t="str">
        <f>VLOOKUP(H54,'Fund Utilization Report'!$A$4:$U$1800,14,FALSE)</f>
        <v>340100100002000</v>
      </c>
      <c r="AB54" s="349" t="str">
        <f>VLOOKUP(H54,'Fund Utilization Report'!$A$4:$U$1800,15,FALSE)</f>
        <v>Monitoring and Enforcement of FTL including consumer complaints handling</v>
      </c>
      <c r="AC54" s="37" t="s">
        <v>0</v>
      </c>
      <c r="AD54" s="38">
        <v>1</v>
      </c>
      <c r="AE54" s="39">
        <v>713</v>
      </c>
      <c r="AF54" s="51" t="str">
        <f>VLOOKUP(AE54,'[2]Chart of accounts'!A:H,2,FALSE)</f>
        <v>50102020 00</v>
      </c>
      <c r="AG54" s="53" t="s">
        <v>1</v>
      </c>
      <c r="AH54" s="53" t="s">
        <v>1</v>
      </c>
    </row>
    <row r="55" spans="1:34" s="32" customFormat="1">
      <c r="A55" s="338" t="s">
        <v>942</v>
      </c>
      <c r="B55" s="338" t="s">
        <v>943</v>
      </c>
      <c r="C55" s="350">
        <v>44209</v>
      </c>
      <c r="D55" s="351" t="s">
        <v>759</v>
      </c>
      <c r="E55" s="352" t="s">
        <v>11</v>
      </c>
      <c r="F55" s="338">
        <v>0.48749999999999999</v>
      </c>
      <c r="G55" s="338">
        <v>0.49236111111111108</v>
      </c>
      <c r="H55" s="338" t="s">
        <v>973</v>
      </c>
      <c r="I55" s="353">
        <v>714</v>
      </c>
      <c r="J55" s="338" t="str">
        <f>IFERROR(VLOOKUP(I55,'Chart of accounts'!A:H,2,FALSE),"")</f>
        <v>50102030 01</v>
      </c>
      <c r="K55" s="338" t="str">
        <f>IFERROR(VLOOKUP(I55,'Chart of accounts'!A:H,3,FALSE),"")</f>
        <v xml:space="preserve">Transportation Allowance  </v>
      </c>
      <c r="L55" s="338" t="str">
        <f>IFERROR(VLOOKUP(I55,'Chart of accounts'!A:H,4,FALSE),"")</f>
        <v>50102030 01 - Transportation Allowance   (714)</v>
      </c>
      <c r="M55" s="354" t="s">
        <v>2</v>
      </c>
      <c r="N55" s="355" t="s">
        <v>799</v>
      </c>
      <c r="O55" s="355" t="s">
        <v>760</v>
      </c>
      <c r="P55" s="355"/>
      <c r="Q55" s="319">
        <v>5000</v>
      </c>
      <c r="R55" s="319">
        <f t="shared" si="0"/>
        <v>-5000</v>
      </c>
      <c r="S55" s="319" t="str">
        <f>VLOOKUP(H55,'Fund Utilization Report'!$A$4:$U$1800,13,FALSE)</f>
        <v>PS</v>
      </c>
      <c r="T55" s="319" t="str">
        <f>VLOOKUP(H55,'Fund Utilization Report'!$A$4:$U$1800,2,FALSE)</f>
        <v>GAA</v>
      </c>
      <c r="U55" s="319" t="str">
        <f>VLOOKUP(H55,'Fund Utilization Report'!$A$4:$U$1800,3,FALSE)</f>
        <v>FY2021, RA11518</v>
      </c>
      <c r="V55" s="319" t="str">
        <f>VLOOKUP(H55,'Fund Utilization Report'!$A$4:$U$1800,4,FALSE)</f>
        <v>OO4.1(FTL)</v>
      </c>
      <c r="W55" s="319" t="str">
        <f>VLOOKUP(H55,'Fund Utilization Report'!$A$4:$U$1800,5,FALSE)</f>
        <v>01101101</v>
      </c>
      <c r="X55" s="319" t="str">
        <f>VLOOKUP(H55,'Fund Utilization Report'!$A$4:$U$1800,6,FALSE)</f>
        <v>GOP</v>
      </c>
      <c r="Y55" s="320" t="str">
        <f>VLOOKUP(H55,'Fund Utilization Report'!$A$4:$U$1800,7,FALSE)</f>
        <v>PS</v>
      </c>
      <c r="Z55" s="321">
        <f>VLOOKUP(H55,'Fund Utilization Report'!$A$4:$U$1800,8,FALSE)</f>
        <v>5010000000</v>
      </c>
      <c r="AA55" s="319" t="str">
        <f>VLOOKUP(H55,'Fund Utilization Report'!$A$4:$U$1800,14,FALSE)</f>
        <v>340100100002000</v>
      </c>
      <c r="AB55" s="349" t="str">
        <f>VLOOKUP(H55,'Fund Utilization Report'!$A$4:$U$1800,15,FALSE)</f>
        <v>Monitoring and Enforcement of FTL including consumer complaints handling</v>
      </c>
      <c r="AC55" s="37" t="s">
        <v>0</v>
      </c>
      <c r="AD55" s="38">
        <v>1</v>
      </c>
      <c r="AE55" s="39">
        <v>714</v>
      </c>
      <c r="AF55" s="51" t="str">
        <f>VLOOKUP(AE55,'[2]Chart of accounts'!A:H,2,FALSE)</f>
        <v>50102030 01</v>
      </c>
      <c r="AG55" s="53" t="s">
        <v>1</v>
      </c>
      <c r="AH55" s="53" t="s">
        <v>1</v>
      </c>
    </row>
    <row r="56" spans="1:34" s="32" customFormat="1">
      <c r="A56" s="338" t="s">
        <v>942</v>
      </c>
      <c r="B56" s="338" t="s">
        <v>943</v>
      </c>
      <c r="C56" s="350">
        <v>44209</v>
      </c>
      <c r="D56" s="351" t="s">
        <v>759</v>
      </c>
      <c r="E56" s="352" t="s">
        <v>11</v>
      </c>
      <c r="F56" s="338">
        <v>0.48749999999999999</v>
      </c>
      <c r="G56" s="338">
        <v>0.49236111111111108</v>
      </c>
      <c r="H56" s="338" t="s">
        <v>967</v>
      </c>
      <c r="I56" s="353">
        <v>713</v>
      </c>
      <c r="J56" s="338" t="str">
        <f>IFERROR(VLOOKUP(I56,'Chart of accounts'!A:H,2,FALSE),"")</f>
        <v>50102020 00</v>
      </c>
      <c r="K56" s="338" t="str">
        <f>IFERROR(VLOOKUP(I56,'Chart of accounts'!A:H,3,FALSE),"")</f>
        <v>Representation Allowance</v>
      </c>
      <c r="L56" s="338" t="str">
        <f>IFERROR(VLOOKUP(I56,'Chart of accounts'!A:H,4,FALSE),"")</f>
        <v>50102020 00 - Representation Allowance (713)</v>
      </c>
      <c r="M56" s="354" t="s">
        <v>2</v>
      </c>
      <c r="N56" s="355" t="s">
        <v>800</v>
      </c>
      <c r="O56" s="355" t="s">
        <v>760</v>
      </c>
      <c r="P56" s="355"/>
      <c r="Q56" s="319">
        <v>5000</v>
      </c>
      <c r="R56" s="319">
        <f t="shared" si="0"/>
        <v>-5000</v>
      </c>
      <c r="S56" s="319" t="str">
        <f>VLOOKUP(H56,'Fund Utilization Report'!$A$4:$U$1800,13,FALSE)</f>
        <v>PS</v>
      </c>
      <c r="T56" s="319" t="str">
        <f>VLOOKUP(H56,'Fund Utilization Report'!$A$4:$U$1800,2,FALSE)</f>
        <v>GAA</v>
      </c>
      <c r="U56" s="319" t="str">
        <f>VLOOKUP(H56,'Fund Utilization Report'!$A$4:$U$1800,3,FALSE)</f>
        <v>FY2021, RA11518</v>
      </c>
      <c r="V56" s="319" t="str">
        <f>VLOOKUP(H56,'Fund Utilization Report'!$A$4:$U$1800,4,FALSE)</f>
        <v>OO2</v>
      </c>
      <c r="W56" s="319" t="str">
        <f>VLOOKUP(H56,'Fund Utilization Report'!$A$4:$U$1800,5,FALSE)</f>
        <v>01101101</v>
      </c>
      <c r="X56" s="319" t="str">
        <f>VLOOKUP(H56,'Fund Utilization Report'!$A$4:$U$1800,6,FALSE)</f>
        <v>GOP</v>
      </c>
      <c r="Y56" s="320" t="str">
        <f>VLOOKUP(H56,'Fund Utilization Report'!$A$4:$U$1800,7,FALSE)</f>
        <v>PS</v>
      </c>
      <c r="Z56" s="321">
        <f>VLOOKUP(H56,'Fund Utilization Report'!$A$4:$U$1800,8,FALSE)</f>
        <v>5010000000</v>
      </c>
      <c r="AA56" s="319" t="str">
        <f>VLOOKUP(H56,'Fund Utilization Report'!$A$4:$U$1800,14,FALSE)</f>
        <v>320100100001000</v>
      </c>
      <c r="AB56" s="349" t="str">
        <f>VLOOKUP(H56,'Fund Utilization Report'!$A$4:$U$1800,15,FALSE)</f>
        <v>Formulation of Strategic plans,programs, and policies to develop competitve industries</v>
      </c>
      <c r="AC56" s="37" t="s">
        <v>0</v>
      </c>
      <c r="AD56" s="38">
        <v>1</v>
      </c>
      <c r="AE56" s="39">
        <v>713</v>
      </c>
      <c r="AF56" s="51" t="str">
        <f>VLOOKUP(AE56,'[2]Chart of accounts'!A:H,2,FALSE)</f>
        <v>50102020 00</v>
      </c>
      <c r="AG56" s="53" t="s">
        <v>1</v>
      </c>
      <c r="AH56" s="53" t="s">
        <v>1</v>
      </c>
    </row>
    <row r="57" spans="1:34" s="32" customFormat="1">
      <c r="A57" s="338" t="s">
        <v>942</v>
      </c>
      <c r="B57" s="338" t="s">
        <v>943</v>
      </c>
      <c r="C57" s="350">
        <v>44209</v>
      </c>
      <c r="D57" s="351" t="s">
        <v>759</v>
      </c>
      <c r="E57" s="352" t="s">
        <v>11</v>
      </c>
      <c r="F57" s="338">
        <v>0.48749999999999999</v>
      </c>
      <c r="G57" s="338">
        <v>0.49236111111111108</v>
      </c>
      <c r="H57" s="338" t="s">
        <v>967</v>
      </c>
      <c r="I57" s="353">
        <v>714</v>
      </c>
      <c r="J57" s="338" t="str">
        <f>IFERROR(VLOOKUP(I57,'Chart of accounts'!A:H,2,FALSE),"")</f>
        <v>50102030 01</v>
      </c>
      <c r="K57" s="338" t="str">
        <f>IFERROR(VLOOKUP(I57,'Chart of accounts'!A:H,3,FALSE),"")</f>
        <v xml:space="preserve">Transportation Allowance  </v>
      </c>
      <c r="L57" s="338" t="str">
        <f>IFERROR(VLOOKUP(I57,'Chart of accounts'!A:H,4,FALSE),"")</f>
        <v>50102030 01 - Transportation Allowance   (714)</v>
      </c>
      <c r="M57" s="354" t="s">
        <v>2</v>
      </c>
      <c r="N57" s="355" t="s">
        <v>800</v>
      </c>
      <c r="O57" s="355" t="s">
        <v>760</v>
      </c>
      <c r="P57" s="355"/>
      <c r="Q57" s="319">
        <v>5000</v>
      </c>
      <c r="R57" s="319">
        <f t="shared" si="0"/>
        <v>-5000</v>
      </c>
      <c r="S57" s="319" t="str">
        <f>VLOOKUP(H57,'Fund Utilization Report'!$A$4:$U$1800,13,FALSE)</f>
        <v>PS</v>
      </c>
      <c r="T57" s="319" t="str">
        <f>VLOOKUP(H57,'Fund Utilization Report'!$A$4:$U$1800,2,FALSE)</f>
        <v>GAA</v>
      </c>
      <c r="U57" s="319" t="str">
        <f>VLOOKUP(H57,'Fund Utilization Report'!$A$4:$U$1800,3,FALSE)</f>
        <v>FY2021, RA11518</v>
      </c>
      <c r="V57" s="319" t="str">
        <f>VLOOKUP(H57,'Fund Utilization Report'!$A$4:$U$1800,4,FALSE)</f>
        <v>OO2</v>
      </c>
      <c r="W57" s="319" t="str">
        <f>VLOOKUP(H57,'Fund Utilization Report'!$A$4:$U$1800,5,FALSE)</f>
        <v>01101101</v>
      </c>
      <c r="X57" s="319" t="str">
        <f>VLOOKUP(H57,'Fund Utilization Report'!$A$4:$U$1800,6,FALSE)</f>
        <v>GOP</v>
      </c>
      <c r="Y57" s="320" t="str">
        <f>VLOOKUP(H57,'Fund Utilization Report'!$A$4:$U$1800,7,FALSE)</f>
        <v>PS</v>
      </c>
      <c r="Z57" s="321">
        <f>VLOOKUP(H57,'Fund Utilization Report'!$A$4:$U$1800,8,FALSE)</f>
        <v>5010000000</v>
      </c>
      <c r="AA57" s="319" t="str">
        <f>VLOOKUP(H57,'Fund Utilization Report'!$A$4:$U$1800,14,FALSE)</f>
        <v>320100100001000</v>
      </c>
      <c r="AB57" s="349" t="str">
        <f>VLOOKUP(H57,'Fund Utilization Report'!$A$4:$U$1800,15,FALSE)</f>
        <v>Formulation of Strategic plans,programs, and policies to develop competitve industries</v>
      </c>
      <c r="AC57" s="37" t="s">
        <v>0</v>
      </c>
      <c r="AD57" s="38">
        <v>1</v>
      </c>
      <c r="AE57" s="39">
        <v>714</v>
      </c>
      <c r="AF57" s="51" t="str">
        <f>VLOOKUP(AE57,'[2]Chart of accounts'!A:H,2,FALSE)</f>
        <v>50102030 01</v>
      </c>
      <c r="AG57" s="53" t="s">
        <v>1</v>
      </c>
      <c r="AH57" s="53" t="s">
        <v>1</v>
      </c>
    </row>
    <row r="58" spans="1:34" s="32" customFormat="1">
      <c r="A58" s="338" t="s">
        <v>942</v>
      </c>
      <c r="B58" s="338" t="s">
        <v>943</v>
      </c>
      <c r="C58" s="350">
        <v>44209</v>
      </c>
      <c r="D58" s="351" t="s">
        <v>759</v>
      </c>
      <c r="E58" s="352" t="s">
        <v>11</v>
      </c>
      <c r="F58" s="338">
        <v>0.48749999999999999</v>
      </c>
      <c r="G58" s="338">
        <v>0.49236111111111108</v>
      </c>
      <c r="H58" s="338" t="s">
        <v>960</v>
      </c>
      <c r="I58" s="353">
        <v>713</v>
      </c>
      <c r="J58" s="338" t="str">
        <f>IFERROR(VLOOKUP(I58,'Chart of accounts'!A:H,2,FALSE),"")</f>
        <v>50102020 00</v>
      </c>
      <c r="K58" s="338" t="str">
        <f>IFERROR(VLOOKUP(I58,'Chart of accounts'!A:H,3,FALSE),"")</f>
        <v>Representation Allowance</v>
      </c>
      <c r="L58" s="338" t="str">
        <f>IFERROR(VLOOKUP(I58,'Chart of accounts'!A:H,4,FALSE),"")</f>
        <v>50102020 00 - Representation Allowance (713)</v>
      </c>
      <c r="M58" s="354" t="s">
        <v>2</v>
      </c>
      <c r="N58" s="355" t="s">
        <v>801</v>
      </c>
      <c r="O58" s="355" t="s">
        <v>760</v>
      </c>
      <c r="P58" s="355"/>
      <c r="Q58" s="319">
        <v>7500</v>
      </c>
      <c r="R58" s="319">
        <f t="shared" si="0"/>
        <v>-7500</v>
      </c>
      <c r="S58" s="319" t="str">
        <f>VLOOKUP(H58,'Fund Utilization Report'!$A$4:$U$1800,13,FALSE)</f>
        <v>PS</v>
      </c>
      <c r="T58" s="319" t="str">
        <f>VLOOKUP(H58,'Fund Utilization Report'!$A$4:$U$1800,2,FALSE)</f>
        <v>GAA</v>
      </c>
      <c r="U58" s="319" t="str">
        <f>VLOOKUP(H58,'Fund Utilization Report'!$A$4:$U$1800,3,FALSE)</f>
        <v>FY2021, RA11518</v>
      </c>
      <c r="V58" s="319" t="str">
        <f>VLOOKUP(H58,'Fund Utilization Report'!$A$4:$U$1800,4,FALSE)</f>
        <v>GAS(GMS)</v>
      </c>
      <c r="W58" s="319" t="str">
        <f>VLOOKUP(H58,'Fund Utilization Report'!$A$4:$U$1800,5,FALSE)</f>
        <v>01101101</v>
      </c>
      <c r="X58" s="319" t="str">
        <f>VLOOKUP(H58,'Fund Utilization Report'!$A$4:$U$1800,6,FALSE)</f>
        <v>GOP</v>
      </c>
      <c r="Y58" s="320" t="str">
        <f>VLOOKUP(H58,'Fund Utilization Report'!$A$4:$U$1800,7,FALSE)</f>
        <v>PS</v>
      </c>
      <c r="Z58" s="321">
        <f>VLOOKUP(H58,'Fund Utilization Report'!$A$4:$U$1800,8,FALSE)</f>
        <v>5010000000</v>
      </c>
      <c r="AA58" s="319" t="str">
        <f>VLOOKUP(H58,'Fund Utilization Report'!$A$4:$U$1800,14,FALSE)</f>
        <v>100000100001000</v>
      </c>
      <c r="AB58" s="349" t="str">
        <f>VLOOKUP(H58,'Fund Utilization Report'!$A$4:$U$1800,15,FALSE)</f>
        <v>General Administration and Supervision - General Management and Supervision</v>
      </c>
      <c r="AC58" s="37" t="s">
        <v>0</v>
      </c>
      <c r="AD58" s="38">
        <v>1</v>
      </c>
      <c r="AE58" s="39">
        <v>713</v>
      </c>
      <c r="AF58" s="51" t="str">
        <f>VLOOKUP(AE58,'[2]Chart of accounts'!A:H,2,FALSE)</f>
        <v>50102020 00</v>
      </c>
      <c r="AG58" s="53" t="s">
        <v>1</v>
      </c>
      <c r="AH58" s="53" t="s">
        <v>1</v>
      </c>
    </row>
    <row r="59" spans="1:34" s="32" customFormat="1">
      <c r="A59" s="338" t="s">
        <v>942</v>
      </c>
      <c r="B59" s="338" t="s">
        <v>943</v>
      </c>
      <c r="C59" s="350">
        <v>44209</v>
      </c>
      <c r="D59" s="351" t="s">
        <v>759</v>
      </c>
      <c r="E59" s="352" t="s">
        <v>11</v>
      </c>
      <c r="F59" s="338">
        <v>0.48749999999999999</v>
      </c>
      <c r="G59" s="338">
        <v>0.49236111111111108</v>
      </c>
      <c r="H59" s="338" t="s">
        <v>960</v>
      </c>
      <c r="I59" s="353">
        <v>714</v>
      </c>
      <c r="J59" s="338" t="str">
        <f>IFERROR(VLOOKUP(I59,'Chart of accounts'!A:H,2,FALSE),"")</f>
        <v>50102030 01</v>
      </c>
      <c r="K59" s="338" t="str">
        <f>IFERROR(VLOOKUP(I59,'Chart of accounts'!A:H,3,FALSE),"")</f>
        <v xml:space="preserve">Transportation Allowance  </v>
      </c>
      <c r="L59" s="338" t="str">
        <f>IFERROR(VLOOKUP(I59,'Chart of accounts'!A:H,4,FALSE),"")</f>
        <v>50102030 01 - Transportation Allowance   (714)</v>
      </c>
      <c r="M59" s="354" t="s">
        <v>2</v>
      </c>
      <c r="N59" s="355" t="s">
        <v>801</v>
      </c>
      <c r="O59" s="355" t="s">
        <v>760</v>
      </c>
      <c r="P59" s="355"/>
      <c r="Q59" s="319">
        <v>7500</v>
      </c>
      <c r="R59" s="319">
        <f t="shared" si="0"/>
        <v>-7500</v>
      </c>
      <c r="S59" s="319" t="str">
        <f>VLOOKUP(H59,'Fund Utilization Report'!$A$4:$U$1800,13,FALSE)</f>
        <v>PS</v>
      </c>
      <c r="T59" s="319" t="str">
        <f>VLOOKUP(H59,'Fund Utilization Report'!$A$4:$U$1800,2,FALSE)</f>
        <v>GAA</v>
      </c>
      <c r="U59" s="319" t="str">
        <f>VLOOKUP(H59,'Fund Utilization Report'!$A$4:$U$1800,3,FALSE)</f>
        <v>FY2021, RA11518</v>
      </c>
      <c r="V59" s="319" t="str">
        <f>VLOOKUP(H59,'Fund Utilization Report'!$A$4:$U$1800,4,FALSE)</f>
        <v>GAS(GMS)</v>
      </c>
      <c r="W59" s="319" t="str">
        <f>VLOOKUP(H59,'Fund Utilization Report'!$A$4:$U$1800,5,FALSE)</f>
        <v>01101101</v>
      </c>
      <c r="X59" s="319" t="str">
        <f>VLOOKUP(H59,'Fund Utilization Report'!$A$4:$U$1800,6,FALSE)</f>
        <v>GOP</v>
      </c>
      <c r="Y59" s="320" t="str">
        <f>VLOOKUP(H59,'Fund Utilization Report'!$A$4:$U$1800,7,FALSE)</f>
        <v>PS</v>
      </c>
      <c r="Z59" s="321">
        <f>VLOOKUP(H59,'Fund Utilization Report'!$A$4:$U$1800,8,FALSE)</f>
        <v>5010000000</v>
      </c>
      <c r="AA59" s="319" t="str">
        <f>VLOOKUP(H59,'Fund Utilization Report'!$A$4:$U$1800,14,FALSE)</f>
        <v>100000100001000</v>
      </c>
      <c r="AB59" s="349" t="str">
        <f>VLOOKUP(H59,'Fund Utilization Report'!$A$4:$U$1800,15,FALSE)</f>
        <v>General Administration and Supervision - General Management and Supervision</v>
      </c>
      <c r="AC59" s="37" t="s">
        <v>0</v>
      </c>
      <c r="AD59" s="38">
        <v>1</v>
      </c>
      <c r="AE59" s="39">
        <v>714</v>
      </c>
      <c r="AF59" s="51" t="str">
        <f>VLOOKUP(AE59,'[2]Chart of accounts'!A:H,2,FALSE)</f>
        <v>50102030 01</v>
      </c>
      <c r="AG59" s="53" t="s">
        <v>1</v>
      </c>
      <c r="AH59" s="53" t="s">
        <v>1</v>
      </c>
    </row>
    <row r="60" spans="1:34" s="32" customFormat="1">
      <c r="A60" s="338" t="s">
        <v>942</v>
      </c>
      <c r="B60" s="338" t="s">
        <v>943</v>
      </c>
      <c r="C60" s="350">
        <v>44209</v>
      </c>
      <c r="D60" s="351" t="s">
        <v>759</v>
      </c>
      <c r="E60" s="352" t="s">
        <v>11</v>
      </c>
      <c r="F60" s="338">
        <v>0.48749999999999999</v>
      </c>
      <c r="G60" s="338">
        <v>0.49236111111111108</v>
      </c>
      <c r="H60" s="338" t="s">
        <v>970</v>
      </c>
      <c r="I60" s="353">
        <v>713</v>
      </c>
      <c r="J60" s="338" t="str">
        <f>IFERROR(VLOOKUP(I60,'Chart of accounts'!A:H,2,FALSE),"")</f>
        <v>50102020 00</v>
      </c>
      <c r="K60" s="338" t="str">
        <f>IFERROR(VLOOKUP(I60,'Chart of accounts'!A:H,3,FALSE),"")</f>
        <v>Representation Allowance</v>
      </c>
      <c r="L60" s="338" t="str">
        <f>IFERROR(VLOOKUP(I60,'Chart of accounts'!A:H,4,FALSE),"")</f>
        <v>50102020 00 - Representation Allowance (713)</v>
      </c>
      <c r="M60" s="354" t="s">
        <v>2</v>
      </c>
      <c r="N60" s="355" t="s">
        <v>802</v>
      </c>
      <c r="O60" s="355" t="s">
        <v>760</v>
      </c>
      <c r="P60" s="355"/>
      <c r="Q60" s="319">
        <v>5000</v>
      </c>
      <c r="R60" s="319">
        <f t="shared" si="0"/>
        <v>-5000</v>
      </c>
      <c r="S60" s="319" t="str">
        <f>VLOOKUP(H60,'Fund Utilization Report'!$A$4:$U$1800,13,FALSE)</f>
        <v>PS</v>
      </c>
      <c r="T60" s="319" t="str">
        <f>VLOOKUP(H60,'Fund Utilization Report'!$A$4:$U$1800,2,FALSE)</f>
        <v>GAA</v>
      </c>
      <c r="U60" s="319" t="str">
        <f>VLOOKUP(H60,'Fund Utilization Report'!$A$4:$U$1800,3,FALSE)</f>
        <v>FY2021, RA11518</v>
      </c>
      <c r="V60" s="319" t="str">
        <f>VLOOKUP(H60,'Fund Utilization Report'!$A$4:$U$1800,4,FALSE)</f>
        <v>OO3</v>
      </c>
      <c r="W60" s="319" t="str">
        <f>VLOOKUP(H60,'Fund Utilization Report'!$A$4:$U$1800,5,FALSE)</f>
        <v>01101101</v>
      </c>
      <c r="X60" s="319" t="str">
        <f>VLOOKUP(H60,'Fund Utilization Report'!$A$4:$U$1800,6,FALSE)</f>
        <v>GOP</v>
      </c>
      <c r="Y60" s="320" t="str">
        <f>VLOOKUP(H60,'Fund Utilization Report'!$A$4:$U$1800,7,FALSE)</f>
        <v>PS</v>
      </c>
      <c r="Z60" s="321">
        <f>VLOOKUP(H60,'Fund Utilization Report'!$A$4:$U$1800,8,FALSE)</f>
        <v>5010000000</v>
      </c>
      <c r="AA60" s="319" t="str">
        <f>VLOOKUP(H60,'Fund Utilization Report'!$A$4:$U$1800,14,FALSE)</f>
        <v>330100100002000</v>
      </c>
      <c r="AB60" s="349" t="str">
        <f>VLOOKUP(H60,'Fund Utilization Report'!$A$4:$U$1800,15,FALSE)</f>
        <v>Implementation of the MSME Development Plan and other initiatives to promote the growth of Micro, Small and Medium Enterprises</v>
      </c>
      <c r="AC60" s="37" t="s">
        <v>0</v>
      </c>
      <c r="AD60" s="38">
        <v>1</v>
      </c>
      <c r="AE60" s="39">
        <v>713</v>
      </c>
      <c r="AF60" s="51" t="str">
        <f>VLOOKUP(AE60,'[2]Chart of accounts'!A:H,2,FALSE)</f>
        <v>50102020 00</v>
      </c>
      <c r="AG60" s="53" t="s">
        <v>1</v>
      </c>
      <c r="AH60" s="53" t="s">
        <v>1</v>
      </c>
    </row>
    <row r="61" spans="1:34" s="32" customFormat="1">
      <c r="A61" s="338" t="s">
        <v>942</v>
      </c>
      <c r="B61" s="338" t="s">
        <v>943</v>
      </c>
      <c r="C61" s="350">
        <v>44209</v>
      </c>
      <c r="D61" s="351" t="s">
        <v>759</v>
      </c>
      <c r="E61" s="352" t="s">
        <v>11</v>
      </c>
      <c r="F61" s="338">
        <v>0.48749999999999999</v>
      </c>
      <c r="G61" s="338">
        <v>0.49236111111111108</v>
      </c>
      <c r="H61" s="338" t="s">
        <v>970</v>
      </c>
      <c r="I61" s="353">
        <v>714</v>
      </c>
      <c r="J61" s="338" t="str">
        <f>IFERROR(VLOOKUP(I61,'Chart of accounts'!A:H,2,FALSE),"")</f>
        <v>50102030 01</v>
      </c>
      <c r="K61" s="338" t="str">
        <f>IFERROR(VLOOKUP(I61,'Chart of accounts'!A:H,3,FALSE),"")</f>
        <v xml:space="preserve">Transportation Allowance  </v>
      </c>
      <c r="L61" s="338" t="str">
        <f>IFERROR(VLOOKUP(I61,'Chart of accounts'!A:H,4,FALSE),"")</f>
        <v>50102030 01 - Transportation Allowance   (714)</v>
      </c>
      <c r="M61" s="354" t="s">
        <v>2</v>
      </c>
      <c r="N61" s="355" t="s">
        <v>802</v>
      </c>
      <c r="O61" s="355" t="s">
        <v>760</v>
      </c>
      <c r="P61" s="355"/>
      <c r="Q61" s="319">
        <v>5000</v>
      </c>
      <c r="R61" s="319">
        <f t="shared" si="0"/>
        <v>-5000</v>
      </c>
      <c r="S61" s="319" t="str">
        <f>VLOOKUP(H61,'Fund Utilization Report'!$A$4:$U$1800,13,FALSE)</f>
        <v>PS</v>
      </c>
      <c r="T61" s="319" t="str">
        <f>VLOOKUP(H61,'Fund Utilization Report'!$A$4:$U$1800,2,FALSE)</f>
        <v>GAA</v>
      </c>
      <c r="U61" s="319" t="str">
        <f>VLOOKUP(H61,'Fund Utilization Report'!$A$4:$U$1800,3,FALSE)</f>
        <v>FY2021, RA11518</v>
      </c>
      <c r="V61" s="319" t="str">
        <f>VLOOKUP(H61,'Fund Utilization Report'!$A$4:$U$1800,4,FALSE)</f>
        <v>OO3</v>
      </c>
      <c r="W61" s="319" t="str">
        <f>VLOOKUP(H61,'Fund Utilization Report'!$A$4:$U$1800,5,FALSE)</f>
        <v>01101101</v>
      </c>
      <c r="X61" s="319" t="str">
        <f>VLOOKUP(H61,'Fund Utilization Report'!$A$4:$U$1800,6,FALSE)</f>
        <v>GOP</v>
      </c>
      <c r="Y61" s="320" t="str">
        <f>VLOOKUP(H61,'Fund Utilization Report'!$A$4:$U$1800,7,FALSE)</f>
        <v>PS</v>
      </c>
      <c r="Z61" s="321">
        <f>VLOOKUP(H61,'Fund Utilization Report'!$A$4:$U$1800,8,FALSE)</f>
        <v>5010000000</v>
      </c>
      <c r="AA61" s="319" t="str">
        <f>VLOOKUP(H61,'Fund Utilization Report'!$A$4:$U$1800,14,FALSE)</f>
        <v>330100100002000</v>
      </c>
      <c r="AB61" s="349" t="str">
        <f>VLOOKUP(H61,'Fund Utilization Report'!$A$4:$U$1800,15,FALSE)</f>
        <v>Implementation of the MSME Development Plan and other initiatives to promote the growth of Micro, Small and Medium Enterprises</v>
      </c>
      <c r="AC61" s="37" t="s">
        <v>0</v>
      </c>
      <c r="AD61" s="38">
        <v>1</v>
      </c>
      <c r="AE61" s="39">
        <v>714</v>
      </c>
      <c r="AF61" s="51" t="str">
        <f>VLOOKUP(AE61,'[2]Chart of accounts'!A:H,2,FALSE)</f>
        <v>50102030 01</v>
      </c>
      <c r="AG61" s="53" t="s">
        <v>1</v>
      </c>
      <c r="AH61" s="53" t="s">
        <v>1</v>
      </c>
    </row>
    <row r="62" spans="1:34" s="32" customFormat="1">
      <c r="A62" s="338" t="s">
        <v>942</v>
      </c>
      <c r="B62" s="338" t="s">
        <v>943</v>
      </c>
      <c r="C62" s="350">
        <v>44209</v>
      </c>
      <c r="D62" s="351" t="s">
        <v>759</v>
      </c>
      <c r="E62" s="352" t="s">
        <v>11</v>
      </c>
      <c r="F62" s="338">
        <v>0.48749999999999999</v>
      </c>
      <c r="G62" s="338">
        <v>0.49236111111111108</v>
      </c>
      <c r="H62" s="338" t="s">
        <v>967</v>
      </c>
      <c r="I62" s="353">
        <v>713</v>
      </c>
      <c r="J62" s="338" t="str">
        <f>IFERROR(VLOOKUP(I62,'Chart of accounts'!A:H,2,FALSE),"")</f>
        <v>50102020 00</v>
      </c>
      <c r="K62" s="338" t="str">
        <f>IFERROR(VLOOKUP(I62,'Chart of accounts'!A:H,3,FALSE),"")</f>
        <v>Representation Allowance</v>
      </c>
      <c r="L62" s="338" t="str">
        <f>IFERROR(VLOOKUP(I62,'Chart of accounts'!A:H,4,FALSE),"")</f>
        <v>50102020 00 - Representation Allowance (713)</v>
      </c>
      <c r="M62" s="354" t="s">
        <v>2</v>
      </c>
      <c r="N62" s="355" t="s">
        <v>803</v>
      </c>
      <c r="O62" s="355" t="s">
        <v>760</v>
      </c>
      <c r="P62" s="355"/>
      <c r="Q62" s="319">
        <v>5000</v>
      </c>
      <c r="R62" s="319">
        <f t="shared" si="0"/>
        <v>-5000</v>
      </c>
      <c r="S62" s="319" t="str">
        <f>VLOOKUP(H62,'Fund Utilization Report'!$A$4:$U$1800,13,FALSE)</f>
        <v>PS</v>
      </c>
      <c r="T62" s="319" t="str">
        <f>VLOOKUP(H62,'Fund Utilization Report'!$A$4:$U$1800,2,FALSE)</f>
        <v>GAA</v>
      </c>
      <c r="U62" s="319" t="str">
        <f>VLOOKUP(H62,'Fund Utilization Report'!$A$4:$U$1800,3,FALSE)</f>
        <v>FY2021, RA11518</v>
      </c>
      <c r="V62" s="319" t="str">
        <f>VLOOKUP(H62,'Fund Utilization Report'!$A$4:$U$1800,4,FALSE)</f>
        <v>OO2</v>
      </c>
      <c r="W62" s="319" t="str">
        <f>VLOOKUP(H62,'Fund Utilization Report'!$A$4:$U$1800,5,FALSE)</f>
        <v>01101101</v>
      </c>
      <c r="X62" s="319" t="str">
        <f>VLOOKUP(H62,'Fund Utilization Report'!$A$4:$U$1800,6,FALSE)</f>
        <v>GOP</v>
      </c>
      <c r="Y62" s="320" t="str">
        <f>VLOOKUP(H62,'Fund Utilization Report'!$A$4:$U$1800,7,FALSE)</f>
        <v>PS</v>
      </c>
      <c r="Z62" s="321">
        <f>VLOOKUP(H62,'Fund Utilization Report'!$A$4:$U$1800,8,FALSE)</f>
        <v>5010000000</v>
      </c>
      <c r="AA62" s="319" t="str">
        <f>VLOOKUP(H62,'Fund Utilization Report'!$A$4:$U$1800,14,FALSE)</f>
        <v>320100100001000</v>
      </c>
      <c r="AB62" s="349" t="str">
        <f>VLOOKUP(H62,'Fund Utilization Report'!$A$4:$U$1800,15,FALSE)</f>
        <v>Formulation of Strategic plans,programs, and policies to develop competitve industries</v>
      </c>
      <c r="AC62" s="37" t="s">
        <v>0</v>
      </c>
      <c r="AD62" s="38">
        <v>1</v>
      </c>
      <c r="AE62" s="39">
        <v>713</v>
      </c>
      <c r="AF62" s="51" t="str">
        <f>VLOOKUP(AE62,'[2]Chart of accounts'!A:H,2,FALSE)</f>
        <v>50102020 00</v>
      </c>
      <c r="AG62" s="53" t="s">
        <v>1</v>
      </c>
      <c r="AH62" s="53" t="s">
        <v>1</v>
      </c>
    </row>
    <row r="63" spans="1:34" s="32" customFormat="1">
      <c r="A63" s="338" t="s">
        <v>942</v>
      </c>
      <c r="B63" s="338" t="s">
        <v>943</v>
      </c>
      <c r="C63" s="350">
        <v>44209</v>
      </c>
      <c r="D63" s="351" t="s">
        <v>759</v>
      </c>
      <c r="E63" s="352" t="s">
        <v>11</v>
      </c>
      <c r="F63" s="338">
        <v>0.48749999999999999</v>
      </c>
      <c r="G63" s="338">
        <v>0.49236111111111108</v>
      </c>
      <c r="H63" s="338" t="s">
        <v>967</v>
      </c>
      <c r="I63" s="353">
        <v>714</v>
      </c>
      <c r="J63" s="338" t="str">
        <f>IFERROR(VLOOKUP(I63,'Chart of accounts'!A:H,2,FALSE),"")</f>
        <v>50102030 01</v>
      </c>
      <c r="K63" s="338" t="str">
        <f>IFERROR(VLOOKUP(I63,'Chart of accounts'!A:H,3,FALSE),"")</f>
        <v xml:space="preserve">Transportation Allowance  </v>
      </c>
      <c r="L63" s="338" t="str">
        <f>IFERROR(VLOOKUP(I63,'Chart of accounts'!A:H,4,FALSE),"")</f>
        <v>50102030 01 - Transportation Allowance   (714)</v>
      </c>
      <c r="M63" s="354" t="s">
        <v>2</v>
      </c>
      <c r="N63" s="355" t="s">
        <v>803</v>
      </c>
      <c r="O63" s="355" t="s">
        <v>760</v>
      </c>
      <c r="P63" s="355"/>
      <c r="Q63" s="319">
        <v>5000</v>
      </c>
      <c r="R63" s="319">
        <f t="shared" si="0"/>
        <v>-5000</v>
      </c>
      <c r="S63" s="319" t="str">
        <f>VLOOKUP(H63,'Fund Utilization Report'!$A$4:$U$1800,13,FALSE)</f>
        <v>PS</v>
      </c>
      <c r="T63" s="319" t="str">
        <f>VLOOKUP(H63,'Fund Utilization Report'!$A$4:$U$1800,2,FALSE)</f>
        <v>GAA</v>
      </c>
      <c r="U63" s="319" t="str">
        <f>VLOOKUP(H63,'Fund Utilization Report'!$A$4:$U$1800,3,FALSE)</f>
        <v>FY2021, RA11518</v>
      </c>
      <c r="V63" s="319" t="str">
        <f>VLOOKUP(H63,'Fund Utilization Report'!$A$4:$U$1800,4,FALSE)</f>
        <v>OO2</v>
      </c>
      <c r="W63" s="319" t="str">
        <f>VLOOKUP(H63,'Fund Utilization Report'!$A$4:$U$1800,5,FALSE)</f>
        <v>01101101</v>
      </c>
      <c r="X63" s="319" t="str">
        <f>VLOOKUP(H63,'Fund Utilization Report'!$A$4:$U$1800,6,FALSE)</f>
        <v>GOP</v>
      </c>
      <c r="Y63" s="320" t="str">
        <f>VLOOKUP(H63,'Fund Utilization Report'!$A$4:$U$1800,7,FALSE)</f>
        <v>PS</v>
      </c>
      <c r="Z63" s="321">
        <f>VLOOKUP(H63,'Fund Utilization Report'!$A$4:$U$1800,8,FALSE)</f>
        <v>5010000000</v>
      </c>
      <c r="AA63" s="319" t="str">
        <f>VLOOKUP(H63,'Fund Utilization Report'!$A$4:$U$1800,14,FALSE)</f>
        <v>320100100001000</v>
      </c>
      <c r="AB63" s="349" t="str">
        <f>VLOOKUP(H63,'Fund Utilization Report'!$A$4:$U$1800,15,FALSE)</f>
        <v>Formulation of Strategic plans,programs, and policies to develop competitve industries</v>
      </c>
      <c r="AC63" s="37" t="s">
        <v>0</v>
      </c>
      <c r="AD63" s="38">
        <v>1</v>
      </c>
      <c r="AE63" s="39">
        <v>714</v>
      </c>
      <c r="AF63" s="51" t="str">
        <f>VLOOKUP(AE63,'[2]Chart of accounts'!A:H,2,FALSE)</f>
        <v>50102030 01</v>
      </c>
      <c r="AG63" s="53" t="s">
        <v>1</v>
      </c>
      <c r="AH63" s="53" t="s">
        <v>1</v>
      </c>
    </row>
    <row r="64" spans="1:34" s="32" customFormat="1">
      <c r="A64" s="338" t="s">
        <v>942</v>
      </c>
      <c r="B64" s="338" t="s">
        <v>943</v>
      </c>
      <c r="C64" s="350">
        <v>44209</v>
      </c>
      <c r="D64" s="351" t="s">
        <v>759</v>
      </c>
      <c r="E64" s="352" t="s">
        <v>11</v>
      </c>
      <c r="F64" s="338">
        <v>0.48749999999999999</v>
      </c>
      <c r="G64" s="338">
        <v>0.49236111111111108</v>
      </c>
      <c r="H64" s="338" t="s">
        <v>960</v>
      </c>
      <c r="I64" s="353">
        <v>713</v>
      </c>
      <c r="J64" s="338" t="str">
        <f>IFERROR(VLOOKUP(I64,'Chart of accounts'!A:H,2,FALSE),"")</f>
        <v>50102020 00</v>
      </c>
      <c r="K64" s="338" t="str">
        <f>IFERROR(VLOOKUP(I64,'Chart of accounts'!A:H,3,FALSE),"")</f>
        <v>Representation Allowance</v>
      </c>
      <c r="L64" s="338" t="str">
        <f>IFERROR(VLOOKUP(I64,'Chart of accounts'!A:H,4,FALSE),"")</f>
        <v>50102020 00 - Representation Allowance (713)</v>
      </c>
      <c r="M64" s="354" t="s">
        <v>2</v>
      </c>
      <c r="N64" s="355" t="s">
        <v>804</v>
      </c>
      <c r="O64" s="355" t="s">
        <v>760</v>
      </c>
      <c r="P64" s="355"/>
      <c r="Q64" s="319">
        <v>7500</v>
      </c>
      <c r="R64" s="319">
        <f t="shared" si="0"/>
        <v>-7500</v>
      </c>
      <c r="S64" s="319" t="str">
        <f>VLOOKUP(H64,'Fund Utilization Report'!$A$4:$U$1800,13,FALSE)</f>
        <v>PS</v>
      </c>
      <c r="T64" s="319" t="str">
        <f>VLOOKUP(H64,'Fund Utilization Report'!$A$4:$U$1800,2,FALSE)</f>
        <v>GAA</v>
      </c>
      <c r="U64" s="319" t="str">
        <f>VLOOKUP(H64,'Fund Utilization Report'!$A$4:$U$1800,3,FALSE)</f>
        <v>FY2021, RA11518</v>
      </c>
      <c r="V64" s="319" t="str">
        <f>VLOOKUP(H64,'Fund Utilization Report'!$A$4:$U$1800,4,FALSE)</f>
        <v>GAS(GMS)</v>
      </c>
      <c r="W64" s="319" t="str">
        <f>VLOOKUP(H64,'Fund Utilization Report'!$A$4:$U$1800,5,FALSE)</f>
        <v>01101101</v>
      </c>
      <c r="X64" s="319" t="str">
        <f>VLOOKUP(H64,'Fund Utilization Report'!$A$4:$U$1800,6,FALSE)</f>
        <v>GOP</v>
      </c>
      <c r="Y64" s="320" t="str">
        <f>VLOOKUP(H64,'Fund Utilization Report'!$A$4:$U$1800,7,FALSE)</f>
        <v>PS</v>
      </c>
      <c r="Z64" s="321">
        <f>VLOOKUP(H64,'Fund Utilization Report'!$A$4:$U$1800,8,FALSE)</f>
        <v>5010000000</v>
      </c>
      <c r="AA64" s="319" t="str">
        <f>VLOOKUP(H64,'Fund Utilization Report'!$A$4:$U$1800,14,FALSE)</f>
        <v>100000100001000</v>
      </c>
      <c r="AB64" s="349" t="str">
        <f>VLOOKUP(H64,'Fund Utilization Report'!$A$4:$U$1800,15,FALSE)</f>
        <v>General Administration and Supervision - General Management and Supervision</v>
      </c>
      <c r="AC64" s="37" t="s">
        <v>0</v>
      </c>
      <c r="AD64" s="38">
        <v>1</v>
      </c>
      <c r="AE64" s="39">
        <v>713</v>
      </c>
      <c r="AF64" s="51" t="str">
        <f>VLOOKUP(AE64,'[2]Chart of accounts'!A:H,2,FALSE)</f>
        <v>50102020 00</v>
      </c>
      <c r="AG64" s="53" t="s">
        <v>1</v>
      </c>
      <c r="AH64" s="53" t="s">
        <v>1</v>
      </c>
    </row>
    <row r="65" spans="1:34" s="32" customFormat="1">
      <c r="A65" s="338" t="s">
        <v>942</v>
      </c>
      <c r="B65" s="338" t="s">
        <v>943</v>
      </c>
      <c r="C65" s="350">
        <v>44209</v>
      </c>
      <c r="D65" s="351" t="s">
        <v>759</v>
      </c>
      <c r="E65" s="352" t="s">
        <v>11</v>
      </c>
      <c r="F65" s="338">
        <v>0.48749999999999999</v>
      </c>
      <c r="G65" s="338">
        <v>0.49236111111111108</v>
      </c>
      <c r="H65" s="338" t="s">
        <v>960</v>
      </c>
      <c r="I65" s="353">
        <v>714</v>
      </c>
      <c r="J65" s="338" t="str">
        <f>IFERROR(VLOOKUP(I65,'Chart of accounts'!A:H,2,FALSE),"")</f>
        <v>50102030 01</v>
      </c>
      <c r="K65" s="338" t="str">
        <f>IFERROR(VLOOKUP(I65,'Chart of accounts'!A:H,3,FALSE),"")</f>
        <v xml:space="preserve">Transportation Allowance  </v>
      </c>
      <c r="L65" s="338" t="str">
        <f>IFERROR(VLOOKUP(I65,'Chart of accounts'!A:H,4,FALSE),"")</f>
        <v>50102030 01 - Transportation Allowance   (714)</v>
      </c>
      <c r="M65" s="354" t="s">
        <v>2</v>
      </c>
      <c r="N65" s="355" t="s">
        <v>804</v>
      </c>
      <c r="O65" s="355" t="s">
        <v>760</v>
      </c>
      <c r="P65" s="355"/>
      <c r="Q65" s="319">
        <v>7500</v>
      </c>
      <c r="R65" s="319">
        <f t="shared" si="0"/>
        <v>-7500</v>
      </c>
      <c r="S65" s="319" t="str">
        <f>VLOOKUP(H65,'Fund Utilization Report'!$A$4:$U$1800,13,FALSE)</f>
        <v>PS</v>
      </c>
      <c r="T65" s="319" t="str">
        <f>VLOOKUP(H65,'Fund Utilization Report'!$A$4:$U$1800,2,FALSE)</f>
        <v>GAA</v>
      </c>
      <c r="U65" s="319" t="str">
        <f>VLOOKUP(H65,'Fund Utilization Report'!$A$4:$U$1800,3,FALSE)</f>
        <v>FY2021, RA11518</v>
      </c>
      <c r="V65" s="319" t="str">
        <f>VLOOKUP(H65,'Fund Utilization Report'!$A$4:$U$1800,4,FALSE)</f>
        <v>GAS(GMS)</v>
      </c>
      <c r="W65" s="319" t="str">
        <f>VLOOKUP(H65,'Fund Utilization Report'!$A$4:$U$1800,5,FALSE)</f>
        <v>01101101</v>
      </c>
      <c r="X65" s="319" t="str">
        <f>VLOOKUP(H65,'Fund Utilization Report'!$A$4:$U$1800,6,FALSE)</f>
        <v>GOP</v>
      </c>
      <c r="Y65" s="320" t="str">
        <f>VLOOKUP(H65,'Fund Utilization Report'!$A$4:$U$1800,7,FALSE)</f>
        <v>PS</v>
      </c>
      <c r="Z65" s="321">
        <f>VLOOKUP(H65,'Fund Utilization Report'!$A$4:$U$1800,8,FALSE)</f>
        <v>5010000000</v>
      </c>
      <c r="AA65" s="319" t="str">
        <f>VLOOKUP(H65,'Fund Utilization Report'!$A$4:$U$1800,14,FALSE)</f>
        <v>100000100001000</v>
      </c>
      <c r="AB65" s="349" t="str">
        <f>VLOOKUP(H65,'Fund Utilization Report'!$A$4:$U$1800,15,FALSE)</f>
        <v>General Administration and Supervision - General Management and Supervision</v>
      </c>
      <c r="AC65" s="37" t="s">
        <v>0</v>
      </c>
      <c r="AD65" s="38">
        <v>1</v>
      </c>
      <c r="AE65" s="39">
        <v>714</v>
      </c>
      <c r="AF65" s="51" t="str">
        <f>VLOOKUP(AE65,'[2]Chart of accounts'!A:H,2,FALSE)</f>
        <v>50102030 01</v>
      </c>
      <c r="AG65" s="53" t="s">
        <v>1</v>
      </c>
      <c r="AH65" s="53" t="s">
        <v>1</v>
      </c>
    </row>
    <row r="66" spans="1:34" s="32" customFormat="1">
      <c r="A66" s="338" t="s">
        <v>942</v>
      </c>
      <c r="B66" s="338" t="s">
        <v>943</v>
      </c>
      <c r="C66" s="350">
        <v>44209</v>
      </c>
      <c r="D66" s="351" t="s">
        <v>759</v>
      </c>
      <c r="E66" s="352" t="s">
        <v>11</v>
      </c>
      <c r="F66" s="338">
        <v>0.48749999999999999</v>
      </c>
      <c r="G66" s="338">
        <v>0.49236111111111108</v>
      </c>
      <c r="H66" s="338" t="s">
        <v>970</v>
      </c>
      <c r="I66" s="353">
        <v>713</v>
      </c>
      <c r="J66" s="338" t="str">
        <f>IFERROR(VLOOKUP(I66,'Chart of accounts'!A:H,2,FALSE),"")</f>
        <v>50102020 00</v>
      </c>
      <c r="K66" s="338" t="str">
        <f>IFERROR(VLOOKUP(I66,'Chart of accounts'!A:H,3,FALSE),"")</f>
        <v>Representation Allowance</v>
      </c>
      <c r="L66" s="338" t="str">
        <f>IFERROR(VLOOKUP(I66,'Chart of accounts'!A:H,4,FALSE),"")</f>
        <v>50102020 00 - Representation Allowance (713)</v>
      </c>
      <c r="M66" s="354" t="s">
        <v>2</v>
      </c>
      <c r="N66" s="355" t="s">
        <v>805</v>
      </c>
      <c r="O66" s="355" t="s">
        <v>760</v>
      </c>
      <c r="P66" s="355"/>
      <c r="Q66" s="319">
        <v>5000</v>
      </c>
      <c r="R66" s="319">
        <f t="shared" si="0"/>
        <v>-5000</v>
      </c>
      <c r="S66" s="319" t="str">
        <f>VLOOKUP(H66,'Fund Utilization Report'!$A$4:$U$1800,13,FALSE)</f>
        <v>PS</v>
      </c>
      <c r="T66" s="319" t="str">
        <f>VLOOKUP(H66,'Fund Utilization Report'!$A$4:$U$1800,2,FALSE)</f>
        <v>GAA</v>
      </c>
      <c r="U66" s="319" t="str">
        <f>VLOOKUP(H66,'Fund Utilization Report'!$A$4:$U$1800,3,FALSE)</f>
        <v>FY2021, RA11518</v>
      </c>
      <c r="V66" s="319" t="str">
        <f>VLOOKUP(H66,'Fund Utilization Report'!$A$4:$U$1800,4,FALSE)</f>
        <v>OO3</v>
      </c>
      <c r="W66" s="319" t="str">
        <f>VLOOKUP(H66,'Fund Utilization Report'!$A$4:$U$1800,5,FALSE)</f>
        <v>01101101</v>
      </c>
      <c r="X66" s="319" t="str">
        <f>VLOOKUP(H66,'Fund Utilization Report'!$A$4:$U$1800,6,FALSE)</f>
        <v>GOP</v>
      </c>
      <c r="Y66" s="320" t="str">
        <f>VLOOKUP(H66,'Fund Utilization Report'!$A$4:$U$1800,7,FALSE)</f>
        <v>PS</v>
      </c>
      <c r="Z66" s="321">
        <f>VLOOKUP(H66,'Fund Utilization Report'!$A$4:$U$1800,8,FALSE)</f>
        <v>5010000000</v>
      </c>
      <c r="AA66" s="319" t="str">
        <f>VLOOKUP(H66,'Fund Utilization Report'!$A$4:$U$1800,14,FALSE)</f>
        <v>330100100002000</v>
      </c>
      <c r="AB66" s="349" t="str">
        <f>VLOOKUP(H66,'Fund Utilization Report'!$A$4:$U$1800,15,FALSE)</f>
        <v>Implementation of the MSME Development Plan and other initiatives to promote the growth of Micro, Small and Medium Enterprises</v>
      </c>
      <c r="AC66" s="37" t="s">
        <v>0</v>
      </c>
      <c r="AD66" s="38">
        <v>1</v>
      </c>
      <c r="AE66" s="39">
        <v>713</v>
      </c>
      <c r="AF66" s="51" t="str">
        <f>VLOOKUP(AE66,'[2]Chart of accounts'!A:H,2,FALSE)</f>
        <v>50102020 00</v>
      </c>
      <c r="AG66" s="53" t="s">
        <v>1</v>
      </c>
      <c r="AH66" s="53" t="s">
        <v>1</v>
      </c>
    </row>
    <row r="67" spans="1:34" s="32" customFormat="1">
      <c r="A67" s="338" t="s">
        <v>942</v>
      </c>
      <c r="B67" s="338" t="s">
        <v>943</v>
      </c>
      <c r="C67" s="350">
        <v>44209</v>
      </c>
      <c r="D67" s="351" t="s">
        <v>759</v>
      </c>
      <c r="E67" s="352" t="s">
        <v>11</v>
      </c>
      <c r="F67" s="338">
        <v>0.48749999999999999</v>
      </c>
      <c r="G67" s="338">
        <v>0.49236111111111108</v>
      </c>
      <c r="H67" s="338" t="s">
        <v>970</v>
      </c>
      <c r="I67" s="353">
        <v>714</v>
      </c>
      <c r="J67" s="338" t="str">
        <f>IFERROR(VLOOKUP(I67,'Chart of accounts'!A:H,2,FALSE),"")</f>
        <v>50102030 01</v>
      </c>
      <c r="K67" s="338" t="str">
        <f>IFERROR(VLOOKUP(I67,'Chart of accounts'!A:H,3,FALSE),"")</f>
        <v xml:space="preserve">Transportation Allowance  </v>
      </c>
      <c r="L67" s="338" t="str">
        <f>IFERROR(VLOOKUP(I67,'Chart of accounts'!A:H,4,FALSE),"")</f>
        <v>50102030 01 - Transportation Allowance   (714)</v>
      </c>
      <c r="M67" s="354" t="s">
        <v>2</v>
      </c>
      <c r="N67" s="355" t="s">
        <v>805</v>
      </c>
      <c r="O67" s="355" t="s">
        <v>760</v>
      </c>
      <c r="P67" s="355"/>
      <c r="Q67" s="319">
        <v>5000</v>
      </c>
      <c r="R67" s="319">
        <f t="shared" si="0"/>
        <v>-5000</v>
      </c>
      <c r="S67" s="319" t="str">
        <f>VLOOKUP(H67,'Fund Utilization Report'!$A$4:$U$1800,13,FALSE)</f>
        <v>PS</v>
      </c>
      <c r="T67" s="319" t="str">
        <f>VLOOKUP(H67,'Fund Utilization Report'!$A$4:$U$1800,2,FALSE)</f>
        <v>GAA</v>
      </c>
      <c r="U67" s="319" t="str">
        <f>VLOOKUP(H67,'Fund Utilization Report'!$A$4:$U$1800,3,FALSE)</f>
        <v>FY2021, RA11518</v>
      </c>
      <c r="V67" s="319" t="str">
        <f>VLOOKUP(H67,'Fund Utilization Report'!$A$4:$U$1800,4,FALSE)</f>
        <v>OO3</v>
      </c>
      <c r="W67" s="319" t="str">
        <f>VLOOKUP(H67,'Fund Utilization Report'!$A$4:$U$1800,5,FALSE)</f>
        <v>01101101</v>
      </c>
      <c r="X67" s="319" t="str">
        <f>VLOOKUP(H67,'Fund Utilization Report'!$A$4:$U$1800,6,FALSE)</f>
        <v>GOP</v>
      </c>
      <c r="Y67" s="320" t="str">
        <f>VLOOKUP(H67,'Fund Utilization Report'!$A$4:$U$1800,7,FALSE)</f>
        <v>PS</v>
      </c>
      <c r="Z67" s="321">
        <f>VLOOKUP(H67,'Fund Utilization Report'!$A$4:$U$1800,8,FALSE)</f>
        <v>5010000000</v>
      </c>
      <c r="AA67" s="319" t="str">
        <f>VLOOKUP(H67,'Fund Utilization Report'!$A$4:$U$1800,14,FALSE)</f>
        <v>330100100002000</v>
      </c>
      <c r="AB67" s="349" t="str">
        <f>VLOOKUP(H67,'Fund Utilization Report'!$A$4:$U$1800,15,FALSE)</f>
        <v>Implementation of the MSME Development Plan and other initiatives to promote the growth of Micro, Small and Medium Enterprises</v>
      </c>
      <c r="AC67" s="37" t="s">
        <v>0</v>
      </c>
      <c r="AD67" s="38">
        <v>1</v>
      </c>
      <c r="AE67" s="39">
        <v>714</v>
      </c>
      <c r="AF67" s="51" t="str">
        <f>VLOOKUP(AE67,'[2]Chart of accounts'!A:H,2,FALSE)</f>
        <v>50102030 01</v>
      </c>
      <c r="AG67" s="53" t="s">
        <v>1</v>
      </c>
      <c r="AH67" s="53" t="s">
        <v>1</v>
      </c>
    </row>
    <row r="68" spans="1:34" s="32" customFormat="1">
      <c r="A68" s="338" t="s">
        <v>942</v>
      </c>
      <c r="B68" s="338" t="s">
        <v>943</v>
      </c>
      <c r="C68" s="350">
        <v>44209</v>
      </c>
      <c r="D68" s="351" t="s">
        <v>759</v>
      </c>
      <c r="E68" s="352" t="s">
        <v>11</v>
      </c>
      <c r="F68" s="338">
        <v>0.48749999999999999</v>
      </c>
      <c r="G68" s="338">
        <v>0.49236111111111108</v>
      </c>
      <c r="H68" s="338" t="s">
        <v>960</v>
      </c>
      <c r="I68" s="353">
        <v>713</v>
      </c>
      <c r="J68" s="338" t="str">
        <f>IFERROR(VLOOKUP(I68,'Chart of accounts'!A:H,2,FALSE),"")</f>
        <v>50102020 00</v>
      </c>
      <c r="K68" s="338" t="str">
        <f>IFERROR(VLOOKUP(I68,'Chart of accounts'!A:H,3,FALSE),"")</f>
        <v>Representation Allowance</v>
      </c>
      <c r="L68" s="338" t="str">
        <f>IFERROR(VLOOKUP(I68,'Chart of accounts'!A:H,4,FALSE),"")</f>
        <v>50102020 00 - Representation Allowance (713)</v>
      </c>
      <c r="M68" s="354" t="s">
        <v>2</v>
      </c>
      <c r="N68" s="355" t="s">
        <v>806</v>
      </c>
      <c r="O68" s="355" t="s">
        <v>760</v>
      </c>
      <c r="P68" s="355"/>
      <c r="Q68" s="319">
        <v>7500</v>
      </c>
      <c r="R68" s="319">
        <f t="shared" si="0"/>
        <v>-7500</v>
      </c>
      <c r="S68" s="319" t="str">
        <f>VLOOKUP(H68,'Fund Utilization Report'!$A$4:$U$1800,13,FALSE)</f>
        <v>PS</v>
      </c>
      <c r="T68" s="319" t="str">
        <f>VLOOKUP(H68,'Fund Utilization Report'!$A$4:$U$1800,2,FALSE)</f>
        <v>GAA</v>
      </c>
      <c r="U68" s="319" t="str">
        <f>VLOOKUP(H68,'Fund Utilization Report'!$A$4:$U$1800,3,FALSE)</f>
        <v>FY2021, RA11518</v>
      </c>
      <c r="V68" s="319" t="str">
        <f>VLOOKUP(H68,'Fund Utilization Report'!$A$4:$U$1800,4,FALSE)</f>
        <v>GAS(GMS)</v>
      </c>
      <c r="W68" s="319" t="str">
        <f>VLOOKUP(H68,'Fund Utilization Report'!$A$4:$U$1800,5,FALSE)</f>
        <v>01101101</v>
      </c>
      <c r="X68" s="319" t="str">
        <f>VLOOKUP(H68,'Fund Utilization Report'!$A$4:$U$1800,6,FALSE)</f>
        <v>GOP</v>
      </c>
      <c r="Y68" s="320" t="str">
        <f>VLOOKUP(H68,'Fund Utilization Report'!$A$4:$U$1800,7,FALSE)</f>
        <v>PS</v>
      </c>
      <c r="Z68" s="321">
        <f>VLOOKUP(H68,'Fund Utilization Report'!$A$4:$U$1800,8,FALSE)</f>
        <v>5010000000</v>
      </c>
      <c r="AA68" s="319" t="str">
        <f>VLOOKUP(H68,'Fund Utilization Report'!$A$4:$U$1800,14,FALSE)</f>
        <v>100000100001000</v>
      </c>
      <c r="AB68" s="349" t="str">
        <f>VLOOKUP(H68,'Fund Utilization Report'!$A$4:$U$1800,15,FALSE)</f>
        <v>General Administration and Supervision - General Management and Supervision</v>
      </c>
      <c r="AC68" s="37" t="s">
        <v>0</v>
      </c>
      <c r="AD68" s="38">
        <v>1</v>
      </c>
      <c r="AE68" s="39">
        <v>713</v>
      </c>
      <c r="AF68" s="51" t="str">
        <f>VLOOKUP(AE68,'[2]Chart of accounts'!A:H,2,FALSE)</f>
        <v>50102020 00</v>
      </c>
      <c r="AG68" s="53" t="s">
        <v>1</v>
      </c>
      <c r="AH68" s="53" t="s">
        <v>1</v>
      </c>
    </row>
    <row r="69" spans="1:34" s="32" customFormat="1">
      <c r="A69" s="338" t="s">
        <v>942</v>
      </c>
      <c r="B69" s="338" t="s">
        <v>943</v>
      </c>
      <c r="C69" s="350">
        <v>44209</v>
      </c>
      <c r="D69" s="351" t="s">
        <v>759</v>
      </c>
      <c r="E69" s="352" t="s">
        <v>11</v>
      </c>
      <c r="F69" s="338">
        <v>0.48749999999999999</v>
      </c>
      <c r="G69" s="338">
        <v>0.49236111111111108</v>
      </c>
      <c r="H69" s="338" t="s">
        <v>960</v>
      </c>
      <c r="I69" s="353">
        <v>714</v>
      </c>
      <c r="J69" s="338" t="str">
        <f>IFERROR(VLOOKUP(I69,'Chart of accounts'!A:H,2,FALSE),"")</f>
        <v>50102030 01</v>
      </c>
      <c r="K69" s="338" t="str">
        <f>IFERROR(VLOOKUP(I69,'Chart of accounts'!A:H,3,FALSE),"")</f>
        <v xml:space="preserve">Transportation Allowance  </v>
      </c>
      <c r="L69" s="338" t="str">
        <f>IFERROR(VLOOKUP(I69,'Chart of accounts'!A:H,4,FALSE),"")</f>
        <v>50102030 01 - Transportation Allowance   (714)</v>
      </c>
      <c r="M69" s="354" t="s">
        <v>2</v>
      </c>
      <c r="N69" s="355" t="s">
        <v>806</v>
      </c>
      <c r="O69" s="355" t="s">
        <v>760</v>
      </c>
      <c r="P69" s="355"/>
      <c r="Q69" s="319">
        <v>7500</v>
      </c>
      <c r="R69" s="319">
        <f t="shared" si="0"/>
        <v>-7500</v>
      </c>
      <c r="S69" s="319" t="str">
        <f>VLOOKUP(H69,'Fund Utilization Report'!$A$4:$U$1800,13,FALSE)</f>
        <v>PS</v>
      </c>
      <c r="T69" s="319" t="str">
        <f>VLOOKUP(H69,'Fund Utilization Report'!$A$4:$U$1800,2,FALSE)</f>
        <v>GAA</v>
      </c>
      <c r="U69" s="319" t="str">
        <f>VLOOKUP(H69,'Fund Utilization Report'!$A$4:$U$1800,3,FALSE)</f>
        <v>FY2021, RA11518</v>
      </c>
      <c r="V69" s="319" t="str">
        <f>VLOOKUP(H69,'Fund Utilization Report'!$A$4:$U$1800,4,FALSE)</f>
        <v>GAS(GMS)</v>
      </c>
      <c r="W69" s="319" t="str">
        <f>VLOOKUP(H69,'Fund Utilization Report'!$A$4:$U$1800,5,FALSE)</f>
        <v>01101101</v>
      </c>
      <c r="X69" s="319" t="str">
        <f>VLOOKUP(H69,'Fund Utilization Report'!$A$4:$U$1800,6,FALSE)</f>
        <v>GOP</v>
      </c>
      <c r="Y69" s="320" t="str">
        <f>VLOOKUP(H69,'Fund Utilization Report'!$A$4:$U$1800,7,FALSE)</f>
        <v>PS</v>
      </c>
      <c r="Z69" s="321">
        <f>VLOOKUP(H69,'Fund Utilization Report'!$A$4:$U$1800,8,FALSE)</f>
        <v>5010000000</v>
      </c>
      <c r="AA69" s="319" t="str">
        <f>VLOOKUP(H69,'Fund Utilization Report'!$A$4:$U$1800,14,FALSE)</f>
        <v>100000100001000</v>
      </c>
      <c r="AB69" s="349" t="str">
        <f>VLOOKUP(H69,'Fund Utilization Report'!$A$4:$U$1800,15,FALSE)</f>
        <v>General Administration and Supervision - General Management and Supervision</v>
      </c>
      <c r="AC69" s="37" t="s">
        <v>0</v>
      </c>
      <c r="AD69" s="38">
        <v>1</v>
      </c>
      <c r="AE69" s="39">
        <v>714</v>
      </c>
      <c r="AF69" s="51" t="str">
        <f>VLOOKUP(AE69,'[2]Chart of accounts'!A:H,2,FALSE)</f>
        <v>50102030 01</v>
      </c>
      <c r="AG69" s="53" t="s">
        <v>1</v>
      </c>
      <c r="AH69" s="53" t="s">
        <v>1</v>
      </c>
    </row>
    <row r="70" spans="1:34" s="32" customFormat="1" ht="29.25" customHeight="1">
      <c r="A70" s="338" t="s">
        <v>942</v>
      </c>
      <c r="B70" s="338" t="s">
        <v>943</v>
      </c>
      <c r="C70" s="350">
        <v>44209</v>
      </c>
      <c r="D70" s="351" t="s">
        <v>759</v>
      </c>
      <c r="E70" s="352" t="s">
        <v>8</v>
      </c>
      <c r="F70" s="338">
        <v>0.49236111111111108</v>
      </c>
      <c r="G70" s="338">
        <v>0.49305555555555558</v>
      </c>
      <c r="H70" s="338" t="s">
        <v>961</v>
      </c>
      <c r="I70" s="353">
        <v>883</v>
      </c>
      <c r="J70" s="338" t="str">
        <f>IFERROR(VLOOKUP(I70,'Chart of accounts'!A:H,2,FALSE),"")</f>
        <v>50210030 00</v>
      </c>
      <c r="K70" s="338" t="str">
        <f>IFERROR(VLOOKUP(I70,'Chart of accounts'!A:H,3,FALSE),"")</f>
        <v>Extraordinary and Miscellaneous Expense</v>
      </c>
      <c r="L70" s="338" t="str">
        <f>IFERROR(VLOOKUP(I70,'Chart of accounts'!A:H,4,FALSE),"")</f>
        <v>50210030 00 - Extraordinary and Miscellaneous Expense (883)</v>
      </c>
      <c r="M70" s="356" t="s">
        <v>2</v>
      </c>
      <c r="N70" s="355" t="s">
        <v>6</v>
      </c>
      <c r="O70" s="355" t="s">
        <v>761</v>
      </c>
      <c r="P70" s="355"/>
      <c r="Q70" s="319">
        <v>10000</v>
      </c>
      <c r="R70" s="319">
        <f t="shared" si="0"/>
        <v>-10000</v>
      </c>
      <c r="S70" s="319" t="str">
        <f>VLOOKUP(H70,'Fund Utilization Report'!$A$4:$U$1800,13,FALSE)</f>
        <v>MOOE</v>
      </c>
      <c r="T70" s="319" t="str">
        <f>VLOOKUP(H70,'Fund Utilization Report'!$A$4:$U$1800,2,FALSE)</f>
        <v>GAA</v>
      </c>
      <c r="U70" s="319" t="str">
        <f>VLOOKUP(H70,'Fund Utilization Report'!$A$4:$U$1800,3,FALSE)</f>
        <v>FY2021, RA11518</v>
      </c>
      <c r="V70" s="319" t="str">
        <f>VLOOKUP(H70,'Fund Utilization Report'!$A$4:$U$1800,4,FALSE)</f>
        <v>GAS(GMS)</v>
      </c>
      <c r="W70" s="319" t="str">
        <f>VLOOKUP(H70,'Fund Utilization Report'!$A$4:$U$1800,5,FALSE)</f>
        <v>01101101</v>
      </c>
      <c r="X70" s="319" t="str">
        <f>VLOOKUP(H70,'Fund Utilization Report'!$A$4:$U$1800,6,FALSE)</f>
        <v>GOP</v>
      </c>
      <c r="Y70" s="320" t="str">
        <f>VLOOKUP(H70,'Fund Utilization Report'!$A$4:$U$1800,7,FALSE)</f>
        <v>MOOE</v>
      </c>
      <c r="Z70" s="321">
        <f>VLOOKUP(H70,'Fund Utilization Report'!$A$4:$U$1800,8,FALSE)</f>
        <v>5020000000</v>
      </c>
      <c r="AA70" s="319" t="str">
        <f>VLOOKUP(H70,'Fund Utilization Report'!$A$4:$U$1800,14,FALSE)</f>
        <v>100000100001000</v>
      </c>
      <c r="AB70" s="349" t="str">
        <f>VLOOKUP(H70,'Fund Utilization Report'!$A$4:$U$1800,15,FALSE)</f>
        <v>General Administration and Supervision - General Management and Supervision</v>
      </c>
      <c r="AC70" s="37" t="s">
        <v>0</v>
      </c>
      <c r="AD70" s="38">
        <v>1</v>
      </c>
      <c r="AE70" s="39">
        <v>883</v>
      </c>
      <c r="AF70" s="51" t="str">
        <f>VLOOKUP(AE70,'[2]Chart of accounts'!A:H,2,FALSE)</f>
        <v>50210030 00</v>
      </c>
      <c r="AG70" s="53" t="s">
        <v>3</v>
      </c>
      <c r="AH70" s="53" t="s">
        <v>3</v>
      </c>
    </row>
    <row r="71" spans="1:34" s="32" customFormat="1" ht="27.6">
      <c r="A71" s="338" t="s">
        <v>942</v>
      </c>
      <c r="B71" s="338" t="s">
        <v>943</v>
      </c>
      <c r="C71" s="350">
        <v>44210</v>
      </c>
      <c r="D71" s="351" t="s">
        <v>759</v>
      </c>
      <c r="E71" s="352" t="s">
        <v>4</v>
      </c>
      <c r="F71" s="338">
        <v>0.57777777777777783</v>
      </c>
      <c r="G71" s="338">
        <v>0.58680555555555558</v>
      </c>
      <c r="H71" s="338" t="s">
        <v>960</v>
      </c>
      <c r="I71" s="353">
        <v>701</v>
      </c>
      <c r="J71" s="338" t="str">
        <f>IFERROR(VLOOKUP(I71,'Chart of accounts'!A:H,2,FALSE),"")</f>
        <v>50101010 01</v>
      </c>
      <c r="K71" s="338" t="str">
        <f>IFERROR(VLOOKUP(I71,'Chart of accounts'!A:H,3,FALSE),"")</f>
        <v>Basic Salary - Civilian</v>
      </c>
      <c r="L71" s="338" t="str">
        <f>IFERROR(VLOOKUP(I71,'Chart of accounts'!A:H,4,FALSE),"")</f>
        <v>50101010 01 - Basic Salary - Civilian (701)</v>
      </c>
      <c r="M71" s="356" t="s">
        <v>2</v>
      </c>
      <c r="N71" s="355" t="s">
        <v>10</v>
      </c>
      <c r="O71" s="355" t="s">
        <v>762</v>
      </c>
      <c r="P71" s="355"/>
      <c r="Q71" s="319">
        <v>1634515</v>
      </c>
      <c r="R71" s="319">
        <f t="shared" si="0"/>
        <v>-1634515</v>
      </c>
      <c r="S71" s="319" t="str">
        <f>VLOOKUP(H71,'Fund Utilization Report'!$A$4:$U$1800,13,FALSE)</f>
        <v>PS</v>
      </c>
      <c r="T71" s="319" t="str">
        <f>VLOOKUP(H71,'Fund Utilization Report'!$A$4:$U$1800,2,FALSE)</f>
        <v>GAA</v>
      </c>
      <c r="U71" s="319" t="str">
        <f>VLOOKUP(H71,'Fund Utilization Report'!$A$4:$U$1800,3,FALSE)</f>
        <v>FY2021, RA11518</v>
      </c>
      <c r="V71" s="319" t="str">
        <f>VLOOKUP(H71,'Fund Utilization Report'!$A$4:$U$1800,4,FALSE)</f>
        <v>GAS(GMS)</v>
      </c>
      <c r="W71" s="319" t="str">
        <f>VLOOKUP(H71,'Fund Utilization Report'!$A$4:$U$1800,5,FALSE)</f>
        <v>01101101</v>
      </c>
      <c r="X71" s="319" t="str">
        <f>VLOOKUP(H71,'Fund Utilization Report'!$A$4:$U$1800,6,FALSE)</f>
        <v>GOP</v>
      </c>
      <c r="Y71" s="320" t="str">
        <f>VLOOKUP(H71,'Fund Utilization Report'!$A$4:$U$1800,7,FALSE)</f>
        <v>PS</v>
      </c>
      <c r="Z71" s="321">
        <f>VLOOKUP(H71,'Fund Utilization Report'!$A$4:$U$1800,8,FALSE)</f>
        <v>5010000000</v>
      </c>
      <c r="AA71" s="319" t="str">
        <f>VLOOKUP(H71,'Fund Utilization Report'!$A$4:$U$1800,14,FALSE)</f>
        <v>100000100001000</v>
      </c>
      <c r="AB71" s="349" t="str">
        <f>VLOOKUP(H71,'Fund Utilization Report'!$A$4:$U$1800,15,FALSE)</f>
        <v>General Administration and Supervision - General Management and Supervision</v>
      </c>
      <c r="AC71" s="37" t="s">
        <v>0</v>
      </c>
      <c r="AD71" s="38">
        <v>1</v>
      </c>
      <c r="AE71" s="39">
        <v>701</v>
      </c>
      <c r="AF71" s="51" t="str">
        <f>VLOOKUP(AE71,'[2]Chart of accounts'!A:H,2,FALSE)</f>
        <v>50101010 01</v>
      </c>
      <c r="AG71" s="53" t="s">
        <v>1</v>
      </c>
      <c r="AH71" s="53" t="s">
        <v>1</v>
      </c>
    </row>
    <row r="72" spans="1:34" s="32" customFormat="1" ht="27.6">
      <c r="A72" s="338" t="s">
        <v>942</v>
      </c>
      <c r="B72" s="338" t="s">
        <v>943</v>
      </c>
      <c r="C72" s="350">
        <v>44210</v>
      </c>
      <c r="D72" s="351" t="s">
        <v>759</v>
      </c>
      <c r="E72" s="352" t="s">
        <v>4</v>
      </c>
      <c r="F72" s="338">
        <v>0.57777777777777783</v>
      </c>
      <c r="G72" s="338">
        <v>0.58680555555555558</v>
      </c>
      <c r="H72" s="338" t="s">
        <v>960</v>
      </c>
      <c r="I72" s="353">
        <v>711</v>
      </c>
      <c r="J72" s="338" t="str">
        <f>IFERROR(VLOOKUP(I72,'Chart of accounts'!A:H,2,FALSE),"")</f>
        <v>50102010 01</v>
      </c>
      <c r="K72" s="338" t="str">
        <f>IFERROR(VLOOKUP(I72,'Chart of accounts'!A:H,3,FALSE),"")</f>
        <v>PERA - Civilian</v>
      </c>
      <c r="L72" s="338" t="str">
        <f>IFERROR(VLOOKUP(I72,'Chart of accounts'!A:H,4,FALSE),"")</f>
        <v>50102010 01 - PERA - Civilian (711)</v>
      </c>
      <c r="M72" s="356" t="s">
        <v>2</v>
      </c>
      <c r="N72" s="355" t="s">
        <v>10</v>
      </c>
      <c r="O72" s="355" t="s">
        <v>762</v>
      </c>
      <c r="P72" s="355"/>
      <c r="Q72" s="319">
        <v>76000</v>
      </c>
      <c r="R72" s="319">
        <f t="shared" si="0"/>
        <v>-76000</v>
      </c>
      <c r="S72" s="319" t="str">
        <f>VLOOKUP(H72,'Fund Utilization Report'!$A$4:$U$1800,13,FALSE)</f>
        <v>PS</v>
      </c>
      <c r="T72" s="319" t="str">
        <f>VLOOKUP(H72,'Fund Utilization Report'!$A$4:$U$1800,2,FALSE)</f>
        <v>GAA</v>
      </c>
      <c r="U72" s="319" t="str">
        <f>VLOOKUP(H72,'Fund Utilization Report'!$A$4:$U$1800,3,FALSE)</f>
        <v>FY2021, RA11518</v>
      </c>
      <c r="V72" s="319" t="str">
        <f>VLOOKUP(H72,'Fund Utilization Report'!$A$4:$U$1800,4,FALSE)</f>
        <v>GAS(GMS)</v>
      </c>
      <c r="W72" s="319" t="str">
        <f>VLOOKUP(H72,'Fund Utilization Report'!$A$4:$U$1800,5,FALSE)</f>
        <v>01101101</v>
      </c>
      <c r="X72" s="319" t="str">
        <f>VLOOKUP(H72,'Fund Utilization Report'!$A$4:$U$1800,6,FALSE)</f>
        <v>GOP</v>
      </c>
      <c r="Y72" s="320" t="str">
        <f>VLOOKUP(H72,'Fund Utilization Report'!$A$4:$U$1800,7,FALSE)</f>
        <v>PS</v>
      </c>
      <c r="Z72" s="321">
        <f>VLOOKUP(H72,'Fund Utilization Report'!$A$4:$U$1800,8,FALSE)</f>
        <v>5010000000</v>
      </c>
      <c r="AA72" s="319" t="str">
        <f>VLOOKUP(H72,'Fund Utilization Report'!$A$4:$U$1800,14,FALSE)</f>
        <v>100000100001000</v>
      </c>
      <c r="AB72" s="349" t="str">
        <f>VLOOKUP(H72,'Fund Utilization Report'!$A$4:$U$1800,15,FALSE)</f>
        <v>General Administration and Supervision - General Management and Supervision</v>
      </c>
      <c r="AC72" s="37" t="s">
        <v>0</v>
      </c>
      <c r="AD72" s="38">
        <v>1</v>
      </c>
      <c r="AE72" s="39">
        <v>711</v>
      </c>
      <c r="AF72" s="51" t="str">
        <f>VLOOKUP(AE72,'[2]Chart of accounts'!A:H,2,FALSE)</f>
        <v>50102010 01</v>
      </c>
      <c r="AG72" s="53" t="s">
        <v>1</v>
      </c>
      <c r="AH72" s="53" t="s">
        <v>1</v>
      </c>
    </row>
    <row r="73" spans="1:34" s="32" customFormat="1" ht="27.6">
      <c r="A73" s="338" t="s">
        <v>942</v>
      </c>
      <c r="B73" s="338" t="s">
        <v>943</v>
      </c>
      <c r="C73" s="350">
        <v>44210</v>
      </c>
      <c r="D73" s="351" t="s">
        <v>759</v>
      </c>
      <c r="E73" s="352" t="s">
        <v>4</v>
      </c>
      <c r="F73" s="338">
        <v>0.57777777777777783</v>
      </c>
      <c r="G73" s="338">
        <v>0.58680555555555558</v>
      </c>
      <c r="H73" s="338" t="s">
        <v>962</v>
      </c>
      <c r="I73" s="353">
        <v>731</v>
      </c>
      <c r="J73" s="338" t="str">
        <f>IFERROR(VLOOKUP(I73,'Chart of accounts'!A:H,2,FALSE),"")</f>
        <v>50103010 00</v>
      </c>
      <c r="K73" s="338" t="str">
        <f>IFERROR(VLOOKUP(I73,'Chart of accounts'!A:H,3,FALSE),"")</f>
        <v>Retirement and Life Insurance Premiums</v>
      </c>
      <c r="L73" s="338" t="str">
        <f>IFERROR(VLOOKUP(I73,'Chart of accounts'!A:H,4,FALSE),"")</f>
        <v>50103010 00 - Retirement and Life Insurance Premiums (731)</v>
      </c>
      <c r="M73" s="356" t="s">
        <v>2</v>
      </c>
      <c r="N73" s="355" t="s">
        <v>10</v>
      </c>
      <c r="O73" s="355" t="s">
        <v>762</v>
      </c>
      <c r="P73" s="355"/>
      <c r="Q73" s="319">
        <v>196141.8</v>
      </c>
      <c r="R73" s="319">
        <f t="shared" si="0"/>
        <v>-196141.8</v>
      </c>
      <c r="S73" s="319" t="str">
        <f>VLOOKUP(H73,'Fund Utilization Report'!$A$4:$U$1800,13,FALSE)</f>
        <v>PS</v>
      </c>
      <c r="T73" s="319" t="str">
        <f>VLOOKUP(H73,'Fund Utilization Report'!$A$4:$U$1800,2,FALSE)</f>
        <v>GAA</v>
      </c>
      <c r="U73" s="319" t="str">
        <f>VLOOKUP(H73,'Fund Utilization Report'!$A$4:$U$1800,3,FALSE)</f>
        <v>FY2021, RA11518</v>
      </c>
      <c r="V73" s="319" t="str">
        <f>VLOOKUP(H73,'Fund Utilization Report'!$A$4:$U$1800,4,FALSE)</f>
        <v>GAS(GMS)</v>
      </c>
      <c r="W73" s="319" t="str">
        <f>VLOOKUP(H73,'Fund Utilization Report'!$A$4:$U$1800,5,FALSE)</f>
        <v>01101101</v>
      </c>
      <c r="X73" s="319" t="str">
        <f>VLOOKUP(H73,'Fund Utilization Report'!$A$4:$U$1800,6,FALSE)</f>
        <v>GOP</v>
      </c>
      <c r="Y73" s="320" t="str">
        <f>VLOOKUP(H73,'Fund Utilization Report'!$A$4:$U$1800,7,FALSE)</f>
        <v>RLIP</v>
      </c>
      <c r="Z73" s="321" t="str">
        <f>VLOOKUP(H73,'Fund Utilization Report'!$A$4:$U$1800,8,FALSE)</f>
        <v>50103010-00</v>
      </c>
      <c r="AA73" s="319" t="str">
        <f>VLOOKUP(H73,'Fund Utilization Report'!$A$4:$U$1800,14,FALSE)</f>
        <v>100000100001000</v>
      </c>
      <c r="AB73" s="349" t="str">
        <f>VLOOKUP(H73,'Fund Utilization Report'!$A$4:$U$1800,15,FALSE)</f>
        <v>General Administration and Supervision - General Management and Supervision</v>
      </c>
      <c r="AC73" s="37" t="s">
        <v>0</v>
      </c>
      <c r="AD73" s="38">
        <v>1</v>
      </c>
      <c r="AE73" s="39">
        <v>731</v>
      </c>
      <c r="AF73" s="51" t="str">
        <f>VLOOKUP(AE73,'[2]Chart of accounts'!A:H,2,FALSE)</f>
        <v>50103010 00</v>
      </c>
      <c r="AG73" s="53" t="s">
        <v>1</v>
      </c>
      <c r="AH73" s="53" t="s">
        <v>1</v>
      </c>
    </row>
    <row r="74" spans="1:34" s="75" customFormat="1" ht="27.6">
      <c r="A74" s="338" t="s">
        <v>942</v>
      </c>
      <c r="B74" s="338" t="s">
        <v>943</v>
      </c>
      <c r="C74" s="350">
        <v>44210</v>
      </c>
      <c r="D74" s="351" t="s">
        <v>759</v>
      </c>
      <c r="E74" s="352" t="s">
        <v>4</v>
      </c>
      <c r="F74" s="338">
        <v>0.57777777777777783</v>
      </c>
      <c r="G74" s="338">
        <v>0.58680555555555558</v>
      </c>
      <c r="H74" s="338" t="s">
        <v>960</v>
      </c>
      <c r="I74" s="353">
        <v>732</v>
      </c>
      <c r="J74" s="338" t="str">
        <f>IFERROR(VLOOKUP(I74,'Chart of accounts'!A:H,2,FALSE),"")</f>
        <v>50103020 01</v>
      </c>
      <c r="K74" s="338" t="str">
        <f>IFERROR(VLOOKUP(I74,'Chart of accounts'!A:H,3,FALSE),"")</f>
        <v>Pag-IBIG - Civilian</v>
      </c>
      <c r="L74" s="338" t="str">
        <f>IFERROR(VLOOKUP(I74,'Chart of accounts'!A:H,4,FALSE),"")</f>
        <v>50103020 01 - Pag-IBIG - Civilian (732)</v>
      </c>
      <c r="M74" s="356" t="s">
        <v>2</v>
      </c>
      <c r="N74" s="355" t="s">
        <v>10</v>
      </c>
      <c r="O74" s="355" t="s">
        <v>762</v>
      </c>
      <c r="P74" s="355"/>
      <c r="Q74" s="357">
        <v>3800</v>
      </c>
      <c r="R74" s="319">
        <f t="shared" si="0"/>
        <v>-3800</v>
      </c>
      <c r="S74" s="319" t="str">
        <f>VLOOKUP(H74,'Fund Utilization Report'!$A$4:$U$1800,13,FALSE)</f>
        <v>PS</v>
      </c>
      <c r="T74" s="319" t="str">
        <f>VLOOKUP(H74,'Fund Utilization Report'!$A$4:$U$1800,2,FALSE)</f>
        <v>GAA</v>
      </c>
      <c r="U74" s="319" t="str">
        <f>VLOOKUP(H74,'Fund Utilization Report'!$A$4:$U$1800,3,FALSE)</f>
        <v>FY2021, RA11518</v>
      </c>
      <c r="V74" s="319" t="str">
        <f>VLOOKUP(H74,'Fund Utilization Report'!$A$4:$U$1800,4,FALSE)</f>
        <v>GAS(GMS)</v>
      </c>
      <c r="W74" s="319" t="str">
        <f>VLOOKUP(H74,'Fund Utilization Report'!$A$4:$U$1800,5,FALSE)</f>
        <v>01101101</v>
      </c>
      <c r="X74" s="319" t="str">
        <f>VLOOKUP(H74,'Fund Utilization Report'!$A$4:$U$1800,6,FALSE)</f>
        <v>GOP</v>
      </c>
      <c r="Y74" s="320" t="str">
        <f>VLOOKUP(H74,'Fund Utilization Report'!$A$4:$U$1800,7,FALSE)</f>
        <v>PS</v>
      </c>
      <c r="Z74" s="321">
        <f>VLOOKUP(H74,'Fund Utilization Report'!$A$4:$U$1800,8,FALSE)</f>
        <v>5010000000</v>
      </c>
      <c r="AA74" s="319" t="str">
        <f>VLOOKUP(H74,'Fund Utilization Report'!$A$4:$U$1800,14,FALSE)</f>
        <v>100000100001000</v>
      </c>
      <c r="AB74" s="349" t="str">
        <f>VLOOKUP(H74,'Fund Utilization Report'!$A$4:$U$1800,15,FALSE)</f>
        <v>General Administration and Supervision - General Management and Supervision</v>
      </c>
      <c r="AC74" s="37" t="s">
        <v>0</v>
      </c>
      <c r="AD74" s="38">
        <v>1</v>
      </c>
      <c r="AE74" s="39">
        <v>732</v>
      </c>
      <c r="AF74" s="51" t="str">
        <f>VLOOKUP(AE74,'[2]Chart of accounts'!A:H,2,FALSE)</f>
        <v>50103020 01</v>
      </c>
      <c r="AG74" s="53" t="s">
        <v>1</v>
      </c>
      <c r="AH74" s="53" t="s">
        <v>1</v>
      </c>
    </row>
    <row r="75" spans="1:34" s="75" customFormat="1" ht="27.6">
      <c r="A75" s="338" t="s">
        <v>942</v>
      </c>
      <c r="B75" s="338" t="s">
        <v>943</v>
      </c>
      <c r="C75" s="350">
        <v>44210</v>
      </c>
      <c r="D75" s="351" t="s">
        <v>759</v>
      </c>
      <c r="E75" s="352" t="s">
        <v>4</v>
      </c>
      <c r="F75" s="338">
        <v>0.57777777777777783</v>
      </c>
      <c r="G75" s="338">
        <v>0.58680555555555558</v>
      </c>
      <c r="H75" s="338" t="s">
        <v>960</v>
      </c>
      <c r="I75" s="353">
        <v>733</v>
      </c>
      <c r="J75" s="338" t="str">
        <f>IFERROR(VLOOKUP(I75,'Chart of accounts'!A:H,2,FALSE),"")</f>
        <v>50103030 01</v>
      </c>
      <c r="K75" s="338" t="str">
        <f>IFERROR(VLOOKUP(I75,'Chart of accounts'!A:H,3,FALSE),"")</f>
        <v>PhilHealth - Civilian</v>
      </c>
      <c r="L75" s="338" t="str">
        <f>IFERROR(VLOOKUP(I75,'Chart of accounts'!A:H,4,FALSE),"")</f>
        <v>50103030 01 - PhilHealth - Civilian (733)</v>
      </c>
      <c r="M75" s="356" t="s">
        <v>2</v>
      </c>
      <c r="N75" s="355" t="s">
        <v>10</v>
      </c>
      <c r="O75" s="355" t="s">
        <v>762</v>
      </c>
      <c r="P75" s="355"/>
      <c r="Q75" s="319">
        <v>21044.43</v>
      </c>
      <c r="R75" s="319">
        <f t="shared" si="0"/>
        <v>-21044.43</v>
      </c>
      <c r="S75" s="319" t="str">
        <f>VLOOKUP(H75,'Fund Utilization Report'!$A$4:$U$1800,13,FALSE)</f>
        <v>PS</v>
      </c>
      <c r="T75" s="319" t="str">
        <f>VLOOKUP(H75,'Fund Utilization Report'!$A$4:$U$1800,2,FALSE)</f>
        <v>GAA</v>
      </c>
      <c r="U75" s="319" t="str">
        <f>VLOOKUP(H75,'Fund Utilization Report'!$A$4:$U$1800,3,FALSE)</f>
        <v>FY2021, RA11518</v>
      </c>
      <c r="V75" s="319" t="str">
        <f>VLOOKUP(H75,'Fund Utilization Report'!$A$4:$U$1800,4,FALSE)</f>
        <v>GAS(GMS)</v>
      </c>
      <c r="W75" s="319" t="str">
        <f>VLOOKUP(H75,'Fund Utilization Report'!$A$4:$U$1800,5,FALSE)</f>
        <v>01101101</v>
      </c>
      <c r="X75" s="319" t="str">
        <f>VLOOKUP(H75,'Fund Utilization Report'!$A$4:$U$1800,6,FALSE)</f>
        <v>GOP</v>
      </c>
      <c r="Y75" s="320" t="str">
        <f>VLOOKUP(H75,'Fund Utilization Report'!$A$4:$U$1800,7,FALSE)</f>
        <v>PS</v>
      </c>
      <c r="Z75" s="321">
        <f>VLOOKUP(H75,'Fund Utilization Report'!$A$4:$U$1800,8,FALSE)</f>
        <v>5010000000</v>
      </c>
      <c r="AA75" s="319" t="str">
        <f>VLOOKUP(H75,'Fund Utilization Report'!$A$4:$U$1800,14,FALSE)</f>
        <v>100000100001000</v>
      </c>
      <c r="AB75" s="349" t="str">
        <f>VLOOKUP(H75,'Fund Utilization Report'!$A$4:$U$1800,15,FALSE)</f>
        <v>General Administration and Supervision - General Management and Supervision</v>
      </c>
      <c r="AC75" s="37" t="s">
        <v>0</v>
      </c>
      <c r="AD75" s="38">
        <v>1</v>
      </c>
      <c r="AE75" s="55">
        <v>733</v>
      </c>
      <c r="AF75" s="51" t="str">
        <f>VLOOKUP(AE75,'[2]Chart of accounts'!A:H,2,FALSE)</f>
        <v>50103030 01</v>
      </c>
      <c r="AG75" s="53" t="s">
        <v>1</v>
      </c>
      <c r="AH75" s="53" t="s">
        <v>1</v>
      </c>
    </row>
    <row r="76" spans="1:34" s="75" customFormat="1" ht="27.6">
      <c r="A76" s="338" t="s">
        <v>942</v>
      </c>
      <c r="B76" s="338" t="s">
        <v>943</v>
      </c>
      <c r="C76" s="350">
        <v>44210</v>
      </c>
      <c r="D76" s="351" t="s">
        <v>759</v>
      </c>
      <c r="E76" s="352" t="s">
        <v>4</v>
      </c>
      <c r="F76" s="338">
        <v>0.57777777777777783</v>
      </c>
      <c r="G76" s="338">
        <v>0.58680555555555558</v>
      </c>
      <c r="H76" s="338" t="s">
        <v>960</v>
      </c>
      <c r="I76" s="353">
        <v>734</v>
      </c>
      <c r="J76" s="338" t="str">
        <f>IFERROR(VLOOKUP(I76,'Chart of accounts'!A:H,2,FALSE),"")</f>
        <v>50103040 01</v>
      </c>
      <c r="K76" s="338" t="str">
        <f>IFERROR(VLOOKUP(I76,'Chart of accounts'!A:H,3,FALSE),"")</f>
        <v>ECIP - Civilian</v>
      </c>
      <c r="L76" s="338" t="str">
        <f>IFERROR(VLOOKUP(I76,'Chart of accounts'!A:H,4,FALSE),"")</f>
        <v>50103040 01 - ECIP - Civilian (734)</v>
      </c>
      <c r="M76" s="356" t="s">
        <v>2</v>
      </c>
      <c r="N76" s="355" t="s">
        <v>10</v>
      </c>
      <c r="O76" s="355" t="s">
        <v>762</v>
      </c>
      <c r="P76" s="355"/>
      <c r="Q76" s="319">
        <v>3800</v>
      </c>
      <c r="R76" s="319">
        <f t="shared" si="0"/>
        <v>-3800</v>
      </c>
      <c r="S76" s="319" t="str">
        <f>VLOOKUP(H76,'Fund Utilization Report'!$A$4:$U$1800,13,FALSE)</f>
        <v>PS</v>
      </c>
      <c r="T76" s="319" t="str">
        <f>VLOOKUP(H76,'Fund Utilization Report'!$A$4:$U$1800,2,FALSE)</f>
        <v>GAA</v>
      </c>
      <c r="U76" s="319" t="str">
        <f>VLOOKUP(H76,'Fund Utilization Report'!$A$4:$U$1800,3,FALSE)</f>
        <v>FY2021, RA11518</v>
      </c>
      <c r="V76" s="319" t="str">
        <f>VLOOKUP(H76,'Fund Utilization Report'!$A$4:$U$1800,4,FALSE)</f>
        <v>GAS(GMS)</v>
      </c>
      <c r="W76" s="319" t="str">
        <f>VLOOKUP(H76,'Fund Utilization Report'!$A$4:$U$1800,5,FALSE)</f>
        <v>01101101</v>
      </c>
      <c r="X76" s="319" t="str">
        <f>VLOOKUP(H76,'Fund Utilization Report'!$A$4:$U$1800,6,FALSE)</f>
        <v>GOP</v>
      </c>
      <c r="Y76" s="320" t="str">
        <f>VLOOKUP(H76,'Fund Utilization Report'!$A$4:$U$1800,7,FALSE)</f>
        <v>PS</v>
      </c>
      <c r="Z76" s="321">
        <f>VLOOKUP(H76,'Fund Utilization Report'!$A$4:$U$1800,8,FALSE)</f>
        <v>5010000000</v>
      </c>
      <c r="AA76" s="319" t="str">
        <f>VLOOKUP(H76,'Fund Utilization Report'!$A$4:$U$1800,14,FALSE)</f>
        <v>100000100001000</v>
      </c>
      <c r="AB76" s="349" t="str">
        <f>VLOOKUP(H76,'Fund Utilization Report'!$A$4:$U$1800,15,FALSE)</f>
        <v>General Administration and Supervision - General Management and Supervision</v>
      </c>
      <c r="AC76" s="37" t="s">
        <v>0</v>
      </c>
      <c r="AD76" s="38">
        <v>1</v>
      </c>
      <c r="AE76" s="55">
        <v>734</v>
      </c>
      <c r="AF76" s="51" t="str">
        <f>VLOOKUP(AE76,'[2]Chart of accounts'!A:H,2,FALSE)</f>
        <v>50103040 01</v>
      </c>
      <c r="AG76" s="53" t="s">
        <v>1</v>
      </c>
      <c r="AH76" s="53" t="s">
        <v>1</v>
      </c>
    </row>
    <row r="77" spans="1:34" s="75" customFormat="1" ht="27.6">
      <c r="A77" s="338" t="s">
        <v>942</v>
      </c>
      <c r="B77" s="338" t="s">
        <v>943</v>
      </c>
      <c r="C77" s="358">
        <v>44211</v>
      </c>
      <c r="D77" s="351" t="s">
        <v>759</v>
      </c>
      <c r="E77" s="352" t="s">
        <v>763</v>
      </c>
      <c r="F77" s="359">
        <v>0.59097222222222223</v>
      </c>
      <c r="G77" s="359">
        <v>0.59513888888888888</v>
      </c>
      <c r="H77" s="359" t="s">
        <v>964</v>
      </c>
      <c r="I77" s="321">
        <v>701</v>
      </c>
      <c r="J77" s="338" t="str">
        <f>IFERROR(VLOOKUP(I77,'Chart of accounts'!A:H,2,FALSE),"")</f>
        <v>50101010 01</v>
      </c>
      <c r="K77" s="338" t="str">
        <f>IFERROR(VLOOKUP(I77,'Chart of accounts'!A:H,3,FALSE),"")</f>
        <v>Basic Salary - Civilian</v>
      </c>
      <c r="L77" s="338" t="str">
        <f>IFERROR(VLOOKUP(I77,'Chart of accounts'!A:H,4,FALSE),"")</f>
        <v>50101010 01 - Basic Salary - Civilian (701)</v>
      </c>
      <c r="M77" s="356" t="s">
        <v>769</v>
      </c>
      <c r="N77" s="357" t="s">
        <v>764</v>
      </c>
      <c r="O77" s="355" t="s">
        <v>762</v>
      </c>
      <c r="P77" s="355"/>
      <c r="Q77" s="319">
        <v>377575</v>
      </c>
      <c r="R77" s="319">
        <f t="shared" si="0"/>
        <v>-377575</v>
      </c>
      <c r="S77" s="319" t="str">
        <f>VLOOKUP(H77,'Fund Utilization Report'!$A$4:$U$1800,13,FALSE)</f>
        <v>PS</v>
      </c>
      <c r="T77" s="319" t="str">
        <f>VLOOKUP(H77,'Fund Utilization Report'!$A$4:$U$1800,2,FALSE)</f>
        <v>GAA</v>
      </c>
      <c r="U77" s="319" t="str">
        <f>VLOOKUP(H77,'Fund Utilization Report'!$A$4:$U$1800,3,FALSE)</f>
        <v>FY2021, RA11518</v>
      </c>
      <c r="V77" s="319" t="str">
        <f>VLOOKUP(H77,'Fund Utilization Report'!$A$4:$U$1800,4,FALSE)</f>
        <v>OO1</v>
      </c>
      <c r="W77" s="319" t="str">
        <f>VLOOKUP(H77,'Fund Utilization Report'!$A$4:$U$1800,5,FALSE)</f>
        <v>01101101</v>
      </c>
      <c r="X77" s="319" t="str">
        <f>VLOOKUP(H77,'Fund Utilization Report'!$A$4:$U$1800,6,FALSE)</f>
        <v>GOP</v>
      </c>
      <c r="Y77" s="320" t="str">
        <f>VLOOKUP(H77,'Fund Utilization Report'!$A$4:$U$1800,7,FALSE)</f>
        <v>PS</v>
      </c>
      <c r="Z77" s="321">
        <f>VLOOKUP(H77,'Fund Utilization Report'!$A$4:$U$1800,8,FALSE)</f>
        <v>5010000000</v>
      </c>
      <c r="AA77" s="319" t="str">
        <f>VLOOKUP(H77,'Fund Utilization Report'!$A$4:$U$1800,14,FALSE)</f>
        <v>310100100002000</v>
      </c>
      <c r="AB77" s="349" t="str">
        <f>VLOOKUP(H77,'Fund Utilization Report'!$A$4:$U$1800,15,FALSE)</f>
        <v>Development,Facilitation, and promotion of exports and investment, domestic and foreign</v>
      </c>
      <c r="AC77" s="55" t="s">
        <v>0</v>
      </c>
      <c r="AD77" s="38">
        <v>1</v>
      </c>
      <c r="AE77" s="39">
        <v>701</v>
      </c>
      <c r="AF77" s="51" t="str">
        <f>VLOOKUP(AE77,'[2]Chart of accounts'!A:H,2,FALSE)</f>
        <v>50101010 01</v>
      </c>
      <c r="AG77" s="53" t="s">
        <v>1</v>
      </c>
      <c r="AH77" s="53" t="s">
        <v>1</v>
      </c>
    </row>
    <row r="78" spans="1:34" s="32" customFormat="1" ht="27.6">
      <c r="A78" s="338" t="s">
        <v>942</v>
      </c>
      <c r="B78" s="338" t="s">
        <v>943</v>
      </c>
      <c r="C78" s="358">
        <v>44211</v>
      </c>
      <c r="D78" s="351" t="s">
        <v>759</v>
      </c>
      <c r="E78" s="352" t="s">
        <v>763</v>
      </c>
      <c r="F78" s="359">
        <v>0.59097222222222223</v>
      </c>
      <c r="G78" s="359">
        <v>0.59513888888888888</v>
      </c>
      <c r="H78" s="359" t="s">
        <v>964</v>
      </c>
      <c r="I78" s="321">
        <v>711</v>
      </c>
      <c r="J78" s="338" t="str">
        <f>IFERROR(VLOOKUP(I78,'Chart of accounts'!A:H,2,FALSE),"")</f>
        <v>50102010 01</v>
      </c>
      <c r="K78" s="338" t="str">
        <f>IFERROR(VLOOKUP(I78,'Chart of accounts'!A:H,3,FALSE),"")</f>
        <v>PERA - Civilian</v>
      </c>
      <c r="L78" s="338" t="str">
        <f>IFERROR(VLOOKUP(I78,'Chart of accounts'!A:H,4,FALSE),"")</f>
        <v>50102010 01 - PERA - Civilian (711)</v>
      </c>
      <c r="M78" s="356" t="s">
        <v>769</v>
      </c>
      <c r="N78" s="357" t="s">
        <v>764</v>
      </c>
      <c r="O78" s="355" t="s">
        <v>762</v>
      </c>
      <c r="P78" s="355"/>
      <c r="Q78" s="319">
        <v>22000</v>
      </c>
      <c r="R78" s="319">
        <f t="shared" si="0"/>
        <v>-22000</v>
      </c>
      <c r="S78" s="319" t="str">
        <f>VLOOKUP(H78,'Fund Utilization Report'!$A$4:$U$1800,13,FALSE)</f>
        <v>PS</v>
      </c>
      <c r="T78" s="319" t="str">
        <f>VLOOKUP(H78,'Fund Utilization Report'!$A$4:$U$1800,2,FALSE)</f>
        <v>GAA</v>
      </c>
      <c r="U78" s="319" t="str">
        <f>VLOOKUP(H78,'Fund Utilization Report'!$A$4:$U$1800,3,FALSE)</f>
        <v>FY2021, RA11518</v>
      </c>
      <c r="V78" s="319" t="str">
        <f>VLOOKUP(H78,'Fund Utilization Report'!$A$4:$U$1800,4,FALSE)</f>
        <v>OO1</v>
      </c>
      <c r="W78" s="319" t="str">
        <f>VLOOKUP(H78,'Fund Utilization Report'!$A$4:$U$1800,5,FALSE)</f>
        <v>01101101</v>
      </c>
      <c r="X78" s="319" t="str">
        <f>VLOOKUP(H78,'Fund Utilization Report'!$A$4:$U$1800,6,FALSE)</f>
        <v>GOP</v>
      </c>
      <c r="Y78" s="320" t="str">
        <f>VLOOKUP(H78,'Fund Utilization Report'!$A$4:$U$1800,7,FALSE)</f>
        <v>PS</v>
      </c>
      <c r="Z78" s="321">
        <f>VLOOKUP(H78,'Fund Utilization Report'!$A$4:$U$1800,8,FALSE)</f>
        <v>5010000000</v>
      </c>
      <c r="AA78" s="319" t="str">
        <f>VLOOKUP(H78,'Fund Utilization Report'!$A$4:$U$1800,14,FALSE)</f>
        <v>310100100002000</v>
      </c>
      <c r="AB78" s="349" t="str">
        <f>VLOOKUP(H78,'Fund Utilization Report'!$A$4:$U$1800,15,FALSE)</f>
        <v>Development,Facilitation, and promotion of exports and investment, domestic and foreign</v>
      </c>
      <c r="AC78" s="55" t="s">
        <v>0</v>
      </c>
      <c r="AD78" s="38">
        <v>1</v>
      </c>
      <c r="AE78" s="39">
        <v>711</v>
      </c>
      <c r="AF78" s="51" t="str">
        <f>VLOOKUP(AE78,'[2]Chart of accounts'!A:H,2,FALSE)</f>
        <v>50102010 01</v>
      </c>
      <c r="AG78" s="53" t="s">
        <v>1</v>
      </c>
      <c r="AH78" s="53" t="s">
        <v>1</v>
      </c>
    </row>
    <row r="79" spans="1:34" s="32" customFormat="1" ht="27.6">
      <c r="A79" s="338" t="s">
        <v>942</v>
      </c>
      <c r="B79" s="338" t="s">
        <v>943</v>
      </c>
      <c r="C79" s="358">
        <v>44211</v>
      </c>
      <c r="D79" s="351" t="s">
        <v>759</v>
      </c>
      <c r="E79" s="352" t="s">
        <v>763</v>
      </c>
      <c r="F79" s="359">
        <v>0.59097222222222223</v>
      </c>
      <c r="G79" s="359">
        <v>0.59513888888888888</v>
      </c>
      <c r="H79" s="359" t="s">
        <v>966</v>
      </c>
      <c r="I79" s="321">
        <v>731</v>
      </c>
      <c r="J79" s="338" t="str">
        <f>IFERROR(VLOOKUP(I79,'Chart of accounts'!A:H,2,FALSE),"")</f>
        <v>50103010 00</v>
      </c>
      <c r="K79" s="338" t="str">
        <f>IFERROR(VLOOKUP(I79,'Chart of accounts'!A:H,3,FALSE),"")</f>
        <v>Retirement and Life Insurance Premiums</v>
      </c>
      <c r="L79" s="338" t="str">
        <f>IFERROR(VLOOKUP(I79,'Chart of accounts'!A:H,4,FALSE),"")</f>
        <v>50103010 00 - Retirement and Life Insurance Premiums (731)</v>
      </c>
      <c r="M79" s="356" t="s">
        <v>769</v>
      </c>
      <c r="N79" s="357" t="s">
        <v>764</v>
      </c>
      <c r="O79" s="355" t="s">
        <v>762</v>
      </c>
      <c r="P79" s="355"/>
      <c r="Q79" s="319">
        <v>45309</v>
      </c>
      <c r="R79" s="319">
        <f t="shared" si="0"/>
        <v>-45309</v>
      </c>
      <c r="S79" s="319" t="str">
        <f>VLOOKUP(H79,'Fund Utilization Report'!$A$4:$U$1800,13,FALSE)</f>
        <v>PS</v>
      </c>
      <c r="T79" s="319" t="str">
        <f>VLOOKUP(H79,'Fund Utilization Report'!$A$4:$U$1800,2,FALSE)</f>
        <v>GAA</v>
      </c>
      <c r="U79" s="319" t="str">
        <f>VLOOKUP(H79,'Fund Utilization Report'!$A$4:$U$1800,3,FALSE)</f>
        <v>FY2021, RA11518</v>
      </c>
      <c r="V79" s="319" t="str">
        <f>VLOOKUP(H79,'Fund Utilization Report'!$A$4:$U$1800,4,FALSE)</f>
        <v>OO1</v>
      </c>
      <c r="W79" s="319" t="str">
        <f>VLOOKUP(H79,'Fund Utilization Report'!$A$4:$U$1800,5,FALSE)</f>
        <v>01101101</v>
      </c>
      <c r="X79" s="319" t="str">
        <f>VLOOKUP(H79,'Fund Utilization Report'!$A$4:$U$1800,6,FALSE)</f>
        <v>GOP</v>
      </c>
      <c r="Y79" s="320" t="str">
        <f>VLOOKUP(H79,'Fund Utilization Report'!$A$4:$U$1800,7,FALSE)</f>
        <v>RLIP</v>
      </c>
      <c r="Z79" s="321" t="str">
        <f>VLOOKUP(H79,'Fund Utilization Report'!$A$4:$U$1800,8,FALSE)</f>
        <v>50103010-00</v>
      </c>
      <c r="AA79" s="319" t="str">
        <f>VLOOKUP(H79,'Fund Utilization Report'!$A$4:$U$1800,14,FALSE)</f>
        <v>310100100002000</v>
      </c>
      <c r="AB79" s="349" t="str">
        <f>VLOOKUP(H79,'Fund Utilization Report'!$A$4:$U$1800,15,FALSE)</f>
        <v>Development,Facilitation, and promotion of exports and investment, domestic and foreign</v>
      </c>
      <c r="AC79" s="55" t="s">
        <v>0</v>
      </c>
      <c r="AD79" s="38">
        <v>1</v>
      </c>
      <c r="AE79" s="39">
        <v>731</v>
      </c>
      <c r="AF79" s="51" t="str">
        <f>VLOOKUP(AE79,'[2]Chart of accounts'!A:H,2,FALSE)</f>
        <v>50103010 00</v>
      </c>
      <c r="AG79" s="53" t="s">
        <v>1</v>
      </c>
      <c r="AH79" s="53" t="s">
        <v>1</v>
      </c>
    </row>
    <row r="80" spans="1:34" s="32" customFormat="1" ht="27.6">
      <c r="A80" s="338" t="s">
        <v>942</v>
      </c>
      <c r="B80" s="338" t="s">
        <v>943</v>
      </c>
      <c r="C80" s="358">
        <v>44211</v>
      </c>
      <c r="D80" s="351" t="s">
        <v>759</v>
      </c>
      <c r="E80" s="352" t="s">
        <v>763</v>
      </c>
      <c r="F80" s="359">
        <v>0.59097222222222223</v>
      </c>
      <c r="G80" s="359">
        <v>0.59513888888888888</v>
      </c>
      <c r="H80" s="359" t="s">
        <v>964</v>
      </c>
      <c r="I80" s="321">
        <v>732</v>
      </c>
      <c r="J80" s="338" t="str">
        <f>IFERROR(VLOOKUP(I80,'Chart of accounts'!A:H,2,FALSE),"")</f>
        <v>50103020 01</v>
      </c>
      <c r="K80" s="338" t="str">
        <f>IFERROR(VLOOKUP(I80,'Chart of accounts'!A:H,3,FALSE),"")</f>
        <v>Pag-IBIG - Civilian</v>
      </c>
      <c r="L80" s="338" t="str">
        <f>IFERROR(VLOOKUP(I80,'Chart of accounts'!A:H,4,FALSE),"")</f>
        <v>50103020 01 - Pag-IBIG - Civilian (732)</v>
      </c>
      <c r="M80" s="356" t="s">
        <v>769</v>
      </c>
      <c r="N80" s="357" t="s">
        <v>764</v>
      </c>
      <c r="O80" s="355" t="s">
        <v>762</v>
      </c>
      <c r="P80" s="355"/>
      <c r="Q80" s="319">
        <v>1100</v>
      </c>
      <c r="R80" s="319">
        <f t="shared" si="0"/>
        <v>-1100</v>
      </c>
      <c r="S80" s="319" t="str">
        <f>VLOOKUP(H80,'Fund Utilization Report'!$A$4:$U$1800,13,FALSE)</f>
        <v>PS</v>
      </c>
      <c r="T80" s="319" t="str">
        <f>VLOOKUP(H80,'Fund Utilization Report'!$A$4:$U$1800,2,FALSE)</f>
        <v>GAA</v>
      </c>
      <c r="U80" s="319" t="str">
        <f>VLOOKUP(H80,'Fund Utilization Report'!$A$4:$U$1800,3,FALSE)</f>
        <v>FY2021, RA11518</v>
      </c>
      <c r="V80" s="319" t="str">
        <f>VLOOKUP(H80,'Fund Utilization Report'!$A$4:$U$1800,4,FALSE)</f>
        <v>OO1</v>
      </c>
      <c r="W80" s="319" t="str">
        <f>VLOOKUP(H80,'Fund Utilization Report'!$A$4:$U$1800,5,FALSE)</f>
        <v>01101101</v>
      </c>
      <c r="X80" s="319" t="str">
        <f>VLOOKUP(H80,'Fund Utilization Report'!$A$4:$U$1800,6,FALSE)</f>
        <v>GOP</v>
      </c>
      <c r="Y80" s="320" t="str">
        <f>VLOOKUP(H80,'Fund Utilization Report'!$A$4:$U$1800,7,FALSE)</f>
        <v>PS</v>
      </c>
      <c r="Z80" s="321">
        <f>VLOOKUP(H80,'Fund Utilization Report'!$A$4:$U$1800,8,FALSE)</f>
        <v>5010000000</v>
      </c>
      <c r="AA80" s="319" t="str">
        <f>VLOOKUP(H80,'Fund Utilization Report'!$A$4:$U$1800,14,FALSE)</f>
        <v>310100100002000</v>
      </c>
      <c r="AB80" s="349" t="str">
        <f>VLOOKUP(H80,'Fund Utilization Report'!$A$4:$U$1800,15,FALSE)</f>
        <v>Development,Facilitation, and promotion of exports and investment, domestic and foreign</v>
      </c>
      <c r="AC80" s="55" t="s">
        <v>0</v>
      </c>
      <c r="AD80" s="38">
        <v>1</v>
      </c>
      <c r="AE80" s="39">
        <v>732</v>
      </c>
      <c r="AF80" s="51" t="str">
        <f>VLOOKUP(AE80,'[2]Chart of accounts'!A:H,2,FALSE)</f>
        <v>50103020 01</v>
      </c>
      <c r="AG80" s="53" t="s">
        <v>1</v>
      </c>
      <c r="AH80" s="53" t="s">
        <v>1</v>
      </c>
    </row>
    <row r="81" spans="1:34" s="32" customFormat="1" ht="27.6">
      <c r="A81" s="338" t="s">
        <v>942</v>
      </c>
      <c r="B81" s="338" t="s">
        <v>943</v>
      </c>
      <c r="C81" s="358">
        <v>44211</v>
      </c>
      <c r="D81" s="351" t="s">
        <v>759</v>
      </c>
      <c r="E81" s="352" t="s">
        <v>763</v>
      </c>
      <c r="F81" s="359">
        <v>0.59097222222222223</v>
      </c>
      <c r="G81" s="359">
        <v>0.59513888888888888</v>
      </c>
      <c r="H81" s="359" t="s">
        <v>964</v>
      </c>
      <c r="I81" s="321">
        <v>733</v>
      </c>
      <c r="J81" s="338" t="str">
        <f>IFERROR(VLOOKUP(I81,'Chart of accounts'!A:H,2,FALSE),"")</f>
        <v>50103030 01</v>
      </c>
      <c r="K81" s="338" t="str">
        <f>IFERROR(VLOOKUP(I81,'Chart of accounts'!A:H,3,FALSE),"")</f>
        <v>PhilHealth - Civilian</v>
      </c>
      <c r="L81" s="338" t="str">
        <f>IFERROR(VLOOKUP(I81,'Chart of accounts'!A:H,4,FALSE),"")</f>
        <v>50103030 01 - PhilHealth - Civilian (733)</v>
      </c>
      <c r="M81" s="356" t="s">
        <v>769</v>
      </c>
      <c r="N81" s="357" t="s">
        <v>764</v>
      </c>
      <c r="O81" s="355" t="s">
        <v>762</v>
      </c>
      <c r="P81" s="355"/>
      <c r="Q81" s="319">
        <v>5560.64</v>
      </c>
      <c r="R81" s="319">
        <f t="shared" si="0"/>
        <v>-5560.64</v>
      </c>
      <c r="S81" s="319" t="str">
        <f>VLOOKUP(H81,'Fund Utilization Report'!$A$4:$U$1800,13,FALSE)</f>
        <v>PS</v>
      </c>
      <c r="T81" s="319" t="str">
        <f>VLOOKUP(H81,'Fund Utilization Report'!$A$4:$U$1800,2,FALSE)</f>
        <v>GAA</v>
      </c>
      <c r="U81" s="319" t="str">
        <f>VLOOKUP(H81,'Fund Utilization Report'!$A$4:$U$1800,3,FALSE)</f>
        <v>FY2021, RA11518</v>
      </c>
      <c r="V81" s="319" t="str">
        <f>VLOOKUP(H81,'Fund Utilization Report'!$A$4:$U$1800,4,FALSE)</f>
        <v>OO1</v>
      </c>
      <c r="W81" s="319" t="str">
        <f>VLOOKUP(H81,'Fund Utilization Report'!$A$4:$U$1800,5,FALSE)</f>
        <v>01101101</v>
      </c>
      <c r="X81" s="319" t="str">
        <f>VLOOKUP(H81,'Fund Utilization Report'!$A$4:$U$1800,6,FALSE)</f>
        <v>GOP</v>
      </c>
      <c r="Y81" s="320" t="str">
        <f>VLOOKUP(H81,'Fund Utilization Report'!$A$4:$U$1800,7,FALSE)</f>
        <v>PS</v>
      </c>
      <c r="Z81" s="321">
        <f>VLOOKUP(H81,'Fund Utilization Report'!$A$4:$U$1800,8,FALSE)</f>
        <v>5010000000</v>
      </c>
      <c r="AA81" s="319" t="str">
        <f>VLOOKUP(H81,'Fund Utilization Report'!$A$4:$U$1800,14,FALSE)</f>
        <v>310100100002000</v>
      </c>
      <c r="AB81" s="349" t="str">
        <f>VLOOKUP(H81,'Fund Utilization Report'!$A$4:$U$1800,15,FALSE)</f>
        <v>Development,Facilitation, and promotion of exports and investment, domestic and foreign</v>
      </c>
      <c r="AC81" s="55" t="s">
        <v>0</v>
      </c>
      <c r="AD81" s="38">
        <v>1</v>
      </c>
      <c r="AE81" s="55">
        <v>733</v>
      </c>
      <c r="AF81" s="51" t="str">
        <f>VLOOKUP(AE81,'[2]Chart of accounts'!A:H,2,FALSE)</f>
        <v>50103030 01</v>
      </c>
      <c r="AG81" s="53" t="s">
        <v>1</v>
      </c>
      <c r="AH81" s="53" t="s">
        <v>1</v>
      </c>
    </row>
    <row r="82" spans="1:34" s="32" customFormat="1" ht="27.6">
      <c r="A82" s="338" t="s">
        <v>942</v>
      </c>
      <c r="B82" s="338" t="s">
        <v>943</v>
      </c>
      <c r="C82" s="358">
        <v>44211</v>
      </c>
      <c r="D82" s="351" t="s">
        <v>759</v>
      </c>
      <c r="E82" s="352" t="s">
        <v>763</v>
      </c>
      <c r="F82" s="359">
        <v>0.59097222222222223</v>
      </c>
      <c r="G82" s="359">
        <v>0.59513888888888888</v>
      </c>
      <c r="H82" s="359" t="s">
        <v>964</v>
      </c>
      <c r="I82" s="321">
        <v>734</v>
      </c>
      <c r="J82" s="338" t="str">
        <f>IFERROR(VLOOKUP(I82,'Chart of accounts'!A:H,2,FALSE),"")</f>
        <v>50103040 01</v>
      </c>
      <c r="K82" s="338" t="str">
        <f>IFERROR(VLOOKUP(I82,'Chart of accounts'!A:H,3,FALSE),"")</f>
        <v>ECIP - Civilian</v>
      </c>
      <c r="L82" s="338" t="str">
        <f>IFERROR(VLOOKUP(I82,'Chart of accounts'!A:H,4,FALSE),"")</f>
        <v>50103040 01 - ECIP - Civilian (734)</v>
      </c>
      <c r="M82" s="356" t="s">
        <v>769</v>
      </c>
      <c r="N82" s="357" t="s">
        <v>764</v>
      </c>
      <c r="O82" s="355" t="s">
        <v>762</v>
      </c>
      <c r="P82" s="355"/>
      <c r="Q82" s="319">
        <v>1100</v>
      </c>
      <c r="R82" s="319">
        <f t="shared" si="0"/>
        <v>-1100</v>
      </c>
      <c r="S82" s="319" t="str">
        <f>VLOOKUP(H82,'Fund Utilization Report'!$A$4:$U$1800,13,FALSE)</f>
        <v>PS</v>
      </c>
      <c r="T82" s="319" t="str">
        <f>VLOOKUP(H82,'Fund Utilization Report'!$A$4:$U$1800,2,FALSE)</f>
        <v>GAA</v>
      </c>
      <c r="U82" s="319" t="str">
        <f>VLOOKUP(H82,'Fund Utilization Report'!$A$4:$U$1800,3,FALSE)</f>
        <v>FY2021, RA11518</v>
      </c>
      <c r="V82" s="319" t="str">
        <f>VLOOKUP(H82,'Fund Utilization Report'!$A$4:$U$1800,4,FALSE)</f>
        <v>OO1</v>
      </c>
      <c r="W82" s="319" t="str">
        <f>VLOOKUP(H82,'Fund Utilization Report'!$A$4:$U$1800,5,FALSE)</f>
        <v>01101101</v>
      </c>
      <c r="X82" s="319" t="str">
        <f>VLOOKUP(H82,'Fund Utilization Report'!$A$4:$U$1800,6,FALSE)</f>
        <v>GOP</v>
      </c>
      <c r="Y82" s="320" t="str">
        <f>VLOOKUP(H82,'Fund Utilization Report'!$A$4:$U$1800,7,FALSE)</f>
        <v>PS</v>
      </c>
      <c r="Z82" s="321">
        <f>VLOOKUP(H82,'Fund Utilization Report'!$A$4:$U$1800,8,FALSE)</f>
        <v>5010000000</v>
      </c>
      <c r="AA82" s="319" t="str">
        <f>VLOOKUP(H82,'Fund Utilization Report'!$A$4:$U$1800,14,FALSE)</f>
        <v>310100100002000</v>
      </c>
      <c r="AB82" s="349" t="str">
        <f>VLOOKUP(H82,'Fund Utilization Report'!$A$4:$U$1800,15,FALSE)</f>
        <v>Development,Facilitation, and promotion of exports and investment, domestic and foreign</v>
      </c>
      <c r="AC82" s="55" t="s">
        <v>0</v>
      </c>
      <c r="AD82" s="38">
        <v>1</v>
      </c>
      <c r="AE82" s="55">
        <v>734</v>
      </c>
      <c r="AF82" s="51" t="str">
        <f>VLOOKUP(AE82,'[2]Chart of accounts'!A:H,2,FALSE)</f>
        <v>50103040 01</v>
      </c>
      <c r="AG82" s="53" t="s">
        <v>1</v>
      </c>
      <c r="AH82" s="53" t="s">
        <v>1</v>
      </c>
    </row>
    <row r="83" spans="1:34" s="32" customFormat="1" ht="27.6">
      <c r="A83" s="338" t="s">
        <v>942</v>
      </c>
      <c r="B83" s="338" t="s">
        <v>943</v>
      </c>
      <c r="C83" s="358">
        <v>44211</v>
      </c>
      <c r="D83" s="351" t="s">
        <v>759</v>
      </c>
      <c r="E83" s="352" t="s">
        <v>766</v>
      </c>
      <c r="F83" s="359">
        <v>0.59861111111111109</v>
      </c>
      <c r="G83" s="359">
        <v>0.6</v>
      </c>
      <c r="H83" s="359" t="s">
        <v>964</v>
      </c>
      <c r="I83" s="321">
        <v>701</v>
      </c>
      <c r="J83" s="338" t="str">
        <f>IFERROR(VLOOKUP(I83,'Chart of accounts'!A:H,2,FALSE),"")</f>
        <v>50101010 01</v>
      </c>
      <c r="K83" s="338" t="str">
        <f>IFERROR(VLOOKUP(I83,'Chart of accounts'!A:H,3,FALSE),"")</f>
        <v>Basic Salary - Civilian</v>
      </c>
      <c r="L83" s="338" t="str">
        <f>IFERROR(VLOOKUP(I83,'Chart of accounts'!A:H,4,FALSE),"")</f>
        <v>50101010 01 - Basic Salary - Civilian (701)</v>
      </c>
      <c r="M83" s="360" t="s">
        <v>770</v>
      </c>
      <c r="N83" s="355" t="s">
        <v>765</v>
      </c>
      <c r="O83" s="355" t="s">
        <v>762</v>
      </c>
      <c r="P83" s="355"/>
      <c r="Q83" s="319">
        <v>273461</v>
      </c>
      <c r="R83" s="319">
        <f t="shared" si="0"/>
        <v>-273461</v>
      </c>
      <c r="S83" s="319" t="str">
        <f>VLOOKUP(H83,'Fund Utilization Report'!$A$4:$U$1800,13,FALSE)</f>
        <v>PS</v>
      </c>
      <c r="T83" s="319" t="str">
        <f>VLOOKUP(H83,'Fund Utilization Report'!$A$4:$U$1800,2,FALSE)</f>
        <v>GAA</v>
      </c>
      <c r="U83" s="319" t="str">
        <f>VLOOKUP(H83,'Fund Utilization Report'!$A$4:$U$1800,3,FALSE)</f>
        <v>FY2021, RA11518</v>
      </c>
      <c r="V83" s="319" t="str">
        <f>VLOOKUP(H83,'Fund Utilization Report'!$A$4:$U$1800,4,FALSE)</f>
        <v>OO1</v>
      </c>
      <c r="W83" s="319" t="str">
        <f>VLOOKUP(H83,'Fund Utilization Report'!$A$4:$U$1800,5,FALSE)</f>
        <v>01101101</v>
      </c>
      <c r="X83" s="319" t="str">
        <f>VLOOKUP(H83,'Fund Utilization Report'!$A$4:$U$1800,6,FALSE)</f>
        <v>GOP</v>
      </c>
      <c r="Y83" s="320" t="str">
        <f>VLOOKUP(H83,'Fund Utilization Report'!$A$4:$U$1800,7,FALSE)</f>
        <v>PS</v>
      </c>
      <c r="Z83" s="321">
        <f>VLOOKUP(H83,'Fund Utilization Report'!$A$4:$U$1800,8,FALSE)</f>
        <v>5010000000</v>
      </c>
      <c r="AA83" s="319" t="str">
        <f>VLOOKUP(H83,'Fund Utilization Report'!$A$4:$U$1800,14,FALSE)</f>
        <v>310100100002000</v>
      </c>
      <c r="AB83" s="349" t="str">
        <f>VLOOKUP(H83,'Fund Utilization Report'!$A$4:$U$1800,15,FALSE)</f>
        <v>Development,Facilitation, and promotion of exports and investment, domestic and foreign</v>
      </c>
      <c r="AC83" s="55" t="s">
        <v>0</v>
      </c>
      <c r="AD83" s="38">
        <v>1</v>
      </c>
      <c r="AE83" s="39">
        <v>701</v>
      </c>
      <c r="AF83" s="51" t="str">
        <f>VLOOKUP(AE83,'[2]Chart of accounts'!A:H,2,FALSE)</f>
        <v>50101010 01</v>
      </c>
      <c r="AG83" s="53" t="s">
        <v>1</v>
      </c>
      <c r="AH83" s="53" t="s">
        <v>1</v>
      </c>
    </row>
    <row r="84" spans="1:34" s="32" customFormat="1" ht="27.6">
      <c r="A84" s="338" t="s">
        <v>942</v>
      </c>
      <c r="B84" s="338" t="s">
        <v>943</v>
      </c>
      <c r="C84" s="358">
        <v>44211</v>
      </c>
      <c r="D84" s="351" t="s">
        <v>759</v>
      </c>
      <c r="E84" s="352" t="s">
        <v>766</v>
      </c>
      <c r="F84" s="359">
        <v>0.59861111111111109</v>
      </c>
      <c r="G84" s="359">
        <v>0.6</v>
      </c>
      <c r="H84" s="359" t="s">
        <v>964</v>
      </c>
      <c r="I84" s="321">
        <v>711</v>
      </c>
      <c r="J84" s="338" t="str">
        <f>IFERROR(VLOOKUP(I84,'Chart of accounts'!A:H,2,FALSE),"")</f>
        <v>50102010 01</v>
      </c>
      <c r="K84" s="338" t="str">
        <f>IFERROR(VLOOKUP(I84,'Chart of accounts'!A:H,3,FALSE),"")</f>
        <v>PERA - Civilian</v>
      </c>
      <c r="L84" s="338" t="str">
        <f>IFERROR(VLOOKUP(I84,'Chart of accounts'!A:H,4,FALSE),"")</f>
        <v>50102010 01 - PERA - Civilian (711)</v>
      </c>
      <c r="M84" s="360" t="s">
        <v>770</v>
      </c>
      <c r="N84" s="355" t="s">
        <v>765</v>
      </c>
      <c r="O84" s="355" t="s">
        <v>762</v>
      </c>
      <c r="P84" s="355"/>
      <c r="Q84" s="319">
        <v>14000</v>
      </c>
      <c r="R84" s="319">
        <f t="shared" si="0"/>
        <v>-14000</v>
      </c>
      <c r="S84" s="319" t="str">
        <f>VLOOKUP(H84,'Fund Utilization Report'!$A$4:$U$1800,13,FALSE)</f>
        <v>PS</v>
      </c>
      <c r="T84" s="319" t="str">
        <f>VLOOKUP(H84,'Fund Utilization Report'!$A$4:$U$1800,2,FALSE)</f>
        <v>GAA</v>
      </c>
      <c r="U84" s="319" t="str">
        <f>VLOOKUP(H84,'Fund Utilization Report'!$A$4:$U$1800,3,FALSE)</f>
        <v>FY2021, RA11518</v>
      </c>
      <c r="V84" s="319" t="str">
        <f>VLOOKUP(H84,'Fund Utilization Report'!$A$4:$U$1800,4,FALSE)</f>
        <v>OO1</v>
      </c>
      <c r="W84" s="319" t="str">
        <f>VLOOKUP(H84,'Fund Utilization Report'!$A$4:$U$1800,5,FALSE)</f>
        <v>01101101</v>
      </c>
      <c r="X84" s="319" t="str">
        <f>VLOOKUP(H84,'Fund Utilization Report'!$A$4:$U$1800,6,FALSE)</f>
        <v>GOP</v>
      </c>
      <c r="Y84" s="320" t="str">
        <f>VLOOKUP(H84,'Fund Utilization Report'!$A$4:$U$1800,7,FALSE)</f>
        <v>PS</v>
      </c>
      <c r="Z84" s="321">
        <f>VLOOKUP(H84,'Fund Utilization Report'!$A$4:$U$1800,8,FALSE)</f>
        <v>5010000000</v>
      </c>
      <c r="AA84" s="319" t="str">
        <f>VLOOKUP(H84,'Fund Utilization Report'!$A$4:$U$1800,14,FALSE)</f>
        <v>310100100002000</v>
      </c>
      <c r="AB84" s="349" t="str">
        <f>VLOOKUP(H84,'Fund Utilization Report'!$A$4:$U$1800,15,FALSE)</f>
        <v>Development,Facilitation, and promotion of exports and investment, domestic and foreign</v>
      </c>
      <c r="AC84" s="55" t="s">
        <v>0</v>
      </c>
      <c r="AD84" s="38">
        <v>1</v>
      </c>
      <c r="AE84" s="39">
        <v>711</v>
      </c>
      <c r="AF84" s="51" t="str">
        <f>VLOOKUP(AE84,'[2]Chart of accounts'!A:H,2,FALSE)</f>
        <v>50102010 01</v>
      </c>
      <c r="AG84" s="53" t="s">
        <v>1</v>
      </c>
      <c r="AH84" s="53" t="s">
        <v>1</v>
      </c>
    </row>
    <row r="85" spans="1:34" s="32" customFormat="1" ht="27.6">
      <c r="A85" s="338" t="s">
        <v>942</v>
      </c>
      <c r="B85" s="338" t="s">
        <v>943</v>
      </c>
      <c r="C85" s="358">
        <v>44211</v>
      </c>
      <c r="D85" s="351" t="s">
        <v>759</v>
      </c>
      <c r="E85" s="352" t="s">
        <v>766</v>
      </c>
      <c r="F85" s="359">
        <v>0.59861111111111109</v>
      </c>
      <c r="G85" s="359">
        <v>0.6</v>
      </c>
      <c r="H85" s="359" t="s">
        <v>966</v>
      </c>
      <c r="I85" s="321">
        <v>731</v>
      </c>
      <c r="J85" s="338" t="str">
        <f>IFERROR(VLOOKUP(I85,'Chart of accounts'!A:H,2,FALSE),"")</f>
        <v>50103010 00</v>
      </c>
      <c r="K85" s="338" t="str">
        <f>IFERROR(VLOOKUP(I85,'Chart of accounts'!A:H,3,FALSE),"")</f>
        <v>Retirement and Life Insurance Premiums</v>
      </c>
      <c r="L85" s="338" t="str">
        <f>IFERROR(VLOOKUP(I85,'Chart of accounts'!A:H,4,FALSE),"")</f>
        <v>50103010 00 - Retirement and Life Insurance Premiums (731)</v>
      </c>
      <c r="M85" s="360" t="s">
        <v>770</v>
      </c>
      <c r="N85" s="355" t="s">
        <v>765</v>
      </c>
      <c r="O85" s="355" t="s">
        <v>762</v>
      </c>
      <c r="P85" s="355"/>
      <c r="Q85" s="319">
        <v>32815.32</v>
      </c>
      <c r="R85" s="319">
        <f t="shared" si="0"/>
        <v>-32815.32</v>
      </c>
      <c r="S85" s="319" t="str">
        <f>VLOOKUP(H85,'Fund Utilization Report'!$A$4:$U$1800,13,FALSE)</f>
        <v>PS</v>
      </c>
      <c r="T85" s="319" t="str">
        <f>VLOOKUP(H85,'Fund Utilization Report'!$A$4:$U$1800,2,FALSE)</f>
        <v>GAA</v>
      </c>
      <c r="U85" s="319" t="str">
        <f>VLOOKUP(H85,'Fund Utilization Report'!$A$4:$U$1800,3,FALSE)</f>
        <v>FY2021, RA11518</v>
      </c>
      <c r="V85" s="319" t="str">
        <f>VLOOKUP(H85,'Fund Utilization Report'!$A$4:$U$1800,4,FALSE)</f>
        <v>OO1</v>
      </c>
      <c r="W85" s="319" t="str">
        <f>VLOOKUP(H85,'Fund Utilization Report'!$A$4:$U$1800,5,FALSE)</f>
        <v>01101101</v>
      </c>
      <c r="X85" s="319" t="str">
        <f>VLOOKUP(H85,'Fund Utilization Report'!$A$4:$U$1800,6,FALSE)</f>
        <v>GOP</v>
      </c>
      <c r="Y85" s="320" t="str">
        <f>VLOOKUP(H85,'Fund Utilization Report'!$A$4:$U$1800,7,FALSE)</f>
        <v>RLIP</v>
      </c>
      <c r="Z85" s="321" t="str">
        <f>VLOOKUP(H85,'Fund Utilization Report'!$A$4:$U$1800,8,FALSE)</f>
        <v>50103010-00</v>
      </c>
      <c r="AA85" s="319" t="str">
        <f>VLOOKUP(H85,'Fund Utilization Report'!$A$4:$U$1800,14,FALSE)</f>
        <v>310100100002000</v>
      </c>
      <c r="AB85" s="349" t="str">
        <f>VLOOKUP(H85,'Fund Utilization Report'!$A$4:$U$1800,15,FALSE)</f>
        <v>Development,Facilitation, and promotion of exports and investment, domestic and foreign</v>
      </c>
      <c r="AC85" s="55" t="s">
        <v>0</v>
      </c>
      <c r="AD85" s="38">
        <v>1</v>
      </c>
      <c r="AE85" s="39">
        <v>731</v>
      </c>
      <c r="AF85" s="51" t="str">
        <f>VLOOKUP(AE85,'[2]Chart of accounts'!A:H,2,FALSE)</f>
        <v>50103010 00</v>
      </c>
      <c r="AG85" s="53" t="s">
        <v>1</v>
      </c>
      <c r="AH85" s="53" t="s">
        <v>1</v>
      </c>
    </row>
    <row r="86" spans="1:34" s="32" customFormat="1" ht="27.6">
      <c r="A86" s="338" t="s">
        <v>942</v>
      </c>
      <c r="B86" s="338" t="s">
        <v>943</v>
      </c>
      <c r="C86" s="358">
        <v>44211</v>
      </c>
      <c r="D86" s="351" t="s">
        <v>759</v>
      </c>
      <c r="E86" s="352" t="s">
        <v>766</v>
      </c>
      <c r="F86" s="359">
        <v>0.59861111111111109</v>
      </c>
      <c r="G86" s="359">
        <v>0.6</v>
      </c>
      <c r="H86" s="359" t="s">
        <v>964</v>
      </c>
      <c r="I86" s="321">
        <v>732</v>
      </c>
      <c r="J86" s="338" t="str">
        <f>IFERROR(VLOOKUP(I86,'Chart of accounts'!A:H,2,FALSE),"")</f>
        <v>50103020 01</v>
      </c>
      <c r="K86" s="338" t="str">
        <f>IFERROR(VLOOKUP(I86,'Chart of accounts'!A:H,3,FALSE),"")</f>
        <v>Pag-IBIG - Civilian</v>
      </c>
      <c r="L86" s="338" t="str">
        <f>IFERROR(VLOOKUP(I86,'Chart of accounts'!A:H,4,FALSE),"")</f>
        <v>50103020 01 - Pag-IBIG - Civilian (732)</v>
      </c>
      <c r="M86" s="360" t="s">
        <v>770</v>
      </c>
      <c r="N86" s="355" t="s">
        <v>765</v>
      </c>
      <c r="O86" s="355" t="s">
        <v>762</v>
      </c>
      <c r="P86" s="355"/>
      <c r="Q86" s="319">
        <v>700</v>
      </c>
      <c r="R86" s="319">
        <f t="shared" si="0"/>
        <v>-700</v>
      </c>
      <c r="S86" s="319" t="str">
        <f>VLOOKUP(H86,'Fund Utilization Report'!$A$4:$U$1800,13,FALSE)</f>
        <v>PS</v>
      </c>
      <c r="T86" s="319" t="str">
        <f>VLOOKUP(H86,'Fund Utilization Report'!$A$4:$U$1800,2,FALSE)</f>
        <v>GAA</v>
      </c>
      <c r="U86" s="319" t="str">
        <f>VLOOKUP(H86,'Fund Utilization Report'!$A$4:$U$1800,3,FALSE)</f>
        <v>FY2021, RA11518</v>
      </c>
      <c r="V86" s="319" t="str">
        <f>VLOOKUP(H86,'Fund Utilization Report'!$A$4:$U$1800,4,FALSE)</f>
        <v>OO1</v>
      </c>
      <c r="W86" s="319" t="str">
        <f>VLOOKUP(H86,'Fund Utilization Report'!$A$4:$U$1800,5,FALSE)</f>
        <v>01101101</v>
      </c>
      <c r="X86" s="319" t="str">
        <f>VLOOKUP(H86,'Fund Utilization Report'!$A$4:$U$1800,6,FALSE)</f>
        <v>GOP</v>
      </c>
      <c r="Y86" s="320" t="str">
        <f>VLOOKUP(H86,'Fund Utilization Report'!$A$4:$U$1800,7,FALSE)</f>
        <v>PS</v>
      </c>
      <c r="Z86" s="321">
        <f>VLOOKUP(H86,'Fund Utilization Report'!$A$4:$U$1800,8,FALSE)</f>
        <v>5010000000</v>
      </c>
      <c r="AA86" s="319" t="str">
        <f>VLOOKUP(H86,'Fund Utilization Report'!$A$4:$U$1800,14,FALSE)</f>
        <v>310100100002000</v>
      </c>
      <c r="AB86" s="349" t="str">
        <f>VLOOKUP(H86,'Fund Utilization Report'!$A$4:$U$1800,15,FALSE)</f>
        <v>Development,Facilitation, and promotion of exports and investment, domestic and foreign</v>
      </c>
      <c r="AC86" s="55" t="s">
        <v>0</v>
      </c>
      <c r="AD86" s="38">
        <v>1</v>
      </c>
      <c r="AE86" s="39">
        <v>732</v>
      </c>
      <c r="AF86" s="51" t="str">
        <f>VLOOKUP(AE86,'[2]Chart of accounts'!A:H,2,FALSE)</f>
        <v>50103020 01</v>
      </c>
      <c r="AG86" s="53" t="s">
        <v>1</v>
      </c>
      <c r="AH86" s="53" t="s">
        <v>1</v>
      </c>
    </row>
    <row r="87" spans="1:34" s="32" customFormat="1" ht="27.6">
      <c r="A87" s="338" t="s">
        <v>942</v>
      </c>
      <c r="B87" s="338" t="s">
        <v>943</v>
      </c>
      <c r="C87" s="358">
        <v>44211</v>
      </c>
      <c r="D87" s="351" t="s">
        <v>759</v>
      </c>
      <c r="E87" s="352" t="s">
        <v>766</v>
      </c>
      <c r="F87" s="359">
        <v>0.59861111111111109</v>
      </c>
      <c r="G87" s="359">
        <v>0.6</v>
      </c>
      <c r="H87" s="359" t="s">
        <v>964</v>
      </c>
      <c r="I87" s="321">
        <v>733</v>
      </c>
      <c r="J87" s="338" t="str">
        <f>IFERROR(VLOOKUP(I87,'Chart of accounts'!A:H,2,FALSE),"")</f>
        <v>50103030 01</v>
      </c>
      <c r="K87" s="338" t="str">
        <f>IFERROR(VLOOKUP(I87,'Chart of accounts'!A:H,3,FALSE),"")</f>
        <v>PhilHealth - Civilian</v>
      </c>
      <c r="L87" s="338" t="str">
        <f>IFERROR(VLOOKUP(I87,'Chart of accounts'!A:H,4,FALSE),"")</f>
        <v>50103030 01 - PhilHealth - Civilian (733)</v>
      </c>
      <c r="M87" s="360" t="s">
        <v>770</v>
      </c>
      <c r="N87" s="355" t="s">
        <v>765</v>
      </c>
      <c r="O87" s="355" t="s">
        <v>762</v>
      </c>
      <c r="P87" s="355"/>
      <c r="Q87" s="319">
        <v>3358.03</v>
      </c>
      <c r="R87" s="319">
        <f t="shared" si="0"/>
        <v>-3358.03</v>
      </c>
      <c r="S87" s="319" t="str">
        <f>VLOOKUP(H87,'Fund Utilization Report'!$A$4:$U$1800,13,FALSE)</f>
        <v>PS</v>
      </c>
      <c r="T87" s="319" t="str">
        <f>VLOOKUP(H87,'Fund Utilization Report'!$A$4:$U$1800,2,FALSE)</f>
        <v>GAA</v>
      </c>
      <c r="U87" s="319" t="str">
        <f>VLOOKUP(H87,'Fund Utilization Report'!$A$4:$U$1800,3,FALSE)</f>
        <v>FY2021, RA11518</v>
      </c>
      <c r="V87" s="319" t="str">
        <f>VLOOKUP(H87,'Fund Utilization Report'!$A$4:$U$1800,4,FALSE)</f>
        <v>OO1</v>
      </c>
      <c r="W87" s="319" t="str">
        <f>VLOOKUP(H87,'Fund Utilization Report'!$A$4:$U$1800,5,FALSE)</f>
        <v>01101101</v>
      </c>
      <c r="X87" s="319" t="str">
        <f>VLOOKUP(H87,'Fund Utilization Report'!$A$4:$U$1800,6,FALSE)</f>
        <v>GOP</v>
      </c>
      <c r="Y87" s="320" t="str">
        <f>VLOOKUP(H87,'Fund Utilization Report'!$A$4:$U$1800,7,FALSE)</f>
        <v>PS</v>
      </c>
      <c r="Z87" s="321">
        <f>VLOOKUP(H87,'Fund Utilization Report'!$A$4:$U$1800,8,FALSE)</f>
        <v>5010000000</v>
      </c>
      <c r="AA87" s="319" t="str">
        <f>VLOOKUP(H87,'Fund Utilization Report'!$A$4:$U$1800,14,FALSE)</f>
        <v>310100100002000</v>
      </c>
      <c r="AB87" s="349" t="str">
        <f>VLOOKUP(H87,'Fund Utilization Report'!$A$4:$U$1800,15,FALSE)</f>
        <v>Development,Facilitation, and promotion of exports and investment, domestic and foreign</v>
      </c>
      <c r="AC87" s="55" t="s">
        <v>0</v>
      </c>
      <c r="AD87" s="38">
        <v>1</v>
      </c>
      <c r="AE87" s="55">
        <v>733</v>
      </c>
      <c r="AF87" s="51" t="str">
        <f>VLOOKUP(AE87,'[2]Chart of accounts'!A:H,2,FALSE)</f>
        <v>50103030 01</v>
      </c>
      <c r="AG87" s="53" t="s">
        <v>1</v>
      </c>
      <c r="AH87" s="53" t="s">
        <v>1</v>
      </c>
    </row>
    <row r="88" spans="1:34" s="32" customFormat="1" ht="27.6">
      <c r="A88" s="338" t="s">
        <v>942</v>
      </c>
      <c r="B88" s="338" t="s">
        <v>943</v>
      </c>
      <c r="C88" s="358">
        <v>44211</v>
      </c>
      <c r="D88" s="351" t="s">
        <v>759</v>
      </c>
      <c r="E88" s="352" t="s">
        <v>766</v>
      </c>
      <c r="F88" s="359">
        <v>0.59861111111111109</v>
      </c>
      <c r="G88" s="359">
        <v>0.6</v>
      </c>
      <c r="H88" s="359" t="s">
        <v>964</v>
      </c>
      <c r="I88" s="321">
        <v>734</v>
      </c>
      <c r="J88" s="338" t="str">
        <f>IFERROR(VLOOKUP(I88,'Chart of accounts'!A:H,2,FALSE),"")</f>
        <v>50103040 01</v>
      </c>
      <c r="K88" s="338" t="str">
        <f>IFERROR(VLOOKUP(I88,'Chart of accounts'!A:H,3,FALSE),"")</f>
        <v>ECIP - Civilian</v>
      </c>
      <c r="L88" s="338" t="str">
        <f>IFERROR(VLOOKUP(I88,'Chart of accounts'!A:H,4,FALSE),"")</f>
        <v>50103040 01 - ECIP - Civilian (734)</v>
      </c>
      <c r="M88" s="360" t="s">
        <v>770</v>
      </c>
      <c r="N88" s="355" t="s">
        <v>765</v>
      </c>
      <c r="O88" s="355" t="s">
        <v>762</v>
      </c>
      <c r="P88" s="355"/>
      <c r="Q88" s="319">
        <v>700</v>
      </c>
      <c r="R88" s="319">
        <f t="shared" si="0"/>
        <v>-700</v>
      </c>
      <c r="S88" s="319" t="str">
        <f>VLOOKUP(H88,'Fund Utilization Report'!$A$4:$U$1800,13,FALSE)</f>
        <v>PS</v>
      </c>
      <c r="T88" s="319" t="str">
        <f>VLOOKUP(H88,'Fund Utilization Report'!$A$4:$U$1800,2,FALSE)</f>
        <v>GAA</v>
      </c>
      <c r="U88" s="319" t="str">
        <f>VLOOKUP(H88,'Fund Utilization Report'!$A$4:$U$1800,3,FALSE)</f>
        <v>FY2021, RA11518</v>
      </c>
      <c r="V88" s="319" t="str">
        <f>VLOOKUP(H88,'Fund Utilization Report'!$A$4:$U$1800,4,FALSE)</f>
        <v>OO1</v>
      </c>
      <c r="W88" s="319" t="str">
        <f>VLOOKUP(H88,'Fund Utilization Report'!$A$4:$U$1800,5,FALSE)</f>
        <v>01101101</v>
      </c>
      <c r="X88" s="319" t="str">
        <f>VLOOKUP(H88,'Fund Utilization Report'!$A$4:$U$1800,6,FALSE)</f>
        <v>GOP</v>
      </c>
      <c r="Y88" s="320" t="str">
        <f>VLOOKUP(H88,'Fund Utilization Report'!$A$4:$U$1800,7,FALSE)</f>
        <v>PS</v>
      </c>
      <c r="Z88" s="321">
        <f>VLOOKUP(H88,'Fund Utilization Report'!$A$4:$U$1800,8,FALSE)</f>
        <v>5010000000</v>
      </c>
      <c r="AA88" s="319" t="str">
        <f>VLOOKUP(H88,'Fund Utilization Report'!$A$4:$U$1800,14,FALSE)</f>
        <v>310100100002000</v>
      </c>
      <c r="AB88" s="349" t="str">
        <f>VLOOKUP(H88,'Fund Utilization Report'!$A$4:$U$1800,15,FALSE)</f>
        <v>Development,Facilitation, and promotion of exports and investment, domestic and foreign</v>
      </c>
      <c r="AC88" s="55" t="s">
        <v>0</v>
      </c>
      <c r="AD88" s="38">
        <v>1</v>
      </c>
      <c r="AE88" s="55">
        <v>734</v>
      </c>
      <c r="AF88" s="51" t="str">
        <f>VLOOKUP(AE88,'[2]Chart of accounts'!A:H,2,FALSE)</f>
        <v>50103040 01</v>
      </c>
      <c r="AG88" s="53" t="s">
        <v>1</v>
      </c>
      <c r="AH88" s="53" t="s">
        <v>1</v>
      </c>
    </row>
    <row r="89" spans="1:34" s="32" customFormat="1" ht="27.6">
      <c r="A89" s="338" t="s">
        <v>942</v>
      </c>
      <c r="B89" s="338" t="s">
        <v>943</v>
      </c>
      <c r="C89" s="358">
        <v>44211</v>
      </c>
      <c r="D89" s="351" t="s">
        <v>759</v>
      </c>
      <c r="E89" s="352" t="s">
        <v>767</v>
      </c>
      <c r="F89" s="359">
        <v>0.60069444444444442</v>
      </c>
      <c r="G89" s="359">
        <v>0.6069444444444444</v>
      </c>
      <c r="H89" s="359" t="s">
        <v>964</v>
      </c>
      <c r="I89" s="321">
        <v>701</v>
      </c>
      <c r="J89" s="338" t="str">
        <f>IFERROR(VLOOKUP(I89,'Chart of accounts'!A:H,2,FALSE),"")</f>
        <v>50101010 01</v>
      </c>
      <c r="K89" s="338" t="str">
        <f>IFERROR(VLOOKUP(I89,'Chart of accounts'!A:H,3,FALSE),"")</f>
        <v>Basic Salary - Civilian</v>
      </c>
      <c r="L89" s="338" t="str">
        <f>IFERROR(VLOOKUP(I89,'Chart of accounts'!A:H,4,FALSE),"")</f>
        <v>50101010 01 - Basic Salary - Civilian (701)</v>
      </c>
      <c r="M89" s="360" t="s">
        <v>771</v>
      </c>
      <c r="N89" s="355" t="s">
        <v>768</v>
      </c>
      <c r="O89" s="355" t="s">
        <v>762</v>
      </c>
      <c r="P89" s="355"/>
      <c r="Q89" s="319">
        <v>565193</v>
      </c>
      <c r="R89" s="319">
        <f t="shared" si="0"/>
        <v>-565193</v>
      </c>
      <c r="S89" s="319" t="str">
        <f>VLOOKUP(H89,'Fund Utilization Report'!$A$4:$U$1800,13,FALSE)</f>
        <v>PS</v>
      </c>
      <c r="T89" s="319" t="str">
        <f>VLOOKUP(H89,'Fund Utilization Report'!$A$4:$U$1800,2,FALSE)</f>
        <v>GAA</v>
      </c>
      <c r="U89" s="319" t="str">
        <f>VLOOKUP(H89,'Fund Utilization Report'!$A$4:$U$1800,3,FALSE)</f>
        <v>FY2021, RA11518</v>
      </c>
      <c r="V89" s="319" t="str">
        <f>VLOOKUP(H89,'Fund Utilization Report'!$A$4:$U$1800,4,FALSE)</f>
        <v>OO1</v>
      </c>
      <c r="W89" s="319" t="str">
        <f>VLOOKUP(H89,'Fund Utilization Report'!$A$4:$U$1800,5,FALSE)</f>
        <v>01101101</v>
      </c>
      <c r="X89" s="319" t="str">
        <f>VLOOKUP(H89,'Fund Utilization Report'!$A$4:$U$1800,6,FALSE)</f>
        <v>GOP</v>
      </c>
      <c r="Y89" s="320" t="str">
        <f>VLOOKUP(H89,'Fund Utilization Report'!$A$4:$U$1800,7,FALSE)</f>
        <v>PS</v>
      </c>
      <c r="Z89" s="321">
        <f>VLOOKUP(H89,'Fund Utilization Report'!$A$4:$U$1800,8,FALSE)</f>
        <v>5010000000</v>
      </c>
      <c r="AA89" s="319" t="str">
        <f>VLOOKUP(H89,'Fund Utilization Report'!$A$4:$U$1800,14,FALSE)</f>
        <v>310100100002000</v>
      </c>
      <c r="AB89" s="349" t="str">
        <f>VLOOKUP(H89,'Fund Utilization Report'!$A$4:$U$1800,15,FALSE)</f>
        <v>Development,Facilitation, and promotion of exports and investment, domestic and foreign</v>
      </c>
      <c r="AC89" s="55" t="s">
        <v>0</v>
      </c>
      <c r="AD89" s="38">
        <v>1</v>
      </c>
      <c r="AE89" s="39">
        <v>701</v>
      </c>
      <c r="AF89" s="51" t="str">
        <f>VLOOKUP(AE89,'[2]Chart of accounts'!A:H,2,FALSE)</f>
        <v>50101010 01</v>
      </c>
      <c r="AG89" s="53" t="s">
        <v>1</v>
      </c>
      <c r="AH89" s="53" t="s">
        <v>1</v>
      </c>
    </row>
    <row r="90" spans="1:34" s="32" customFormat="1" ht="27.6">
      <c r="A90" s="338" t="s">
        <v>942</v>
      </c>
      <c r="B90" s="338" t="s">
        <v>943</v>
      </c>
      <c r="C90" s="358">
        <v>44211</v>
      </c>
      <c r="D90" s="351" t="s">
        <v>759</v>
      </c>
      <c r="E90" s="352" t="s">
        <v>767</v>
      </c>
      <c r="F90" s="359">
        <v>0.60069444444444442</v>
      </c>
      <c r="G90" s="359">
        <v>0.6069444444444444</v>
      </c>
      <c r="H90" s="359" t="s">
        <v>964</v>
      </c>
      <c r="I90" s="321">
        <v>711</v>
      </c>
      <c r="J90" s="338" t="str">
        <f>IFERROR(VLOOKUP(I90,'Chart of accounts'!A:H,2,FALSE),"")</f>
        <v>50102010 01</v>
      </c>
      <c r="K90" s="338" t="str">
        <f>IFERROR(VLOOKUP(I90,'Chart of accounts'!A:H,3,FALSE),"")</f>
        <v>PERA - Civilian</v>
      </c>
      <c r="L90" s="338" t="str">
        <f>IFERROR(VLOOKUP(I90,'Chart of accounts'!A:H,4,FALSE),"")</f>
        <v>50102010 01 - PERA - Civilian (711)</v>
      </c>
      <c r="M90" s="360" t="s">
        <v>771</v>
      </c>
      <c r="N90" s="355" t="s">
        <v>768</v>
      </c>
      <c r="O90" s="355" t="s">
        <v>762</v>
      </c>
      <c r="P90" s="355"/>
      <c r="Q90" s="319">
        <v>24000</v>
      </c>
      <c r="R90" s="319">
        <f t="shared" si="0"/>
        <v>-24000</v>
      </c>
      <c r="S90" s="319" t="str">
        <f>VLOOKUP(H90,'Fund Utilization Report'!$A$4:$U$1800,13,FALSE)</f>
        <v>PS</v>
      </c>
      <c r="T90" s="319" t="str">
        <f>VLOOKUP(H90,'Fund Utilization Report'!$A$4:$U$1800,2,FALSE)</f>
        <v>GAA</v>
      </c>
      <c r="U90" s="319" t="str">
        <f>VLOOKUP(H90,'Fund Utilization Report'!$A$4:$U$1800,3,FALSE)</f>
        <v>FY2021, RA11518</v>
      </c>
      <c r="V90" s="319" t="str">
        <f>VLOOKUP(H90,'Fund Utilization Report'!$A$4:$U$1800,4,FALSE)</f>
        <v>OO1</v>
      </c>
      <c r="W90" s="319" t="str">
        <f>VLOOKUP(H90,'Fund Utilization Report'!$A$4:$U$1800,5,FALSE)</f>
        <v>01101101</v>
      </c>
      <c r="X90" s="319" t="str">
        <f>VLOOKUP(H90,'Fund Utilization Report'!$A$4:$U$1800,6,FALSE)</f>
        <v>GOP</v>
      </c>
      <c r="Y90" s="320" t="str">
        <f>VLOOKUP(H90,'Fund Utilization Report'!$A$4:$U$1800,7,FALSE)</f>
        <v>PS</v>
      </c>
      <c r="Z90" s="321">
        <f>VLOOKUP(H90,'Fund Utilization Report'!$A$4:$U$1800,8,FALSE)</f>
        <v>5010000000</v>
      </c>
      <c r="AA90" s="319" t="str">
        <f>VLOOKUP(H90,'Fund Utilization Report'!$A$4:$U$1800,14,FALSE)</f>
        <v>310100100002000</v>
      </c>
      <c r="AB90" s="349" t="str">
        <f>VLOOKUP(H90,'Fund Utilization Report'!$A$4:$U$1800,15,FALSE)</f>
        <v>Development,Facilitation, and promotion of exports and investment, domestic and foreign</v>
      </c>
      <c r="AC90" s="55" t="s">
        <v>0</v>
      </c>
      <c r="AD90" s="38">
        <v>1</v>
      </c>
      <c r="AE90" s="39">
        <v>711</v>
      </c>
      <c r="AF90" s="51" t="str">
        <f>VLOOKUP(AE90,'[2]Chart of accounts'!A:H,2,FALSE)</f>
        <v>50102010 01</v>
      </c>
      <c r="AG90" s="53" t="s">
        <v>1</v>
      </c>
      <c r="AH90" s="53" t="s">
        <v>1</v>
      </c>
    </row>
    <row r="91" spans="1:34" s="32" customFormat="1" ht="27.6">
      <c r="A91" s="338" t="s">
        <v>942</v>
      </c>
      <c r="B91" s="338" t="s">
        <v>943</v>
      </c>
      <c r="C91" s="358">
        <v>44211</v>
      </c>
      <c r="D91" s="351" t="s">
        <v>759</v>
      </c>
      <c r="E91" s="352" t="s">
        <v>767</v>
      </c>
      <c r="F91" s="359">
        <v>0.60069444444444442</v>
      </c>
      <c r="G91" s="359">
        <v>0.6069444444444444</v>
      </c>
      <c r="H91" s="359" t="s">
        <v>966</v>
      </c>
      <c r="I91" s="321">
        <v>731</v>
      </c>
      <c r="J91" s="338" t="str">
        <f>IFERROR(VLOOKUP(I91,'Chart of accounts'!A:H,2,FALSE),"")</f>
        <v>50103010 00</v>
      </c>
      <c r="K91" s="338" t="str">
        <f>IFERROR(VLOOKUP(I91,'Chart of accounts'!A:H,3,FALSE),"")</f>
        <v>Retirement and Life Insurance Premiums</v>
      </c>
      <c r="L91" s="338" t="str">
        <f>IFERROR(VLOOKUP(I91,'Chart of accounts'!A:H,4,FALSE),"")</f>
        <v>50103010 00 - Retirement and Life Insurance Premiums (731)</v>
      </c>
      <c r="M91" s="360" t="s">
        <v>771</v>
      </c>
      <c r="N91" s="355" t="s">
        <v>768</v>
      </c>
      <c r="O91" s="355" t="s">
        <v>762</v>
      </c>
      <c r="P91" s="355"/>
      <c r="Q91" s="319">
        <v>67823.16</v>
      </c>
      <c r="R91" s="319">
        <f t="shared" si="0"/>
        <v>-67823.16</v>
      </c>
      <c r="S91" s="319" t="str">
        <f>VLOOKUP(H91,'Fund Utilization Report'!$A$4:$U$1800,13,FALSE)</f>
        <v>PS</v>
      </c>
      <c r="T91" s="319" t="str">
        <f>VLOOKUP(H91,'Fund Utilization Report'!$A$4:$U$1800,2,FALSE)</f>
        <v>GAA</v>
      </c>
      <c r="U91" s="319" t="str">
        <f>VLOOKUP(H91,'Fund Utilization Report'!$A$4:$U$1800,3,FALSE)</f>
        <v>FY2021, RA11518</v>
      </c>
      <c r="V91" s="319" t="str">
        <f>VLOOKUP(H91,'Fund Utilization Report'!$A$4:$U$1800,4,FALSE)</f>
        <v>OO1</v>
      </c>
      <c r="W91" s="319" t="str">
        <f>VLOOKUP(H91,'Fund Utilization Report'!$A$4:$U$1800,5,FALSE)</f>
        <v>01101101</v>
      </c>
      <c r="X91" s="319" t="str">
        <f>VLOOKUP(H91,'Fund Utilization Report'!$A$4:$U$1800,6,FALSE)</f>
        <v>GOP</v>
      </c>
      <c r="Y91" s="320" t="str">
        <f>VLOOKUP(H91,'Fund Utilization Report'!$A$4:$U$1800,7,FALSE)</f>
        <v>RLIP</v>
      </c>
      <c r="Z91" s="321" t="str">
        <f>VLOOKUP(H91,'Fund Utilization Report'!$A$4:$U$1800,8,FALSE)</f>
        <v>50103010-00</v>
      </c>
      <c r="AA91" s="319" t="str">
        <f>VLOOKUP(H91,'Fund Utilization Report'!$A$4:$U$1800,14,FALSE)</f>
        <v>310100100002000</v>
      </c>
      <c r="AB91" s="349" t="str">
        <f>VLOOKUP(H91,'Fund Utilization Report'!$A$4:$U$1800,15,FALSE)</f>
        <v>Development,Facilitation, and promotion of exports and investment, domestic and foreign</v>
      </c>
      <c r="AC91" s="55" t="s">
        <v>0</v>
      </c>
      <c r="AD91" s="38">
        <v>1</v>
      </c>
      <c r="AE91" s="39">
        <v>731</v>
      </c>
      <c r="AF91" s="51" t="str">
        <f>VLOOKUP(AE91,'[2]Chart of accounts'!A:H,2,FALSE)</f>
        <v>50103010 00</v>
      </c>
      <c r="AG91" s="53" t="s">
        <v>1</v>
      </c>
      <c r="AH91" s="53" t="s">
        <v>1</v>
      </c>
    </row>
    <row r="92" spans="1:34" s="32" customFormat="1" ht="27.6">
      <c r="A92" s="338" t="s">
        <v>942</v>
      </c>
      <c r="B92" s="338" t="s">
        <v>943</v>
      </c>
      <c r="C92" s="358">
        <v>44211</v>
      </c>
      <c r="D92" s="351" t="s">
        <v>759</v>
      </c>
      <c r="E92" s="352" t="s">
        <v>767</v>
      </c>
      <c r="F92" s="359">
        <v>0.60069444444444442</v>
      </c>
      <c r="G92" s="359">
        <v>0.6069444444444444</v>
      </c>
      <c r="H92" s="359" t="s">
        <v>964</v>
      </c>
      <c r="I92" s="321">
        <v>732</v>
      </c>
      <c r="J92" s="338" t="str">
        <f>IFERROR(VLOOKUP(I92,'Chart of accounts'!A:H,2,FALSE),"")</f>
        <v>50103020 01</v>
      </c>
      <c r="K92" s="338" t="str">
        <f>IFERROR(VLOOKUP(I92,'Chart of accounts'!A:H,3,FALSE),"")</f>
        <v>Pag-IBIG - Civilian</v>
      </c>
      <c r="L92" s="338" t="str">
        <f>IFERROR(VLOOKUP(I92,'Chart of accounts'!A:H,4,FALSE),"")</f>
        <v>50103020 01 - Pag-IBIG - Civilian (732)</v>
      </c>
      <c r="M92" s="360" t="s">
        <v>771</v>
      </c>
      <c r="N92" s="355" t="s">
        <v>768</v>
      </c>
      <c r="O92" s="355" t="s">
        <v>762</v>
      </c>
      <c r="P92" s="355"/>
      <c r="Q92" s="319">
        <v>1200</v>
      </c>
      <c r="R92" s="319">
        <f t="shared" si="0"/>
        <v>-1200</v>
      </c>
      <c r="S92" s="319" t="str">
        <f>VLOOKUP(H92,'Fund Utilization Report'!$A$4:$U$1800,13,FALSE)</f>
        <v>PS</v>
      </c>
      <c r="T92" s="319" t="str">
        <f>VLOOKUP(H92,'Fund Utilization Report'!$A$4:$U$1800,2,FALSE)</f>
        <v>GAA</v>
      </c>
      <c r="U92" s="319" t="str">
        <f>VLOOKUP(H92,'Fund Utilization Report'!$A$4:$U$1800,3,FALSE)</f>
        <v>FY2021, RA11518</v>
      </c>
      <c r="V92" s="319" t="str">
        <f>VLOOKUP(H92,'Fund Utilization Report'!$A$4:$U$1800,4,FALSE)</f>
        <v>OO1</v>
      </c>
      <c r="W92" s="319" t="str">
        <f>VLOOKUP(H92,'Fund Utilization Report'!$A$4:$U$1800,5,FALSE)</f>
        <v>01101101</v>
      </c>
      <c r="X92" s="319" t="str">
        <f>VLOOKUP(H92,'Fund Utilization Report'!$A$4:$U$1800,6,FALSE)</f>
        <v>GOP</v>
      </c>
      <c r="Y92" s="320" t="str">
        <f>VLOOKUP(H92,'Fund Utilization Report'!$A$4:$U$1800,7,FALSE)</f>
        <v>PS</v>
      </c>
      <c r="Z92" s="321">
        <f>VLOOKUP(H92,'Fund Utilization Report'!$A$4:$U$1800,8,FALSE)</f>
        <v>5010000000</v>
      </c>
      <c r="AA92" s="319" t="str">
        <f>VLOOKUP(H92,'Fund Utilization Report'!$A$4:$U$1800,14,FALSE)</f>
        <v>310100100002000</v>
      </c>
      <c r="AB92" s="349" t="str">
        <f>VLOOKUP(H92,'Fund Utilization Report'!$A$4:$U$1800,15,FALSE)</f>
        <v>Development,Facilitation, and promotion of exports and investment, domestic and foreign</v>
      </c>
      <c r="AC92" s="55" t="s">
        <v>0</v>
      </c>
      <c r="AD92" s="38">
        <v>1</v>
      </c>
      <c r="AE92" s="39">
        <v>732</v>
      </c>
      <c r="AF92" s="51" t="str">
        <f>VLOOKUP(AE92,'[2]Chart of accounts'!A:H,2,FALSE)</f>
        <v>50103020 01</v>
      </c>
      <c r="AG92" s="53" t="s">
        <v>1</v>
      </c>
      <c r="AH92" s="53" t="s">
        <v>1</v>
      </c>
    </row>
    <row r="93" spans="1:34" s="32" customFormat="1" ht="27.6">
      <c r="A93" s="338" t="s">
        <v>942</v>
      </c>
      <c r="B93" s="338" t="s">
        <v>943</v>
      </c>
      <c r="C93" s="358">
        <v>44211</v>
      </c>
      <c r="D93" s="351" t="s">
        <v>759</v>
      </c>
      <c r="E93" s="352" t="s">
        <v>767</v>
      </c>
      <c r="F93" s="359">
        <v>0.60069444444444442</v>
      </c>
      <c r="G93" s="359">
        <v>0.6069444444444444</v>
      </c>
      <c r="H93" s="359" t="s">
        <v>964</v>
      </c>
      <c r="I93" s="321">
        <v>733</v>
      </c>
      <c r="J93" s="338" t="str">
        <f>IFERROR(VLOOKUP(I93,'Chart of accounts'!A:H,2,FALSE),"")</f>
        <v>50103030 01</v>
      </c>
      <c r="K93" s="338" t="str">
        <f>IFERROR(VLOOKUP(I93,'Chart of accounts'!A:H,3,FALSE),"")</f>
        <v>PhilHealth - Civilian</v>
      </c>
      <c r="L93" s="338" t="str">
        <f>IFERROR(VLOOKUP(I93,'Chart of accounts'!A:H,4,FALSE),"")</f>
        <v>50103030 01 - PhilHealth - Civilian (733)</v>
      </c>
      <c r="M93" s="360" t="s">
        <v>771</v>
      </c>
      <c r="N93" s="355" t="s">
        <v>768</v>
      </c>
      <c r="O93" s="355" t="s">
        <v>762</v>
      </c>
      <c r="P93" s="355"/>
      <c r="Q93" s="319">
        <v>7357.93</v>
      </c>
      <c r="R93" s="319">
        <f t="shared" si="0"/>
        <v>-7357.93</v>
      </c>
      <c r="S93" s="319" t="str">
        <f>VLOOKUP(H93,'Fund Utilization Report'!$A$4:$U$1800,13,FALSE)</f>
        <v>PS</v>
      </c>
      <c r="T93" s="319" t="str">
        <f>VLOOKUP(H93,'Fund Utilization Report'!$A$4:$U$1800,2,FALSE)</f>
        <v>GAA</v>
      </c>
      <c r="U93" s="319" t="str">
        <f>VLOOKUP(H93,'Fund Utilization Report'!$A$4:$U$1800,3,FALSE)</f>
        <v>FY2021, RA11518</v>
      </c>
      <c r="V93" s="319" t="str">
        <f>VLOOKUP(H93,'Fund Utilization Report'!$A$4:$U$1800,4,FALSE)</f>
        <v>OO1</v>
      </c>
      <c r="W93" s="319" t="str">
        <f>VLOOKUP(H93,'Fund Utilization Report'!$A$4:$U$1800,5,FALSE)</f>
        <v>01101101</v>
      </c>
      <c r="X93" s="319" t="str">
        <f>VLOOKUP(H93,'Fund Utilization Report'!$A$4:$U$1800,6,FALSE)</f>
        <v>GOP</v>
      </c>
      <c r="Y93" s="320" t="str">
        <f>VLOOKUP(H93,'Fund Utilization Report'!$A$4:$U$1800,7,FALSE)</f>
        <v>PS</v>
      </c>
      <c r="Z93" s="321">
        <f>VLOOKUP(H93,'Fund Utilization Report'!$A$4:$U$1800,8,FALSE)</f>
        <v>5010000000</v>
      </c>
      <c r="AA93" s="319" t="str">
        <f>VLOOKUP(H93,'Fund Utilization Report'!$A$4:$U$1800,14,FALSE)</f>
        <v>310100100002000</v>
      </c>
      <c r="AB93" s="349" t="str">
        <f>VLOOKUP(H93,'Fund Utilization Report'!$A$4:$U$1800,15,FALSE)</f>
        <v>Development,Facilitation, and promotion of exports and investment, domestic and foreign</v>
      </c>
      <c r="AC93" s="55" t="s">
        <v>0</v>
      </c>
      <c r="AD93" s="38">
        <v>1</v>
      </c>
      <c r="AE93" s="55">
        <v>733</v>
      </c>
      <c r="AF93" s="51" t="str">
        <f>VLOOKUP(AE93,'[2]Chart of accounts'!A:H,2,FALSE)</f>
        <v>50103030 01</v>
      </c>
      <c r="AG93" s="53" t="s">
        <v>1</v>
      </c>
      <c r="AH93" s="53" t="s">
        <v>1</v>
      </c>
    </row>
    <row r="94" spans="1:34" s="32" customFormat="1" ht="27.6">
      <c r="A94" s="338" t="s">
        <v>942</v>
      </c>
      <c r="B94" s="338" t="s">
        <v>943</v>
      </c>
      <c r="C94" s="358">
        <v>44211</v>
      </c>
      <c r="D94" s="351" t="s">
        <v>759</v>
      </c>
      <c r="E94" s="352" t="s">
        <v>767</v>
      </c>
      <c r="F94" s="359">
        <v>0.60069444444444442</v>
      </c>
      <c r="G94" s="359">
        <v>0.6069444444444444</v>
      </c>
      <c r="H94" s="359" t="s">
        <v>964</v>
      </c>
      <c r="I94" s="321">
        <v>734</v>
      </c>
      <c r="J94" s="338" t="str">
        <f>IFERROR(VLOOKUP(I94,'Chart of accounts'!A:H,2,FALSE),"")</f>
        <v>50103040 01</v>
      </c>
      <c r="K94" s="338" t="str">
        <f>IFERROR(VLOOKUP(I94,'Chart of accounts'!A:H,3,FALSE),"")</f>
        <v>ECIP - Civilian</v>
      </c>
      <c r="L94" s="338" t="str">
        <f>IFERROR(VLOOKUP(I94,'Chart of accounts'!A:H,4,FALSE),"")</f>
        <v>50103040 01 - ECIP - Civilian (734)</v>
      </c>
      <c r="M94" s="360" t="s">
        <v>771</v>
      </c>
      <c r="N94" s="355" t="s">
        <v>768</v>
      </c>
      <c r="O94" s="355" t="s">
        <v>762</v>
      </c>
      <c r="P94" s="355"/>
      <c r="Q94" s="319">
        <v>1200</v>
      </c>
      <c r="R94" s="319">
        <f t="shared" si="0"/>
        <v>-1200</v>
      </c>
      <c r="S94" s="319" t="str">
        <f>VLOOKUP(H94,'Fund Utilization Report'!$A$4:$U$1800,13,FALSE)</f>
        <v>PS</v>
      </c>
      <c r="T94" s="319" t="str">
        <f>VLOOKUP(H94,'Fund Utilization Report'!$A$4:$U$1800,2,FALSE)</f>
        <v>GAA</v>
      </c>
      <c r="U94" s="319" t="str">
        <f>VLOOKUP(H94,'Fund Utilization Report'!$A$4:$U$1800,3,FALSE)</f>
        <v>FY2021, RA11518</v>
      </c>
      <c r="V94" s="319" t="str">
        <f>VLOOKUP(H94,'Fund Utilization Report'!$A$4:$U$1800,4,FALSE)</f>
        <v>OO1</v>
      </c>
      <c r="W94" s="319" t="str">
        <f>VLOOKUP(H94,'Fund Utilization Report'!$A$4:$U$1800,5,FALSE)</f>
        <v>01101101</v>
      </c>
      <c r="X94" s="319" t="str">
        <f>VLOOKUP(H94,'Fund Utilization Report'!$A$4:$U$1800,6,FALSE)</f>
        <v>GOP</v>
      </c>
      <c r="Y94" s="320" t="str">
        <f>VLOOKUP(H94,'Fund Utilization Report'!$A$4:$U$1800,7,FALSE)</f>
        <v>PS</v>
      </c>
      <c r="Z94" s="321">
        <f>VLOOKUP(H94,'Fund Utilization Report'!$A$4:$U$1800,8,FALSE)</f>
        <v>5010000000</v>
      </c>
      <c r="AA94" s="319" t="str">
        <f>VLOOKUP(H94,'Fund Utilization Report'!$A$4:$U$1800,14,FALSE)</f>
        <v>310100100002000</v>
      </c>
      <c r="AB94" s="349" t="str">
        <f>VLOOKUP(H94,'Fund Utilization Report'!$A$4:$U$1800,15,FALSE)</f>
        <v>Development,Facilitation, and promotion of exports and investment, domestic and foreign</v>
      </c>
      <c r="AC94" s="55" t="s">
        <v>0</v>
      </c>
      <c r="AD94" s="38">
        <v>1</v>
      </c>
      <c r="AE94" s="55">
        <v>734</v>
      </c>
      <c r="AF94" s="51" t="str">
        <f>VLOOKUP(AE94,'[2]Chart of accounts'!A:H,2,FALSE)</f>
        <v>50103040 01</v>
      </c>
      <c r="AG94" s="53" t="s">
        <v>1</v>
      </c>
      <c r="AH94" s="53" t="s">
        <v>1</v>
      </c>
    </row>
    <row r="95" spans="1:34" s="32" customFormat="1">
      <c r="A95" s="338" t="s">
        <v>942</v>
      </c>
      <c r="B95" s="338" t="s">
        <v>943</v>
      </c>
      <c r="C95" s="358">
        <v>44214</v>
      </c>
      <c r="D95" s="351" t="s">
        <v>759</v>
      </c>
      <c r="E95" s="352" t="s">
        <v>772</v>
      </c>
      <c r="F95" s="338">
        <v>0.38958333333333334</v>
      </c>
      <c r="G95" s="338">
        <v>0.39444444444444443</v>
      </c>
      <c r="H95" s="338" t="s">
        <v>961</v>
      </c>
      <c r="I95" s="353">
        <v>755</v>
      </c>
      <c r="J95" s="338" t="str">
        <f>IFERROR(VLOOKUP(I95,'Chart of accounts'!A:H,2,FALSE),"")</f>
        <v>50203010 00</v>
      </c>
      <c r="K95" s="338" t="str">
        <f>IFERROR(VLOOKUP(I95,'Chart of accounts'!A:H,3,FALSE),"")</f>
        <v>Office Supplies Expenses</v>
      </c>
      <c r="L95" s="338" t="str">
        <f>IFERROR(VLOOKUP(I95,'Chart of accounts'!A:H,4,FALSE),"")</f>
        <v>50203010 00 - Office Supplies Expenses (755)</v>
      </c>
      <c r="M95" s="361" t="s">
        <v>2</v>
      </c>
      <c r="N95" s="355" t="s">
        <v>773</v>
      </c>
      <c r="O95" s="355" t="s">
        <v>774</v>
      </c>
      <c r="P95" s="355"/>
      <c r="Q95" s="362">
        <v>1000</v>
      </c>
      <c r="R95" s="319">
        <f t="shared" si="0"/>
        <v>-1000</v>
      </c>
      <c r="S95" s="319" t="str">
        <f>VLOOKUP(H95,'Fund Utilization Report'!$A$4:$U$1800,13,FALSE)</f>
        <v>MOOE</v>
      </c>
      <c r="T95" s="319" t="str">
        <f>VLOOKUP(H95,'Fund Utilization Report'!$A$4:$U$1800,2,FALSE)</f>
        <v>GAA</v>
      </c>
      <c r="U95" s="319" t="str">
        <f>VLOOKUP(H95,'Fund Utilization Report'!$A$4:$U$1800,3,FALSE)</f>
        <v>FY2021, RA11518</v>
      </c>
      <c r="V95" s="319" t="str">
        <f>VLOOKUP(H95,'Fund Utilization Report'!$A$4:$U$1800,4,FALSE)</f>
        <v>GAS(GMS)</v>
      </c>
      <c r="W95" s="319" t="str">
        <f>VLOOKUP(H95,'Fund Utilization Report'!$A$4:$U$1800,5,FALSE)</f>
        <v>01101101</v>
      </c>
      <c r="X95" s="319" t="str">
        <f>VLOOKUP(H95,'Fund Utilization Report'!$A$4:$U$1800,6,FALSE)</f>
        <v>GOP</v>
      </c>
      <c r="Y95" s="320" t="str">
        <f>VLOOKUP(H95,'Fund Utilization Report'!$A$4:$U$1800,7,FALSE)</f>
        <v>MOOE</v>
      </c>
      <c r="Z95" s="321">
        <f>VLOOKUP(H95,'Fund Utilization Report'!$A$4:$U$1800,8,FALSE)</f>
        <v>5020000000</v>
      </c>
      <c r="AA95" s="319" t="str">
        <f>VLOOKUP(H95,'Fund Utilization Report'!$A$4:$U$1800,14,FALSE)</f>
        <v>100000100001000</v>
      </c>
      <c r="AB95" s="349" t="str">
        <f>VLOOKUP(H95,'Fund Utilization Report'!$A$4:$U$1800,15,FALSE)</f>
        <v>General Administration and Supervision - General Management and Supervision</v>
      </c>
      <c r="AC95" s="55" t="s">
        <v>0</v>
      </c>
      <c r="AD95" s="38">
        <v>2</v>
      </c>
      <c r="AE95" s="39">
        <v>755</v>
      </c>
      <c r="AF95" s="39" t="str">
        <f>VLOOKUP(AE95,'[3]Chart of accounts'!A:H,2,FALSE)</f>
        <v>50203010 00</v>
      </c>
      <c r="AG95" s="40" t="s">
        <v>3</v>
      </c>
      <c r="AH95" s="40" t="s">
        <v>3</v>
      </c>
    </row>
    <row r="96" spans="1:34" s="32" customFormat="1">
      <c r="A96" s="338" t="s">
        <v>942</v>
      </c>
      <c r="B96" s="338" t="s">
        <v>943</v>
      </c>
      <c r="C96" s="358">
        <v>44214</v>
      </c>
      <c r="D96" s="351" t="s">
        <v>759</v>
      </c>
      <c r="E96" s="352" t="s">
        <v>772</v>
      </c>
      <c r="F96" s="338">
        <v>0.38958333333333334</v>
      </c>
      <c r="G96" s="338">
        <v>0.39444444444444443</v>
      </c>
      <c r="H96" s="338" t="s">
        <v>961</v>
      </c>
      <c r="I96" s="353">
        <v>765</v>
      </c>
      <c r="J96" s="338" t="str">
        <f>IFERROR(VLOOKUP(I96,'Chart of accounts'!A:H,2,FALSE),"")</f>
        <v>50203990 00</v>
      </c>
      <c r="K96" s="338" t="str">
        <f>IFERROR(VLOOKUP(I96,'Chart of accounts'!A:H,3,FALSE),"")</f>
        <v>Other Supplies and Materials Expenses</v>
      </c>
      <c r="L96" s="338" t="str">
        <f>IFERROR(VLOOKUP(I96,'Chart of accounts'!A:H,4,FALSE),"")</f>
        <v>50203990 00 - Other Supplies and Materials Expenses (765)</v>
      </c>
      <c r="M96" s="361" t="s">
        <v>2</v>
      </c>
      <c r="N96" s="355" t="s">
        <v>773</v>
      </c>
      <c r="O96" s="355" t="s">
        <v>774</v>
      </c>
      <c r="P96" s="355"/>
      <c r="Q96" s="362">
        <v>600</v>
      </c>
      <c r="R96" s="319">
        <f t="shared" si="0"/>
        <v>-600</v>
      </c>
      <c r="S96" s="319" t="str">
        <f>VLOOKUP(H96,'Fund Utilization Report'!$A$4:$U$1800,13,FALSE)</f>
        <v>MOOE</v>
      </c>
      <c r="T96" s="319" t="str">
        <f>VLOOKUP(H96,'Fund Utilization Report'!$A$4:$U$1800,2,FALSE)</f>
        <v>GAA</v>
      </c>
      <c r="U96" s="319" t="str">
        <f>VLOOKUP(H96,'Fund Utilization Report'!$A$4:$U$1800,3,FALSE)</f>
        <v>FY2021, RA11518</v>
      </c>
      <c r="V96" s="319" t="str">
        <f>VLOOKUP(H96,'Fund Utilization Report'!$A$4:$U$1800,4,FALSE)</f>
        <v>GAS(GMS)</v>
      </c>
      <c r="W96" s="319" t="str">
        <f>VLOOKUP(H96,'Fund Utilization Report'!$A$4:$U$1800,5,FALSE)</f>
        <v>01101101</v>
      </c>
      <c r="X96" s="319" t="str">
        <f>VLOOKUP(H96,'Fund Utilization Report'!$A$4:$U$1800,6,FALSE)</f>
        <v>GOP</v>
      </c>
      <c r="Y96" s="320" t="str">
        <f>VLOOKUP(H96,'Fund Utilization Report'!$A$4:$U$1800,7,FALSE)</f>
        <v>MOOE</v>
      </c>
      <c r="Z96" s="321">
        <f>VLOOKUP(H96,'Fund Utilization Report'!$A$4:$U$1800,8,FALSE)</f>
        <v>5020000000</v>
      </c>
      <c r="AA96" s="319" t="str">
        <f>VLOOKUP(H96,'Fund Utilization Report'!$A$4:$U$1800,14,FALSE)</f>
        <v>100000100001000</v>
      </c>
      <c r="AB96" s="349" t="str">
        <f>VLOOKUP(H96,'Fund Utilization Report'!$A$4:$U$1800,15,FALSE)</f>
        <v>General Administration and Supervision - General Management and Supervision</v>
      </c>
      <c r="AC96" s="55" t="s">
        <v>0</v>
      </c>
      <c r="AD96" s="38">
        <v>2</v>
      </c>
      <c r="AE96" s="39">
        <v>765</v>
      </c>
      <c r="AF96" s="39" t="str">
        <f>VLOOKUP(AE96,'[3]Chart of accounts'!A:H,2,FALSE)</f>
        <v>50203990 00</v>
      </c>
      <c r="AG96" s="40" t="s">
        <v>3</v>
      </c>
      <c r="AH96" s="40" t="s">
        <v>3</v>
      </c>
    </row>
    <row r="97" spans="1:34" s="32" customFormat="1">
      <c r="A97" s="338" t="s">
        <v>942</v>
      </c>
      <c r="B97" s="338" t="s">
        <v>943</v>
      </c>
      <c r="C97" s="358">
        <v>44214</v>
      </c>
      <c r="D97" s="351" t="s">
        <v>759</v>
      </c>
      <c r="E97" s="352" t="s">
        <v>772</v>
      </c>
      <c r="F97" s="338">
        <v>0.38958333333333334</v>
      </c>
      <c r="G97" s="338">
        <v>0.39444444444444443</v>
      </c>
      <c r="H97" s="338" t="s">
        <v>961</v>
      </c>
      <c r="I97" s="353">
        <v>781</v>
      </c>
      <c r="J97" s="338" t="str">
        <f>IFERROR(VLOOKUP(I97,'Chart of accounts'!A:H,2,FALSE),"")</f>
        <v>50299020 00</v>
      </c>
      <c r="K97" s="338" t="str">
        <f>IFERROR(VLOOKUP(I97,'Chart of accounts'!A:H,3,FALSE),"")</f>
        <v>Printing and Binding Expenses</v>
      </c>
      <c r="L97" s="338" t="str">
        <f>IFERROR(VLOOKUP(I97,'Chart of accounts'!A:H,4,FALSE),"")</f>
        <v>50299020 00 - Printing and Binding Expenses (781)</v>
      </c>
      <c r="M97" s="361" t="s">
        <v>2</v>
      </c>
      <c r="N97" s="355" t="s">
        <v>773</v>
      </c>
      <c r="O97" s="355" t="s">
        <v>774</v>
      </c>
      <c r="P97" s="355"/>
      <c r="Q97" s="362">
        <v>300</v>
      </c>
      <c r="R97" s="319">
        <f t="shared" si="0"/>
        <v>-300</v>
      </c>
      <c r="S97" s="319" t="str">
        <f>VLOOKUP(H97,'Fund Utilization Report'!$A$4:$U$1800,13,FALSE)</f>
        <v>MOOE</v>
      </c>
      <c r="T97" s="319" t="str">
        <f>VLOOKUP(H97,'Fund Utilization Report'!$A$4:$U$1800,2,FALSE)</f>
        <v>GAA</v>
      </c>
      <c r="U97" s="319" t="str">
        <f>VLOOKUP(H97,'Fund Utilization Report'!$A$4:$U$1800,3,FALSE)</f>
        <v>FY2021, RA11518</v>
      </c>
      <c r="V97" s="319" t="str">
        <f>VLOOKUP(H97,'Fund Utilization Report'!$A$4:$U$1800,4,FALSE)</f>
        <v>GAS(GMS)</v>
      </c>
      <c r="W97" s="319" t="str">
        <f>VLOOKUP(H97,'Fund Utilization Report'!$A$4:$U$1800,5,FALSE)</f>
        <v>01101101</v>
      </c>
      <c r="X97" s="319" t="str">
        <f>VLOOKUP(H97,'Fund Utilization Report'!$A$4:$U$1800,6,FALSE)</f>
        <v>GOP</v>
      </c>
      <c r="Y97" s="320" t="str">
        <f>VLOOKUP(H97,'Fund Utilization Report'!$A$4:$U$1800,7,FALSE)</f>
        <v>MOOE</v>
      </c>
      <c r="Z97" s="321">
        <f>VLOOKUP(H97,'Fund Utilization Report'!$A$4:$U$1800,8,FALSE)</f>
        <v>5020000000</v>
      </c>
      <c r="AA97" s="319" t="str">
        <f>VLOOKUP(H97,'Fund Utilization Report'!$A$4:$U$1800,14,FALSE)</f>
        <v>100000100001000</v>
      </c>
      <c r="AB97" s="349" t="str">
        <f>VLOOKUP(H97,'Fund Utilization Report'!$A$4:$U$1800,15,FALSE)</f>
        <v>General Administration and Supervision - General Management and Supervision</v>
      </c>
      <c r="AC97" s="55" t="s">
        <v>0</v>
      </c>
      <c r="AD97" s="38">
        <v>2</v>
      </c>
      <c r="AE97" s="39">
        <v>781</v>
      </c>
      <c r="AF97" s="39" t="str">
        <f>VLOOKUP(AE97,'[3]Chart of accounts'!A:H,2,FALSE)</f>
        <v>50299020 00</v>
      </c>
      <c r="AG97" s="40" t="s">
        <v>3</v>
      </c>
      <c r="AH97" s="40" t="s">
        <v>3</v>
      </c>
    </row>
    <row r="98" spans="1:34" s="32" customFormat="1">
      <c r="A98" s="338" t="s">
        <v>942</v>
      </c>
      <c r="B98" s="338" t="s">
        <v>943</v>
      </c>
      <c r="C98" s="358">
        <v>44214</v>
      </c>
      <c r="D98" s="351" t="s">
        <v>759</v>
      </c>
      <c r="E98" s="352" t="s">
        <v>772</v>
      </c>
      <c r="F98" s="338">
        <v>0.38958333333333334</v>
      </c>
      <c r="G98" s="338">
        <v>0.39444444444444443</v>
      </c>
      <c r="H98" s="338" t="s">
        <v>961</v>
      </c>
      <c r="I98" s="353">
        <v>795</v>
      </c>
      <c r="J98" s="338" t="str">
        <f>IFERROR(VLOOKUP(I98,'Chart of accounts'!A:H,2,FALSE),"")</f>
        <v>50212990 00</v>
      </c>
      <c r="K98" s="338" t="str">
        <f>IFERROR(VLOOKUP(I98,'Chart of accounts'!A:H,3,FALSE),"")</f>
        <v>Other General Services</v>
      </c>
      <c r="L98" s="338" t="str">
        <f>IFERROR(VLOOKUP(I98,'Chart of accounts'!A:H,4,FALSE),"")</f>
        <v>50212990 00 - Other General Services (795)</v>
      </c>
      <c r="M98" s="361" t="s">
        <v>2</v>
      </c>
      <c r="N98" s="355" t="s">
        <v>773</v>
      </c>
      <c r="O98" s="355" t="s">
        <v>774</v>
      </c>
      <c r="P98" s="355"/>
      <c r="Q98" s="362">
        <v>1500</v>
      </c>
      <c r="R98" s="319">
        <f t="shared" si="0"/>
        <v>-1500</v>
      </c>
      <c r="S98" s="319" t="str">
        <f>VLOOKUP(H98,'Fund Utilization Report'!$A$4:$U$1800,13,FALSE)</f>
        <v>MOOE</v>
      </c>
      <c r="T98" s="319" t="str">
        <f>VLOOKUP(H98,'Fund Utilization Report'!$A$4:$U$1800,2,FALSE)</f>
        <v>GAA</v>
      </c>
      <c r="U98" s="319" t="str">
        <f>VLOOKUP(H98,'Fund Utilization Report'!$A$4:$U$1800,3,FALSE)</f>
        <v>FY2021, RA11518</v>
      </c>
      <c r="V98" s="319" t="str">
        <f>VLOOKUP(H98,'Fund Utilization Report'!$A$4:$U$1800,4,FALSE)</f>
        <v>GAS(GMS)</v>
      </c>
      <c r="W98" s="319" t="str">
        <f>VLOOKUP(H98,'Fund Utilization Report'!$A$4:$U$1800,5,FALSE)</f>
        <v>01101101</v>
      </c>
      <c r="X98" s="319" t="str">
        <f>VLOOKUP(H98,'Fund Utilization Report'!$A$4:$U$1800,6,FALSE)</f>
        <v>GOP</v>
      </c>
      <c r="Y98" s="320" t="str">
        <f>VLOOKUP(H98,'Fund Utilization Report'!$A$4:$U$1800,7,FALSE)</f>
        <v>MOOE</v>
      </c>
      <c r="Z98" s="321">
        <f>VLOOKUP(H98,'Fund Utilization Report'!$A$4:$U$1800,8,FALSE)</f>
        <v>5020000000</v>
      </c>
      <c r="AA98" s="319" t="str">
        <f>VLOOKUP(H98,'Fund Utilization Report'!$A$4:$U$1800,14,FALSE)</f>
        <v>100000100001000</v>
      </c>
      <c r="AB98" s="349" t="str">
        <f>VLOOKUP(H98,'Fund Utilization Report'!$A$4:$U$1800,15,FALSE)</f>
        <v>General Administration and Supervision - General Management and Supervision</v>
      </c>
      <c r="AC98" s="55" t="s">
        <v>0</v>
      </c>
      <c r="AD98" s="38">
        <v>2</v>
      </c>
      <c r="AE98" s="39">
        <v>795</v>
      </c>
      <c r="AF98" s="39" t="str">
        <f>VLOOKUP(AE98,'[3]Chart of accounts'!A:H,2,FALSE)</f>
        <v>50212990 00</v>
      </c>
      <c r="AG98" s="40" t="s">
        <v>3</v>
      </c>
      <c r="AH98" s="40" t="s">
        <v>3</v>
      </c>
    </row>
    <row r="99" spans="1:34" s="32" customFormat="1">
      <c r="A99" s="338" t="s">
        <v>942</v>
      </c>
      <c r="B99" s="338" t="s">
        <v>943</v>
      </c>
      <c r="C99" s="358">
        <v>44214</v>
      </c>
      <c r="D99" s="351" t="s">
        <v>759</v>
      </c>
      <c r="E99" s="352" t="s">
        <v>772</v>
      </c>
      <c r="F99" s="338">
        <v>0.38958333333333334</v>
      </c>
      <c r="G99" s="338">
        <v>0.39444444444444443</v>
      </c>
      <c r="H99" s="338" t="s">
        <v>961</v>
      </c>
      <c r="I99" s="353">
        <v>799</v>
      </c>
      <c r="J99" s="338" t="str">
        <f>IFERROR(VLOOKUP(I99,'Chart of accounts'!A:H,2,FALSE),"")</f>
        <v>50211990 00</v>
      </c>
      <c r="K99" s="338" t="str">
        <f>IFERROR(VLOOKUP(I99,'Chart of accounts'!A:H,3,FALSE),"")</f>
        <v>Other Professional Services</v>
      </c>
      <c r="L99" s="338" t="str">
        <f>IFERROR(VLOOKUP(I99,'Chart of accounts'!A:H,4,FALSE),"")</f>
        <v>50211990 00 - Other Professional Services (799)</v>
      </c>
      <c r="M99" s="361" t="s">
        <v>2</v>
      </c>
      <c r="N99" s="355" t="s">
        <v>773</v>
      </c>
      <c r="O99" s="355" t="s">
        <v>774</v>
      </c>
      <c r="P99" s="355"/>
      <c r="Q99" s="363">
        <v>1000</v>
      </c>
      <c r="R99" s="319">
        <f t="shared" si="0"/>
        <v>-1000</v>
      </c>
      <c r="S99" s="319" t="str">
        <f>VLOOKUP(H99,'Fund Utilization Report'!$A$4:$U$1800,13,FALSE)</f>
        <v>MOOE</v>
      </c>
      <c r="T99" s="319" t="str">
        <f>VLOOKUP(H99,'Fund Utilization Report'!$A$4:$U$1800,2,FALSE)</f>
        <v>GAA</v>
      </c>
      <c r="U99" s="319" t="str">
        <f>VLOOKUP(H99,'Fund Utilization Report'!$A$4:$U$1800,3,FALSE)</f>
        <v>FY2021, RA11518</v>
      </c>
      <c r="V99" s="319" t="str">
        <f>VLOOKUP(H99,'Fund Utilization Report'!$A$4:$U$1800,4,FALSE)</f>
        <v>GAS(GMS)</v>
      </c>
      <c r="W99" s="319" t="str">
        <f>VLOOKUP(H99,'Fund Utilization Report'!$A$4:$U$1800,5,FALSE)</f>
        <v>01101101</v>
      </c>
      <c r="X99" s="319" t="str">
        <f>VLOOKUP(H99,'Fund Utilization Report'!$A$4:$U$1800,6,FALSE)</f>
        <v>GOP</v>
      </c>
      <c r="Y99" s="320" t="str">
        <f>VLOOKUP(H99,'Fund Utilization Report'!$A$4:$U$1800,7,FALSE)</f>
        <v>MOOE</v>
      </c>
      <c r="Z99" s="321">
        <f>VLOOKUP(H99,'Fund Utilization Report'!$A$4:$U$1800,8,FALSE)</f>
        <v>5020000000</v>
      </c>
      <c r="AA99" s="319" t="str">
        <f>VLOOKUP(H99,'Fund Utilization Report'!$A$4:$U$1800,14,FALSE)</f>
        <v>100000100001000</v>
      </c>
      <c r="AB99" s="349" t="str">
        <f>VLOOKUP(H99,'Fund Utilization Report'!$A$4:$U$1800,15,FALSE)</f>
        <v>General Administration and Supervision - General Management and Supervision</v>
      </c>
      <c r="AC99" s="55" t="s">
        <v>0</v>
      </c>
      <c r="AD99" s="38">
        <v>2</v>
      </c>
      <c r="AE99" s="39">
        <v>799</v>
      </c>
      <c r="AF99" s="39" t="str">
        <f>VLOOKUP(AE99,'[3]Chart of accounts'!A:H,2,FALSE)</f>
        <v>50211990 00</v>
      </c>
      <c r="AG99" s="40" t="s">
        <v>3</v>
      </c>
      <c r="AH99" s="40" t="s">
        <v>3</v>
      </c>
    </row>
    <row r="100" spans="1:34" s="32" customFormat="1">
      <c r="A100" s="338" t="s">
        <v>942</v>
      </c>
      <c r="B100" s="338" t="s">
        <v>943</v>
      </c>
      <c r="C100" s="358">
        <v>44214</v>
      </c>
      <c r="D100" s="351" t="s">
        <v>759</v>
      </c>
      <c r="E100" s="352" t="s">
        <v>772</v>
      </c>
      <c r="F100" s="338">
        <v>0.38958333333333334</v>
      </c>
      <c r="G100" s="338">
        <v>0.39444444444444443</v>
      </c>
      <c r="H100" s="338" t="s">
        <v>961</v>
      </c>
      <c r="I100" s="353">
        <v>969</v>
      </c>
      <c r="J100" s="338" t="str">
        <f>IFERROR(VLOOKUP(I100,'Chart of accounts'!A:H,2,FALSE),"")</f>
        <v>50299990 99</v>
      </c>
      <c r="K100" s="338" t="str">
        <f>IFERROR(VLOOKUP(I100,'Chart of accounts'!A:H,3,FALSE),"")</f>
        <v>Other Maintenance and Operating Expenses</v>
      </c>
      <c r="L100" s="338" t="str">
        <f>IFERROR(VLOOKUP(I100,'Chart of accounts'!A:H,4,FALSE),"")</f>
        <v>50299990 99 - Other Maintenance and Operating Expenses (969)</v>
      </c>
      <c r="M100" s="361" t="s">
        <v>2</v>
      </c>
      <c r="N100" s="355" t="s">
        <v>773</v>
      </c>
      <c r="O100" s="355" t="s">
        <v>774</v>
      </c>
      <c r="P100" s="355"/>
      <c r="Q100" s="363">
        <v>600</v>
      </c>
      <c r="R100" s="319">
        <f t="shared" si="0"/>
        <v>-600</v>
      </c>
      <c r="S100" s="319" t="str">
        <f>VLOOKUP(H100,'Fund Utilization Report'!$A$4:$U$1800,13,FALSE)</f>
        <v>MOOE</v>
      </c>
      <c r="T100" s="319" t="str">
        <f>VLOOKUP(H100,'Fund Utilization Report'!$A$4:$U$1800,2,FALSE)</f>
        <v>GAA</v>
      </c>
      <c r="U100" s="319" t="str">
        <f>VLOOKUP(H100,'Fund Utilization Report'!$A$4:$U$1800,3,FALSE)</f>
        <v>FY2021, RA11518</v>
      </c>
      <c r="V100" s="319" t="str">
        <f>VLOOKUP(H100,'Fund Utilization Report'!$A$4:$U$1800,4,FALSE)</f>
        <v>GAS(GMS)</v>
      </c>
      <c r="W100" s="319" t="str">
        <f>VLOOKUP(H100,'Fund Utilization Report'!$A$4:$U$1800,5,FALSE)</f>
        <v>01101101</v>
      </c>
      <c r="X100" s="319" t="str">
        <f>VLOOKUP(H100,'Fund Utilization Report'!$A$4:$U$1800,6,FALSE)</f>
        <v>GOP</v>
      </c>
      <c r="Y100" s="320" t="str">
        <f>VLOOKUP(H100,'Fund Utilization Report'!$A$4:$U$1800,7,FALSE)</f>
        <v>MOOE</v>
      </c>
      <c r="Z100" s="321">
        <f>VLOOKUP(H100,'Fund Utilization Report'!$A$4:$U$1800,8,FALSE)</f>
        <v>5020000000</v>
      </c>
      <c r="AA100" s="319" t="str">
        <f>VLOOKUP(H100,'Fund Utilization Report'!$A$4:$U$1800,14,FALSE)</f>
        <v>100000100001000</v>
      </c>
      <c r="AB100" s="349" t="str">
        <f>VLOOKUP(H100,'Fund Utilization Report'!$A$4:$U$1800,15,FALSE)</f>
        <v>General Administration and Supervision - General Management and Supervision</v>
      </c>
      <c r="AC100" s="55" t="s">
        <v>0</v>
      </c>
      <c r="AD100" s="38">
        <v>2</v>
      </c>
      <c r="AE100" s="39">
        <v>969</v>
      </c>
      <c r="AF100" s="39" t="str">
        <f>VLOOKUP(AE100,'[3]Chart of accounts'!A:H,2,FALSE)</f>
        <v>50299990 99</v>
      </c>
      <c r="AG100" s="40" t="s">
        <v>3</v>
      </c>
      <c r="AH100" s="40" t="s">
        <v>3</v>
      </c>
    </row>
    <row r="101" spans="1:34" s="32" customFormat="1" ht="27.6">
      <c r="A101" s="338" t="s">
        <v>942</v>
      </c>
      <c r="B101" s="338" t="s">
        <v>943</v>
      </c>
      <c r="C101" s="358">
        <v>44214</v>
      </c>
      <c r="D101" s="351" t="s">
        <v>759</v>
      </c>
      <c r="E101" s="352" t="s">
        <v>775</v>
      </c>
      <c r="F101" s="359">
        <v>0.72083333333333333</v>
      </c>
      <c r="G101" s="359">
        <v>0.72152777777777777</v>
      </c>
      <c r="H101" s="359" t="s">
        <v>967</v>
      </c>
      <c r="I101" s="321">
        <v>701</v>
      </c>
      <c r="J101" s="338" t="str">
        <f>IFERROR(VLOOKUP(I101,'Chart of accounts'!A:H,2,FALSE),"")</f>
        <v>50101010 01</v>
      </c>
      <c r="K101" s="338" t="str">
        <f>IFERROR(VLOOKUP(I101,'Chart of accounts'!A:H,3,FALSE),"")</f>
        <v>Basic Salary - Civilian</v>
      </c>
      <c r="L101" s="338" t="str">
        <f>IFERROR(VLOOKUP(I101,'Chart of accounts'!A:H,4,FALSE),"")</f>
        <v>50101010 01 - Basic Salary - Civilian (701)</v>
      </c>
      <c r="M101" s="360" t="s">
        <v>776</v>
      </c>
      <c r="N101" s="355" t="s">
        <v>777</v>
      </c>
      <c r="O101" s="355" t="s">
        <v>762</v>
      </c>
      <c r="P101" s="355"/>
      <c r="Q101" s="319">
        <v>377147</v>
      </c>
      <c r="R101" s="319">
        <f t="shared" si="0"/>
        <v>-377147</v>
      </c>
      <c r="S101" s="319" t="str">
        <f>VLOOKUP(H101,'Fund Utilization Report'!$A$4:$U$1800,13,FALSE)</f>
        <v>PS</v>
      </c>
      <c r="T101" s="319" t="str">
        <f>VLOOKUP(H101,'Fund Utilization Report'!$A$4:$U$1800,2,FALSE)</f>
        <v>GAA</v>
      </c>
      <c r="U101" s="319" t="str">
        <f>VLOOKUP(H101,'Fund Utilization Report'!$A$4:$U$1800,3,FALSE)</f>
        <v>FY2021, RA11518</v>
      </c>
      <c r="V101" s="319" t="str">
        <f>VLOOKUP(H101,'Fund Utilization Report'!$A$4:$U$1800,4,FALSE)</f>
        <v>OO2</v>
      </c>
      <c r="W101" s="319" t="str">
        <f>VLOOKUP(H101,'Fund Utilization Report'!$A$4:$U$1800,5,FALSE)</f>
        <v>01101101</v>
      </c>
      <c r="X101" s="319" t="str">
        <f>VLOOKUP(H101,'Fund Utilization Report'!$A$4:$U$1800,6,FALSE)</f>
        <v>GOP</v>
      </c>
      <c r="Y101" s="320" t="str">
        <f>VLOOKUP(H101,'Fund Utilization Report'!$A$4:$U$1800,7,FALSE)</f>
        <v>PS</v>
      </c>
      <c r="Z101" s="321">
        <f>VLOOKUP(H101,'Fund Utilization Report'!$A$4:$U$1800,8,FALSE)</f>
        <v>5010000000</v>
      </c>
      <c r="AA101" s="319" t="str">
        <f>VLOOKUP(H101,'Fund Utilization Report'!$A$4:$U$1800,14,FALSE)</f>
        <v>320100100001000</v>
      </c>
      <c r="AB101" s="349" t="str">
        <f>VLOOKUP(H101,'Fund Utilization Report'!$A$4:$U$1800,15,FALSE)</f>
        <v>Formulation of Strategic plans,programs, and policies to develop competitve industries</v>
      </c>
      <c r="AC101" s="55" t="s">
        <v>0</v>
      </c>
      <c r="AD101" s="38">
        <v>1</v>
      </c>
      <c r="AE101" s="39">
        <v>701</v>
      </c>
      <c r="AF101" s="51" t="str">
        <f>VLOOKUP(AE101,'[2]Chart of accounts'!A:H,2,FALSE)</f>
        <v>50101010 01</v>
      </c>
      <c r="AG101" s="53" t="s">
        <v>1</v>
      </c>
      <c r="AH101" s="53" t="s">
        <v>1</v>
      </c>
    </row>
    <row r="102" spans="1:34" s="32" customFormat="1" ht="27.6">
      <c r="A102" s="338" t="s">
        <v>942</v>
      </c>
      <c r="B102" s="338" t="s">
        <v>943</v>
      </c>
      <c r="C102" s="358">
        <v>44214</v>
      </c>
      <c r="D102" s="351" t="s">
        <v>759</v>
      </c>
      <c r="E102" s="352" t="s">
        <v>775</v>
      </c>
      <c r="F102" s="359">
        <v>0.72083333333333333</v>
      </c>
      <c r="G102" s="359">
        <v>0.72152777777777777</v>
      </c>
      <c r="H102" s="359" t="s">
        <v>967</v>
      </c>
      <c r="I102" s="321">
        <v>711</v>
      </c>
      <c r="J102" s="338" t="str">
        <f>IFERROR(VLOOKUP(I102,'Chart of accounts'!A:H,2,FALSE),"")</f>
        <v>50102010 01</v>
      </c>
      <c r="K102" s="338" t="str">
        <f>IFERROR(VLOOKUP(I102,'Chart of accounts'!A:H,3,FALSE),"")</f>
        <v>PERA - Civilian</v>
      </c>
      <c r="L102" s="338" t="str">
        <f>IFERROR(VLOOKUP(I102,'Chart of accounts'!A:H,4,FALSE),"")</f>
        <v>50102010 01 - PERA - Civilian (711)</v>
      </c>
      <c r="M102" s="360" t="s">
        <v>776</v>
      </c>
      <c r="N102" s="355" t="s">
        <v>777</v>
      </c>
      <c r="O102" s="355" t="s">
        <v>762</v>
      </c>
      <c r="P102" s="355"/>
      <c r="Q102" s="319">
        <v>22000</v>
      </c>
      <c r="R102" s="319">
        <f t="shared" si="0"/>
        <v>-22000</v>
      </c>
      <c r="S102" s="319" t="str">
        <f>VLOOKUP(H102,'Fund Utilization Report'!$A$4:$U$1800,13,FALSE)</f>
        <v>PS</v>
      </c>
      <c r="T102" s="319" t="str">
        <f>VLOOKUP(H102,'Fund Utilization Report'!$A$4:$U$1800,2,FALSE)</f>
        <v>GAA</v>
      </c>
      <c r="U102" s="319" t="str">
        <f>VLOOKUP(H102,'Fund Utilization Report'!$A$4:$U$1800,3,FALSE)</f>
        <v>FY2021, RA11518</v>
      </c>
      <c r="V102" s="319" t="str">
        <f>VLOOKUP(H102,'Fund Utilization Report'!$A$4:$U$1800,4,FALSE)</f>
        <v>OO2</v>
      </c>
      <c r="W102" s="319" t="str">
        <f>VLOOKUP(H102,'Fund Utilization Report'!$A$4:$U$1800,5,FALSE)</f>
        <v>01101101</v>
      </c>
      <c r="X102" s="319" t="str">
        <f>VLOOKUP(H102,'Fund Utilization Report'!$A$4:$U$1800,6,FALSE)</f>
        <v>GOP</v>
      </c>
      <c r="Y102" s="320" t="str">
        <f>VLOOKUP(H102,'Fund Utilization Report'!$A$4:$U$1800,7,FALSE)</f>
        <v>PS</v>
      </c>
      <c r="Z102" s="321">
        <f>VLOOKUP(H102,'Fund Utilization Report'!$A$4:$U$1800,8,FALSE)</f>
        <v>5010000000</v>
      </c>
      <c r="AA102" s="319" t="str">
        <f>VLOOKUP(H102,'Fund Utilization Report'!$A$4:$U$1800,14,FALSE)</f>
        <v>320100100001000</v>
      </c>
      <c r="AB102" s="349" t="str">
        <f>VLOOKUP(H102,'Fund Utilization Report'!$A$4:$U$1800,15,FALSE)</f>
        <v>Formulation of Strategic plans,programs, and policies to develop competitve industries</v>
      </c>
      <c r="AC102" s="55" t="s">
        <v>0</v>
      </c>
      <c r="AD102" s="38">
        <v>1</v>
      </c>
      <c r="AE102" s="39">
        <v>711</v>
      </c>
      <c r="AF102" s="51" t="str">
        <f>VLOOKUP(AE102,'[2]Chart of accounts'!A:H,2,FALSE)</f>
        <v>50102010 01</v>
      </c>
      <c r="AG102" s="53" t="s">
        <v>1</v>
      </c>
      <c r="AH102" s="53" t="s">
        <v>1</v>
      </c>
    </row>
    <row r="103" spans="1:34" s="32" customFormat="1" ht="27.6">
      <c r="A103" s="338" t="s">
        <v>942</v>
      </c>
      <c r="B103" s="338" t="s">
        <v>943</v>
      </c>
      <c r="C103" s="358">
        <v>44214</v>
      </c>
      <c r="D103" s="351" t="s">
        <v>759</v>
      </c>
      <c r="E103" s="352" t="s">
        <v>775</v>
      </c>
      <c r="F103" s="359">
        <v>0.72083333333333333</v>
      </c>
      <c r="G103" s="359">
        <v>0.72152777777777777</v>
      </c>
      <c r="H103" s="359" t="s">
        <v>969</v>
      </c>
      <c r="I103" s="321">
        <v>731</v>
      </c>
      <c r="J103" s="338" t="str">
        <f>IFERROR(VLOOKUP(I103,'Chart of accounts'!A:H,2,FALSE),"")</f>
        <v>50103010 00</v>
      </c>
      <c r="K103" s="338" t="str">
        <f>IFERROR(VLOOKUP(I103,'Chart of accounts'!A:H,3,FALSE),"")</f>
        <v>Retirement and Life Insurance Premiums</v>
      </c>
      <c r="L103" s="338" t="str">
        <f>IFERROR(VLOOKUP(I103,'Chart of accounts'!A:H,4,FALSE),"")</f>
        <v>50103010 00 - Retirement and Life Insurance Premiums (731)</v>
      </c>
      <c r="M103" s="360" t="s">
        <v>776</v>
      </c>
      <c r="N103" s="355" t="s">
        <v>777</v>
      </c>
      <c r="O103" s="355" t="s">
        <v>762</v>
      </c>
      <c r="P103" s="355"/>
      <c r="Q103" s="319">
        <v>45257.64</v>
      </c>
      <c r="R103" s="319">
        <f t="shared" si="0"/>
        <v>-45257.64</v>
      </c>
      <c r="S103" s="319" t="str">
        <f>VLOOKUP(H103,'Fund Utilization Report'!$A$4:$U$1800,13,FALSE)</f>
        <v>PS</v>
      </c>
      <c r="T103" s="319" t="str">
        <f>VLOOKUP(H103,'Fund Utilization Report'!$A$4:$U$1800,2,FALSE)</f>
        <v>GAA</v>
      </c>
      <c r="U103" s="319" t="str">
        <f>VLOOKUP(H103,'Fund Utilization Report'!$A$4:$U$1800,3,FALSE)</f>
        <v>FY2021, RA11518</v>
      </c>
      <c r="V103" s="319" t="str">
        <f>VLOOKUP(H103,'Fund Utilization Report'!$A$4:$U$1800,4,FALSE)</f>
        <v>OO2</v>
      </c>
      <c r="W103" s="319" t="str">
        <f>VLOOKUP(H103,'Fund Utilization Report'!$A$4:$U$1800,5,FALSE)</f>
        <v>01101101</v>
      </c>
      <c r="X103" s="319" t="str">
        <f>VLOOKUP(H103,'Fund Utilization Report'!$A$4:$U$1800,6,FALSE)</f>
        <v>GOP</v>
      </c>
      <c r="Y103" s="320" t="str">
        <f>VLOOKUP(H103,'Fund Utilization Report'!$A$4:$U$1800,7,FALSE)</f>
        <v>RLIP</v>
      </c>
      <c r="Z103" s="321" t="str">
        <f>VLOOKUP(H103,'Fund Utilization Report'!$A$4:$U$1800,8,FALSE)</f>
        <v>50103010-00</v>
      </c>
      <c r="AA103" s="319" t="str">
        <f>VLOOKUP(H103,'Fund Utilization Report'!$A$4:$U$1800,14,FALSE)</f>
        <v>320100100001000</v>
      </c>
      <c r="AB103" s="349" t="str">
        <f>VLOOKUP(H103,'Fund Utilization Report'!$A$4:$U$1800,15,FALSE)</f>
        <v>Formulation of Strategic plans,programs, and policies to develop competitve industries</v>
      </c>
      <c r="AC103" s="55" t="s">
        <v>0</v>
      </c>
      <c r="AD103" s="38">
        <v>1</v>
      </c>
      <c r="AE103" s="39">
        <v>731</v>
      </c>
      <c r="AF103" s="51" t="str">
        <f>VLOOKUP(AE103,'[2]Chart of accounts'!A:H,2,FALSE)</f>
        <v>50103010 00</v>
      </c>
      <c r="AG103" s="53" t="s">
        <v>1</v>
      </c>
      <c r="AH103" s="53" t="s">
        <v>1</v>
      </c>
    </row>
    <row r="104" spans="1:34" s="32" customFormat="1" ht="27.6">
      <c r="A104" s="338" t="s">
        <v>942</v>
      </c>
      <c r="B104" s="338" t="s">
        <v>943</v>
      </c>
      <c r="C104" s="358">
        <v>44214</v>
      </c>
      <c r="D104" s="351" t="s">
        <v>759</v>
      </c>
      <c r="E104" s="352" t="s">
        <v>775</v>
      </c>
      <c r="F104" s="359">
        <v>0.72083333333333333</v>
      </c>
      <c r="G104" s="359">
        <v>0.72152777777777777</v>
      </c>
      <c r="H104" s="359" t="s">
        <v>967</v>
      </c>
      <c r="I104" s="321">
        <v>732</v>
      </c>
      <c r="J104" s="338" t="str">
        <f>IFERROR(VLOOKUP(I104,'Chart of accounts'!A:H,2,FALSE),"")</f>
        <v>50103020 01</v>
      </c>
      <c r="K104" s="338" t="str">
        <f>IFERROR(VLOOKUP(I104,'Chart of accounts'!A:H,3,FALSE),"")</f>
        <v>Pag-IBIG - Civilian</v>
      </c>
      <c r="L104" s="338" t="str">
        <f>IFERROR(VLOOKUP(I104,'Chart of accounts'!A:H,4,FALSE),"")</f>
        <v>50103020 01 - Pag-IBIG - Civilian (732)</v>
      </c>
      <c r="M104" s="360" t="s">
        <v>776</v>
      </c>
      <c r="N104" s="355" t="s">
        <v>777</v>
      </c>
      <c r="O104" s="355" t="s">
        <v>762</v>
      </c>
      <c r="P104" s="355"/>
      <c r="Q104" s="319">
        <v>1100</v>
      </c>
      <c r="R104" s="319">
        <f t="shared" si="0"/>
        <v>-1100</v>
      </c>
      <c r="S104" s="319" t="str">
        <f>VLOOKUP(H104,'Fund Utilization Report'!$A$4:$U$1800,13,FALSE)</f>
        <v>PS</v>
      </c>
      <c r="T104" s="319" t="str">
        <f>VLOOKUP(H104,'Fund Utilization Report'!$A$4:$U$1800,2,FALSE)</f>
        <v>GAA</v>
      </c>
      <c r="U104" s="319" t="str">
        <f>VLOOKUP(H104,'Fund Utilization Report'!$A$4:$U$1800,3,FALSE)</f>
        <v>FY2021, RA11518</v>
      </c>
      <c r="V104" s="319" t="str">
        <f>VLOOKUP(H104,'Fund Utilization Report'!$A$4:$U$1800,4,FALSE)</f>
        <v>OO2</v>
      </c>
      <c r="W104" s="319" t="str">
        <f>VLOOKUP(H104,'Fund Utilization Report'!$A$4:$U$1800,5,FALSE)</f>
        <v>01101101</v>
      </c>
      <c r="X104" s="319" t="str">
        <f>VLOOKUP(H104,'Fund Utilization Report'!$A$4:$U$1800,6,FALSE)</f>
        <v>GOP</v>
      </c>
      <c r="Y104" s="320" t="str">
        <f>VLOOKUP(H104,'Fund Utilization Report'!$A$4:$U$1800,7,FALSE)</f>
        <v>PS</v>
      </c>
      <c r="Z104" s="321">
        <f>VLOOKUP(H104,'Fund Utilization Report'!$A$4:$U$1800,8,FALSE)</f>
        <v>5010000000</v>
      </c>
      <c r="AA104" s="319" t="str">
        <f>VLOOKUP(H104,'Fund Utilization Report'!$A$4:$U$1800,14,FALSE)</f>
        <v>320100100001000</v>
      </c>
      <c r="AB104" s="349" t="str">
        <f>VLOOKUP(H104,'Fund Utilization Report'!$A$4:$U$1800,15,FALSE)</f>
        <v>Formulation of Strategic plans,programs, and policies to develop competitve industries</v>
      </c>
      <c r="AC104" s="55" t="s">
        <v>0</v>
      </c>
      <c r="AD104" s="38">
        <v>1</v>
      </c>
      <c r="AE104" s="39">
        <v>732</v>
      </c>
      <c r="AF104" s="51" t="str">
        <f>VLOOKUP(AE104,'[2]Chart of accounts'!A:H,2,FALSE)</f>
        <v>50103020 01</v>
      </c>
      <c r="AG104" s="53" t="s">
        <v>1</v>
      </c>
      <c r="AH104" s="53" t="s">
        <v>1</v>
      </c>
    </row>
    <row r="105" spans="1:34" s="32" customFormat="1" ht="27.6">
      <c r="A105" s="338" t="s">
        <v>942</v>
      </c>
      <c r="B105" s="338" t="s">
        <v>943</v>
      </c>
      <c r="C105" s="358">
        <v>44214</v>
      </c>
      <c r="D105" s="351" t="s">
        <v>759</v>
      </c>
      <c r="E105" s="352" t="s">
        <v>775</v>
      </c>
      <c r="F105" s="359">
        <v>0.72083333333333333</v>
      </c>
      <c r="G105" s="359">
        <v>0.72152777777777777</v>
      </c>
      <c r="H105" s="359" t="s">
        <v>967</v>
      </c>
      <c r="I105" s="321">
        <v>733</v>
      </c>
      <c r="J105" s="338" t="str">
        <f>IFERROR(VLOOKUP(I105,'Chart of accounts'!A:H,2,FALSE),"")</f>
        <v>50103030 01</v>
      </c>
      <c r="K105" s="338" t="str">
        <f>IFERROR(VLOOKUP(I105,'Chart of accounts'!A:H,3,FALSE),"")</f>
        <v>PhilHealth - Civilian</v>
      </c>
      <c r="L105" s="338" t="str">
        <f>IFERROR(VLOOKUP(I105,'Chart of accounts'!A:H,4,FALSE),"")</f>
        <v>50103030 01 - PhilHealth - Civilian (733)</v>
      </c>
      <c r="M105" s="360" t="s">
        <v>776</v>
      </c>
      <c r="N105" s="355" t="s">
        <v>777</v>
      </c>
      <c r="O105" s="355" t="s">
        <v>762</v>
      </c>
      <c r="P105" s="355"/>
      <c r="Q105" s="319">
        <v>5521.98</v>
      </c>
      <c r="R105" s="319">
        <f t="shared" si="0"/>
        <v>-5521.98</v>
      </c>
      <c r="S105" s="319" t="str">
        <f>VLOOKUP(H105,'Fund Utilization Report'!$A$4:$U$1800,13,FALSE)</f>
        <v>PS</v>
      </c>
      <c r="T105" s="319" t="str">
        <f>VLOOKUP(H105,'Fund Utilization Report'!$A$4:$U$1800,2,FALSE)</f>
        <v>GAA</v>
      </c>
      <c r="U105" s="319" t="str">
        <f>VLOOKUP(H105,'Fund Utilization Report'!$A$4:$U$1800,3,FALSE)</f>
        <v>FY2021, RA11518</v>
      </c>
      <c r="V105" s="319" t="str">
        <f>VLOOKUP(H105,'Fund Utilization Report'!$A$4:$U$1800,4,FALSE)</f>
        <v>OO2</v>
      </c>
      <c r="W105" s="319" t="str">
        <f>VLOOKUP(H105,'Fund Utilization Report'!$A$4:$U$1800,5,FALSE)</f>
        <v>01101101</v>
      </c>
      <c r="X105" s="319" t="str">
        <f>VLOOKUP(H105,'Fund Utilization Report'!$A$4:$U$1800,6,FALSE)</f>
        <v>GOP</v>
      </c>
      <c r="Y105" s="320" t="str">
        <f>VLOOKUP(H105,'Fund Utilization Report'!$A$4:$U$1800,7,FALSE)</f>
        <v>PS</v>
      </c>
      <c r="Z105" s="321">
        <f>VLOOKUP(H105,'Fund Utilization Report'!$A$4:$U$1800,8,FALSE)</f>
        <v>5010000000</v>
      </c>
      <c r="AA105" s="319" t="str">
        <f>VLOOKUP(H105,'Fund Utilization Report'!$A$4:$U$1800,14,FALSE)</f>
        <v>320100100001000</v>
      </c>
      <c r="AB105" s="349" t="str">
        <f>VLOOKUP(H105,'Fund Utilization Report'!$A$4:$U$1800,15,FALSE)</f>
        <v>Formulation of Strategic plans,programs, and policies to develop competitve industries</v>
      </c>
      <c r="AC105" s="55" t="s">
        <v>0</v>
      </c>
      <c r="AD105" s="38">
        <v>1</v>
      </c>
      <c r="AE105" s="55">
        <v>733</v>
      </c>
      <c r="AF105" s="51" t="str">
        <f>VLOOKUP(AE105,'[2]Chart of accounts'!A:H,2,FALSE)</f>
        <v>50103030 01</v>
      </c>
      <c r="AG105" s="53" t="s">
        <v>1</v>
      </c>
      <c r="AH105" s="53" t="s">
        <v>1</v>
      </c>
    </row>
    <row r="106" spans="1:34" s="32" customFormat="1" ht="27.6">
      <c r="A106" s="338" t="s">
        <v>942</v>
      </c>
      <c r="B106" s="338" t="s">
        <v>943</v>
      </c>
      <c r="C106" s="358">
        <v>44214</v>
      </c>
      <c r="D106" s="351" t="s">
        <v>759</v>
      </c>
      <c r="E106" s="352" t="s">
        <v>775</v>
      </c>
      <c r="F106" s="359">
        <v>0.72083333333333333</v>
      </c>
      <c r="G106" s="359">
        <v>0.72152777777777777</v>
      </c>
      <c r="H106" s="359" t="s">
        <v>967</v>
      </c>
      <c r="I106" s="321">
        <v>734</v>
      </c>
      <c r="J106" s="338" t="str">
        <f>IFERROR(VLOOKUP(I106,'Chart of accounts'!A:H,2,FALSE),"")</f>
        <v>50103040 01</v>
      </c>
      <c r="K106" s="338" t="str">
        <f>IFERROR(VLOOKUP(I106,'Chart of accounts'!A:H,3,FALSE),"")</f>
        <v>ECIP - Civilian</v>
      </c>
      <c r="L106" s="338" t="str">
        <f>IFERROR(VLOOKUP(I106,'Chart of accounts'!A:H,4,FALSE),"")</f>
        <v>50103040 01 - ECIP - Civilian (734)</v>
      </c>
      <c r="M106" s="360" t="s">
        <v>776</v>
      </c>
      <c r="N106" s="355" t="s">
        <v>777</v>
      </c>
      <c r="O106" s="355" t="s">
        <v>762</v>
      </c>
      <c r="P106" s="355"/>
      <c r="Q106" s="319">
        <v>1100</v>
      </c>
      <c r="R106" s="319">
        <f t="shared" si="0"/>
        <v>-1100</v>
      </c>
      <c r="S106" s="319" t="str">
        <f>VLOOKUP(H106,'Fund Utilization Report'!$A$4:$U$1800,13,FALSE)</f>
        <v>PS</v>
      </c>
      <c r="T106" s="319" t="str">
        <f>VLOOKUP(H106,'Fund Utilization Report'!$A$4:$U$1800,2,FALSE)</f>
        <v>GAA</v>
      </c>
      <c r="U106" s="319" t="str">
        <f>VLOOKUP(H106,'Fund Utilization Report'!$A$4:$U$1800,3,FALSE)</f>
        <v>FY2021, RA11518</v>
      </c>
      <c r="V106" s="319" t="str">
        <f>VLOOKUP(H106,'Fund Utilization Report'!$A$4:$U$1800,4,FALSE)</f>
        <v>OO2</v>
      </c>
      <c r="W106" s="319" t="str">
        <f>VLOOKUP(H106,'Fund Utilization Report'!$A$4:$U$1800,5,FALSE)</f>
        <v>01101101</v>
      </c>
      <c r="X106" s="319" t="str">
        <f>VLOOKUP(H106,'Fund Utilization Report'!$A$4:$U$1800,6,FALSE)</f>
        <v>GOP</v>
      </c>
      <c r="Y106" s="320" t="str">
        <f>VLOOKUP(H106,'Fund Utilization Report'!$A$4:$U$1800,7,FALSE)</f>
        <v>PS</v>
      </c>
      <c r="Z106" s="321">
        <f>VLOOKUP(H106,'Fund Utilization Report'!$A$4:$U$1800,8,FALSE)</f>
        <v>5010000000</v>
      </c>
      <c r="AA106" s="319" t="str">
        <f>VLOOKUP(H106,'Fund Utilization Report'!$A$4:$U$1800,14,FALSE)</f>
        <v>320100100001000</v>
      </c>
      <c r="AB106" s="349" t="str">
        <f>VLOOKUP(H106,'Fund Utilization Report'!$A$4:$U$1800,15,FALSE)</f>
        <v>Formulation of Strategic plans,programs, and policies to develop competitve industries</v>
      </c>
      <c r="AC106" s="55" t="s">
        <v>0</v>
      </c>
      <c r="AD106" s="38">
        <v>1</v>
      </c>
      <c r="AE106" s="55">
        <v>734</v>
      </c>
      <c r="AF106" s="51" t="str">
        <f>VLOOKUP(AE106,'[2]Chart of accounts'!A:H,2,FALSE)</f>
        <v>50103040 01</v>
      </c>
      <c r="AG106" s="53" t="s">
        <v>1</v>
      </c>
      <c r="AH106" s="53" t="s">
        <v>1</v>
      </c>
    </row>
    <row r="107" spans="1:34" s="75" customFormat="1" ht="27.6">
      <c r="A107" s="338" t="s">
        <v>942</v>
      </c>
      <c r="B107" s="338" t="s">
        <v>943</v>
      </c>
      <c r="C107" s="358">
        <v>44214</v>
      </c>
      <c r="D107" s="364" t="s">
        <v>759</v>
      </c>
      <c r="E107" s="365" t="s">
        <v>778</v>
      </c>
      <c r="F107" s="359">
        <v>0.72152777777777777</v>
      </c>
      <c r="G107" s="359">
        <v>0.72222222222222221</v>
      </c>
      <c r="H107" s="359" t="s">
        <v>961</v>
      </c>
      <c r="I107" s="321">
        <v>782</v>
      </c>
      <c r="J107" s="338" t="str">
        <f>IFERROR(VLOOKUP(I107,'Chart of accounts'!A:H,2,FALSE),"")</f>
        <v>50299050 01</v>
      </c>
      <c r="K107" s="338" t="str">
        <f>IFERROR(VLOOKUP(I107,'Chart of accounts'!A:H,3,FALSE),"")</f>
        <v>Rent - Buildings and Structures</v>
      </c>
      <c r="L107" s="338" t="str">
        <f>IFERROR(VLOOKUP(I107,'Chart of accounts'!A:H,4,FALSE),"")</f>
        <v>50299050 01 - Rent - Buildings and Structures (782)</v>
      </c>
      <c r="M107" s="356" t="s">
        <v>2</v>
      </c>
      <c r="N107" s="357" t="s">
        <v>779</v>
      </c>
      <c r="O107" s="357" t="s">
        <v>850</v>
      </c>
      <c r="P107" s="357"/>
      <c r="Q107" s="319">
        <f>160190.04</f>
        <v>160190.04</v>
      </c>
      <c r="R107" s="319">
        <f t="shared" si="0"/>
        <v>-160190.04</v>
      </c>
      <c r="S107" s="319" t="str">
        <f>VLOOKUP(H107,'Fund Utilization Report'!$A$4:$U$1800,13,FALSE)</f>
        <v>MOOE</v>
      </c>
      <c r="T107" s="319" t="str">
        <f>VLOOKUP(H107,'Fund Utilization Report'!$A$4:$U$1800,2,FALSE)</f>
        <v>GAA</v>
      </c>
      <c r="U107" s="319" t="str">
        <f>VLOOKUP(H107,'Fund Utilization Report'!$A$4:$U$1800,3,FALSE)</f>
        <v>FY2021, RA11518</v>
      </c>
      <c r="V107" s="319" t="str">
        <f>VLOOKUP(H107,'Fund Utilization Report'!$A$4:$U$1800,4,FALSE)</f>
        <v>GAS(GMS)</v>
      </c>
      <c r="W107" s="319" t="str">
        <f>VLOOKUP(H107,'Fund Utilization Report'!$A$4:$U$1800,5,FALSE)</f>
        <v>01101101</v>
      </c>
      <c r="X107" s="319" t="str">
        <f>VLOOKUP(H107,'Fund Utilization Report'!$A$4:$U$1800,6,FALSE)</f>
        <v>GOP</v>
      </c>
      <c r="Y107" s="320" t="str">
        <f>VLOOKUP(H107,'Fund Utilization Report'!$A$4:$U$1800,7,FALSE)</f>
        <v>MOOE</v>
      </c>
      <c r="Z107" s="321">
        <f>VLOOKUP(H107,'Fund Utilization Report'!$A$4:$U$1800,8,FALSE)</f>
        <v>5020000000</v>
      </c>
      <c r="AA107" s="319" t="str">
        <f>VLOOKUP(H107,'Fund Utilization Report'!$A$4:$U$1800,14,FALSE)</f>
        <v>100000100001000</v>
      </c>
      <c r="AB107" s="349" t="str">
        <f>VLOOKUP(H107,'Fund Utilization Report'!$A$4:$U$1800,15,FALSE)</f>
        <v>General Administration and Supervision - General Management and Supervision</v>
      </c>
      <c r="AC107" s="55" t="s">
        <v>0</v>
      </c>
      <c r="AD107" s="38">
        <v>2</v>
      </c>
      <c r="AE107" s="55">
        <v>782</v>
      </c>
      <c r="AF107" s="37" t="str">
        <f>VLOOKUP(AE107,'[2]Chart of accounts'!A:H,2,FALSE)</f>
        <v>50299050 01</v>
      </c>
      <c r="AG107" s="131" t="s">
        <v>3</v>
      </c>
      <c r="AH107" s="131" t="s">
        <v>3</v>
      </c>
    </row>
    <row r="108" spans="1:34" s="32" customFormat="1" ht="27.6">
      <c r="A108" s="338" t="s">
        <v>942</v>
      </c>
      <c r="B108" s="338" t="s">
        <v>943</v>
      </c>
      <c r="C108" s="358">
        <v>44214</v>
      </c>
      <c r="D108" s="351" t="s">
        <v>759</v>
      </c>
      <c r="E108" s="352" t="s">
        <v>849</v>
      </c>
      <c r="F108" s="359">
        <v>0.72152777777777777</v>
      </c>
      <c r="G108" s="338">
        <v>0.72430555555555554</v>
      </c>
      <c r="H108" s="359" t="s">
        <v>961</v>
      </c>
      <c r="I108" s="353">
        <v>782</v>
      </c>
      <c r="J108" s="338" t="str">
        <f>IFERROR(VLOOKUP(I108,'Chart of accounts'!A:H,2,FALSE),"")</f>
        <v>50299050 01</v>
      </c>
      <c r="K108" s="338" t="str">
        <f>IFERROR(VLOOKUP(I108,'Chart of accounts'!A:H,3,FALSE),"")</f>
        <v>Rent - Buildings and Structures</v>
      </c>
      <c r="L108" s="338" t="str">
        <f>IFERROR(VLOOKUP(I108,'Chart of accounts'!A:H,4,FALSE),"")</f>
        <v>50299050 01 - Rent - Buildings and Structures (782)</v>
      </c>
      <c r="M108" s="360" t="s">
        <v>2</v>
      </c>
      <c r="N108" s="355" t="s">
        <v>779</v>
      </c>
      <c r="O108" s="355" t="s">
        <v>780</v>
      </c>
      <c r="P108" s="355"/>
      <c r="Q108" s="363">
        <v>10311.43</v>
      </c>
      <c r="R108" s="319">
        <f t="shared" si="0"/>
        <v>-10311.43</v>
      </c>
      <c r="S108" s="319" t="str">
        <f>VLOOKUP(H108,'Fund Utilization Report'!$A$4:$U$1800,13,FALSE)</f>
        <v>MOOE</v>
      </c>
      <c r="T108" s="319" t="str">
        <f>VLOOKUP(H108,'Fund Utilization Report'!$A$4:$U$1800,2,FALSE)</f>
        <v>GAA</v>
      </c>
      <c r="U108" s="319" t="str">
        <f>VLOOKUP(H108,'Fund Utilization Report'!$A$4:$U$1800,3,FALSE)</f>
        <v>FY2021, RA11518</v>
      </c>
      <c r="V108" s="319" t="str">
        <f>VLOOKUP(H108,'Fund Utilization Report'!$A$4:$U$1800,4,FALSE)</f>
        <v>GAS(GMS)</v>
      </c>
      <c r="W108" s="319" t="str">
        <f>VLOOKUP(H108,'Fund Utilization Report'!$A$4:$U$1800,5,FALSE)</f>
        <v>01101101</v>
      </c>
      <c r="X108" s="319" t="str">
        <f>VLOOKUP(H108,'Fund Utilization Report'!$A$4:$U$1800,6,FALSE)</f>
        <v>GOP</v>
      </c>
      <c r="Y108" s="320" t="str">
        <f>VLOOKUP(H108,'Fund Utilization Report'!$A$4:$U$1800,7,FALSE)</f>
        <v>MOOE</v>
      </c>
      <c r="Z108" s="321">
        <f>VLOOKUP(H108,'Fund Utilization Report'!$A$4:$U$1800,8,FALSE)</f>
        <v>5020000000</v>
      </c>
      <c r="AA108" s="319" t="str">
        <f>VLOOKUP(H108,'Fund Utilization Report'!$A$4:$U$1800,14,FALSE)</f>
        <v>100000100001000</v>
      </c>
      <c r="AB108" s="349" t="str">
        <f>VLOOKUP(H108,'Fund Utilization Report'!$A$4:$U$1800,15,FALSE)</f>
        <v>General Administration and Supervision - General Management and Supervision</v>
      </c>
      <c r="AC108" s="55" t="s">
        <v>0</v>
      </c>
      <c r="AD108" s="38">
        <v>2</v>
      </c>
      <c r="AE108" s="39">
        <v>782</v>
      </c>
      <c r="AF108" s="51" t="str">
        <f>VLOOKUP(AE108,'[2]Chart of accounts'!A:H,2,FALSE)</f>
        <v>50299050 01</v>
      </c>
      <c r="AG108" s="40" t="s">
        <v>3</v>
      </c>
      <c r="AH108" s="40" t="s">
        <v>3</v>
      </c>
    </row>
    <row r="109" spans="1:34" s="32" customFormat="1" ht="27.6">
      <c r="A109" s="338" t="s">
        <v>942</v>
      </c>
      <c r="B109" s="338" t="s">
        <v>943</v>
      </c>
      <c r="C109" s="358">
        <v>44215</v>
      </c>
      <c r="D109" s="351" t="s">
        <v>759</v>
      </c>
      <c r="E109" s="352" t="s">
        <v>781</v>
      </c>
      <c r="F109" s="338">
        <v>0.54305555555555551</v>
      </c>
      <c r="G109" s="338">
        <v>0.54375000000000007</v>
      </c>
      <c r="H109" s="359" t="s">
        <v>961</v>
      </c>
      <c r="I109" s="353">
        <v>892</v>
      </c>
      <c r="J109" s="338" t="str">
        <f>IFERROR(VLOOKUP(I109,'Chart of accounts'!A:H,2,FALSE),"")</f>
        <v>50215020 00</v>
      </c>
      <c r="K109" s="338" t="str">
        <f>IFERROR(VLOOKUP(I109,'Chart of accounts'!A:H,3,FALSE),"")</f>
        <v>Fidelity Bond Premiums</v>
      </c>
      <c r="L109" s="338" t="str">
        <f>IFERROR(VLOOKUP(I109,'Chart of accounts'!A:H,4,FALSE),"")</f>
        <v>50215020 00 - Fidelity Bond Premiums (892)</v>
      </c>
      <c r="M109" s="360" t="s">
        <v>2</v>
      </c>
      <c r="N109" s="355" t="s">
        <v>782</v>
      </c>
      <c r="O109" s="355" t="s">
        <v>783</v>
      </c>
      <c r="P109" s="355"/>
      <c r="Q109" s="363">
        <v>11250</v>
      </c>
      <c r="R109" s="319">
        <f t="shared" si="0"/>
        <v>-11250</v>
      </c>
      <c r="S109" s="319" t="str">
        <f>VLOOKUP(H109,'Fund Utilization Report'!$A$4:$U$1800,13,FALSE)</f>
        <v>MOOE</v>
      </c>
      <c r="T109" s="319" t="str">
        <f>VLOOKUP(H109,'Fund Utilization Report'!$A$4:$U$1800,2,FALSE)</f>
        <v>GAA</v>
      </c>
      <c r="U109" s="319" t="str">
        <f>VLOOKUP(H109,'Fund Utilization Report'!$A$4:$U$1800,3,FALSE)</f>
        <v>FY2021, RA11518</v>
      </c>
      <c r="V109" s="319" t="str">
        <f>VLOOKUP(H109,'Fund Utilization Report'!$A$4:$U$1800,4,FALSE)</f>
        <v>GAS(GMS)</v>
      </c>
      <c r="W109" s="319" t="str">
        <f>VLOOKUP(H109,'Fund Utilization Report'!$A$4:$U$1800,5,FALSE)</f>
        <v>01101101</v>
      </c>
      <c r="X109" s="319" t="str">
        <f>VLOOKUP(H109,'Fund Utilization Report'!$A$4:$U$1800,6,FALSE)</f>
        <v>GOP</v>
      </c>
      <c r="Y109" s="320" t="str">
        <f>VLOOKUP(H109,'Fund Utilization Report'!$A$4:$U$1800,7,FALSE)</f>
        <v>MOOE</v>
      </c>
      <c r="Z109" s="321">
        <f>VLOOKUP(H109,'Fund Utilization Report'!$A$4:$U$1800,8,FALSE)</f>
        <v>5020000000</v>
      </c>
      <c r="AA109" s="319" t="str">
        <f>VLOOKUP(H109,'Fund Utilization Report'!$A$4:$U$1800,14,FALSE)</f>
        <v>100000100001000</v>
      </c>
      <c r="AB109" s="349" t="str">
        <f>VLOOKUP(H109,'Fund Utilization Report'!$A$4:$U$1800,15,FALSE)</f>
        <v>General Administration and Supervision - General Management and Supervision</v>
      </c>
      <c r="AC109" s="55" t="s">
        <v>0</v>
      </c>
      <c r="AD109" s="38">
        <v>2</v>
      </c>
      <c r="AE109" s="39">
        <v>892</v>
      </c>
      <c r="AF109" s="51" t="str">
        <f>VLOOKUP(AE109,'[2]Chart of accounts'!A:H,2,FALSE)</f>
        <v>50215020 00</v>
      </c>
      <c r="AG109" s="40" t="s">
        <v>3</v>
      </c>
      <c r="AH109" s="40" t="s">
        <v>3</v>
      </c>
    </row>
    <row r="110" spans="1:34" s="32" customFormat="1" ht="27.6">
      <c r="A110" s="338" t="s">
        <v>942</v>
      </c>
      <c r="B110" s="338" t="s">
        <v>943</v>
      </c>
      <c r="C110" s="358">
        <v>44215</v>
      </c>
      <c r="D110" s="351" t="s">
        <v>759</v>
      </c>
      <c r="E110" s="352" t="s">
        <v>787</v>
      </c>
      <c r="F110" s="359">
        <v>0.56527777777777777</v>
      </c>
      <c r="G110" s="359">
        <v>0.56597222222222221</v>
      </c>
      <c r="H110" s="359" t="s">
        <v>970</v>
      </c>
      <c r="I110" s="321">
        <v>701</v>
      </c>
      <c r="J110" s="338" t="str">
        <f>IFERROR(VLOOKUP(I110,'Chart of accounts'!A:H,2,FALSE),"")</f>
        <v>50101010 01</v>
      </c>
      <c r="K110" s="338" t="str">
        <f>IFERROR(VLOOKUP(I110,'Chart of accounts'!A:H,3,FALSE),"")</f>
        <v>Basic Salary - Civilian</v>
      </c>
      <c r="L110" s="338" t="str">
        <f>IFERROR(VLOOKUP(I110,'Chart of accounts'!A:H,4,FALSE),"")</f>
        <v>50101010 01 - Basic Salary - Civilian (701)</v>
      </c>
      <c r="M110" s="360" t="s">
        <v>788</v>
      </c>
      <c r="N110" s="355" t="s">
        <v>789</v>
      </c>
      <c r="O110" s="355" t="s">
        <v>762</v>
      </c>
      <c r="P110" s="355"/>
      <c r="Q110" s="319">
        <v>487450</v>
      </c>
      <c r="R110" s="319">
        <f t="shared" si="0"/>
        <v>-487450</v>
      </c>
      <c r="S110" s="319" t="str">
        <f>VLOOKUP(H110,'Fund Utilization Report'!$A$4:$U$1800,13,FALSE)</f>
        <v>PS</v>
      </c>
      <c r="T110" s="319" t="str">
        <f>VLOOKUP(H110,'Fund Utilization Report'!$A$4:$U$1800,2,FALSE)</f>
        <v>GAA</v>
      </c>
      <c r="U110" s="319" t="str">
        <f>VLOOKUP(H110,'Fund Utilization Report'!$A$4:$U$1800,3,FALSE)</f>
        <v>FY2021, RA11518</v>
      </c>
      <c r="V110" s="319" t="str">
        <f>VLOOKUP(H110,'Fund Utilization Report'!$A$4:$U$1800,4,FALSE)</f>
        <v>OO3</v>
      </c>
      <c r="W110" s="319" t="str">
        <f>VLOOKUP(H110,'Fund Utilization Report'!$A$4:$U$1800,5,FALSE)</f>
        <v>01101101</v>
      </c>
      <c r="X110" s="319" t="str">
        <f>VLOOKUP(H110,'Fund Utilization Report'!$A$4:$U$1800,6,FALSE)</f>
        <v>GOP</v>
      </c>
      <c r="Y110" s="320" t="str">
        <f>VLOOKUP(H110,'Fund Utilization Report'!$A$4:$U$1800,7,FALSE)</f>
        <v>PS</v>
      </c>
      <c r="Z110" s="321">
        <f>VLOOKUP(H110,'Fund Utilization Report'!$A$4:$U$1800,8,FALSE)</f>
        <v>5010000000</v>
      </c>
      <c r="AA110" s="319" t="str">
        <f>VLOOKUP(H110,'Fund Utilization Report'!$A$4:$U$1800,14,FALSE)</f>
        <v>330100100002000</v>
      </c>
      <c r="AB110" s="349" t="str">
        <f>VLOOKUP(H110,'Fund Utilization Report'!$A$4:$U$1800,15,FALSE)</f>
        <v>Implementation of the MSME Development Plan and other initiatives to promote the growth of Micro, Small and Medium Enterprises</v>
      </c>
      <c r="AC110" s="55" t="s">
        <v>0</v>
      </c>
      <c r="AD110" s="38">
        <v>1</v>
      </c>
      <c r="AE110" s="39">
        <v>701</v>
      </c>
      <c r="AF110" s="51" t="str">
        <f>VLOOKUP(AE110,'[2]Chart of accounts'!A:H,2,FALSE)</f>
        <v>50101010 01</v>
      </c>
      <c r="AG110" s="53" t="s">
        <v>1</v>
      </c>
      <c r="AH110" s="53" t="s">
        <v>1</v>
      </c>
    </row>
    <row r="111" spans="1:34" s="32" customFormat="1" ht="27.6">
      <c r="A111" s="338" t="s">
        <v>942</v>
      </c>
      <c r="B111" s="338" t="s">
        <v>943</v>
      </c>
      <c r="C111" s="358">
        <v>44215</v>
      </c>
      <c r="D111" s="351" t="s">
        <v>759</v>
      </c>
      <c r="E111" s="352" t="s">
        <v>787</v>
      </c>
      <c r="F111" s="359">
        <v>0.56527777777777777</v>
      </c>
      <c r="G111" s="359">
        <v>0.56597222222222221</v>
      </c>
      <c r="H111" s="359" t="s">
        <v>970</v>
      </c>
      <c r="I111" s="321">
        <v>711</v>
      </c>
      <c r="J111" s="338" t="str">
        <f>IFERROR(VLOOKUP(I111,'Chart of accounts'!A:H,2,FALSE),"")</f>
        <v>50102010 01</v>
      </c>
      <c r="K111" s="338" t="str">
        <f>IFERROR(VLOOKUP(I111,'Chart of accounts'!A:H,3,FALSE),"")</f>
        <v>PERA - Civilian</v>
      </c>
      <c r="L111" s="338" t="str">
        <f>IFERROR(VLOOKUP(I111,'Chart of accounts'!A:H,4,FALSE),"")</f>
        <v>50102010 01 - PERA - Civilian (711)</v>
      </c>
      <c r="M111" s="360" t="s">
        <v>788</v>
      </c>
      <c r="N111" s="355" t="s">
        <v>789</v>
      </c>
      <c r="O111" s="355" t="s">
        <v>762</v>
      </c>
      <c r="P111" s="355"/>
      <c r="Q111" s="319">
        <v>20000</v>
      </c>
      <c r="R111" s="319">
        <f t="shared" ref="R111:R174" si="1">P111-Q111</f>
        <v>-20000</v>
      </c>
      <c r="S111" s="319" t="str">
        <f>VLOOKUP(H111,'Fund Utilization Report'!$A$4:$U$1800,13,FALSE)</f>
        <v>PS</v>
      </c>
      <c r="T111" s="319" t="str">
        <f>VLOOKUP(H111,'Fund Utilization Report'!$A$4:$U$1800,2,FALSE)</f>
        <v>GAA</v>
      </c>
      <c r="U111" s="319" t="str">
        <f>VLOOKUP(H111,'Fund Utilization Report'!$A$4:$U$1800,3,FALSE)</f>
        <v>FY2021, RA11518</v>
      </c>
      <c r="V111" s="319" t="str">
        <f>VLOOKUP(H111,'Fund Utilization Report'!$A$4:$U$1800,4,FALSE)</f>
        <v>OO3</v>
      </c>
      <c r="W111" s="319" t="str">
        <f>VLOOKUP(H111,'Fund Utilization Report'!$A$4:$U$1800,5,FALSE)</f>
        <v>01101101</v>
      </c>
      <c r="X111" s="319" t="str">
        <f>VLOOKUP(H111,'Fund Utilization Report'!$A$4:$U$1800,6,FALSE)</f>
        <v>GOP</v>
      </c>
      <c r="Y111" s="320" t="str">
        <f>VLOOKUP(H111,'Fund Utilization Report'!$A$4:$U$1800,7,FALSE)</f>
        <v>PS</v>
      </c>
      <c r="Z111" s="321">
        <f>VLOOKUP(H111,'Fund Utilization Report'!$A$4:$U$1800,8,FALSE)</f>
        <v>5010000000</v>
      </c>
      <c r="AA111" s="319" t="str">
        <f>VLOOKUP(H111,'Fund Utilization Report'!$A$4:$U$1800,14,FALSE)</f>
        <v>330100100002000</v>
      </c>
      <c r="AB111" s="349" t="str">
        <f>VLOOKUP(H111,'Fund Utilization Report'!$A$4:$U$1800,15,FALSE)</f>
        <v>Implementation of the MSME Development Plan and other initiatives to promote the growth of Micro, Small and Medium Enterprises</v>
      </c>
      <c r="AC111" s="55" t="s">
        <v>0</v>
      </c>
      <c r="AD111" s="38">
        <v>1</v>
      </c>
      <c r="AE111" s="39">
        <v>711</v>
      </c>
      <c r="AF111" s="51" t="str">
        <f>VLOOKUP(AE111,'[2]Chart of accounts'!A:H,2,FALSE)</f>
        <v>50102010 01</v>
      </c>
      <c r="AG111" s="53" t="s">
        <v>1</v>
      </c>
      <c r="AH111" s="53" t="s">
        <v>1</v>
      </c>
    </row>
    <row r="112" spans="1:34" s="32" customFormat="1" ht="27.6">
      <c r="A112" s="338" t="s">
        <v>942</v>
      </c>
      <c r="B112" s="338" t="s">
        <v>943</v>
      </c>
      <c r="C112" s="358">
        <v>44215</v>
      </c>
      <c r="D112" s="351" t="s">
        <v>759</v>
      </c>
      <c r="E112" s="352" t="s">
        <v>787</v>
      </c>
      <c r="F112" s="359">
        <v>0.56527777777777777</v>
      </c>
      <c r="G112" s="359">
        <v>0.56597222222222221</v>
      </c>
      <c r="H112" s="359" t="s">
        <v>972</v>
      </c>
      <c r="I112" s="321">
        <v>731</v>
      </c>
      <c r="J112" s="338" t="str">
        <f>IFERROR(VLOOKUP(I112,'Chart of accounts'!A:H,2,FALSE),"")</f>
        <v>50103010 00</v>
      </c>
      <c r="K112" s="338" t="str">
        <f>IFERROR(VLOOKUP(I112,'Chart of accounts'!A:H,3,FALSE),"")</f>
        <v>Retirement and Life Insurance Premiums</v>
      </c>
      <c r="L112" s="338" t="str">
        <f>IFERROR(VLOOKUP(I112,'Chart of accounts'!A:H,4,FALSE),"")</f>
        <v>50103010 00 - Retirement and Life Insurance Premiums (731)</v>
      </c>
      <c r="M112" s="360" t="s">
        <v>788</v>
      </c>
      <c r="N112" s="355" t="s">
        <v>789</v>
      </c>
      <c r="O112" s="355" t="s">
        <v>762</v>
      </c>
      <c r="P112" s="355"/>
      <c r="Q112" s="319">
        <v>58494</v>
      </c>
      <c r="R112" s="319">
        <f t="shared" si="1"/>
        <v>-58494</v>
      </c>
      <c r="S112" s="319" t="str">
        <f>VLOOKUP(H112,'Fund Utilization Report'!$A$4:$U$1800,13,FALSE)</f>
        <v>PS</v>
      </c>
      <c r="T112" s="319" t="str">
        <f>VLOOKUP(H112,'Fund Utilization Report'!$A$4:$U$1800,2,FALSE)</f>
        <v>GAA</v>
      </c>
      <c r="U112" s="319" t="str">
        <f>VLOOKUP(H112,'Fund Utilization Report'!$A$4:$U$1800,3,FALSE)</f>
        <v>FY2021, RA11518</v>
      </c>
      <c r="V112" s="319" t="str">
        <f>VLOOKUP(H112,'Fund Utilization Report'!$A$4:$U$1800,4,FALSE)</f>
        <v>OO3</v>
      </c>
      <c r="W112" s="319" t="str">
        <f>VLOOKUP(H112,'Fund Utilization Report'!$A$4:$U$1800,5,FALSE)</f>
        <v>01101101</v>
      </c>
      <c r="X112" s="319" t="str">
        <f>VLOOKUP(H112,'Fund Utilization Report'!$A$4:$U$1800,6,FALSE)</f>
        <v>GOP</v>
      </c>
      <c r="Y112" s="320" t="str">
        <f>VLOOKUP(H112,'Fund Utilization Report'!$A$4:$U$1800,7,FALSE)</f>
        <v>RLIP</v>
      </c>
      <c r="Z112" s="321" t="str">
        <f>VLOOKUP(H112,'Fund Utilization Report'!$A$4:$U$1800,8,FALSE)</f>
        <v>50103010-00</v>
      </c>
      <c r="AA112" s="319" t="str">
        <f>VLOOKUP(H112,'Fund Utilization Report'!$A$4:$U$1800,14,FALSE)</f>
        <v>330100100002000</v>
      </c>
      <c r="AB112" s="349" t="str">
        <f>VLOOKUP(H112,'Fund Utilization Report'!$A$4:$U$1800,15,FALSE)</f>
        <v>Implementation of the MSME Development Plan and other initiatives to promote the growth of Micro, Small and Medium Enterprises</v>
      </c>
      <c r="AC112" s="55" t="s">
        <v>0</v>
      </c>
      <c r="AD112" s="38">
        <v>1</v>
      </c>
      <c r="AE112" s="39">
        <v>731</v>
      </c>
      <c r="AF112" s="51" t="str">
        <f>VLOOKUP(AE112,'[2]Chart of accounts'!A:H,2,FALSE)</f>
        <v>50103010 00</v>
      </c>
      <c r="AG112" s="53" t="s">
        <v>1</v>
      </c>
      <c r="AH112" s="53" t="s">
        <v>1</v>
      </c>
    </row>
    <row r="113" spans="1:34" s="32" customFormat="1" ht="27.6">
      <c r="A113" s="338" t="s">
        <v>942</v>
      </c>
      <c r="B113" s="338" t="s">
        <v>943</v>
      </c>
      <c r="C113" s="358">
        <v>44215</v>
      </c>
      <c r="D113" s="351" t="s">
        <v>759</v>
      </c>
      <c r="E113" s="352" t="s">
        <v>787</v>
      </c>
      <c r="F113" s="359">
        <v>0.56527777777777777</v>
      </c>
      <c r="G113" s="359">
        <v>0.56597222222222221</v>
      </c>
      <c r="H113" s="359" t="s">
        <v>970</v>
      </c>
      <c r="I113" s="321">
        <v>732</v>
      </c>
      <c r="J113" s="338" t="str">
        <f>IFERROR(VLOOKUP(I113,'Chart of accounts'!A:H,2,FALSE),"")</f>
        <v>50103020 01</v>
      </c>
      <c r="K113" s="338" t="str">
        <f>IFERROR(VLOOKUP(I113,'Chart of accounts'!A:H,3,FALSE),"")</f>
        <v>Pag-IBIG - Civilian</v>
      </c>
      <c r="L113" s="338" t="str">
        <f>IFERROR(VLOOKUP(I113,'Chart of accounts'!A:H,4,FALSE),"")</f>
        <v>50103020 01 - Pag-IBIG - Civilian (732)</v>
      </c>
      <c r="M113" s="360" t="s">
        <v>788</v>
      </c>
      <c r="N113" s="355" t="s">
        <v>789</v>
      </c>
      <c r="O113" s="355" t="s">
        <v>762</v>
      </c>
      <c r="P113" s="355"/>
      <c r="Q113" s="319">
        <v>1000</v>
      </c>
      <c r="R113" s="319">
        <f t="shared" si="1"/>
        <v>-1000</v>
      </c>
      <c r="S113" s="319" t="str">
        <f>VLOOKUP(H113,'Fund Utilization Report'!$A$4:$U$1800,13,FALSE)</f>
        <v>PS</v>
      </c>
      <c r="T113" s="319" t="str">
        <f>VLOOKUP(H113,'Fund Utilization Report'!$A$4:$U$1800,2,FALSE)</f>
        <v>GAA</v>
      </c>
      <c r="U113" s="319" t="str">
        <f>VLOOKUP(H113,'Fund Utilization Report'!$A$4:$U$1800,3,FALSE)</f>
        <v>FY2021, RA11518</v>
      </c>
      <c r="V113" s="319" t="str">
        <f>VLOOKUP(H113,'Fund Utilization Report'!$A$4:$U$1800,4,FALSE)</f>
        <v>OO3</v>
      </c>
      <c r="W113" s="319" t="str">
        <f>VLOOKUP(H113,'Fund Utilization Report'!$A$4:$U$1800,5,FALSE)</f>
        <v>01101101</v>
      </c>
      <c r="X113" s="319" t="str">
        <f>VLOOKUP(H113,'Fund Utilization Report'!$A$4:$U$1800,6,FALSE)</f>
        <v>GOP</v>
      </c>
      <c r="Y113" s="320" t="str">
        <f>VLOOKUP(H113,'Fund Utilization Report'!$A$4:$U$1800,7,FALSE)</f>
        <v>PS</v>
      </c>
      <c r="Z113" s="321">
        <f>VLOOKUP(H113,'Fund Utilization Report'!$A$4:$U$1800,8,FALSE)</f>
        <v>5010000000</v>
      </c>
      <c r="AA113" s="319" t="str">
        <f>VLOOKUP(H113,'Fund Utilization Report'!$A$4:$U$1800,14,FALSE)</f>
        <v>330100100002000</v>
      </c>
      <c r="AB113" s="349" t="str">
        <f>VLOOKUP(H113,'Fund Utilization Report'!$A$4:$U$1800,15,FALSE)</f>
        <v>Implementation of the MSME Development Plan and other initiatives to promote the growth of Micro, Small and Medium Enterprises</v>
      </c>
      <c r="AC113" s="55" t="s">
        <v>0</v>
      </c>
      <c r="AD113" s="38">
        <v>1</v>
      </c>
      <c r="AE113" s="39">
        <v>732</v>
      </c>
      <c r="AF113" s="51" t="str">
        <f>VLOOKUP(AE113,'[2]Chart of accounts'!A:H,2,FALSE)</f>
        <v>50103020 01</v>
      </c>
      <c r="AG113" s="53" t="s">
        <v>1</v>
      </c>
      <c r="AH113" s="53" t="s">
        <v>1</v>
      </c>
    </row>
    <row r="114" spans="1:34" s="32" customFormat="1" ht="27.6">
      <c r="A114" s="338" t="s">
        <v>942</v>
      </c>
      <c r="B114" s="338" t="s">
        <v>943</v>
      </c>
      <c r="C114" s="358">
        <v>44215</v>
      </c>
      <c r="D114" s="351" t="s">
        <v>759</v>
      </c>
      <c r="E114" s="352" t="s">
        <v>787</v>
      </c>
      <c r="F114" s="359">
        <v>0.56527777777777777</v>
      </c>
      <c r="G114" s="359">
        <v>0.56597222222222221</v>
      </c>
      <c r="H114" s="359" t="s">
        <v>970</v>
      </c>
      <c r="I114" s="321">
        <v>733</v>
      </c>
      <c r="J114" s="338" t="str">
        <f>IFERROR(VLOOKUP(I114,'Chart of accounts'!A:H,2,FALSE),"")</f>
        <v>50103030 01</v>
      </c>
      <c r="K114" s="338" t="str">
        <f>IFERROR(VLOOKUP(I114,'Chart of accounts'!A:H,3,FALSE),"")</f>
        <v>PhilHealth - Civilian</v>
      </c>
      <c r="L114" s="338" t="str">
        <f>IFERROR(VLOOKUP(I114,'Chart of accounts'!A:H,4,FALSE),"")</f>
        <v>50103030 01 - PhilHealth - Civilian (733)</v>
      </c>
      <c r="M114" s="360" t="s">
        <v>788</v>
      </c>
      <c r="N114" s="355" t="s">
        <v>789</v>
      </c>
      <c r="O114" s="355" t="s">
        <v>762</v>
      </c>
      <c r="P114" s="355"/>
      <c r="Q114" s="319">
        <v>6170.95</v>
      </c>
      <c r="R114" s="319">
        <f t="shared" si="1"/>
        <v>-6170.95</v>
      </c>
      <c r="S114" s="319" t="str">
        <f>VLOOKUP(H114,'Fund Utilization Report'!$A$4:$U$1800,13,FALSE)</f>
        <v>PS</v>
      </c>
      <c r="T114" s="319" t="str">
        <f>VLOOKUP(H114,'Fund Utilization Report'!$A$4:$U$1800,2,FALSE)</f>
        <v>GAA</v>
      </c>
      <c r="U114" s="319" t="str">
        <f>VLOOKUP(H114,'Fund Utilization Report'!$A$4:$U$1800,3,FALSE)</f>
        <v>FY2021, RA11518</v>
      </c>
      <c r="V114" s="319" t="str">
        <f>VLOOKUP(H114,'Fund Utilization Report'!$A$4:$U$1800,4,FALSE)</f>
        <v>OO3</v>
      </c>
      <c r="W114" s="319" t="str">
        <f>VLOOKUP(H114,'Fund Utilization Report'!$A$4:$U$1800,5,FALSE)</f>
        <v>01101101</v>
      </c>
      <c r="X114" s="319" t="str">
        <f>VLOOKUP(H114,'Fund Utilization Report'!$A$4:$U$1800,6,FALSE)</f>
        <v>GOP</v>
      </c>
      <c r="Y114" s="320" t="str">
        <f>VLOOKUP(H114,'Fund Utilization Report'!$A$4:$U$1800,7,FALSE)</f>
        <v>PS</v>
      </c>
      <c r="Z114" s="321">
        <f>VLOOKUP(H114,'Fund Utilization Report'!$A$4:$U$1800,8,FALSE)</f>
        <v>5010000000</v>
      </c>
      <c r="AA114" s="319" t="str">
        <f>VLOOKUP(H114,'Fund Utilization Report'!$A$4:$U$1800,14,FALSE)</f>
        <v>330100100002000</v>
      </c>
      <c r="AB114" s="349" t="str">
        <f>VLOOKUP(H114,'Fund Utilization Report'!$A$4:$U$1800,15,FALSE)</f>
        <v>Implementation of the MSME Development Plan and other initiatives to promote the growth of Micro, Small and Medium Enterprises</v>
      </c>
      <c r="AC114" s="55" t="s">
        <v>0</v>
      </c>
      <c r="AD114" s="38">
        <v>1</v>
      </c>
      <c r="AE114" s="55">
        <v>733</v>
      </c>
      <c r="AF114" s="51" t="str">
        <f>VLOOKUP(AE114,'[2]Chart of accounts'!A:H,2,FALSE)</f>
        <v>50103030 01</v>
      </c>
      <c r="AG114" s="53" t="s">
        <v>1</v>
      </c>
      <c r="AH114" s="53" t="s">
        <v>1</v>
      </c>
    </row>
    <row r="115" spans="1:34" s="32" customFormat="1" ht="27.6">
      <c r="A115" s="338" t="s">
        <v>942</v>
      </c>
      <c r="B115" s="338" t="s">
        <v>943</v>
      </c>
      <c r="C115" s="358">
        <v>44215</v>
      </c>
      <c r="D115" s="351" t="s">
        <v>759</v>
      </c>
      <c r="E115" s="352" t="s">
        <v>787</v>
      </c>
      <c r="F115" s="359">
        <v>0.56527777777777777</v>
      </c>
      <c r="G115" s="359">
        <v>0.56597222222222221</v>
      </c>
      <c r="H115" s="359" t="s">
        <v>970</v>
      </c>
      <c r="I115" s="321">
        <v>734</v>
      </c>
      <c r="J115" s="338" t="str">
        <f>IFERROR(VLOOKUP(I115,'Chart of accounts'!A:H,2,FALSE),"")</f>
        <v>50103040 01</v>
      </c>
      <c r="K115" s="338" t="str">
        <f>IFERROR(VLOOKUP(I115,'Chart of accounts'!A:H,3,FALSE),"")</f>
        <v>ECIP - Civilian</v>
      </c>
      <c r="L115" s="338" t="str">
        <f>IFERROR(VLOOKUP(I115,'Chart of accounts'!A:H,4,FALSE),"")</f>
        <v>50103040 01 - ECIP - Civilian (734)</v>
      </c>
      <c r="M115" s="360" t="s">
        <v>788</v>
      </c>
      <c r="N115" s="355" t="s">
        <v>789</v>
      </c>
      <c r="O115" s="355" t="s">
        <v>762</v>
      </c>
      <c r="P115" s="355"/>
      <c r="Q115" s="319">
        <v>1000</v>
      </c>
      <c r="R115" s="319">
        <f t="shared" si="1"/>
        <v>-1000</v>
      </c>
      <c r="S115" s="319" t="str">
        <f>VLOOKUP(H115,'Fund Utilization Report'!$A$4:$U$1800,13,FALSE)</f>
        <v>PS</v>
      </c>
      <c r="T115" s="319" t="str">
        <f>VLOOKUP(H115,'Fund Utilization Report'!$A$4:$U$1800,2,FALSE)</f>
        <v>GAA</v>
      </c>
      <c r="U115" s="319" t="str">
        <f>VLOOKUP(H115,'Fund Utilization Report'!$A$4:$U$1800,3,FALSE)</f>
        <v>FY2021, RA11518</v>
      </c>
      <c r="V115" s="319" t="str">
        <f>VLOOKUP(H115,'Fund Utilization Report'!$A$4:$U$1800,4,FALSE)</f>
        <v>OO3</v>
      </c>
      <c r="W115" s="319" t="str">
        <f>VLOOKUP(H115,'Fund Utilization Report'!$A$4:$U$1800,5,FALSE)</f>
        <v>01101101</v>
      </c>
      <c r="X115" s="319" t="str">
        <f>VLOOKUP(H115,'Fund Utilization Report'!$A$4:$U$1800,6,FALSE)</f>
        <v>GOP</v>
      </c>
      <c r="Y115" s="320" t="str">
        <f>VLOOKUP(H115,'Fund Utilization Report'!$A$4:$U$1800,7,FALSE)</f>
        <v>PS</v>
      </c>
      <c r="Z115" s="321">
        <f>VLOOKUP(H115,'Fund Utilization Report'!$A$4:$U$1800,8,FALSE)</f>
        <v>5010000000</v>
      </c>
      <c r="AA115" s="319" t="str">
        <f>VLOOKUP(H115,'Fund Utilization Report'!$A$4:$U$1800,14,FALSE)</f>
        <v>330100100002000</v>
      </c>
      <c r="AB115" s="349" t="str">
        <f>VLOOKUP(H115,'Fund Utilization Report'!$A$4:$U$1800,15,FALSE)</f>
        <v>Implementation of the MSME Development Plan and other initiatives to promote the growth of Micro, Small and Medium Enterprises</v>
      </c>
      <c r="AC115" s="55" t="s">
        <v>0</v>
      </c>
      <c r="AD115" s="38">
        <v>1</v>
      </c>
      <c r="AE115" s="55">
        <v>734</v>
      </c>
      <c r="AF115" s="51" t="str">
        <f>VLOOKUP(AE115,'[2]Chart of accounts'!A:H,2,FALSE)</f>
        <v>50103040 01</v>
      </c>
      <c r="AG115" s="53" t="s">
        <v>1</v>
      </c>
      <c r="AH115" s="53" t="s">
        <v>1</v>
      </c>
    </row>
    <row r="116" spans="1:34" s="32" customFormat="1" ht="27.6">
      <c r="A116" s="338" t="s">
        <v>942</v>
      </c>
      <c r="B116" s="338" t="s">
        <v>943</v>
      </c>
      <c r="C116" s="358">
        <v>44215</v>
      </c>
      <c r="D116" s="351" t="s">
        <v>759</v>
      </c>
      <c r="E116" s="352" t="s">
        <v>790</v>
      </c>
      <c r="F116" s="338">
        <v>0.71458333333333324</v>
      </c>
      <c r="G116" s="338">
        <v>0.71597222222222223</v>
      </c>
      <c r="H116" s="338" t="s">
        <v>961</v>
      </c>
      <c r="I116" s="353">
        <v>773</v>
      </c>
      <c r="J116" s="338" t="str">
        <f>IFERROR(VLOOKUP(I116,'Chart of accounts'!A:H,2,FALSE),"")</f>
        <v>50205020 01</v>
      </c>
      <c r="K116" s="338" t="str">
        <f>IFERROR(VLOOKUP(I116,'Chart of accounts'!A:H,3,FALSE),"")</f>
        <v xml:space="preserve">Telephone Expenses - Mobile </v>
      </c>
      <c r="L116" s="338" t="str">
        <f>IFERROR(VLOOKUP(I116,'Chart of accounts'!A:H,4,FALSE),"")</f>
        <v>50205020 01 - Telephone Expenses - Mobile  (773)</v>
      </c>
      <c r="M116" s="360" t="s">
        <v>2</v>
      </c>
      <c r="N116" s="355" t="s">
        <v>791</v>
      </c>
      <c r="O116" s="355" t="s">
        <v>792</v>
      </c>
      <c r="P116" s="355"/>
      <c r="Q116" s="363">
        <v>2500</v>
      </c>
      <c r="R116" s="319">
        <f t="shared" si="1"/>
        <v>-2500</v>
      </c>
      <c r="S116" s="319" t="str">
        <f>VLOOKUP(H116,'Fund Utilization Report'!$A$4:$U$1800,13,FALSE)</f>
        <v>MOOE</v>
      </c>
      <c r="T116" s="319" t="str">
        <f>VLOOKUP(H116,'Fund Utilization Report'!$A$4:$U$1800,2,FALSE)</f>
        <v>GAA</v>
      </c>
      <c r="U116" s="319" t="str">
        <f>VLOOKUP(H116,'Fund Utilization Report'!$A$4:$U$1800,3,FALSE)</f>
        <v>FY2021, RA11518</v>
      </c>
      <c r="V116" s="319" t="str">
        <f>VLOOKUP(H116,'Fund Utilization Report'!$A$4:$U$1800,4,FALSE)</f>
        <v>GAS(GMS)</v>
      </c>
      <c r="W116" s="319" t="str">
        <f>VLOOKUP(H116,'Fund Utilization Report'!$A$4:$U$1800,5,FALSE)</f>
        <v>01101101</v>
      </c>
      <c r="X116" s="319" t="str">
        <f>VLOOKUP(H116,'Fund Utilization Report'!$A$4:$U$1800,6,FALSE)</f>
        <v>GOP</v>
      </c>
      <c r="Y116" s="320" t="str">
        <f>VLOOKUP(H116,'Fund Utilization Report'!$A$4:$U$1800,7,FALSE)</f>
        <v>MOOE</v>
      </c>
      <c r="Z116" s="321">
        <f>VLOOKUP(H116,'Fund Utilization Report'!$A$4:$U$1800,8,FALSE)</f>
        <v>5020000000</v>
      </c>
      <c r="AA116" s="319" t="str">
        <f>VLOOKUP(H116,'Fund Utilization Report'!$A$4:$U$1800,14,FALSE)</f>
        <v>100000100001000</v>
      </c>
      <c r="AB116" s="349" t="str">
        <f>VLOOKUP(H116,'Fund Utilization Report'!$A$4:$U$1800,15,FALSE)</f>
        <v>General Administration and Supervision - General Management and Supervision</v>
      </c>
      <c r="AC116" s="55" t="s">
        <v>0</v>
      </c>
      <c r="AD116" s="38">
        <v>2</v>
      </c>
      <c r="AE116" s="39">
        <v>773</v>
      </c>
      <c r="AF116" s="51" t="str">
        <f>VLOOKUP(AE116,'[2]Chart of accounts'!A:H,2,FALSE)</f>
        <v>50205020 01</v>
      </c>
      <c r="AG116" s="40" t="s">
        <v>3</v>
      </c>
      <c r="AH116" s="40" t="s">
        <v>3</v>
      </c>
    </row>
    <row r="117" spans="1:34" s="32" customFormat="1" ht="27.6">
      <c r="A117" s="338" t="s">
        <v>942</v>
      </c>
      <c r="B117" s="338" t="s">
        <v>943</v>
      </c>
      <c r="C117" s="358">
        <v>44215</v>
      </c>
      <c r="D117" s="351" t="s">
        <v>759</v>
      </c>
      <c r="E117" s="352" t="s">
        <v>793</v>
      </c>
      <c r="F117" s="338">
        <v>0.71597222222222223</v>
      </c>
      <c r="G117" s="338">
        <v>0.71666666666666667</v>
      </c>
      <c r="H117" s="338" t="s">
        <v>961</v>
      </c>
      <c r="I117" s="353">
        <v>775</v>
      </c>
      <c r="J117" s="338" t="str">
        <f>IFERROR(VLOOKUP(I117,'Chart of accounts'!A:H,2,FALSE),"")</f>
        <v>50205040 00</v>
      </c>
      <c r="K117" s="338" t="str">
        <f>IFERROR(VLOOKUP(I117,'Chart of accounts'!A:H,3,FALSE),"")</f>
        <v>Cable, Satellite, Telegraph, and Radio Expenses</v>
      </c>
      <c r="L117" s="338" t="str">
        <f>IFERROR(VLOOKUP(I117,'Chart of accounts'!A:H,4,FALSE),"")</f>
        <v>50205040 00 - Cable, Satellite, Telegraph, and Radio Expenses (775)</v>
      </c>
      <c r="M117" s="360" t="s">
        <v>2</v>
      </c>
      <c r="N117" s="355" t="s">
        <v>794</v>
      </c>
      <c r="O117" s="355" t="s">
        <v>795</v>
      </c>
      <c r="P117" s="355"/>
      <c r="Q117" s="363"/>
      <c r="R117" s="319">
        <f t="shared" si="1"/>
        <v>0</v>
      </c>
      <c r="S117" s="319" t="str">
        <f>VLOOKUP(H117,'Fund Utilization Report'!$A$4:$U$1800,13,FALSE)</f>
        <v>MOOE</v>
      </c>
      <c r="T117" s="319" t="str">
        <f>VLOOKUP(H117,'Fund Utilization Report'!$A$4:$U$1800,2,FALSE)</f>
        <v>GAA</v>
      </c>
      <c r="U117" s="319" t="str">
        <f>VLOOKUP(H117,'Fund Utilization Report'!$A$4:$U$1800,3,FALSE)</f>
        <v>FY2021, RA11518</v>
      </c>
      <c r="V117" s="319" t="str">
        <f>VLOOKUP(H117,'Fund Utilization Report'!$A$4:$U$1800,4,FALSE)</f>
        <v>GAS(GMS)</v>
      </c>
      <c r="W117" s="319" t="str">
        <f>VLOOKUP(H117,'Fund Utilization Report'!$A$4:$U$1800,5,FALSE)</f>
        <v>01101101</v>
      </c>
      <c r="X117" s="319" t="str">
        <f>VLOOKUP(H117,'Fund Utilization Report'!$A$4:$U$1800,6,FALSE)</f>
        <v>GOP</v>
      </c>
      <c r="Y117" s="320" t="str">
        <f>VLOOKUP(H117,'Fund Utilization Report'!$A$4:$U$1800,7,FALSE)</f>
        <v>MOOE</v>
      </c>
      <c r="Z117" s="321">
        <f>VLOOKUP(H117,'Fund Utilization Report'!$A$4:$U$1800,8,FALSE)</f>
        <v>5020000000</v>
      </c>
      <c r="AA117" s="319" t="str">
        <f>VLOOKUP(H117,'Fund Utilization Report'!$A$4:$U$1800,14,FALSE)</f>
        <v>100000100001000</v>
      </c>
      <c r="AB117" s="349" t="str">
        <f>VLOOKUP(H117,'Fund Utilization Report'!$A$4:$U$1800,15,FALSE)</f>
        <v>General Administration and Supervision - General Management and Supervision</v>
      </c>
      <c r="AC117" s="55" t="s">
        <v>0</v>
      </c>
      <c r="AD117" s="38">
        <v>2</v>
      </c>
      <c r="AE117" s="39">
        <v>775</v>
      </c>
      <c r="AF117" s="51" t="str">
        <f>VLOOKUP(AE117,'[2]Chart of accounts'!A:H,2,FALSE)</f>
        <v>50205040 00</v>
      </c>
      <c r="AG117" s="40" t="s">
        <v>3</v>
      </c>
      <c r="AH117" s="40" t="s">
        <v>3</v>
      </c>
    </row>
    <row r="118" spans="1:34" s="32" customFormat="1">
      <c r="A118" s="338" t="s">
        <v>942</v>
      </c>
      <c r="B118" s="338" t="s">
        <v>943</v>
      </c>
      <c r="C118" s="358">
        <v>44217</v>
      </c>
      <c r="D118" s="351" t="s">
        <v>759</v>
      </c>
      <c r="E118" s="352" t="s">
        <v>807</v>
      </c>
      <c r="F118" s="338">
        <v>0.70000000000000007</v>
      </c>
      <c r="G118" s="338">
        <v>0.7006944444444444</v>
      </c>
      <c r="H118" s="338" t="s">
        <v>961</v>
      </c>
      <c r="I118" s="353">
        <v>755</v>
      </c>
      <c r="J118" s="338" t="str">
        <f>IFERROR(VLOOKUP(I118,'Chart of accounts'!A:H,2,FALSE),"")</f>
        <v>50203010 00</v>
      </c>
      <c r="K118" s="338" t="str">
        <f>IFERROR(VLOOKUP(I118,'Chart of accounts'!A:H,3,FALSE),"")</f>
        <v>Office Supplies Expenses</v>
      </c>
      <c r="L118" s="338" t="str">
        <f>IFERROR(VLOOKUP(I118,'Chart of accounts'!A:H,4,FALSE),"")</f>
        <v>50203010 00 - Office Supplies Expenses (755)</v>
      </c>
      <c r="M118" s="360" t="s">
        <v>2</v>
      </c>
      <c r="N118" s="355" t="s">
        <v>773</v>
      </c>
      <c r="O118" s="355" t="s">
        <v>808</v>
      </c>
      <c r="P118" s="355"/>
      <c r="Q118" s="363">
        <v>1834.25</v>
      </c>
      <c r="R118" s="319">
        <f t="shared" si="1"/>
        <v>-1834.25</v>
      </c>
      <c r="S118" s="319" t="str">
        <f>VLOOKUP(H118,'Fund Utilization Report'!$A$4:$U$1800,13,FALSE)</f>
        <v>MOOE</v>
      </c>
      <c r="T118" s="319" t="str">
        <f>VLOOKUP(H118,'Fund Utilization Report'!$A$4:$U$1800,2,FALSE)</f>
        <v>GAA</v>
      </c>
      <c r="U118" s="319" t="str">
        <f>VLOOKUP(H118,'Fund Utilization Report'!$A$4:$U$1800,3,FALSE)</f>
        <v>FY2021, RA11518</v>
      </c>
      <c r="V118" s="319" t="str">
        <f>VLOOKUP(H118,'Fund Utilization Report'!$A$4:$U$1800,4,FALSE)</f>
        <v>GAS(GMS)</v>
      </c>
      <c r="W118" s="319" t="str">
        <f>VLOOKUP(H118,'Fund Utilization Report'!$A$4:$U$1800,5,FALSE)</f>
        <v>01101101</v>
      </c>
      <c r="X118" s="319" t="str">
        <f>VLOOKUP(H118,'Fund Utilization Report'!$A$4:$U$1800,6,FALSE)</f>
        <v>GOP</v>
      </c>
      <c r="Y118" s="320" t="str">
        <f>VLOOKUP(H118,'Fund Utilization Report'!$A$4:$U$1800,7,FALSE)</f>
        <v>MOOE</v>
      </c>
      <c r="Z118" s="321">
        <f>VLOOKUP(H118,'Fund Utilization Report'!$A$4:$U$1800,8,FALSE)</f>
        <v>5020000000</v>
      </c>
      <c r="AA118" s="319" t="str">
        <f>VLOOKUP(H118,'Fund Utilization Report'!$A$4:$U$1800,14,FALSE)</f>
        <v>100000100001000</v>
      </c>
      <c r="AB118" s="349" t="str">
        <f>VLOOKUP(H118,'Fund Utilization Report'!$A$4:$U$1800,15,FALSE)</f>
        <v>General Administration and Supervision - General Management and Supervision</v>
      </c>
      <c r="AC118" s="55" t="s">
        <v>0</v>
      </c>
      <c r="AD118" s="38">
        <v>2</v>
      </c>
      <c r="AE118" s="39">
        <v>755</v>
      </c>
      <c r="AF118" s="51" t="str">
        <f>VLOOKUP(AE118,'[2]Chart of accounts'!A:H,2,FALSE)</f>
        <v>50203010 00</v>
      </c>
      <c r="AG118" s="40" t="s">
        <v>3</v>
      </c>
      <c r="AH118" s="40" t="s">
        <v>3</v>
      </c>
    </row>
    <row r="119" spans="1:34" s="32" customFormat="1">
      <c r="A119" s="338" t="s">
        <v>942</v>
      </c>
      <c r="B119" s="338" t="s">
        <v>943</v>
      </c>
      <c r="C119" s="358">
        <v>44217</v>
      </c>
      <c r="D119" s="351" t="s">
        <v>759</v>
      </c>
      <c r="E119" s="352" t="s">
        <v>807</v>
      </c>
      <c r="F119" s="338">
        <v>0.70000000000000007</v>
      </c>
      <c r="G119" s="338">
        <v>0.7006944444444444</v>
      </c>
      <c r="H119" s="338" t="s">
        <v>961</v>
      </c>
      <c r="I119" s="353">
        <v>792</v>
      </c>
      <c r="J119" s="338" t="str">
        <f>IFERROR(VLOOKUP(I119,'Chart of accounts'!A:H,2,FALSE),"")</f>
        <v>50211020 00</v>
      </c>
      <c r="K119" s="338" t="str">
        <f>IFERROR(VLOOKUP(I119,'Chart of accounts'!A:H,3,FALSE),"")</f>
        <v>Auditing Services</v>
      </c>
      <c r="L119" s="338" t="str">
        <f>IFERROR(VLOOKUP(I119,'Chart of accounts'!A:H,4,FALSE),"")</f>
        <v>50211020 00 - Auditing Services (792)</v>
      </c>
      <c r="M119" s="360" t="s">
        <v>2</v>
      </c>
      <c r="N119" s="355" t="s">
        <v>773</v>
      </c>
      <c r="O119" s="355" t="s">
        <v>808</v>
      </c>
      <c r="P119" s="355"/>
      <c r="Q119" s="363">
        <v>219</v>
      </c>
      <c r="R119" s="319">
        <f t="shared" si="1"/>
        <v>-219</v>
      </c>
      <c r="S119" s="319" t="str">
        <f>VLOOKUP(H119,'Fund Utilization Report'!$A$4:$U$1800,13,FALSE)</f>
        <v>MOOE</v>
      </c>
      <c r="T119" s="319" t="str">
        <f>VLOOKUP(H119,'Fund Utilization Report'!$A$4:$U$1800,2,FALSE)</f>
        <v>GAA</v>
      </c>
      <c r="U119" s="319" t="str">
        <f>VLOOKUP(H119,'Fund Utilization Report'!$A$4:$U$1800,3,FALSE)</f>
        <v>FY2021, RA11518</v>
      </c>
      <c r="V119" s="319" t="str">
        <f>VLOOKUP(H119,'Fund Utilization Report'!$A$4:$U$1800,4,FALSE)</f>
        <v>GAS(GMS)</v>
      </c>
      <c r="W119" s="319" t="str">
        <f>VLOOKUP(H119,'Fund Utilization Report'!$A$4:$U$1800,5,FALSE)</f>
        <v>01101101</v>
      </c>
      <c r="X119" s="319" t="str">
        <f>VLOOKUP(H119,'Fund Utilization Report'!$A$4:$U$1800,6,FALSE)</f>
        <v>GOP</v>
      </c>
      <c r="Y119" s="320" t="str">
        <f>VLOOKUP(H119,'Fund Utilization Report'!$A$4:$U$1800,7,FALSE)</f>
        <v>MOOE</v>
      </c>
      <c r="Z119" s="321">
        <f>VLOOKUP(H119,'Fund Utilization Report'!$A$4:$U$1800,8,FALSE)</f>
        <v>5020000000</v>
      </c>
      <c r="AA119" s="319" t="str">
        <f>VLOOKUP(H119,'Fund Utilization Report'!$A$4:$U$1800,14,FALSE)</f>
        <v>100000100001000</v>
      </c>
      <c r="AB119" s="349" t="str">
        <f>VLOOKUP(H119,'Fund Utilization Report'!$A$4:$U$1800,15,FALSE)</f>
        <v>General Administration and Supervision - General Management and Supervision</v>
      </c>
      <c r="AC119" s="55" t="s">
        <v>0</v>
      </c>
      <c r="AD119" s="38">
        <v>2</v>
      </c>
      <c r="AE119" s="39">
        <v>792</v>
      </c>
      <c r="AF119" s="51" t="str">
        <f>VLOOKUP(AE119,'[2]Chart of accounts'!A:H,2,FALSE)</f>
        <v>50211020 00</v>
      </c>
      <c r="AG119" s="40" t="s">
        <v>3</v>
      </c>
      <c r="AH119" s="40" t="s">
        <v>3</v>
      </c>
    </row>
    <row r="120" spans="1:34" s="32" customFormat="1">
      <c r="A120" s="338" t="s">
        <v>942</v>
      </c>
      <c r="B120" s="338" t="s">
        <v>943</v>
      </c>
      <c r="C120" s="358">
        <v>44217</v>
      </c>
      <c r="D120" s="351" t="s">
        <v>759</v>
      </c>
      <c r="E120" s="352" t="s">
        <v>807</v>
      </c>
      <c r="F120" s="338">
        <v>0.70000000000000007</v>
      </c>
      <c r="G120" s="338">
        <v>0.7006944444444444</v>
      </c>
      <c r="H120" s="338" t="s">
        <v>961</v>
      </c>
      <c r="I120" s="353">
        <v>795</v>
      </c>
      <c r="J120" s="338" t="str">
        <f>IFERROR(VLOOKUP(I120,'Chart of accounts'!A:H,2,FALSE),"")</f>
        <v>50212990 00</v>
      </c>
      <c r="K120" s="338" t="str">
        <f>IFERROR(VLOOKUP(I120,'Chart of accounts'!A:H,3,FALSE),"")</f>
        <v>Other General Services</v>
      </c>
      <c r="L120" s="338" t="str">
        <f>IFERROR(VLOOKUP(I120,'Chart of accounts'!A:H,4,FALSE),"")</f>
        <v>50212990 00 - Other General Services (795)</v>
      </c>
      <c r="M120" s="360" t="s">
        <v>2</v>
      </c>
      <c r="N120" s="355" t="s">
        <v>773</v>
      </c>
      <c r="O120" s="355" t="s">
        <v>808</v>
      </c>
      <c r="P120" s="355"/>
      <c r="Q120" s="363">
        <v>1960</v>
      </c>
      <c r="R120" s="319">
        <f t="shared" si="1"/>
        <v>-1960</v>
      </c>
      <c r="S120" s="319" t="str">
        <f>VLOOKUP(H120,'Fund Utilization Report'!$A$4:$U$1800,13,FALSE)</f>
        <v>MOOE</v>
      </c>
      <c r="T120" s="319" t="str">
        <f>VLOOKUP(H120,'Fund Utilization Report'!$A$4:$U$1800,2,FALSE)</f>
        <v>GAA</v>
      </c>
      <c r="U120" s="319" t="str">
        <f>VLOOKUP(H120,'Fund Utilization Report'!$A$4:$U$1800,3,FALSE)</f>
        <v>FY2021, RA11518</v>
      </c>
      <c r="V120" s="319" t="str">
        <f>VLOOKUP(H120,'Fund Utilization Report'!$A$4:$U$1800,4,FALSE)</f>
        <v>GAS(GMS)</v>
      </c>
      <c r="W120" s="319" t="str">
        <f>VLOOKUP(H120,'Fund Utilization Report'!$A$4:$U$1800,5,FALSE)</f>
        <v>01101101</v>
      </c>
      <c r="X120" s="319" t="str">
        <f>VLOOKUP(H120,'Fund Utilization Report'!$A$4:$U$1800,6,FALSE)</f>
        <v>GOP</v>
      </c>
      <c r="Y120" s="320" t="str">
        <f>VLOOKUP(H120,'Fund Utilization Report'!$A$4:$U$1800,7,FALSE)</f>
        <v>MOOE</v>
      </c>
      <c r="Z120" s="321">
        <f>VLOOKUP(H120,'Fund Utilization Report'!$A$4:$U$1800,8,FALSE)</f>
        <v>5020000000</v>
      </c>
      <c r="AA120" s="319" t="str">
        <f>VLOOKUP(H120,'Fund Utilization Report'!$A$4:$U$1800,14,FALSE)</f>
        <v>100000100001000</v>
      </c>
      <c r="AB120" s="349" t="str">
        <f>VLOOKUP(H120,'Fund Utilization Report'!$A$4:$U$1800,15,FALSE)</f>
        <v>General Administration and Supervision - General Management and Supervision</v>
      </c>
      <c r="AC120" s="55" t="s">
        <v>0</v>
      </c>
      <c r="AD120" s="38">
        <v>2</v>
      </c>
      <c r="AE120" s="39">
        <v>795</v>
      </c>
      <c r="AF120" s="51" t="str">
        <f>VLOOKUP(AE120,'[2]Chart of accounts'!A:H,2,FALSE)</f>
        <v>50212990 00</v>
      </c>
      <c r="AG120" s="40" t="s">
        <v>3</v>
      </c>
      <c r="AH120" s="40" t="s">
        <v>3</v>
      </c>
    </row>
    <row r="121" spans="1:34" s="32" customFormat="1">
      <c r="A121" s="338" t="s">
        <v>942</v>
      </c>
      <c r="B121" s="338" t="s">
        <v>943</v>
      </c>
      <c r="C121" s="358">
        <v>44217</v>
      </c>
      <c r="D121" s="351" t="s">
        <v>759</v>
      </c>
      <c r="E121" s="352" t="s">
        <v>807</v>
      </c>
      <c r="F121" s="338">
        <v>0.70000000000000007</v>
      </c>
      <c r="G121" s="338">
        <v>0.7006944444444444</v>
      </c>
      <c r="H121" s="338" t="s">
        <v>961</v>
      </c>
      <c r="I121" s="353">
        <v>799</v>
      </c>
      <c r="J121" s="338" t="str">
        <f>IFERROR(VLOOKUP(I121,'Chart of accounts'!A:H,2,FALSE),"")</f>
        <v>50211990 00</v>
      </c>
      <c r="K121" s="338" t="str">
        <f>IFERROR(VLOOKUP(I121,'Chart of accounts'!A:H,3,FALSE),"")</f>
        <v>Other Professional Services</v>
      </c>
      <c r="L121" s="338" t="str">
        <f>IFERROR(VLOOKUP(I121,'Chart of accounts'!A:H,4,FALSE),"")</f>
        <v>50211990 00 - Other Professional Services (799)</v>
      </c>
      <c r="M121" s="360" t="s">
        <v>2</v>
      </c>
      <c r="N121" s="355" t="s">
        <v>773</v>
      </c>
      <c r="O121" s="355" t="s">
        <v>808</v>
      </c>
      <c r="P121" s="355"/>
      <c r="Q121" s="363">
        <v>300</v>
      </c>
      <c r="R121" s="319">
        <f t="shared" si="1"/>
        <v>-300</v>
      </c>
      <c r="S121" s="319" t="str">
        <f>VLOOKUP(H121,'Fund Utilization Report'!$A$4:$U$1800,13,FALSE)</f>
        <v>MOOE</v>
      </c>
      <c r="T121" s="319" t="str">
        <f>VLOOKUP(H121,'Fund Utilization Report'!$A$4:$U$1800,2,FALSE)</f>
        <v>GAA</v>
      </c>
      <c r="U121" s="319" t="str">
        <f>VLOOKUP(H121,'Fund Utilization Report'!$A$4:$U$1800,3,FALSE)</f>
        <v>FY2021, RA11518</v>
      </c>
      <c r="V121" s="319" t="str">
        <f>VLOOKUP(H121,'Fund Utilization Report'!$A$4:$U$1800,4,FALSE)</f>
        <v>GAS(GMS)</v>
      </c>
      <c r="W121" s="319" t="str">
        <f>VLOOKUP(H121,'Fund Utilization Report'!$A$4:$U$1800,5,FALSE)</f>
        <v>01101101</v>
      </c>
      <c r="X121" s="319" t="str">
        <f>VLOOKUP(H121,'Fund Utilization Report'!$A$4:$U$1800,6,FALSE)</f>
        <v>GOP</v>
      </c>
      <c r="Y121" s="320" t="str">
        <f>VLOOKUP(H121,'Fund Utilization Report'!$A$4:$U$1800,7,FALSE)</f>
        <v>MOOE</v>
      </c>
      <c r="Z121" s="321">
        <f>VLOOKUP(H121,'Fund Utilization Report'!$A$4:$U$1800,8,FALSE)</f>
        <v>5020000000</v>
      </c>
      <c r="AA121" s="319" t="str">
        <f>VLOOKUP(H121,'Fund Utilization Report'!$A$4:$U$1800,14,FALSE)</f>
        <v>100000100001000</v>
      </c>
      <c r="AB121" s="349" t="str">
        <f>VLOOKUP(H121,'Fund Utilization Report'!$A$4:$U$1800,15,FALSE)</f>
        <v>General Administration and Supervision - General Management and Supervision</v>
      </c>
      <c r="AC121" s="55" t="s">
        <v>0</v>
      </c>
      <c r="AD121" s="38">
        <v>2</v>
      </c>
      <c r="AE121" s="39">
        <v>799</v>
      </c>
      <c r="AF121" s="51" t="str">
        <f>VLOOKUP(AE121,'[2]Chart of accounts'!A:H,2,FALSE)</f>
        <v>50211990 00</v>
      </c>
      <c r="AG121" s="40" t="s">
        <v>3</v>
      </c>
      <c r="AH121" s="40" t="s">
        <v>3</v>
      </c>
    </row>
    <row r="122" spans="1:34" s="32" customFormat="1" ht="27.6">
      <c r="A122" s="338" t="s">
        <v>942</v>
      </c>
      <c r="B122" s="338" t="s">
        <v>943</v>
      </c>
      <c r="C122" s="358">
        <v>44218</v>
      </c>
      <c r="D122" s="351" t="s">
        <v>759</v>
      </c>
      <c r="E122" s="352" t="s">
        <v>809</v>
      </c>
      <c r="F122" s="338">
        <v>0.70763888888888893</v>
      </c>
      <c r="G122" s="338">
        <v>0.70833333333333337</v>
      </c>
      <c r="H122" s="338" t="s">
        <v>971</v>
      </c>
      <c r="I122" s="353">
        <v>761</v>
      </c>
      <c r="J122" s="338" t="str">
        <f>IFERROR(VLOOKUP(I122,'Chart of accounts'!A:H,2,FALSE),"")</f>
        <v>50203090 00</v>
      </c>
      <c r="K122" s="338" t="str">
        <f>IFERROR(VLOOKUP(I122,'Chart of accounts'!A:H,3,FALSE),"")</f>
        <v>Fuel, Oil and Lubricants Expenses</v>
      </c>
      <c r="L122" s="338" t="str">
        <f>IFERROR(VLOOKUP(I122,'Chart of accounts'!A:H,4,FALSE),"")</f>
        <v>50203090 00 - Fuel, Oil and Lubricants Expenses (761)</v>
      </c>
      <c r="M122" s="360" t="s">
        <v>2</v>
      </c>
      <c r="N122" s="355" t="s">
        <v>810</v>
      </c>
      <c r="O122" s="355" t="s">
        <v>811</v>
      </c>
      <c r="P122" s="355"/>
      <c r="Q122" s="363">
        <v>6006.93</v>
      </c>
      <c r="R122" s="319">
        <f t="shared" si="1"/>
        <v>-6006.93</v>
      </c>
      <c r="S122" s="319" t="str">
        <f>VLOOKUP(H122,'Fund Utilization Report'!$A$4:$U$1800,13,FALSE)</f>
        <v>MOOE</v>
      </c>
      <c r="T122" s="319" t="str">
        <f>VLOOKUP(H122,'Fund Utilization Report'!$A$4:$U$1800,2,FALSE)</f>
        <v>GAA</v>
      </c>
      <c r="U122" s="319" t="str">
        <f>VLOOKUP(H122,'Fund Utilization Report'!$A$4:$U$1800,3,FALSE)</f>
        <v>FY2021, RA11518</v>
      </c>
      <c r="V122" s="319" t="str">
        <f>VLOOKUP(H122,'Fund Utilization Report'!$A$4:$U$1800,4,FALSE)</f>
        <v>OO3</v>
      </c>
      <c r="W122" s="319" t="str">
        <f>VLOOKUP(H122,'Fund Utilization Report'!$A$4:$U$1800,5,FALSE)</f>
        <v>01101101</v>
      </c>
      <c r="X122" s="319" t="str">
        <f>VLOOKUP(H122,'Fund Utilization Report'!$A$4:$U$1800,6,FALSE)</f>
        <v>GOP</v>
      </c>
      <c r="Y122" s="320" t="str">
        <f>VLOOKUP(H122,'Fund Utilization Report'!$A$4:$U$1800,7,FALSE)</f>
        <v>MOOE</v>
      </c>
      <c r="Z122" s="321">
        <f>VLOOKUP(H122,'Fund Utilization Report'!$A$4:$U$1800,8,FALSE)</f>
        <v>5020000000</v>
      </c>
      <c r="AA122" s="319" t="str">
        <f>VLOOKUP(H122,'Fund Utilization Report'!$A$4:$U$1800,14,FALSE)</f>
        <v>330100100002000</v>
      </c>
      <c r="AB122" s="349" t="str">
        <f>VLOOKUP(H122,'Fund Utilization Report'!$A$4:$U$1800,15,FALSE)</f>
        <v>Implementation of the MSME Development Plan and other initiatives to promote the growth of Micro, Small and Medium Enterprises</v>
      </c>
      <c r="AC122" s="55" t="s">
        <v>0</v>
      </c>
      <c r="AD122" s="38">
        <v>2</v>
      </c>
      <c r="AE122" s="39">
        <v>761</v>
      </c>
      <c r="AF122" s="51" t="str">
        <f>VLOOKUP(AE122,'[2]Chart of accounts'!A:H,2,FALSE)</f>
        <v>50203090 00</v>
      </c>
      <c r="AG122" s="53" t="s">
        <v>11</v>
      </c>
      <c r="AH122" s="40" t="s">
        <v>812</v>
      </c>
    </row>
    <row r="123" spans="1:34" s="32" customFormat="1" ht="27.6">
      <c r="A123" s="338" t="s">
        <v>942</v>
      </c>
      <c r="B123" s="338" t="s">
        <v>943</v>
      </c>
      <c r="C123" s="358">
        <v>44218</v>
      </c>
      <c r="D123" s="351" t="s">
        <v>759</v>
      </c>
      <c r="E123" s="352" t="s">
        <v>809</v>
      </c>
      <c r="F123" s="338">
        <v>0.70763888888888893</v>
      </c>
      <c r="G123" s="338">
        <v>0.70833333333333337</v>
      </c>
      <c r="H123" s="338" t="s">
        <v>971</v>
      </c>
      <c r="I123" s="353">
        <v>761</v>
      </c>
      <c r="J123" s="338" t="str">
        <f>IFERROR(VLOOKUP(I123,'Chart of accounts'!A:H,2,FALSE),"")</f>
        <v>50203090 00</v>
      </c>
      <c r="K123" s="338" t="str">
        <f>IFERROR(VLOOKUP(I123,'Chart of accounts'!A:H,3,FALSE),"")</f>
        <v>Fuel, Oil and Lubricants Expenses</v>
      </c>
      <c r="L123" s="338" t="str">
        <f>IFERROR(VLOOKUP(I123,'Chart of accounts'!A:H,4,FALSE),"")</f>
        <v>50203090 00 - Fuel, Oil and Lubricants Expenses (761)</v>
      </c>
      <c r="M123" s="360" t="s">
        <v>2</v>
      </c>
      <c r="N123" s="355" t="s">
        <v>810</v>
      </c>
      <c r="O123" s="355" t="s">
        <v>811</v>
      </c>
      <c r="P123" s="355"/>
      <c r="Q123" s="363">
        <v>5794.22</v>
      </c>
      <c r="R123" s="319">
        <f t="shared" si="1"/>
        <v>-5794.22</v>
      </c>
      <c r="S123" s="319" t="str">
        <f>VLOOKUP(H123,'Fund Utilization Report'!$A$4:$U$1800,13,FALSE)</f>
        <v>MOOE</v>
      </c>
      <c r="T123" s="319" t="str">
        <f>VLOOKUP(H123,'Fund Utilization Report'!$A$4:$U$1800,2,FALSE)</f>
        <v>GAA</v>
      </c>
      <c r="U123" s="319" t="str">
        <f>VLOOKUP(H123,'Fund Utilization Report'!$A$4:$U$1800,3,FALSE)</f>
        <v>FY2021, RA11518</v>
      </c>
      <c r="V123" s="319" t="str">
        <f>VLOOKUP(H123,'Fund Utilization Report'!$A$4:$U$1800,4,FALSE)</f>
        <v>OO3</v>
      </c>
      <c r="W123" s="319" t="str">
        <f>VLOOKUP(H123,'Fund Utilization Report'!$A$4:$U$1800,5,FALSE)</f>
        <v>01101101</v>
      </c>
      <c r="X123" s="319" t="str">
        <f>VLOOKUP(H123,'Fund Utilization Report'!$A$4:$U$1800,6,FALSE)</f>
        <v>GOP</v>
      </c>
      <c r="Y123" s="320" t="str">
        <f>VLOOKUP(H123,'Fund Utilization Report'!$A$4:$U$1800,7,FALSE)</f>
        <v>MOOE</v>
      </c>
      <c r="Z123" s="321">
        <f>VLOOKUP(H123,'Fund Utilization Report'!$A$4:$U$1800,8,FALSE)</f>
        <v>5020000000</v>
      </c>
      <c r="AA123" s="319" t="str">
        <f>VLOOKUP(H123,'Fund Utilization Report'!$A$4:$U$1800,14,FALSE)</f>
        <v>330100100002000</v>
      </c>
      <c r="AB123" s="349" t="str">
        <f>VLOOKUP(H123,'Fund Utilization Report'!$A$4:$U$1800,15,FALSE)</f>
        <v>Implementation of the MSME Development Plan and other initiatives to promote the growth of Micro, Small and Medium Enterprises</v>
      </c>
      <c r="AC123" s="55" t="s">
        <v>0</v>
      </c>
      <c r="AD123" s="38">
        <v>2</v>
      </c>
      <c r="AE123" s="39">
        <v>761</v>
      </c>
      <c r="AF123" s="51" t="str">
        <f>VLOOKUP(AE123,'[2]Chart of accounts'!A:H,2,FALSE)</f>
        <v>50203090 00</v>
      </c>
      <c r="AG123" s="53" t="s">
        <v>4</v>
      </c>
      <c r="AH123" s="40" t="s">
        <v>813</v>
      </c>
    </row>
    <row r="124" spans="1:34" s="32" customFormat="1" ht="27.6">
      <c r="A124" s="338" t="s">
        <v>942</v>
      </c>
      <c r="B124" s="338" t="s">
        <v>943</v>
      </c>
      <c r="C124" s="358">
        <v>44218</v>
      </c>
      <c r="D124" s="351" t="s">
        <v>759</v>
      </c>
      <c r="E124" s="352" t="s">
        <v>809</v>
      </c>
      <c r="F124" s="338">
        <v>0.70763888888888893</v>
      </c>
      <c r="G124" s="338">
        <v>0.70833333333333337</v>
      </c>
      <c r="H124" s="338" t="s">
        <v>971</v>
      </c>
      <c r="I124" s="353">
        <v>761</v>
      </c>
      <c r="J124" s="338" t="str">
        <f>IFERROR(VLOOKUP(I124,'Chart of accounts'!A:H,2,FALSE),"")</f>
        <v>50203090 00</v>
      </c>
      <c r="K124" s="338" t="str">
        <f>IFERROR(VLOOKUP(I124,'Chart of accounts'!A:H,3,FALSE),"")</f>
        <v>Fuel, Oil and Lubricants Expenses</v>
      </c>
      <c r="L124" s="338" t="str">
        <f>IFERROR(VLOOKUP(I124,'Chart of accounts'!A:H,4,FALSE),"")</f>
        <v>50203090 00 - Fuel, Oil and Lubricants Expenses (761)</v>
      </c>
      <c r="M124" s="360" t="s">
        <v>2</v>
      </c>
      <c r="N124" s="355" t="s">
        <v>810</v>
      </c>
      <c r="O124" s="355" t="s">
        <v>811</v>
      </c>
      <c r="P124" s="355"/>
      <c r="Q124" s="363">
        <v>1558.07</v>
      </c>
      <c r="R124" s="319">
        <f t="shared" si="1"/>
        <v>-1558.07</v>
      </c>
      <c r="S124" s="319" t="str">
        <f>VLOOKUP(H124,'Fund Utilization Report'!$A$4:$U$1800,13,FALSE)</f>
        <v>MOOE</v>
      </c>
      <c r="T124" s="319" t="str">
        <f>VLOOKUP(H124,'Fund Utilization Report'!$A$4:$U$1800,2,FALSE)</f>
        <v>GAA</v>
      </c>
      <c r="U124" s="319" t="str">
        <f>VLOOKUP(H124,'Fund Utilization Report'!$A$4:$U$1800,3,FALSE)</f>
        <v>FY2021, RA11518</v>
      </c>
      <c r="V124" s="319" t="str">
        <f>VLOOKUP(H124,'Fund Utilization Report'!$A$4:$U$1800,4,FALSE)</f>
        <v>OO3</v>
      </c>
      <c r="W124" s="319" t="str">
        <f>VLOOKUP(H124,'Fund Utilization Report'!$A$4:$U$1800,5,FALSE)</f>
        <v>01101101</v>
      </c>
      <c r="X124" s="319" t="str">
        <f>VLOOKUP(H124,'Fund Utilization Report'!$A$4:$U$1800,6,FALSE)</f>
        <v>GOP</v>
      </c>
      <c r="Y124" s="320" t="str">
        <f>VLOOKUP(H124,'Fund Utilization Report'!$A$4:$U$1800,7,FALSE)</f>
        <v>MOOE</v>
      </c>
      <c r="Z124" s="321">
        <f>VLOOKUP(H124,'Fund Utilization Report'!$A$4:$U$1800,8,FALSE)</f>
        <v>5020000000</v>
      </c>
      <c r="AA124" s="319" t="str">
        <f>VLOOKUP(H124,'Fund Utilization Report'!$A$4:$U$1800,14,FALSE)</f>
        <v>330100100002000</v>
      </c>
      <c r="AB124" s="349" t="str">
        <f>VLOOKUP(H124,'Fund Utilization Report'!$A$4:$U$1800,15,FALSE)</f>
        <v>Implementation of the MSME Development Plan and other initiatives to promote the growth of Micro, Small and Medium Enterprises</v>
      </c>
      <c r="AC124" s="55" t="s">
        <v>0</v>
      </c>
      <c r="AD124" s="38">
        <v>2</v>
      </c>
      <c r="AE124" s="39">
        <v>761</v>
      </c>
      <c r="AF124" s="51" t="str">
        <f>VLOOKUP(AE124,'[2]Chart of accounts'!A:H,2,FALSE)</f>
        <v>50203090 00</v>
      </c>
      <c r="AG124" s="53" t="s">
        <v>8</v>
      </c>
      <c r="AH124" s="40" t="s">
        <v>814</v>
      </c>
    </row>
    <row r="125" spans="1:34" s="32" customFormat="1" ht="27.6">
      <c r="A125" s="338" t="s">
        <v>942</v>
      </c>
      <c r="B125" s="338" t="s">
        <v>943</v>
      </c>
      <c r="C125" s="358">
        <v>44218</v>
      </c>
      <c r="D125" s="351" t="s">
        <v>759</v>
      </c>
      <c r="E125" s="352" t="s">
        <v>809</v>
      </c>
      <c r="F125" s="338">
        <v>0.70763888888888893</v>
      </c>
      <c r="G125" s="338">
        <v>0.70833333333333337</v>
      </c>
      <c r="H125" s="338" t="s">
        <v>971</v>
      </c>
      <c r="I125" s="353">
        <v>761</v>
      </c>
      <c r="J125" s="338" t="str">
        <f>IFERROR(VLOOKUP(I125,'Chart of accounts'!A:H,2,FALSE),"")</f>
        <v>50203090 00</v>
      </c>
      <c r="K125" s="338" t="str">
        <f>IFERROR(VLOOKUP(I125,'Chart of accounts'!A:H,3,FALSE),"")</f>
        <v>Fuel, Oil and Lubricants Expenses</v>
      </c>
      <c r="L125" s="338" t="str">
        <f>IFERROR(VLOOKUP(I125,'Chart of accounts'!A:H,4,FALSE),"")</f>
        <v>50203090 00 - Fuel, Oil and Lubricants Expenses (761)</v>
      </c>
      <c r="M125" s="360" t="s">
        <v>2</v>
      </c>
      <c r="N125" s="355" t="s">
        <v>810</v>
      </c>
      <c r="O125" s="355" t="s">
        <v>811</v>
      </c>
      <c r="P125" s="355"/>
      <c r="Q125" s="363">
        <v>759.68</v>
      </c>
      <c r="R125" s="319">
        <f t="shared" si="1"/>
        <v>-759.68</v>
      </c>
      <c r="S125" s="319" t="str">
        <f>VLOOKUP(H125,'Fund Utilization Report'!$A$4:$U$1800,13,FALSE)</f>
        <v>MOOE</v>
      </c>
      <c r="T125" s="319" t="str">
        <f>VLOOKUP(H125,'Fund Utilization Report'!$A$4:$U$1800,2,FALSE)</f>
        <v>GAA</v>
      </c>
      <c r="U125" s="319" t="str">
        <f>VLOOKUP(H125,'Fund Utilization Report'!$A$4:$U$1800,3,FALSE)</f>
        <v>FY2021, RA11518</v>
      </c>
      <c r="V125" s="319" t="str">
        <f>VLOOKUP(H125,'Fund Utilization Report'!$A$4:$U$1800,4,FALSE)</f>
        <v>OO3</v>
      </c>
      <c r="W125" s="319" t="str">
        <f>VLOOKUP(H125,'Fund Utilization Report'!$A$4:$U$1800,5,FALSE)</f>
        <v>01101101</v>
      </c>
      <c r="X125" s="319" t="str">
        <f>VLOOKUP(H125,'Fund Utilization Report'!$A$4:$U$1800,6,FALSE)</f>
        <v>GOP</v>
      </c>
      <c r="Y125" s="320" t="str">
        <f>VLOOKUP(H125,'Fund Utilization Report'!$A$4:$U$1800,7,FALSE)</f>
        <v>MOOE</v>
      </c>
      <c r="Z125" s="321">
        <f>VLOOKUP(H125,'Fund Utilization Report'!$A$4:$U$1800,8,FALSE)</f>
        <v>5020000000</v>
      </c>
      <c r="AA125" s="319" t="str">
        <f>VLOOKUP(H125,'Fund Utilization Report'!$A$4:$U$1800,14,FALSE)</f>
        <v>330100100002000</v>
      </c>
      <c r="AB125" s="349" t="str">
        <f>VLOOKUP(H125,'Fund Utilization Report'!$A$4:$U$1800,15,FALSE)</f>
        <v>Implementation of the MSME Development Plan and other initiatives to promote the growth of Micro, Small and Medium Enterprises</v>
      </c>
      <c r="AC125" s="55" t="s">
        <v>0</v>
      </c>
      <c r="AD125" s="38">
        <v>2</v>
      </c>
      <c r="AE125" s="39">
        <v>761</v>
      </c>
      <c r="AF125" s="51" t="str">
        <f>VLOOKUP(AE125,'[2]Chart of accounts'!A:H,2,FALSE)</f>
        <v>50203090 00</v>
      </c>
      <c r="AG125" s="53" t="s">
        <v>763</v>
      </c>
      <c r="AH125" s="40" t="s">
        <v>815</v>
      </c>
    </row>
    <row r="126" spans="1:34" s="32" customFormat="1" ht="27.6">
      <c r="A126" s="338" t="s">
        <v>942</v>
      </c>
      <c r="B126" s="338" t="s">
        <v>943</v>
      </c>
      <c r="C126" s="358">
        <v>44218</v>
      </c>
      <c r="D126" s="351" t="s">
        <v>759</v>
      </c>
      <c r="E126" s="352" t="s">
        <v>809</v>
      </c>
      <c r="F126" s="338">
        <v>0.70763888888888893</v>
      </c>
      <c r="G126" s="338">
        <v>0.70833333333333337</v>
      </c>
      <c r="H126" s="338" t="s">
        <v>971</v>
      </c>
      <c r="I126" s="353">
        <v>761</v>
      </c>
      <c r="J126" s="338" t="str">
        <f>IFERROR(VLOOKUP(I126,'Chart of accounts'!A:H,2,FALSE),"")</f>
        <v>50203090 00</v>
      </c>
      <c r="K126" s="338" t="str">
        <f>IFERROR(VLOOKUP(I126,'Chart of accounts'!A:H,3,FALSE),"")</f>
        <v>Fuel, Oil and Lubricants Expenses</v>
      </c>
      <c r="L126" s="338" t="str">
        <f>IFERROR(VLOOKUP(I126,'Chart of accounts'!A:H,4,FALSE),"")</f>
        <v>50203090 00 - Fuel, Oil and Lubricants Expenses (761)</v>
      </c>
      <c r="M126" s="360" t="s">
        <v>2</v>
      </c>
      <c r="N126" s="355" t="s">
        <v>810</v>
      </c>
      <c r="O126" s="355" t="s">
        <v>811</v>
      </c>
      <c r="P126" s="355"/>
      <c r="Q126" s="363">
        <v>8431.59</v>
      </c>
      <c r="R126" s="319">
        <f t="shared" si="1"/>
        <v>-8431.59</v>
      </c>
      <c r="S126" s="319" t="str">
        <f>VLOOKUP(H126,'Fund Utilization Report'!$A$4:$U$1800,13,FALSE)</f>
        <v>MOOE</v>
      </c>
      <c r="T126" s="319" t="str">
        <f>VLOOKUP(H126,'Fund Utilization Report'!$A$4:$U$1800,2,FALSE)</f>
        <v>GAA</v>
      </c>
      <c r="U126" s="319" t="str">
        <f>VLOOKUP(H126,'Fund Utilization Report'!$A$4:$U$1800,3,FALSE)</f>
        <v>FY2021, RA11518</v>
      </c>
      <c r="V126" s="319" t="str">
        <f>VLOOKUP(H126,'Fund Utilization Report'!$A$4:$U$1800,4,FALSE)</f>
        <v>OO3</v>
      </c>
      <c r="W126" s="319" t="str">
        <f>VLOOKUP(H126,'Fund Utilization Report'!$A$4:$U$1800,5,FALSE)</f>
        <v>01101101</v>
      </c>
      <c r="X126" s="319" t="str">
        <f>VLOOKUP(H126,'Fund Utilization Report'!$A$4:$U$1800,6,FALSE)</f>
        <v>GOP</v>
      </c>
      <c r="Y126" s="320" t="str">
        <f>VLOOKUP(H126,'Fund Utilization Report'!$A$4:$U$1800,7,FALSE)</f>
        <v>MOOE</v>
      </c>
      <c r="Z126" s="321">
        <f>VLOOKUP(H126,'Fund Utilization Report'!$A$4:$U$1800,8,FALSE)</f>
        <v>5020000000</v>
      </c>
      <c r="AA126" s="319" t="str">
        <f>VLOOKUP(H126,'Fund Utilization Report'!$A$4:$U$1800,14,FALSE)</f>
        <v>330100100002000</v>
      </c>
      <c r="AB126" s="349" t="str">
        <f>VLOOKUP(H126,'Fund Utilization Report'!$A$4:$U$1800,15,FALSE)</f>
        <v>Implementation of the MSME Development Plan and other initiatives to promote the growth of Micro, Small and Medium Enterprises</v>
      </c>
      <c r="AC126" s="55" t="s">
        <v>0</v>
      </c>
      <c r="AD126" s="38">
        <v>2</v>
      </c>
      <c r="AE126" s="39">
        <v>761</v>
      </c>
      <c r="AF126" s="51" t="str">
        <f>VLOOKUP(AE126,'[2]Chart of accounts'!A:H,2,FALSE)</f>
        <v>50203090 00</v>
      </c>
      <c r="AG126" s="53" t="s">
        <v>3</v>
      </c>
      <c r="AH126" s="40" t="s">
        <v>816</v>
      </c>
    </row>
    <row r="127" spans="1:34" s="32" customFormat="1" ht="27.6">
      <c r="A127" s="338" t="s">
        <v>942</v>
      </c>
      <c r="B127" s="338" t="s">
        <v>943</v>
      </c>
      <c r="C127" s="358">
        <v>44221</v>
      </c>
      <c r="D127" s="351" t="s">
        <v>759</v>
      </c>
      <c r="E127" s="352" t="s">
        <v>817</v>
      </c>
      <c r="F127" s="338">
        <v>0.59027777777777779</v>
      </c>
      <c r="G127" s="338">
        <v>0.59097222222222223</v>
      </c>
      <c r="H127" s="338" t="s">
        <v>961</v>
      </c>
      <c r="I127" s="353">
        <v>783</v>
      </c>
      <c r="J127" s="338" t="str">
        <f>IFERROR(VLOOKUP(I127,'Chart of accounts'!A:H,2,FALSE),"")</f>
        <v>50299030 00</v>
      </c>
      <c r="K127" s="338" t="str">
        <f>IFERROR(VLOOKUP(I127,'Chart of accounts'!A:H,3,FALSE),"")</f>
        <v>Representation Expenses</v>
      </c>
      <c r="L127" s="338" t="str">
        <f>IFERROR(VLOOKUP(I127,'Chart of accounts'!A:H,4,FALSE),"")</f>
        <v>50299030 00 - Representation Expenses (783)</v>
      </c>
      <c r="M127" s="360" t="s">
        <v>788</v>
      </c>
      <c r="N127" s="355" t="s">
        <v>818</v>
      </c>
      <c r="O127" s="355" t="s">
        <v>819</v>
      </c>
      <c r="P127" s="355"/>
      <c r="Q127" s="363">
        <v>7800</v>
      </c>
      <c r="R127" s="319">
        <f t="shared" si="1"/>
        <v>-7800</v>
      </c>
      <c r="S127" s="319" t="str">
        <f>VLOOKUP(H127,'Fund Utilization Report'!$A$4:$U$1800,13,FALSE)</f>
        <v>MOOE</v>
      </c>
      <c r="T127" s="319" t="str">
        <f>VLOOKUP(H127,'Fund Utilization Report'!$A$4:$U$1800,2,FALSE)</f>
        <v>GAA</v>
      </c>
      <c r="U127" s="319" t="str">
        <f>VLOOKUP(H127,'Fund Utilization Report'!$A$4:$U$1800,3,FALSE)</f>
        <v>FY2021, RA11518</v>
      </c>
      <c r="V127" s="319" t="str">
        <f>VLOOKUP(H127,'Fund Utilization Report'!$A$4:$U$1800,4,FALSE)</f>
        <v>GAS(GMS)</v>
      </c>
      <c r="W127" s="319" t="str">
        <f>VLOOKUP(H127,'Fund Utilization Report'!$A$4:$U$1800,5,FALSE)</f>
        <v>01101101</v>
      </c>
      <c r="X127" s="319" t="str">
        <f>VLOOKUP(H127,'Fund Utilization Report'!$A$4:$U$1800,6,FALSE)</f>
        <v>GOP</v>
      </c>
      <c r="Y127" s="320" t="str">
        <f>VLOOKUP(H127,'Fund Utilization Report'!$A$4:$U$1800,7,FALSE)</f>
        <v>MOOE</v>
      </c>
      <c r="Z127" s="321">
        <f>VLOOKUP(H127,'Fund Utilization Report'!$A$4:$U$1800,8,FALSE)</f>
        <v>5020000000</v>
      </c>
      <c r="AA127" s="319" t="str">
        <f>VLOOKUP(H127,'Fund Utilization Report'!$A$4:$U$1800,14,FALSE)</f>
        <v>100000100001000</v>
      </c>
      <c r="AB127" s="349" t="str">
        <f>VLOOKUP(H127,'Fund Utilization Report'!$A$4:$U$1800,15,FALSE)</f>
        <v>General Administration and Supervision - General Management and Supervision</v>
      </c>
      <c r="AC127" s="55" t="s">
        <v>0</v>
      </c>
      <c r="AD127" s="38">
        <v>2</v>
      </c>
      <c r="AE127" s="39">
        <v>783</v>
      </c>
      <c r="AF127" s="51" t="str">
        <f>VLOOKUP(AE127,'[2]Chart of accounts'!A:H,2,FALSE)</f>
        <v>50299030 00</v>
      </c>
      <c r="AG127" s="53" t="s">
        <v>3</v>
      </c>
      <c r="AH127" s="53" t="s">
        <v>3</v>
      </c>
    </row>
    <row r="128" spans="1:34" s="32" customFormat="1" ht="27.6">
      <c r="A128" s="338" t="s">
        <v>942</v>
      </c>
      <c r="B128" s="338" t="s">
        <v>943</v>
      </c>
      <c r="C128" s="358">
        <v>44221</v>
      </c>
      <c r="D128" s="351" t="s">
        <v>759</v>
      </c>
      <c r="E128" s="352" t="s">
        <v>824</v>
      </c>
      <c r="F128" s="338">
        <v>0.59097222222222223</v>
      </c>
      <c r="G128" s="338">
        <v>0.59236111111111112</v>
      </c>
      <c r="H128" s="338" t="s">
        <v>961</v>
      </c>
      <c r="I128" s="353">
        <v>783</v>
      </c>
      <c r="J128" s="338" t="str">
        <f>IFERROR(VLOOKUP(I128,'Chart of accounts'!A:H,2,FALSE),"")</f>
        <v>50299030 00</v>
      </c>
      <c r="K128" s="338" t="str">
        <f>IFERROR(VLOOKUP(I128,'Chart of accounts'!A:H,3,FALSE),"")</f>
        <v>Representation Expenses</v>
      </c>
      <c r="L128" s="338" t="str">
        <f>IFERROR(VLOOKUP(I128,'Chart of accounts'!A:H,4,FALSE),"")</f>
        <v>50299030 00 - Representation Expenses (783)</v>
      </c>
      <c r="M128" s="360" t="s">
        <v>776</v>
      </c>
      <c r="N128" s="355" t="s">
        <v>820</v>
      </c>
      <c r="O128" s="355" t="s">
        <v>819</v>
      </c>
      <c r="P128" s="355"/>
      <c r="Q128" s="363">
        <v>7800</v>
      </c>
      <c r="R128" s="319">
        <f t="shared" si="1"/>
        <v>-7800</v>
      </c>
      <c r="S128" s="319" t="str">
        <f>VLOOKUP(H128,'Fund Utilization Report'!$A$4:$U$1800,13,FALSE)</f>
        <v>MOOE</v>
      </c>
      <c r="T128" s="319" t="str">
        <f>VLOOKUP(H128,'Fund Utilization Report'!$A$4:$U$1800,2,FALSE)</f>
        <v>GAA</v>
      </c>
      <c r="U128" s="319" t="str">
        <f>VLOOKUP(H128,'Fund Utilization Report'!$A$4:$U$1800,3,FALSE)</f>
        <v>FY2021, RA11518</v>
      </c>
      <c r="V128" s="319" t="str">
        <f>VLOOKUP(H128,'Fund Utilization Report'!$A$4:$U$1800,4,FALSE)</f>
        <v>GAS(GMS)</v>
      </c>
      <c r="W128" s="319" t="str">
        <f>VLOOKUP(H128,'Fund Utilization Report'!$A$4:$U$1800,5,FALSE)</f>
        <v>01101101</v>
      </c>
      <c r="X128" s="319" t="str">
        <f>VLOOKUP(H128,'Fund Utilization Report'!$A$4:$U$1800,6,FALSE)</f>
        <v>GOP</v>
      </c>
      <c r="Y128" s="320" t="str">
        <f>VLOOKUP(H128,'Fund Utilization Report'!$A$4:$U$1800,7,FALSE)</f>
        <v>MOOE</v>
      </c>
      <c r="Z128" s="321">
        <f>VLOOKUP(H128,'Fund Utilization Report'!$A$4:$U$1800,8,FALSE)</f>
        <v>5020000000</v>
      </c>
      <c r="AA128" s="319" t="str">
        <f>VLOOKUP(H128,'Fund Utilization Report'!$A$4:$U$1800,14,FALSE)</f>
        <v>100000100001000</v>
      </c>
      <c r="AB128" s="349" t="str">
        <f>VLOOKUP(H128,'Fund Utilization Report'!$A$4:$U$1800,15,FALSE)</f>
        <v>General Administration and Supervision - General Management and Supervision</v>
      </c>
      <c r="AC128" s="55" t="s">
        <v>0</v>
      </c>
      <c r="AD128" s="38">
        <v>2</v>
      </c>
      <c r="AE128" s="39">
        <v>783</v>
      </c>
      <c r="AF128" s="51" t="str">
        <f>VLOOKUP(AE128,'[2]Chart of accounts'!A:H,2,FALSE)</f>
        <v>50299030 00</v>
      </c>
      <c r="AG128" s="53" t="s">
        <v>3</v>
      </c>
      <c r="AH128" s="53" t="s">
        <v>3</v>
      </c>
    </row>
    <row r="129" spans="1:34" s="32" customFormat="1" ht="27.6">
      <c r="A129" s="338" t="s">
        <v>942</v>
      </c>
      <c r="B129" s="338" t="s">
        <v>943</v>
      </c>
      <c r="C129" s="358">
        <v>44221</v>
      </c>
      <c r="D129" s="351" t="s">
        <v>759</v>
      </c>
      <c r="E129" s="352" t="s">
        <v>825</v>
      </c>
      <c r="F129" s="338">
        <v>0.59236111111111112</v>
      </c>
      <c r="G129" s="338">
        <v>0.59305555555555556</v>
      </c>
      <c r="H129" s="338" t="s">
        <v>961</v>
      </c>
      <c r="I129" s="353">
        <v>783</v>
      </c>
      <c r="J129" s="338" t="str">
        <f>IFERROR(VLOOKUP(I129,'Chart of accounts'!A:H,2,FALSE),"")</f>
        <v>50299030 00</v>
      </c>
      <c r="K129" s="338" t="str">
        <f>IFERROR(VLOOKUP(I129,'Chart of accounts'!A:H,3,FALSE),"")</f>
        <v>Representation Expenses</v>
      </c>
      <c r="L129" s="338" t="str">
        <f>IFERROR(VLOOKUP(I129,'Chart of accounts'!A:H,4,FALSE),"")</f>
        <v>50299030 00 - Representation Expenses (783)</v>
      </c>
      <c r="M129" s="360" t="s">
        <v>769</v>
      </c>
      <c r="N129" s="355" t="s">
        <v>821</v>
      </c>
      <c r="O129" s="355" t="s">
        <v>819</v>
      </c>
      <c r="P129" s="355"/>
      <c r="Q129" s="363">
        <v>7800</v>
      </c>
      <c r="R129" s="319">
        <f t="shared" si="1"/>
        <v>-7800</v>
      </c>
      <c r="S129" s="319" t="str">
        <f>VLOOKUP(H129,'Fund Utilization Report'!$A$4:$U$1800,13,FALSE)</f>
        <v>MOOE</v>
      </c>
      <c r="T129" s="319" t="str">
        <f>VLOOKUP(H129,'Fund Utilization Report'!$A$4:$U$1800,2,FALSE)</f>
        <v>GAA</v>
      </c>
      <c r="U129" s="319" t="str">
        <f>VLOOKUP(H129,'Fund Utilization Report'!$A$4:$U$1800,3,FALSE)</f>
        <v>FY2021, RA11518</v>
      </c>
      <c r="V129" s="319" t="str">
        <f>VLOOKUP(H129,'Fund Utilization Report'!$A$4:$U$1800,4,FALSE)</f>
        <v>GAS(GMS)</v>
      </c>
      <c r="W129" s="319" t="str">
        <f>VLOOKUP(H129,'Fund Utilization Report'!$A$4:$U$1800,5,FALSE)</f>
        <v>01101101</v>
      </c>
      <c r="X129" s="319" t="str">
        <f>VLOOKUP(H129,'Fund Utilization Report'!$A$4:$U$1800,6,FALSE)</f>
        <v>GOP</v>
      </c>
      <c r="Y129" s="320" t="str">
        <f>VLOOKUP(H129,'Fund Utilization Report'!$A$4:$U$1800,7,FALSE)</f>
        <v>MOOE</v>
      </c>
      <c r="Z129" s="321">
        <f>VLOOKUP(H129,'Fund Utilization Report'!$A$4:$U$1800,8,FALSE)</f>
        <v>5020000000</v>
      </c>
      <c r="AA129" s="319" t="str">
        <f>VLOOKUP(H129,'Fund Utilization Report'!$A$4:$U$1800,14,FALSE)</f>
        <v>100000100001000</v>
      </c>
      <c r="AB129" s="349" t="str">
        <f>VLOOKUP(H129,'Fund Utilization Report'!$A$4:$U$1800,15,FALSE)</f>
        <v>General Administration and Supervision - General Management and Supervision</v>
      </c>
      <c r="AC129" s="55" t="s">
        <v>0</v>
      </c>
      <c r="AD129" s="38">
        <v>2</v>
      </c>
      <c r="AE129" s="39">
        <v>783</v>
      </c>
      <c r="AF129" s="51" t="str">
        <f>VLOOKUP(AE129,'[2]Chart of accounts'!A:H,2,FALSE)</f>
        <v>50299030 00</v>
      </c>
      <c r="AG129" s="53" t="s">
        <v>3</v>
      </c>
      <c r="AH129" s="53" t="s">
        <v>3</v>
      </c>
    </row>
    <row r="130" spans="1:34" s="32" customFormat="1" ht="27.6">
      <c r="A130" s="338" t="s">
        <v>942</v>
      </c>
      <c r="B130" s="338" t="s">
        <v>943</v>
      </c>
      <c r="C130" s="358">
        <v>44221</v>
      </c>
      <c r="D130" s="351" t="s">
        <v>759</v>
      </c>
      <c r="E130" s="352" t="s">
        <v>826</v>
      </c>
      <c r="F130" s="338">
        <v>0.59305555555555556</v>
      </c>
      <c r="G130" s="338">
        <v>0.59375</v>
      </c>
      <c r="H130" s="338" t="s">
        <v>961</v>
      </c>
      <c r="I130" s="353">
        <v>783</v>
      </c>
      <c r="J130" s="338" t="str">
        <f>IFERROR(VLOOKUP(I130,'Chart of accounts'!A:H,2,FALSE),"")</f>
        <v>50299030 00</v>
      </c>
      <c r="K130" s="338" t="str">
        <f>IFERROR(VLOOKUP(I130,'Chart of accounts'!A:H,3,FALSE),"")</f>
        <v>Representation Expenses</v>
      </c>
      <c r="L130" s="338" t="str">
        <f>IFERROR(VLOOKUP(I130,'Chart of accounts'!A:H,4,FALSE),"")</f>
        <v>50299030 00 - Representation Expenses (783)</v>
      </c>
      <c r="M130" s="360" t="s">
        <v>771</v>
      </c>
      <c r="N130" s="355" t="s">
        <v>822</v>
      </c>
      <c r="O130" s="355" t="s">
        <v>819</v>
      </c>
      <c r="P130" s="355"/>
      <c r="Q130" s="363">
        <v>7800</v>
      </c>
      <c r="R130" s="319">
        <f t="shared" si="1"/>
        <v>-7800</v>
      </c>
      <c r="S130" s="319" t="str">
        <f>VLOOKUP(H130,'Fund Utilization Report'!$A$4:$U$1800,13,FALSE)</f>
        <v>MOOE</v>
      </c>
      <c r="T130" s="319" t="str">
        <f>VLOOKUP(H130,'Fund Utilization Report'!$A$4:$U$1800,2,FALSE)</f>
        <v>GAA</v>
      </c>
      <c r="U130" s="319" t="str">
        <f>VLOOKUP(H130,'Fund Utilization Report'!$A$4:$U$1800,3,FALSE)</f>
        <v>FY2021, RA11518</v>
      </c>
      <c r="V130" s="319" t="str">
        <f>VLOOKUP(H130,'Fund Utilization Report'!$A$4:$U$1800,4,FALSE)</f>
        <v>GAS(GMS)</v>
      </c>
      <c r="W130" s="319" t="str">
        <f>VLOOKUP(H130,'Fund Utilization Report'!$A$4:$U$1800,5,FALSE)</f>
        <v>01101101</v>
      </c>
      <c r="X130" s="319" t="str">
        <f>VLOOKUP(H130,'Fund Utilization Report'!$A$4:$U$1800,6,FALSE)</f>
        <v>GOP</v>
      </c>
      <c r="Y130" s="320" t="str">
        <f>VLOOKUP(H130,'Fund Utilization Report'!$A$4:$U$1800,7,FALSE)</f>
        <v>MOOE</v>
      </c>
      <c r="Z130" s="321">
        <f>VLOOKUP(H130,'Fund Utilization Report'!$A$4:$U$1800,8,FALSE)</f>
        <v>5020000000</v>
      </c>
      <c r="AA130" s="319" t="str">
        <f>VLOOKUP(H130,'Fund Utilization Report'!$A$4:$U$1800,14,FALSE)</f>
        <v>100000100001000</v>
      </c>
      <c r="AB130" s="349" t="str">
        <f>VLOOKUP(H130,'Fund Utilization Report'!$A$4:$U$1800,15,FALSE)</f>
        <v>General Administration and Supervision - General Management and Supervision</v>
      </c>
      <c r="AC130" s="55" t="s">
        <v>0</v>
      </c>
      <c r="AD130" s="38">
        <v>2</v>
      </c>
      <c r="AE130" s="39">
        <v>783</v>
      </c>
      <c r="AF130" s="51" t="str">
        <f>VLOOKUP(AE130,'[2]Chart of accounts'!A:H,2,FALSE)</f>
        <v>50299030 00</v>
      </c>
      <c r="AG130" s="53" t="s">
        <v>3</v>
      </c>
      <c r="AH130" s="53" t="s">
        <v>3</v>
      </c>
    </row>
    <row r="131" spans="1:34" s="32" customFormat="1" ht="27.6">
      <c r="A131" s="338" t="s">
        <v>942</v>
      </c>
      <c r="B131" s="338" t="s">
        <v>943</v>
      </c>
      <c r="C131" s="358">
        <v>44221</v>
      </c>
      <c r="D131" s="351" t="s">
        <v>759</v>
      </c>
      <c r="E131" s="352" t="s">
        <v>827</v>
      </c>
      <c r="F131" s="338">
        <v>0.59375</v>
      </c>
      <c r="G131" s="338">
        <v>0.59444444444444444</v>
      </c>
      <c r="H131" s="338" t="s">
        <v>961</v>
      </c>
      <c r="I131" s="353">
        <v>783</v>
      </c>
      <c r="J131" s="338" t="str">
        <f>IFERROR(VLOOKUP(I131,'Chart of accounts'!A:H,2,FALSE),"")</f>
        <v>50299030 00</v>
      </c>
      <c r="K131" s="338" t="str">
        <f>IFERROR(VLOOKUP(I131,'Chart of accounts'!A:H,3,FALSE),"")</f>
        <v>Representation Expenses</v>
      </c>
      <c r="L131" s="338" t="str">
        <f>IFERROR(VLOOKUP(I131,'Chart of accounts'!A:H,4,FALSE),"")</f>
        <v>50299030 00 - Representation Expenses (783)</v>
      </c>
      <c r="M131" s="360" t="s">
        <v>770</v>
      </c>
      <c r="N131" s="355" t="s">
        <v>823</v>
      </c>
      <c r="O131" s="355" t="s">
        <v>819</v>
      </c>
      <c r="P131" s="355"/>
      <c r="Q131" s="363">
        <v>7800</v>
      </c>
      <c r="R131" s="319">
        <f t="shared" si="1"/>
        <v>-7800</v>
      </c>
      <c r="S131" s="319" t="str">
        <f>VLOOKUP(H131,'Fund Utilization Report'!$A$4:$U$1800,13,FALSE)</f>
        <v>MOOE</v>
      </c>
      <c r="T131" s="319" t="str">
        <f>VLOOKUP(H131,'Fund Utilization Report'!$A$4:$U$1800,2,FALSE)</f>
        <v>GAA</v>
      </c>
      <c r="U131" s="319" t="str">
        <f>VLOOKUP(H131,'Fund Utilization Report'!$A$4:$U$1800,3,FALSE)</f>
        <v>FY2021, RA11518</v>
      </c>
      <c r="V131" s="319" t="str">
        <f>VLOOKUP(H131,'Fund Utilization Report'!$A$4:$U$1800,4,FALSE)</f>
        <v>GAS(GMS)</v>
      </c>
      <c r="W131" s="319" t="str">
        <f>VLOOKUP(H131,'Fund Utilization Report'!$A$4:$U$1800,5,FALSE)</f>
        <v>01101101</v>
      </c>
      <c r="X131" s="319" t="str">
        <f>VLOOKUP(H131,'Fund Utilization Report'!$A$4:$U$1800,6,FALSE)</f>
        <v>GOP</v>
      </c>
      <c r="Y131" s="320" t="str">
        <f>VLOOKUP(H131,'Fund Utilization Report'!$A$4:$U$1800,7,FALSE)</f>
        <v>MOOE</v>
      </c>
      <c r="Z131" s="321">
        <f>VLOOKUP(H131,'Fund Utilization Report'!$A$4:$U$1800,8,FALSE)</f>
        <v>5020000000</v>
      </c>
      <c r="AA131" s="319" t="str">
        <f>VLOOKUP(H131,'Fund Utilization Report'!$A$4:$U$1800,14,FALSE)</f>
        <v>100000100001000</v>
      </c>
      <c r="AB131" s="349" t="str">
        <f>VLOOKUP(H131,'Fund Utilization Report'!$A$4:$U$1800,15,FALSE)</f>
        <v>General Administration and Supervision - General Management and Supervision</v>
      </c>
      <c r="AC131" s="55" t="s">
        <v>0</v>
      </c>
      <c r="AD131" s="38">
        <v>2</v>
      </c>
      <c r="AE131" s="39">
        <v>783</v>
      </c>
      <c r="AF131" s="51" t="str">
        <f>VLOOKUP(AE131,'[2]Chart of accounts'!A:H,2,FALSE)</f>
        <v>50299030 00</v>
      </c>
      <c r="AG131" s="53" t="s">
        <v>3</v>
      </c>
      <c r="AH131" s="53" t="s">
        <v>3</v>
      </c>
    </row>
    <row r="132" spans="1:34" s="32" customFormat="1" ht="27.6">
      <c r="A132" s="338" t="s">
        <v>942</v>
      </c>
      <c r="B132" s="338" t="s">
        <v>943</v>
      </c>
      <c r="C132" s="358">
        <v>44222</v>
      </c>
      <c r="D132" s="351" t="s">
        <v>759</v>
      </c>
      <c r="E132" s="352" t="s">
        <v>829</v>
      </c>
      <c r="F132" s="338">
        <v>0.46666666666666662</v>
      </c>
      <c r="G132" s="338">
        <v>0.46736111111111112</v>
      </c>
      <c r="H132" s="338" t="s">
        <v>984</v>
      </c>
      <c r="I132" s="353" t="s">
        <v>828</v>
      </c>
      <c r="J132" s="338" t="str">
        <f>IFERROR(VLOOKUP(I132,'Chart of accounts'!A:H,2,FALSE),"")</f>
        <v>50604050 03</v>
      </c>
      <c r="K132" s="338" t="str">
        <f>IFERROR(VLOOKUP(I132,'Chart of accounts'!A:H,3,FALSE),"")</f>
        <v>ICT Equipment</v>
      </c>
      <c r="L132" s="338" t="str">
        <f>IFERROR(VLOOKUP(I132,'Chart of accounts'!A:H,4,FALSE),"")</f>
        <v>50604050 03 - ICT Equipment (223 CO)</v>
      </c>
      <c r="M132" s="360" t="s">
        <v>2</v>
      </c>
      <c r="N132" s="355" t="s">
        <v>830</v>
      </c>
      <c r="O132" s="355" t="s">
        <v>831</v>
      </c>
      <c r="P132" s="355"/>
      <c r="Q132" s="363">
        <v>59500</v>
      </c>
      <c r="R132" s="319">
        <f t="shared" si="1"/>
        <v>-59500</v>
      </c>
      <c r="S132" s="319" t="str">
        <f>VLOOKUP(H132,'Fund Utilization Report'!$A$4:$U$1800,13,FALSE)</f>
        <v>CO</v>
      </c>
      <c r="T132" s="319" t="str">
        <f>VLOOKUP(H132,'Fund Utilization Report'!$A$4:$U$1800,2,FALSE)</f>
        <v>GAA</v>
      </c>
      <c r="U132" s="319" t="str">
        <f>VLOOKUP(H132,'Fund Utilization Report'!$A$4:$U$1800,3,FALSE)</f>
        <v>FY2021, RA11518</v>
      </c>
      <c r="V132" s="319" t="str">
        <f>VLOOKUP(H132,'Fund Utilization Report'!$A$4:$U$1800,4,FALSE)</f>
        <v>SSF</v>
      </c>
      <c r="W132" s="319" t="str">
        <f>VLOOKUP(H132,'Fund Utilization Report'!$A$4:$U$1800,5,FALSE)</f>
        <v>01101101</v>
      </c>
      <c r="X132" s="319" t="str">
        <f>VLOOKUP(H132,'Fund Utilization Report'!$A$4:$U$1800,6,FALSE)</f>
        <v>GOP</v>
      </c>
      <c r="Y132" s="320" t="str">
        <f>VLOOKUP(H132,'Fund Utilization Report'!$A$4:$U$1800,7,FALSE)</f>
        <v>CO</v>
      </c>
      <c r="Z132" s="321">
        <f>VLOOKUP(H132,'Fund Utilization Report'!$A$4:$U$1800,8,FALSE)</f>
        <v>5060000000</v>
      </c>
      <c r="AA132" s="319" t="str">
        <f>VLOOKUP(H132,'Fund Utilization Report'!$A$4:$U$1800,14,FALSE)</f>
        <v>330100200003000</v>
      </c>
      <c r="AB132" s="349" t="str">
        <f>VLOOKUP(H132,'Fund Utilization Report'!$A$4:$U$1800,15,FALSE)</f>
        <v>Shared Service Facilities Project</v>
      </c>
      <c r="AC132" s="55" t="s">
        <v>0</v>
      </c>
      <c r="AD132" s="38">
        <v>2</v>
      </c>
      <c r="AE132" s="39" t="s">
        <v>828</v>
      </c>
      <c r="AF132" s="51" t="str">
        <f>VLOOKUP(AE132,'[2]Chart of accounts'!A:H,2,FALSE)</f>
        <v>50604050 03</v>
      </c>
      <c r="AG132" s="53" t="s">
        <v>4</v>
      </c>
      <c r="AH132" s="40" t="s">
        <v>753</v>
      </c>
    </row>
    <row r="133" spans="1:34" s="32" customFormat="1" ht="27.6">
      <c r="A133" s="338" t="s">
        <v>942</v>
      </c>
      <c r="B133" s="338" t="s">
        <v>943</v>
      </c>
      <c r="C133" s="358">
        <v>44222</v>
      </c>
      <c r="D133" s="351" t="s">
        <v>759</v>
      </c>
      <c r="E133" s="352" t="s">
        <v>832</v>
      </c>
      <c r="F133" s="338">
        <v>0.6430555555555556</v>
      </c>
      <c r="G133" s="338">
        <v>0.64444444444444449</v>
      </c>
      <c r="H133" s="338" t="s">
        <v>960</v>
      </c>
      <c r="I133" s="353">
        <v>701</v>
      </c>
      <c r="J133" s="338" t="str">
        <f>IFERROR(VLOOKUP(I133,'Chart of accounts'!A:H,2,FALSE),"")</f>
        <v>50101010 01</v>
      </c>
      <c r="K133" s="338" t="str">
        <f>IFERROR(VLOOKUP(I133,'Chart of accounts'!A:H,3,FALSE),"")</f>
        <v>Basic Salary - Civilian</v>
      </c>
      <c r="L133" s="338" t="str">
        <f>IFERROR(VLOOKUP(I133,'Chart of accounts'!A:H,4,FALSE),"")</f>
        <v>50101010 01 - Basic Salary - Civilian (701)</v>
      </c>
      <c r="M133" s="360" t="s">
        <v>2</v>
      </c>
      <c r="N133" s="355" t="s">
        <v>833</v>
      </c>
      <c r="O133" s="355" t="s">
        <v>834</v>
      </c>
      <c r="P133" s="355"/>
      <c r="Q133" s="363">
        <v>14112.73</v>
      </c>
      <c r="R133" s="319">
        <f t="shared" si="1"/>
        <v>-14112.73</v>
      </c>
      <c r="S133" s="319" t="str">
        <f>VLOOKUP(H133,'Fund Utilization Report'!$A$4:$U$1800,13,FALSE)</f>
        <v>PS</v>
      </c>
      <c r="T133" s="319" t="str">
        <f>VLOOKUP(H133,'Fund Utilization Report'!$A$4:$U$1800,2,FALSE)</f>
        <v>GAA</v>
      </c>
      <c r="U133" s="319" t="str">
        <f>VLOOKUP(H133,'Fund Utilization Report'!$A$4:$U$1800,3,FALSE)</f>
        <v>FY2021, RA11518</v>
      </c>
      <c r="V133" s="319" t="str">
        <f>VLOOKUP(H133,'Fund Utilization Report'!$A$4:$U$1800,4,FALSE)</f>
        <v>GAS(GMS)</v>
      </c>
      <c r="W133" s="319" t="str">
        <f>VLOOKUP(H133,'Fund Utilization Report'!$A$4:$U$1800,5,FALSE)</f>
        <v>01101101</v>
      </c>
      <c r="X133" s="319" t="str">
        <f>VLOOKUP(H133,'Fund Utilization Report'!$A$4:$U$1800,6,FALSE)</f>
        <v>GOP</v>
      </c>
      <c r="Y133" s="320" t="str">
        <f>VLOOKUP(H133,'Fund Utilization Report'!$A$4:$U$1800,7,FALSE)</f>
        <v>PS</v>
      </c>
      <c r="Z133" s="321">
        <f>VLOOKUP(H133,'Fund Utilization Report'!$A$4:$U$1800,8,FALSE)</f>
        <v>5010000000</v>
      </c>
      <c r="AA133" s="319" t="str">
        <f>VLOOKUP(H133,'Fund Utilization Report'!$A$4:$U$1800,14,FALSE)</f>
        <v>100000100001000</v>
      </c>
      <c r="AB133" s="349" t="str">
        <f>VLOOKUP(H133,'Fund Utilization Report'!$A$4:$U$1800,15,FALSE)</f>
        <v>General Administration and Supervision - General Management and Supervision</v>
      </c>
      <c r="AC133" s="55" t="s">
        <v>0</v>
      </c>
      <c r="AD133" s="38">
        <v>1</v>
      </c>
      <c r="AE133" s="39">
        <v>701</v>
      </c>
      <c r="AF133" s="51" t="str">
        <f>VLOOKUP(AE133,'[2]Chart of accounts'!A:H,2,FALSE)</f>
        <v>50101010 01</v>
      </c>
      <c r="AG133" s="53" t="s">
        <v>1</v>
      </c>
      <c r="AH133" s="53" t="s">
        <v>1</v>
      </c>
    </row>
    <row r="134" spans="1:34" s="32" customFormat="1" ht="27.6">
      <c r="A134" s="338" t="s">
        <v>942</v>
      </c>
      <c r="B134" s="338" t="s">
        <v>943</v>
      </c>
      <c r="C134" s="358">
        <v>44222</v>
      </c>
      <c r="D134" s="351" t="s">
        <v>759</v>
      </c>
      <c r="E134" s="352" t="s">
        <v>832</v>
      </c>
      <c r="F134" s="338">
        <v>0.6430555555555556</v>
      </c>
      <c r="G134" s="338">
        <v>0.64444444444444449</v>
      </c>
      <c r="H134" s="338" t="s">
        <v>960</v>
      </c>
      <c r="I134" s="353">
        <v>711</v>
      </c>
      <c r="J134" s="338" t="str">
        <f>IFERROR(VLOOKUP(I134,'Chart of accounts'!A:H,2,FALSE),"")</f>
        <v>50102010 01</v>
      </c>
      <c r="K134" s="338" t="str">
        <f>IFERROR(VLOOKUP(I134,'Chart of accounts'!A:H,3,FALSE),"")</f>
        <v>PERA - Civilian</v>
      </c>
      <c r="L134" s="338" t="str">
        <f>IFERROR(VLOOKUP(I134,'Chart of accounts'!A:H,4,FALSE),"")</f>
        <v>50102010 01 - PERA - Civilian (711)</v>
      </c>
      <c r="M134" s="360" t="s">
        <v>2</v>
      </c>
      <c r="N134" s="355" t="s">
        <v>833</v>
      </c>
      <c r="O134" s="355" t="s">
        <v>834</v>
      </c>
      <c r="P134" s="355"/>
      <c r="Q134" s="363">
        <v>1818.18</v>
      </c>
      <c r="R134" s="319">
        <f t="shared" si="1"/>
        <v>-1818.18</v>
      </c>
      <c r="S134" s="319" t="str">
        <f>VLOOKUP(H134,'Fund Utilization Report'!$A$4:$U$1800,13,FALSE)</f>
        <v>PS</v>
      </c>
      <c r="T134" s="319" t="str">
        <f>VLOOKUP(H134,'Fund Utilization Report'!$A$4:$U$1800,2,FALSE)</f>
        <v>GAA</v>
      </c>
      <c r="U134" s="319" t="str">
        <f>VLOOKUP(H134,'Fund Utilization Report'!$A$4:$U$1800,3,FALSE)</f>
        <v>FY2021, RA11518</v>
      </c>
      <c r="V134" s="319" t="str">
        <f>VLOOKUP(H134,'Fund Utilization Report'!$A$4:$U$1800,4,FALSE)</f>
        <v>GAS(GMS)</v>
      </c>
      <c r="W134" s="319" t="str">
        <f>VLOOKUP(H134,'Fund Utilization Report'!$A$4:$U$1800,5,FALSE)</f>
        <v>01101101</v>
      </c>
      <c r="X134" s="319" t="str">
        <f>VLOOKUP(H134,'Fund Utilization Report'!$A$4:$U$1800,6,FALSE)</f>
        <v>GOP</v>
      </c>
      <c r="Y134" s="320" t="str">
        <f>VLOOKUP(H134,'Fund Utilization Report'!$A$4:$U$1800,7,FALSE)</f>
        <v>PS</v>
      </c>
      <c r="Z134" s="321">
        <f>VLOOKUP(H134,'Fund Utilization Report'!$A$4:$U$1800,8,FALSE)</f>
        <v>5010000000</v>
      </c>
      <c r="AA134" s="319" t="str">
        <f>VLOOKUP(H134,'Fund Utilization Report'!$A$4:$U$1800,14,FALSE)</f>
        <v>100000100001000</v>
      </c>
      <c r="AB134" s="349" t="str">
        <f>VLOOKUP(H134,'Fund Utilization Report'!$A$4:$U$1800,15,FALSE)</f>
        <v>General Administration and Supervision - General Management and Supervision</v>
      </c>
      <c r="AC134" s="55" t="s">
        <v>0</v>
      </c>
      <c r="AD134" s="38">
        <v>1</v>
      </c>
      <c r="AE134" s="39">
        <v>711</v>
      </c>
      <c r="AF134" s="51" t="str">
        <f>VLOOKUP(AE134,'[2]Chart of accounts'!A:H,2,FALSE)</f>
        <v>50102010 01</v>
      </c>
      <c r="AG134" s="53" t="s">
        <v>1</v>
      </c>
      <c r="AH134" s="53" t="s">
        <v>1</v>
      </c>
    </row>
    <row r="135" spans="1:34" s="32" customFormat="1" ht="27.6">
      <c r="A135" s="338" t="s">
        <v>942</v>
      </c>
      <c r="B135" s="338" t="s">
        <v>943</v>
      </c>
      <c r="C135" s="358">
        <v>44222</v>
      </c>
      <c r="D135" s="351" t="s">
        <v>759</v>
      </c>
      <c r="E135" s="352" t="s">
        <v>832</v>
      </c>
      <c r="F135" s="338">
        <v>0.6430555555555556</v>
      </c>
      <c r="G135" s="338">
        <v>0.64444444444444449</v>
      </c>
      <c r="H135" s="338" t="s">
        <v>962</v>
      </c>
      <c r="I135" s="353">
        <v>731</v>
      </c>
      <c r="J135" s="338" t="str">
        <f>IFERROR(VLOOKUP(I135,'Chart of accounts'!A:H,2,FALSE),"")</f>
        <v>50103010 00</v>
      </c>
      <c r="K135" s="338" t="str">
        <f>IFERROR(VLOOKUP(I135,'Chart of accounts'!A:H,3,FALSE),"")</f>
        <v>Retirement and Life Insurance Premiums</v>
      </c>
      <c r="L135" s="338" t="str">
        <f>IFERROR(VLOOKUP(I135,'Chart of accounts'!A:H,4,FALSE),"")</f>
        <v>50103010 00 - Retirement and Life Insurance Premiums (731)</v>
      </c>
      <c r="M135" s="360" t="s">
        <v>2</v>
      </c>
      <c r="N135" s="355" t="s">
        <v>833</v>
      </c>
      <c r="O135" s="355" t="s">
        <v>834</v>
      </c>
      <c r="P135" s="355"/>
      <c r="Q135" s="50">
        <v>1682.6</v>
      </c>
      <c r="R135" s="319">
        <f t="shared" si="1"/>
        <v>-1682.6</v>
      </c>
      <c r="S135" s="319" t="str">
        <f>VLOOKUP(H135,'Fund Utilization Report'!$A$4:$U$1800,13,FALSE)</f>
        <v>PS</v>
      </c>
      <c r="T135" s="319" t="str">
        <f>VLOOKUP(H135,'Fund Utilization Report'!$A$4:$U$1800,2,FALSE)</f>
        <v>GAA</v>
      </c>
      <c r="U135" s="319" t="str">
        <f>VLOOKUP(H135,'Fund Utilization Report'!$A$4:$U$1800,3,FALSE)</f>
        <v>FY2021, RA11518</v>
      </c>
      <c r="V135" s="319" t="str">
        <f>VLOOKUP(H135,'Fund Utilization Report'!$A$4:$U$1800,4,FALSE)</f>
        <v>GAS(GMS)</v>
      </c>
      <c r="W135" s="319" t="str">
        <f>VLOOKUP(H135,'Fund Utilization Report'!$A$4:$U$1800,5,FALSE)</f>
        <v>01101101</v>
      </c>
      <c r="X135" s="319" t="str">
        <f>VLOOKUP(H135,'Fund Utilization Report'!$A$4:$U$1800,6,FALSE)</f>
        <v>GOP</v>
      </c>
      <c r="Y135" s="320" t="str">
        <f>VLOOKUP(H135,'Fund Utilization Report'!$A$4:$U$1800,7,FALSE)</f>
        <v>RLIP</v>
      </c>
      <c r="Z135" s="321" t="str">
        <f>VLOOKUP(H135,'Fund Utilization Report'!$A$4:$U$1800,8,FALSE)</f>
        <v>50103010-00</v>
      </c>
      <c r="AA135" s="319" t="str">
        <f>VLOOKUP(H135,'Fund Utilization Report'!$A$4:$U$1800,14,FALSE)</f>
        <v>100000100001000</v>
      </c>
      <c r="AB135" s="349" t="str">
        <f>VLOOKUP(H135,'Fund Utilization Report'!$A$4:$U$1800,15,FALSE)</f>
        <v>General Administration and Supervision - General Management and Supervision</v>
      </c>
      <c r="AC135" s="55" t="s">
        <v>0</v>
      </c>
      <c r="AD135" s="38">
        <v>1</v>
      </c>
      <c r="AE135" s="39">
        <v>731</v>
      </c>
      <c r="AF135" s="51" t="str">
        <f>VLOOKUP(AE135,'[2]Chart of accounts'!A:H,2,FALSE)</f>
        <v>50103010 00</v>
      </c>
      <c r="AG135" s="53" t="s">
        <v>1</v>
      </c>
      <c r="AH135" s="53" t="s">
        <v>1</v>
      </c>
    </row>
    <row r="136" spans="1:34" s="32" customFormat="1" ht="27.6">
      <c r="A136" s="338" t="s">
        <v>942</v>
      </c>
      <c r="B136" s="338" t="s">
        <v>943</v>
      </c>
      <c r="C136" s="358">
        <v>44222</v>
      </c>
      <c r="D136" s="351" t="s">
        <v>759</v>
      </c>
      <c r="E136" s="352" t="s">
        <v>832</v>
      </c>
      <c r="F136" s="338">
        <v>0.6430555555555556</v>
      </c>
      <c r="G136" s="338">
        <v>0.64444444444444449</v>
      </c>
      <c r="H136" s="338" t="s">
        <v>960</v>
      </c>
      <c r="I136" s="353">
        <v>732</v>
      </c>
      <c r="J136" s="338" t="str">
        <f>IFERROR(VLOOKUP(I136,'Chart of accounts'!A:H,2,FALSE),"")</f>
        <v>50103020 01</v>
      </c>
      <c r="K136" s="338" t="str">
        <f>IFERROR(VLOOKUP(I136,'Chart of accounts'!A:H,3,FALSE),"")</f>
        <v>Pag-IBIG - Civilian</v>
      </c>
      <c r="L136" s="338" t="str">
        <f>IFERROR(VLOOKUP(I136,'Chart of accounts'!A:H,4,FALSE),"")</f>
        <v>50103020 01 - Pag-IBIG - Civilian (732)</v>
      </c>
      <c r="M136" s="360" t="s">
        <v>2</v>
      </c>
      <c r="N136" s="355" t="s">
        <v>833</v>
      </c>
      <c r="O136" s="355" t="s">
        <v>834</v>
      </c>
      <c r="P136" s="355"/>
      <c r="Q136" s="363">
        <v>100</v>
      </c>
      <c r="R136" s="319">
        <f t="shared" si="1"/>
        <v>-100</v>
      </c>
      <c r="S136" s="319" t="str">
        <f>VLOOKUP(H136,'Fund Utilization Report'!$A$4:$U$1800,13,FALSE)</f>
        <v>PS</v>
      </c>
      <c r="T136" s="319" t="str">
        <f>VLOOKUP(H136,'Fund Utilization Report'!$A$4:$U$1800,2,FALSE)</f>
        <v>GAA</v>
      </c>
      <c r="U136" s="319" t="str">
        <f>VLOOKUP(H136,'Fund Utilization Report'!$A$4:$U$1800,3,FALSE)</f>
        <v>FY2021, RA11518</v>
      </c>
      <c r="V136" s="319" t="str">
        <f>VLOOKUP(H136,'Fund Utilization Report'!$A$4:$U$1800,4,FALSE)</f>
        <v>GAS(GMS)</v>
      </c>
      <c r="W136" s="319" t="str">
        <f>VLOOKUP(H136,'Fund Utilization Report'!$A$4:$U$1800,5,FALSE)</f>
        <v>01101101</v>
      </c>
      <c r="X136" s="319" t="str">
        <f>VLOOKUP(H136,'Fund Utilization Report'!$A$4:$U$1800,6,FALSE)</f>
        <v>GOP</v>
      </c>
      <c r="Y136" s="320" t="str">
        <f>VLOOKUP(H136,'Fund Utilization Report'!$A$4:$U$1800,7,FALSE)</f>
        <v>PS</v>
      </c>
      <c r="Z136" s="321">
        <f>VLOOKUP(H136,'Fund Utilization Report'!$A$4:$U$1800,8,FALSE)</f>
        <v>5010000000</v>
      </c>
      <c r="AA136" s="319" t="str">
        <f>VLOOKUP(H136,'Fund Utilization Report'!$A$4:$U$1800,14,FALSE)</f>
        <v>100000100001000</v>
      </c>
      <c r="AB136" s="349" t="str">
        <f>VLOOKUP(H136,'Fund Utilization Report'!$A$4:$U$1800,15,FALSE)</f>
        <v>General Administration and Supervision - General Management and Supervision</v>
      </c>
      <c r="AC136" s="55" t="s">
        <v>0</v>
      </c>
      <c r="AD136" s="38">
        <v>1</v>
      </c>
      <c r="AE136" s="39">
        <v>732</v>
      </c>
      <c r="AF136" s="51" t="str">
        <f>VLOOKUP(AE136,'[2]Chart of accounts'!A:H,2,FALSE)</f>
        <v>50103020 01</v>
      </c>
      <c r="AG136" s="53" t="s">
        <v>1</v>
      </c>
      <c r="AH136" s="53" t="s">
        <v>1</v>
      </c>
    </row>
    <row r="137" spans="1:34" s="32" customFormat="1" ht="27.6">
      <c r="A137" s="338" t="s">
        <v>942</v>
      </c>
      <c r="B137" s="338" t="s">
        <v>943</v>
      </c>
      <c r="C137" s="358">
        <v>44222</v>
      </c>
      <c r="D137" s="351" t="s">
        <v>759</v>
      </c>
      <c r="E137" s="352" t="s">
        <v>832</v>
      </c>
      <c r="F137" s="338">
        <v>0.6430555555555556</v>
      </c>
      <c r="G137" s="338">
        <v>0.64444444444444449</v>
      </c>
      <c r="H137" s="338" t="s">
        <v>960</v>
      </c>
      <c r="I137" s="353">
        <v>733</v>
      </c>
      <c r="J137" s="338" t="str">
        <f>IFERROR(VLOOKUP(I137,'Chart of accounts'!A:H,2,FALSE),"")</f>
        <v>50103030 01</v>
      </c>
      <c r="K137" s="338" t="str">
        <f>IFERROR(VLOOKUP(I137,'Chart of accounts'!A:H,3,FALSE),"")</f>
        <v>PhilHealth - Civilian</v>
      </c>
      <c r="L137" s="338" t="str">
        <f>IFERROR(VLOOKUP(I137,'Chart of accounts'!A:H,4,FALSE),"")</f>
        <v>50103030 01 - PhilHealth - Civilian (733)</v>
      </c>
      <c r="M137" s="360" t="s">
        <v>2</v>
      </c>
      <c r="N137" s="355" t="s">
        <v>833</v>
      </c>
      <c r="O137" s="355" t="s">
        <v>834</v>
      </c>
      <c r="P137" s="355"/>
      <c r="Q137" s="363">
        <v>232.86</v>
      </c>
      <c r="R137" s="319">
        <f t="shared" si="1"/>
        <v>-232.86</v>
      </c>
      <c r="S137" s="319" t="str">
        <f>VLOOKUP(H137,'Fund Utilization Report'!$A$4:$U$1800,13,FALSE)</f>
        <v>PS</v>
      </c>
      <c r="T137" s="319" t="str">
        <f>VLOOKUP(H137,'Fund Utilization Report'!$A$4:$U$1800,2,FALSE)</f>
        <v>GAA</v>
      </c>
      <c r="U137" s="319" t="str">
        <f>VLOOKUP(H137,'Fund Utilization Report'!$A$4:$U$1800,3,FALSE)</f>
        <v>FY2021, RA11518</v>
      </c>
      <c r="V137" s="319" t="str">
        <f>VLOOKUP(H137,'Fund Utilization Report'!$A$4:$U$1800,4,FALSE)</f>
        <v>GAS(GMS)</v>
      </c>
      <c r="W137" s="319" t="str">
        <f>VLOOKUP(H137,'Fund Utilization Report'!$A$4:$U$1800,5,FALSE)</f>
        <v>01101101</v>
      </c>
      <c r="X137" s="319" t="str">
        <f>VLOOKUP(H137,'Fund Utilization Report'!$A$4:$U$1800,6,FALSE)</f>
        <v>GOP</v>
      </c>
      <c r="Y137" s="320" t="str">
        <f>VLOOKUP(H137,'Fund Utilization Report'!$A$4:$U$1800,7,FALSE)</f>
        <v>PS</v>
      </c>
      <c r="Z137" s="321">
        <f>VLOOKUP(H137,'Fund Utilization Report'!$A$4:$U$1800,8,FALSE)</f>
        <v>5010000000</v>
      </c>
      <c r="AA137" s="319" t="str">
        <f>VLOOKUP(H137,'Fund Utilization Report'!$A$4:$U$1800,14,FALSE)</f>
        <v>100000100001000</v>
      </c>
      <c r="AB137" s="349" t="str">
        <f>VLOOKUP(H137,'Fund Utilization Report'!$A$4:$U$1800,15,FALSE)</f>
        <v>General Administration and Supervision - General Management and Supervision</v>
      </c>
      <c r="AC137" s="55" t="s">
        <v>0</v>
      </c>
      <c r="AD137" s="38">
        <v>1</v>
      </c>
      <c r="AE137" s="55">
        <v>733</v>
      </c>
      <c r="AF137" s="51" t="str">
        <f>VLOOKUP(AE137,'[2]Chart of accounts'!A:H,2,FALSE)</f>
        <v>50103030 01</v>
      </c>
      <c r="AG137" s="53" t="s">
        <v>1</v>
      </c>
      <c r="AH137" s="53" t="s">
        <v>1</v>
      </c>
    </row>
    <row r="138" spans="1:34" s="32" customFormat="1" ht="27.6">
      <c r="A138" s="338" t="s">
        <v>942</v>
      </c>
      <c r="B138" s="338" t="s">
        <v>943</v>
      </c>
      <c r="C138" s="358">
        <v>44222</v>
      </c>
      <c r="D138" s="351" t="s">
        <v>759</v>
      </c>
      <c r="E138" s="352" t="s">
        <v>832</v>
      </c>
      <c r="F138" s="338">
        <v>0.6430555555555556</v>
      </c>
      <c r="G138" s="338">
        <v>0.64444444444444449</v>
      </c>
      <c r="H138" s="338" t="s">
        <v>960</v>
      </c>
      <c r="I138" s="353">
        <v>734</v>
      </c>
      <c r="J138" s="338" t="str">
        <f>IFERROR(VLOOKUP(I138,'Chart of accounts'!A:H,2,FALSE),"")</f>
        <v>50103040 01</v>
      </c>
      <c r="K138" s="338" t="str">
        <f>IFERROR(VLOOKUP(I138,'Chart of accounts'!A:H,3,FALSE),"")</f>
        <v>ECIP - Civilian</v>
      </c>
      <c r="L138" s="338" t="str">
        <f>IFERROR(VLOOKUP(I138,'Chart of accounts'!A:H,4,FALSE),"")</f>
        <v>50103040 01 - ECIP - Civilian (734)</v>
      </c>
      <c r="M138" s="360" t="s">
        <v>2</v>
      </c>
      <c r="N138" s="355" t="s">
        <v>833</v>
      </c>
      <c r="O138" s="355" t="s">
        <v>834</v>
      </c>
      <c r="P138" s="355"/>
      <c r="Q138" s="363">
        <v>100</v>
      </c>
      <c r="R138" s="319">
        <f t="shared" si="1"/>
        <v>-100</v>
      </c>
      <c r="S138" s="319" t="str">
        <f>VLOOKUP(H138,'Fund Utilization Report'!$A$4:$U$1800,13,FALSE)</f>
        <v>PS</v>
      </c>
      <c r="T138" s="319" t="str">
        <f>VLOOKUP(H138,'Fund Utilization Report'!$A$4:$U$1800,2,FALSE)</f>
        <v>GAA</v>
      </c>
      <c r="U138" s="319" t="str">
        <f>VLOOKUP(H138,'Fund Utilization Report'!$A$4:$U$1800,3,FALSE)</f>
        <v>FY2021, RA11518</v>
      </c>
      <c r="V138" s="319" t="str">
        <f>VLOOKUP(H138,'Fund Utilization Report'!$A$4:$U$1800,4,FALSE)</f>
        <v>GAS(GMS)</v>
      </c>
      <c r="W138" s="319" t="str">
        <f>VLOOKUP(H138,'Fund Utilization Report'!$A$4:$U$1800,5,FALSE)</f>
        <v>01101101</v>
      </c>
      <c r="X138" s="319" t="str">
        <f>VLOOKUP(H138,'Fund Utilization Report'!$A$4:$U$1800,6,FALSE)</f>
        <v>GOP</v>
      </c>
      <c r="Y138" s="320" t="str">
        <f>VLOOKUP(H138,'Fund Utilization Report'!$A$4:$U$1800,7,FALSE)</f>
        <v>PS</v>
      </c>
      <c r="Z138" s="321">
        <f>VLOOKUP(H138,'Fund Utilization Report'!$A$4:$U$1800,8,FALSE)</f>
        <v>5010000000</v>
      </c>
      <c r="AA138" s="319" t="str">
        <f>VLOOKUP(H138,'Fund Utilization Report'!$A$4:$U$1800,14,FALSE)</f>
        <v>100000100001000</v>
      </c>
      <c r="AB138" s="349" t="str">
        <f>VLOOKUP(H138,'Fund Utilization Report'!$A$4:$U$1800,15,FALSE)</f>
        <v>General Administration and Supervision - General Management and Supervision</v>
      </c>
      <c r="AC138" s="55" t="s">
        <v>0</v>
      </c>
      <c r="AD138" s="38">
        <v>1</v>
      </c>
      <c r="AE138" s="55">
        <v>734</v>
      </c>
      <c r="AF138" s="51" t="str">
        <f>VLOOKUP(AE138,'[2]Chart of accounts'!A:H,2,FALSE)</f>
        <v>50103040 01</v>
      </c>
      <c r="AG138" s="53" t="s">
        <v>1</v>
      </c>
      <c r="AH138" s="53" t="s">
        <v>1</v>
      </c>
    </row>
    <row r="139" spans="1:34" s="32" customFormat="1" ht="27.6">
      <c r="A139" s="338" t="s">
        <v>942</v>
      </c>
      <c r="B139" s="338" t="s">
        <v>943</v>
      </c>
      <c r="C139" s="358">
        <v>44223</v>
      </c>
      <c r="D139" s="351" t="s">
        <v>759</v>
      </c>
      <c r="E139" s="352" t="s">
        <v>835</v>
      </c>
      <c r="F139" s="338">
        <v>0.48958333333333331</v>
      </c>
      <c r="G139" s="338">
        <v>0.49027777777777781</v>
      </c>
      <c r="H139" s="338" t="s">
        <v>961</v>
      </c>
      <c r="I139" s="353">
        <v>766</v>
      </c>
      <c r="J139" s="338" t="str">
        <f>IFERROR(VLOOKUP(I139,'Chart of accounts'!A:H,2,FALSE),"")</f>
        <v>50204010 00</v>
      </c>
      <c r="K139" s="338" t="str">
        <f>IFERROR(VLOOKUP(I139,'Chart of accounts'!A:H,3,FALSE),"")</f>
        <v>Water Expenses</v>
      </c>
      <c r="L139" s="338" t="str">
        <f>IFERROR(VLOOKUP(I139,'Chart of accounts'!A:H,4,FALSE),"")</f>
        <v>50204010 00 - Water Expenses (766)</v>
      </c>
      <c r="M139" s="361" t="s">
        <v>2</v>
      </c>
      <c r="N139" s="355" t="s">
        <v>836</v>
      </c>
      <c r="O139" s="355" t="s">
        <v>837</v>
      </c>
      <c r="P139" s="355"/>
      <c r="Q139" s="363">
        <v>3675</v>
      </c>
      <c r="R139" s="319">
        <f t="shared" si="1"/>
        <v>-3675</v>
      </c>
      <c r="S139" s="319" t="str">
        <f>VLOOKUP(H139,'Fund Utilization Report'!$A$4:$U$1800,13,FALSE)</f>
        <v>MOOE</v>
      </c>
      <c r="T139" s="319" t="str">
        <f>VLOOKUP(H139,'Fund Utilization Report'!$A$4:$U$1800,2,FALSE)</f>
        <v>GAA</v>
      </c>
      <c r="U139" s="319" t="str">
        <f>VLOOKUP(H139,'Fund Utilization Report'!$A$4:$U$1800,3,FALSE)</f>
        <v>FY2021, RA11518</v>
      </c>
      <c r="V139" s="319" t="str">
        <f>VLOOKUP(H139,'Fund Utilization Report'!$A$4:$U$1800,4,FALSE)</f>
        <v>GAS(GMS)</v>
      </c>
      <c r="W139" s="319" t="str">
        <f>VLOOKUP(H139,'Fund Utilization Report'!$A$4:$U$1800,5,FALSE)</f>
        <v>01101101</v>
      </c>
      <c r="X139" s="319" t="str">
        <f>VLOOKUP(H139,'Fund Utilization Report'!$A$4:$U$1800,6,FALSE)</f>
        <v>GOP</v>
      </c>
      <c r="Y139" s="320" t="str">
        <f>VLOOKUP(H139,'Fund Utilization Report'!$A$4:$U$1800,7,FALSE)</f>
        <v>MOOE</v>
      </c>
      <c r="Z139" s="321">
        <f>VLOOKUP(H139,'Fund Utilization Report'!$A$4:$U$1800,8,FALSE)</f>
        <v>5020000000</v>
      </c>
      <c r="AA139" s="319" t="str">
        <f>VLOOKUP(H139,'Fund Utilization Report'!$A$4:$U$1800,14,FALSE)</f>
        <v>100000100001000</v>
      </c>
      <c r="AB139" s="349" t="str">
        <f>VLOOKUP(H139,'Fund Utilization Report'!$A$4:$U$1800,15,FALSE)</f>
        <v>General Administration and Supervision - General Management and Supervision</v>
      </c>
      <c r="AC139" s="37" t="s">
        <v>0</v>
      </c>
      <c r="AD139" s="38">
        <v>2</v>
      </c>
      <c r="AE139" s="39">
        <v>766</v>
      </c>
      <c r="AF139" s="51" t="str">
        <f>VLOOKUP(AE139,'[2]Chart of accounts'!A:H,2,FALSE)</f>
        <v>50204010 00</v>
      </c>
      <c r="AG139" s="40" t="s">
        <v>3</v>
      </c>
      <c r="AH139" s="40" t="s">
        <v>3</v>
      </c>
    </row>
    <row r="140" spans="1:34" s="32" customFormat="1" ht="27.6">
      <c r="A140" s="338" t="s">
        <v>942</v>
      </c>
      <c r="B140" s="338" t="s">
        <v>943</v>
      </c>
      <c r="C140" s="358">
        <v>44223</v>
      </c>
      <c r="D140" s="351" t="s">
        <v>759</v>
      </c>
      <c r="E140" s="352" t="s">
        <v>838</v>
      </c>
      <c r="F140" s="338">
        <v>0.49027777777777781</v>
      </c>
      <c r="G140" s="338">
        <v>0.4909722222222222</v>
      </c>
      <c r="H140" s="338" t="s">
        <v>961</v>
      </c>
      <c r="I140" s="353">
        <v>766</v>
      </c>
      <c r="J140" s="338" t="str">
        <f>IFERROR(VLOOKUP(I140,'Chart of accounts'!A:H,2,FALSE),"")</f>
        <v>50204010 00</v>
      </c>
      <c r="K140" s="338" t="str">
        <f>IFERROR(VLOOKUP(I140,'Chart of accounts'!A:H,3,FALSE),"")</f>
        <v>Water Expenses</v>
      </c>
      <c r="L140" s="338" t="str">
        <f>IFERROR(VLOOKUP(I140,'Chart of accounts'!A:H,4,FALSE),"")</f>
        <v>50204010 00 - Water Expenses (766)</v>
      </c>
      <c r="M140" s="361" t="s">
        <v>2</v>
      </c>
      <c r="N140" s="355" t="s">
        <v>839</v>
      </c>
      <c r="O140" s="355" t="s">
        <v>840</v>
      </c>
      <c r="P140" s="355"/>
      <c r="Q140" s="363">
        <v>10895.41</v>
      </c>
      <c r="R140" s="319">
        <f t="shared" si="1"/>
        <v>-10895.41</v>
      </c>
      <c r="S140" s="319" t="str">
        <f>VLOOKUP(H140,'Fund Utilization Report'!$A$4:$U$1800,13,FALSE)</f>
        <v>MOOE</v>
      </c>
      <c r="T140" s="319" t="str">
        <f>VLOOKUP(H140,'Fund Utilization Report'!$A$4:$U$1800,2,FALSE)</f>
        <v>GAA</v>
      </c>
      <c r="U140" s="319" t="str">
        <f>VLOOKUP(H140,'Fund Utilization Report'!$A$4:$U$1800,3,FALSE)</f>
        <v>FY2021, RA11518</v>
      </c>
      <c r="V140" s="319" t="str">
        <f>VLOOKUP(H140,'Fund Utilization Report'!$A$4:$U$1800,4,FALSE)</f>
        <v>GAS(GMS)</v>
      </c>
      <c r="W140" s="319" t="str">
        <f>VLOOKUP(H140,'Fund Utilization Report'!$A$4:$U$1800,5,FALSE)</f>
        <v>01101101</v>
      </c>
      <c r="X140" s="319" t="str">
        <f>VLOOKUP(H140,'Fund Utilization Report'!$A$4:$U$1800,6,FALSE)</f>
        <v>GOP</v>
      </c>
      <c r="Y140" s="320" t="str">
        <f>VLOOKUP(H140,'Fund Utilization Report'!$A$4:$U$1800,7,FALSE)</f>
        <v>MOOE</v>
      </c>
      <c r="Z140" s="321">
        <f>VLOOKUP(H140,'Fund Utilization Report'!$A$4:$U$1800,8,FALSE)</f>
        <v>5020000000</v>
      </c>
      <c r="AA140" s="319" t="str">
        <f>VLOOKUP(H140,'Fund Utilization Report'!$A$4:$U$1800,14,FALSE)</f>
        <v>100000100001000</v>
      </c>
      <c r="AB140" s="349" t="str">
        <f>VLOOKUP(H140,'Fund Utilization Report'!$A$4:$U$1800,15,FALSE)</f>
        <v>General Administration and Supervision - General Management and Supervision</v>
      </c>
      <c r="AC140" s="39" t="s">
        <v>0</v>
      </c>
      <c r="AD140" s="34">
        <v>2</v>
      </c>
      <c r="AE140" s="39">
        <v>766</v>
      </c>
      <c r="AF140" s="51" t="str">
        <f>VLOOKUP(AE140,'[2]Chart of accounts'!A:H,2,FALSE)</f>
        <v>50204010 00</v>
      </c>
      <c r="AG140" s="40" t="s">
        <v>4</v>
      </c>
      <c r="AH140" s="40" t="s">
        <v>4</v>
      </c>
    </row>
    <row r="141" spans="1:34" s="32" customFormat="1" ht="27.6">
      <c r="A141" s="338" t="s">
        <v>942</v>
      </c>
      <c r="B141" s="338" t="s">
        <v>943</v>
      </c>
      <c r="C141" s="358">
        <v>44223</v>
      </c>
      <c r="D141" s="351" t="s">
        <v>759</v>
      </c>
      <c r="E141" s="352" t="s">
        <v>841</v>
      </c>
      <c r="F141" s="338">
        <v>0.4916666666666667</v>
      </c>
      <c r="G141" s="338">
        <v>0.49444444444444446</v>
      </c>
      <c r="H141" s="338" t="s">
        <v>961</v>
      </c>
      <c r="I141" s="353">
        <v>795</v>
      </c>
      <c r="J141" s="338" t="str">
        <f>IFERROR(VLOOKUP(I141,'Chart of accounts'!A:H,2,FALSE),"")</f>
        <v>50212990 00</v>
      </c>
      <c r="K141" s="338" t="str">
        <f>IFERROR(VLOOKUP(I141,'Chart of accounts'!A:H,3,FALSE),"")</f>
        <v>Other General Services</v>
      </c>
      <c r="L141" s="338" t="str">
        <f>IFERROR(VLOOKUP(I141,'Chart of accounts'!A:H,4,FALSE),"")</f>
        <v>50212990 00 - Other General Services (795)</v>
      </c>
      <c r="M141" s="361" t="s">
        <v>816</v>
      </c>
      <c r="N141" s="355" t="s">
        <v>843</v>
      </c>
      <c r="O141" s="355" t="s">
        <v>855</v>
      </c>
      <c r="P141" s="355"/>
      <c r="Q141" s="428">
        <v>2480</v>
      </c>
      <c r="R141" s="319">
        <f t="shared" si="1"/>
        <v>-2480</v>
      </c>
      <c r="S141" s="319" t="str">
        <f>VLOOKUP(H141,'Fund Utilization Report'!$A$4:$U$1800,13,FALSE)</f>
        <v>MOOE</v>
      </c>
      <c r="T141" s="319" t="str">
        <f>VLOOKUP(H141,'Fund Utilization Report'!$A$4:$U$1800,2,FALSE)</f>
        <v>GAA</v>
      </c>
      <c r="U141" s="319" t="str">
        <f>VLOOKUP(H141,'Fund Utilization Report'!$A$4:$U$1800,3,FALSE)</f>
        <v>FY2021, RA11518</v>
      </c>
      <c r="V141" s="319" t="str">
        <f>VLOOKUP(H141,'Fund Utilization Report'!$A$4:$U$1800,4,FALSE)</f>
        <v>GAS(GMS)</v>
      </c>
      <c r="W141" s="319" t="str">
        <f>VLOOKUP(H141,'Fund Utilization Report'!$A$4:$U$1800,5,FALSE)</f>
        <v>01101101</v>
      </c>
      <c r="X141" s="319" t="str">
        <f>VLOOKUP(H141,'Fund Utilization Report'!$A$4:$U$1800,6,FALSE)</f>
        <v>GOP</v>
      </c>
      <c r="Y141" s="320" t="str">
        <f>VLOOKUP(H141,'Fund Utilization Report'!$A$4:$U$1800,7,FALSE)</f>
        <v>MOOE</v>
      </c>
      <c r="Z141" s="321">
        <f>VLOOKUP(H141,'Fund Utilization Report'!$A$4:$U$1800,8,FALSE)</f>
        <v>5020000000</v>
      </c>
      <c r="AA141" s="319" t="str">
        <f>VLOOKUP(H141,'Fund Utilization Report'!$A$4:$U$1800,14,FALSE)</f>
        <v>100000100001000</v>
      </c>
      <c r="AB141" s="349" t="str">
        <f>VLOOKUP(H141,'Fund Utilization Report'!$A$4:$U$1800,15,FALSE)</f>
        <v>General Administration and Supervision - General Management and Supervision</v>
      </c>
      <c r="AC141" s="39" t="s">
        <v>0</v>
      </c>
      <c r="AD141" s="34">
        <v>2</v>
      </c>
      <c r="AE141" s="39">
        <v>795</v>
      </c>
      <c r="AF141" s="51" t="str">
        <f>VLOOKUP(AE141,'[2]Chart of accounts'!A:H,2,FALSE)</f>
        <v>50212990 00</v>
      </c>
      <c r="AG141" s="40" t="s">
        <v>3</v>
      </c>
      <c r="AH141" s="40" t="s">
        <v>3</v>
      </c>
    </row>
    <row r="142" spans="1:34" s="32" customFormat="1" ht="27.6">
      <c r="A142" s="338" t="s">
        <v>942</v>
      </c>
      <c r="B142" s="338" t="s">
        <v>943</v>
      </c>
      <c r="C142" s="358">
        <v>44223</v>
      </c>
      <c r="D142" s="351" t="s">
        <v>759</v>
      </c>
      <c r="E142" s="352" t="s">
        <v>841</v>
      </c>
      <c r="F142" s="338">
        <v>0.4916666666666667</v>
      </c>
      <c r="G142" s="338">
        <v>0.49444444444444446</v>
      </c>
      <c r="H142" s="338" t="s">
        <v>961</v>
      </c>
      <c r="I142" s="353">
        <v>796</v>
      </c>
      <c r="J142" s="338" t="str">
        <f>IFERROR(VLOOKUP(I142,'Chart of accounts'!A:H,2,FALSE),"")</f>
        <v>50212020 00</v>
      </c>
      <c r="K142" s="338" t="str">
        <f>IFERROR(VLOOKUP(I142,'Chart of accounts'!A:H,3,FALSE),"")</f>
        <v>Janitorial Services</v>
      </c>
      <c r="L142" s="338" t="str">
        <f>IFERROR(VLOOKUP(I142,'Chart of accounts'!A:H,4,FALSE),"")</f>
        <v>50212020 00 - Janitorial Services (796)</v>
      </c>
      <c r="M142" s="361" t="s">
        <v>816</v>
      </c>
      <c r="N142" s="355" t="s">
        <v>843</v>
      </c>
      <c r="O142" s="355" t="s">
        <v>855</v>
      </c>
      <c r="P142" s="355"/>
      <c r="Q142" s="428">
        <f>3600+4000</f>
        <v>7600</v>
      </c>
      <c r="R142" s="319">
        <f t="shared" si="1"/>
        <v>-7600</v>
      </c>
      <c r="S142" s="319" t="str">
        <f>VLOOKUP(H142,'Fund Utilization Report'!$A$4:$U$1800,13,FALSE)</f>
        <v>MOOE</v>
      </c>
      <c r="T142" s="319" t="str">
        <f>VLOOKUP(H142,'Fund Utilization Report'!$A$4:$U$1800,2,FALSE)</f>
        <v>GAA</v>
      </c>
      <c r="U142" s="319" t="str">
        <f>VLOOKUP(H142,'Fund Utilization Report'!$A$4:$U$1800,3,FALSE)</f>
        <v>FY2021, RA11518</v>
      </c>
      <c r="V142" s="319" t="str">
        <f>VLOOKUP(H142,'Fund Utilization Report'!$A$4:$U$1800,4,FALSE)</f>
        <v>GAS(GMS)</v>
      </c>
      <c r="W142" s="319" t="str">
        <f>VLOOKUP(H142,'Fund Utilization Report'!$A$4:$U$1800,5,FALSE)</f>
        <v>01101101</v>
      </c>
      <c r="X142" s="319" t="str">
        <f>VLOOKUP(H142,'Fund Utilization Report'!$A$4:$U$1800,6,FALSE)</f>
        <v>GOP</v>
      </c>
      <c r="Y142" s="320" t="str">
        <f>VLOOKUP(H142,'Fund Utilization Report'!$A$4:$U$1800,7,FALSE)</f>
        <v>MOOE</v>
      </c>
      <c r="Z142" s="321">
        <f>VLOOKUP(H142,'Fund Utilization Report'!$A$4:$U$1800,8,FALSE)</f>
        <v>5020000000</v>
      </c>
      <c r="AA142" s="319" t="str">
        <f>VLOOKUP(H142,'Fund Utilization Report'!$A$4:$U$1800,14,FALSE)</f>
        <v>100000100001000</v>
      </c>
      <c r="AB142" s="349" t="str">
        <f>VLOOKUP(H142,'Fund Utilization Report'!$A$4:$U$1800,15,FALSE)</f>
        <v>General Administration and Supervision - General Management and Supervision</v>
      </c>
      <c r="AC142" s="39" t="s">
        <v>0</v>
      </c>
      <c r="AD142" s="34">
        <v>2</v>
      </c>
      <c r="AE142" s="39">
        <v>796</v>
      </c>
      <c r="AF142" s="51" t="str">
        <f>VLOOKUP(AE142,'[2]Chart of accounts'!A:H,2,FALSE)</f>
        <v>50212020 00</v>
      </c>
      <c r="AG142" s="40" t="s">
        <v>3</v>
      </c>
      <c r="AH142" s="40" t="s">
        <v>3</v>
      </c>
    </row>
    <row r="143" spans="1:34" s="32" customFormat="1" ht="27.6">
      <c r="A143" s="338" t="s">
        <v>942</v>
      </c>
      <c r="B143" s="338" t="s">
        <v>943</v>
      </c>
      <c r="C143" s="358">
        <v>44223</v>
      </c>
      <c r="D143" s="351" t="s">
        <v>759</v>
      </c>
      <c r="E143" s="352" t="s">
        <v>841</v>
      </c>
      <c r="F143" s="338">
        <v>0.4916666666666667</v>
      </c>
      <c r="G143" s="338">
        <v>0.49444444444444446</v>
      </c>
      <c r="H143" s="338" t="s">
        <v>961</v>
      </c>
      <c r="I143" s="353">
        <v>799</v>
      </c>
      <c r="J143" s="338" t="str">
        <f>IFERROR(VLOOKUP(I143,'Chart of accounts'!A:H,2,FALSE),"")</f>
        <v>50211990 00</v>
      </c>
      <c r="K143" s="338" t="str">
        <f>IFERROR(VLOOKUP(I143,'Chart of accounts'!A:H,3,FALSE),"")</f>
        <v>Other Professional Services</v>
      </c>
      <c r="L143" s="338" t="str">
        <f>IFERROR(VLOOKUP(I143,'Chart of accounts'!A:H,4,FALSE),"")</f>
        <v>50211990 00 - Other Professional Services (799)</v>
      </c>
      <c r="M143" s="361" t="s">
        <v>816</v>
      </c>
      <c r="N143" s="355" t="s">
        <v>843</v>
      </c>
      <c r="O143" s="355" t="s">
        <v>855</v>
      </c>
      <c r="P143" s="355"/>
      <c r="Q143" s="428">
        <v>4000</v>
      </c>
      <c r="R143" s="319">
        <f t="shared" si="1"/>
        <v>-4000</v>
      </c>
      <c r="S143" s="319" t="str">
        <f>VLOOKUP(H143,'Fund Utilization Report'!$A$4:$U$1800,13,FALSE)</f>
        <v>MOOE</v>
      </c>
      <c r="T143" s="319" t="str">
        <f>VLOOKUP(H143,'Fund Utilization Report'!$A$4:$U$1800,2,FALSE)</f>
        <v>GAA</v>
      </c>
      <c r="U143" s="319" t="str">
        <f>VLOOKUP(H143,'Fund Utilization Report'!$A$4:$U$1800,3,FALSE)</f>
        <v>FY2021, RA11518</v>
      </c>
      <c r="V143" s="319" t="str">
        <f>VLOOKUP(H143,'Fund Utilization Report'!$A$4:$U$1800,4,FALSE)</f>
        <v>GAS(GMS)</v>
      </c>
      <c r="W143" s="319" t="str">
        <f>VLOOKUP(H143,'Fund Utilization Report'!$A$4:$U$1800,5,FALSE)</f>
        <v>01101101</v>
      </c>
      <c r="X143" s="319" t="str">
        <f>VLOOKUP(H143,'Fund Utilization Report'!$A$4:$U$1800,6,FALSE)</f>
        <v>GOP</v>
      </c>
      <c r="Y143" s="320" t="str">
        <f>VLOOKUP(H143,'Fund Utilization Report'!$A$4:$U$1800,7,FALSE)</f>
        <v>MOOE</v>
      </c>
      <c r="Z143" s="321">
        <f>VLOOKUP(H143,'Fund Utilization Report'!$A$4:$U$1800,8,FALSE)</f>
        <v>5020000000</v>
      </c>
      <c r="AA143" s="319" t="str">
        <f>VLOOKUP(H143,'Fund Utilization Report'!$A$4:$U$1800,14,FALSE)</f>
        <v>100000100001000</v>
      </c>
      <c r="AB143" s="349" t="str">
        <f>VLOOKUP(H143,'Fund Utilization Report'!$A$4:$U$1800,15,FALSE)</f>
        <v>General Administration and Supervision - General Management and Supervision</v>
      </c>
      <c r="AC143" s="39" t="s">
        <v>0</v>
      </c>
      <c r="AD143" s="34">
        <v>2</v>
      </c>
      <c r="AE143" s="39">
        <v>799</v>
      </c>
      <c r="AF143" s="51" t="str">
        <f>VLOOKUP(AE143,'[2]Chart of accounts'!A:H,2,FALSE)</f>
        <v>50211990 00</v>
      </c>
      <c r="AG143" s="40" t="s">
        <v>844</v>
      </c>
      <c r="AH143" s="40" t="s">
        <v>844</v>
      </c>
    </row>
    <row r="144" spans="1:34" s="32" customFormat="1" ht="41.4">
      <c r="A144" s="338" t="s">
        <v>942</v>
      </c>
      <c r="B144" s="338" t="s">
        <v>943</v>
      </c>
      <c r="C144" s="358">
        <v>44223</v>
      </c>
      <c r="D144" s="351" t="s">
        <v>759</v>
      </c>
      <c r="E144" s="352" t="s">
        <v>846</v>
      </c>
      <c r="F144" s="338">
        <v>0.49513888888888885</v>
      </c>
      <c r="G144" s="338">
        <v>0.49583333333333335</v>
      </c>
      <c r="H144" s="338" t="s">
        <v>961</v>
      </c>
      <c r="I144" s="353">
        <v>969</v>
      </c>
      <c r="J144" s="338" t="str">
        <f>IFERROR(VLOOKUP(I144,'Chart of accounts'!A:H,2,FALSE),"")</f>
        <v>50299990 99</v>
      </c>
      <c r="K144" s="338" t="str">
        <f>IFERROR(VLOOKUP(I144,'Chart of accounts'!A:H,3,FALSE),"")</f>
        <v>Other Maintenance and Operating Expenses</v>
      </c>
      <c r="L144" s="338" t="str">
        <f>IFERROR(VLOOKUP(I144,'Chart of accounts'!A:H,4,FALSE),"")</f>
        <v>50299990 99 - Other Maintenance and Operating Expenses (969)</v>
      </c>
      <c r="M144" s="361" t="s">
        <v>2</v>
      </c>
      <c r="N144" s="355" t="s">
        <v>847</v>
      </c>
      <c r="O144" s="355" t="s">
        <v>848</v>
      </c>
      <c r="P144" s="355"/>
      <c r="Q144" s="363">
        <v>1880</v>
      </c>
      <c r="R144" s="319">
        <f t="shared" si="1"/>
        <v>-1880</v>
      </c>
      <c r="S144" s="319" t="str">
        <f>VLOOKUP(H144,'Fund Utilization Report'!$A$4:$U$1800,13,FALSE)</f>
        <v>MOOE</v>
      </c>
      <c r="T144" s="319" t="str">
        <f>VLOOKUP(H144,'Fund Utilization Report'!$A$4:$U$1800,2,FALSE)</f>
        <v>GAA</v>
      </c>
      <c r="U144" s="319" t="str">
        <f>VLOOKUP(H144,'Fund Utilization Report'!$A$4:$U$1800,3,FALSE)</f>
        <v>FY2021, RA11518</v>
      </c>
      <c r="V144" s="319" t="str">
        <f>VLOOKUP(H144,'Fund Utilization Report'!$A$4:$U$1800,4,FALSE)</f>
        <v>GAS(GMS)</v>
      </c>
      <c r="W144" s="319" t="str">
        <f>VLOOKUP(H144,'Fund Utilization Report'!$A$4:$U$1800,5,FALSE)</f>
        <v>01101101</v>
      </c>
      <c r="X144" s="319" t="str">
        <f>VLOOKUP(H144,'Fund Utilization Report'!$A$4:$U$1800,6,FALSE)</f>
        <v>GOP</v>
      </c>
      <c r="Y144" s="320" t="str">
        <f>VLOOKUP(H144,'Fund Utilization Report'!$A$4:$U$1800,7,FALSE)</f>
        <v>MOOE</v>
      </c>
      <c r="Z144" s="321">
        <f>VLOOKUP(H144,'Fund Utilization Report'!$A$4:$U$1800,8,FALSE)</f>
        <v>5020000000</v>
      </c>
      <c r="AA144" s="319" t="str">
        <f>VLOOKUP(H144,'Fund Utilization Report'!$A$4:$U$1800,14,FALSE)</f>
        <v>100000100001000</v>
      </c>
      <c r="AB144" s="349" t="str">
        <f>VLOOKUP(H144,'Fund Utilization Report'!$A$4:$U$1800,15,FALSE)</f>
        <v>General Administration and Supervision - General Management and Supervision</v>
      </c>
      <c r="AC144" s="39" t="s">
        <v>0</v>
      </c>
      <c r="AD144" s="34">
        <v>2</v>
      </c>
      <c r="AE144" s="39">
        <v>969</v>
      </c>
      <c r="AF144" s="51" t="str">
        <f>VLOOKUP(AE144,'[2]Chart of accounts'!A:H,2,FALSE)</f>
        <v>50299990 99</v>
      </c>
      <c r="AG144" s="40" t="s">
        <v>3</v>
      </c>
      <c r="AH144" s="40" t="s">
        <v>3</v>
      </c>
    </row>
    <row r="145" spans="1:34" s="411" customFormat="1" ht="27.6">
      <c r="A145" s="405" t="s">
        <v>942</v>
      </c>
      <c r="B145" s="405" t="s">
        <v>943</v>
      </c>
      <c r="C145" s="402">
        <v>44224</v>
      </c>
      <c r="D145" s="403" t="s">
        <v>759</v>
      </c>
      <c r="E145" s="404" t="s">
        <v>851</v>
      </c>
      <c r="F145" s="405">
        <v>0.42222222222222222</v>
      </c>
      <c r="G145" s="405">
        <v>0.42222222222222222</v>
      </c>
      <c r="H145" s="405" t="s">
        <v>961</v>
      </c>
      <c r="I145" s="416">
        <v>782</v>
      </c>
      <c r="J145" s="405" t="str">
        <f>IFERROR(VLOOKUP(I145,'Chart of accounts'!A:H,2,FALSE),"")</f>
        <v>50299050 01</v>
      </c>
      <c r="K145" s="405" t="str">
        <f>IFERROR(VLOOKUP(I145,'Chart of accounts'!A:H,3,FALSE),"")</f>
        <v>Rent - Buildings and Structures</v>
      </c>
      <c r="L145" s="405" t="str">
        <f>IFERROR(VLOOKUP(I145,'Chart of accounts'!A:H,4,FALSE),"")</f>
        <v>50299050 01 - Rent - Buildings and Structures (782)</v>
      </c>
      <c r="M145" s="408" t="s">
        <v>2</v>
      </c>
      <c r="N145" s="409" t="s">
        <v>852</v>
      </c>
      <c r="O145" s="409" t="s">
        <v>853</v>
      </c>
      <c r="P145" s="409"/>
      <c r="Q145" s="65"/>
      <c r="R145" s="319">
        <f t="shared" si="1"/>
        <v>0</v>
      </c>
      <c r="S145" s="63" t="str">
        <f>VLOOKUP(H145,'Fund Utilization Report'!$A$4:$U$1800,13,FALSE)</f>
        <v>MOOE</v>
      </c>
      <c r="T145" s="63" t="str">
        <f>VLOOKUP(H145,'Fund Utilization Report'!$A$4:$U$1800,2,FALSE)</f>
        <v>GAA</v>
      </c>
      <c r="U145" s="63" t="str">
        <f>VLOOKUP(H145,'Fund Utilization Report'!$A$4:$U$1800,3,FALSE)</f>
        <v>FY2021, RA11518</v>
      </c>
      <c r="V145" s="63" t="str">
        <f>VLOOKUP(H145,'Fund Utilization Report'!$A$4:$U$1800,4,FALSE)</f>
        <v>GAS(GMS)</v>
      </c>
      <c r="W145" s="63" t="str">
        <f>VLOOKUP(H145,'Fund Utilization Report'!$A$4:$U$1800,5,FALSE)</f>
        <v>01101101</v>
      </c>
      <c r="X145" s="63" t="str">
        <f>VLOOKUP(H145,'Fund Utilization Report'!$A$4:$U$1800,6,FALSE)</f>
        <v>GOP</v>
      </c>
      <c r="Y145" s="417" t="str">
        <f>VLOOKUP(H145,'Fund Utilization Report'!$A$4:$U$1800,7,FALSE)</f>
        <v>MOOE</v>
      </c>
      <c r="Z145" s="418">
        <f>VLOOKUP(H145,'Fund Utilization Report'!$A$4:$U$1800,8,FALSE)</f>
        <v>5020000000</v>
      </c>
      <c r="AA145" s="63" t="str">
        <f>VLOOKUP(H145,'Fund Utilization Report'!$A$4:$U$1800,14,FALSE)</f>
        <v>100000100001000</v>
      </c>
      <c r="AB145" s="419" t="str">
        <f>VLOOKUP(H145,'Fund Utilization Report'!$A$4:$U$1800,15,FALSE)</f>
        <v>General Administration and Supervision - General Management and Supervision</v>
      </c>
      <c r="AC145" s="406" t="s">
        <v>0</v>
      </c>
      <c r="AD145" s="403">
        <v>2</v>
      </c>
      <c r="AE145" s="406">
        <v>782</v>
      </c>
      <c r="AF145" s="406" t="str">
        <f>VLOOKUP(AE145,'[2]Chart of accounts'!A:H,2,FALSE)</f>
        <v>50299050 01</v>
      </c>
      <c r="AG145" s="407" t="s">
        <v>3</v>
      </c>
      <c r="AH145" s="407" t="s">
        <v>3</v>
      </c>
    </row>
    <row r="146" spans="1:34" s="32" customFormat="1" ht="27.6">
      <c r="A146" s="338" t="s">
        <v>942</v>
      </c>
      <c r="B146" s="338" t="s">
        <v>943</v>
      </c>
      <c r="C146" s="358">
        <v>44224</v>
      </c>
      <c r="D146" s="351" t="s">
        <v>759</v>
      </c>
      <c r="E146" s="352" t="s">
        <v>854</v>
      </c>
      <c r="F146" s="338">
        <v>0.44166666666666665</v>
      </c>
      <c r="G146" s="338">
        <v>0.4465277777777778</v>
      </c>
      <c r="H146" s="338" t="s">
        <v>961</v>
      </c>
      <c r="I146" s="353">
        <v>792</v>
      </c>
      <c r="J146" s="338" t="str">
        <f>IFERROR(VLOOKUP(I146,'Chart of accounts'!A:H,2,FALSE),"")</f>
        <v>50211020 00</v>
      </c>
      <c r="K146" s="338" t="str">
        <f>IFERROR(VLOOKUP(I146,'Chart of accounts'!A:H,3,FALSE),"")</f>
        <v>Auditing Services</v>
      </c>
      <c r="L146" s="338" t="str">
        <f>IFERROR(VLOOKUP(I146,'Chart of accounts'!A:H,4,FALSE),"")</f>
        <v>50211020 00 - Auditing Services (792)</v>
      </c>
      <c r="M146" s="361" t="s">
        <v>1404</v>
      </c>
      <c r="N146" s="355" t="s">
        <v>843</v>
      </c>
      <c r="O146" s="355" t="s">
        <v>855</v>
      </c>
      <c r="P146" s="355"/>
      <c r="Q146" s="428">
        <v>5534</v>
      </c>
      <c r="R146" s="319">
        <f t="shared" si="1"/>
        <v>-5534</v>
      </c>
      <c r="S146" s="319" t="str">
        <f>VLOOKUP(H146,'Fund Utilization Report'!$A$4:$U$1800,13,FALSE)</f>
        <v>MOOE</v>
      </c>
      <c r="T146" s="319" t="str">
        <f>VLOOKUP(H146,'Fund Utilization Report'!$A$4:$U$1800,2,FALSE)</f>
        <v>GAA</v>
      </c>
      <c r="U146" s="319" t="str">
        <f>VLOOKUP(H146,'Fund Utilization Report'!$A$4:$U$1800,3,FALSE)</f>
        <v>FY2021, RA11518</v>
      </c>
      <c r="V146" s="319" t="str">
        <f>VLOOKUP(H146,'Fund Utilization Report'!$A$4:$U$1800,4,FALSE)</f>
        <v>GAS(GMS)</v>
      </c>
      <c r="W146" s="319" t="str">
        <f>VLOOKUP(H146,'Fund Utilization Report'!$A$4:$U$1800,5,FALSE)</f>
        <v>01101101</v>
      </c>
      <c r="X146" s="319" t="str">
        <f>VLOOKUP(H146,'Fund Utilization Report'!$A$4:$U$1800,6,FALSE)</f>
        <v>GOP</v>
      </c>
      <c r="Y146" s="320" t="str">
        <f>VLOOKUP(H146,'Fund Utilization Report'!$A$4:$U$1800,7,FALSE)</f>
        <v>MOOE</v>
      </c>
      <c r="Z146" s="321">
        <f>VLOOKUP(H146,'Fund Utilization Report'!$A$4:$U$1800,8,FALSE)</f>
        <v>5020000000</v>
      </c>
      <c r="AA146" s="319" t="str">
        <f>VLOOKUP(H146,'Fund Utilization Report'!$A$4:$U$1800,14,FALSE)</f>
        <v>100000100001000</v>
      </c>
      <c r="AB146" s="349" t="str">
        <f>VLOOKUP(H146,'Fund Utilization Report'!$A$4:$U$1800,15,FALSE)</f>
        <v>General Administration and Supervision - General Management and Supervision</v>
      </c>
      <c r="AC146" s="39" t="s">
        <v>0</v>
      </c>
      <c r="AD146" s="34">
        <v>2</v>
      </c>
      <c r="AE146" s="39">
        <v>792</v>
      </c>
      <c r="AF146" s="51" t="str">
        <f>VLOOKUP(AE146,'[2]Chart of accounts'!A:H,2,FALSE)</f>
        <v>50211020 00</v>
      </c>
      <c r="AG146" s="40" t="s">
        <v>3</v>
      </c>
      <c r="AH146" s="40" t="s">
        <v>3</v>
      </c>
    </row>
    <row r="147" spans="1:34" s="32" customFormat="1" ht="27.6">
      <c r="A147" s="338" t="s">
        <v>942</v>
      </c>
      <c r="B147" s="338" t="s">
        <v>943</v>
      </c>
      <c r="C147" s="358">
        <v>44224</v>
      </c>
      <c r="D147" s="351" t="s">
        <v>759</v>
      </c>
      <c r="E147" s="352" t="s">
        <v>854</v>
      </c>
      <c r="F147" s="338">
        <v>0.44166666666666665</v>
      </c>
      <c r="G147" s="338">
        <v>0.4465277777777778</v>
      </c>
      <c r="H147" s="338" t="s">
        <v>961</v>
      </c>
      <c r="I147" s="353">
        <v>795</v>
      </c>
      <c r="J147" s="338" t="str">
        <f>IFERROR(VLOOKUP(I147,'Chart of accounts'!A:H,2,FALSE),"")</f>
        <v>50212990 00</v>
      </c>
      <c r="K147" s="338" t="str">
        <f>IFERROR(VLOOKUP(I147,'Chart of accounts'!A:H,3,FALSE),"")</f>
        <v>Other General Services</v>
      </c>
      <c r="L147" s="338" t="str">
        <f>IFERROR(VLOOKUP(I147,'Chart of accounts'!A:H,4,FALSE),"")</f>
        <v>50212990 00 - Other General Services (795)</v>
      </c>
      <c r="M147" s="361" t="s">
        <v>816</v>
      </c>
      <c r="N147" s="355" t="s">
        <v>843</v>
      </c>
      <c r="O147" s="355" t="s">
        <v>855</v>
      </c>
      <c r="P147" s="355"/>
      <c r="Q147" s="428">
        <v>4527.82</v>
      </c>
      <c r="R147" s="319">
        <f t="shared" si="1"/>
        <v>-4527.82</v>
      </c>
      <c r="S147" s="319" t="str">
        <f>VLOOKUP(H147,'Fund Utilization Report'!$A$4:$U$1800,13,FALSE)</f>
        <v>MOOE</v>
      </c>
      <c r="T147" s="319" t="str">
        <f>VLOOKUP(H147,'Fund Utilization Report'!$A$4:$U$1800,2,FALSE)</f>
        <v>GAA</v>
      </c>
      <c r="U147" s="319" t="str">
        <f>VLOOKUP(H147,'Fund Utilization Report'!$A$4:$U$1800,3,FALSE)</f>
        <v>FY2021, RA11518</v>
      </c>
      <c r="V147" s="319" t="str">
        <f>VLOOKUP(H147,'Fund Utilization Report'!$A$4:$U$1800,4,FALSE)</f>
        <v>GAS(GMS)</v>
      </c>
      <c r="W147" s="319" t="str">
        <f>VLOOKUP(H147,'Fund Utilization Report'!$A$4:$U$1800,5,FALSE)</f>
        <v>01101101</v>
      </c>
      <c r="X147" s="319" t="str">
        <f>VLOOKUP(H147,'Fund Utilization Report'!$A$4:$U$1800,6,FALSE)</f>
        <v>GOP</v>
      </c>
      <c r="Y147" s="320" t="str">
        <f>VLOOKUP(H147,'Fund Utilization Report'!$A$4:$U$1800,7,FALSE)</f>
        <v>MOOE</v>
      </c>
      <c r="Z147" s="321">
        <f>VLOOKUP(H147,'Fund Utilization Report'!$A$4:$U$1800,8,FALSE)</f>
        <v>5020000000</v>
      </c>
      <c r="AA147" s="319" t="str">
        <f>VLOOKUP(H147,'Fund Utilization Report'!$A$4:$U$1800,14,FALSE)</f>
        <v>100000100001000</v>
      </c>
      <c r="AB147" s="349" t="str">
        <f>VLOOKUP(H147,'Fund Utilization Report'!$A$4:$U$1800,15,FALSE)</f>
        <v>General Administration and Supervision - General Management and Supervision</v>
      </c>
      <c r="AC147" s="39" t="s">
        <v>0</v>
      </c>
      <c r="AD147" s="34">
        <v>2</v>
      </c>
      <c r="AE147" s="39">
        <v>795</v>
      </c>
      <c r="AF147" s="51" t="str">
        <f>VLOOKUP(AE147,'[2]Chart of accounts'!A:H,2,FALSE)</f>
        <v>50212990 00</v>
      </c>
      <c r="AG147" s="40" t="s">
        <v>3</v>
      </c>
      <c r="AH147" s="40" t="s">
        <v>3</v>
      </c>
    </row>
    <row r="148" spans="1:34" s="32" customFormat="1" ht="27.6">
      <c r="A148" s="338" t="s">
        <v>942</v>
      </c>
      <c r="B148" s="338" t="s">
        <v>943</v>
      </c>
      <c r="C148" s="358">
        <v>44224</v>
      </c>
      <c r="D148" s="351" t="s">
        <v>759</v>
      </c>
      <c r="E148" s="352" t="s">
        <v>854</v>
      </c>
      <c r="F148" s="338">
        <v>0.44166666666666665</v>
      </c>
      <c r="G148" s="338">
        <v>0.4465277777777778</v>
      </c>
      <c r="H148" s="338" t="s">
        <v>983</v>
      </c>
      <c r="I148" s="353">
        <v>799</v>
      </c>
      <c r="J148" s="338" t="str">
        <f>IFERROR(VLOOKUP(I148,'Chart of accounts'!A:H,2,FALSE),"")</f>
        <v>50211990 00</v>
      </c>
      <c r="K148" s="338" t="str">
        <f>IFERROR(VLOOKUP(I148,'Chart of accounts'!A:H,3,FALSE),"")</f>
        <v>Other Professional Services</v>
      </c>
      <c r="L148" s="338" t="str">
        <f>IFERROR(VLOOKUP(I148,'Chart of accounts'!A:H,4,FALSE),"")</f>
        <v>50211990 00 - Other Professional Services (799)</v>
      </c>
      <c r="M148" s="361" t="s">
        <v>5</v>
      </c>
      <c r="N148" s="355" t="s">
        <v>843</v>
      </c>
      <c r="O148" s="355" t="s">
        <v>855</v>
      </c>
      <c r="P148" s="355"/>
      <c r="Q148" s="428">
        <v>10000</v>
      </c>
      <c r="R148" s="319">
        <f t="shared" si="1"/>
        <v>-10000</v>
      </c>
      <c r="S148" s="319" t="str">
        <f>VLOOKUP(H148,'Fund Utilization Report'!$A$4:$U$1800,13,FALSE)</f>
        <v>MOOE</v>
      </c>
      <c r="T148" s="319" t="str">
        <f>VLOOKUP(H148,'Fund Utilization Report'!$A$4:$U$1800,2,FALSE)</f>
        <v>GAA</v>
      </c>
      <c r="U148" s="319" t="str">
        <f>VLOOKUP(H148,'Fund Utilization Report'!$A$4:$U$1800,3,FALSE)</f>
        <v>FY2021, RA11518</v>
      </c>
      <c r="V148" s="319" t="str">
        <f>VLOOKUP(H148,'Fund Utilization Report'!$A$4:$U$1800,4,FALSE)</f>
        <v>SSF</v>
      </c>
      <c r="W148" s="319" t="str">
        <f>VLOOKUP(H148,'Fund Utilization Report'!$A$4:$U$1800,5,FALSE)</f>
        <v>01101101</v>
      </c>
      <c r="X148" s="319" t="str">
        <f>VLOOKUP(H148,'Fund Utilization Report'!$A$4:$U$1800,6,FALSE)</f>
        <v>GOP</v>
      </c>
      <c r="Y148" s="320" t="str">
        <f>VLOOKUP(H148,'Fund Utilization Report'!$A$4:$U$1800,7,FALSE)</f>
        <v>MOOE</v>
      </c>
      <c r="Z148" s="321">
        <f>VLOOKUP(H148,'Fund Utilization Report'!$A$4:$U$1800,8,FALSE)</f>
        <v>5020000000</v>
      </c>
      <c r="AA148" s="319" t="str">
        <f>VLOOKUP(H148,'Fund Utilization Report'!$A$4:$U$1800,14,FALSE)</f>
        <v>330100200003000</v>
      </c>
      <c r="AB148" s="349" t="str">
        <f>VLOOKUP(H148,'Fund Utilization Report'!$A$4:$U$1800,15,FALSE)</f>
        <v>Shared Service Facilities Project</v>
      </c>
      <c r="AC148" s="39" t="s">
        <v>0</v>
      </c>
      <c r="AD148" s="34">
        <v>2</v>
      </c>
      <c r="AE148" s="39">
        <v>799</v>
      </c>
      <c r="AF148" s="51" t="str">
        <f>VLOOKUP(AE148,'[2]Chart of accounts'!A:H,2,FALSE)</f>
        <v>50211990 00</v>
      </c>
      <c r="AG148" s="53" t="s">
        <v>4</v>
      </c>
      <c r="AH148" s="40" t="s">
        <v>5</v>
      </c>
    </row>
    <row r="149" spans="1:34" s="32" customFormat="1" ht="27.6">
      <c r="A149" s="338" t="s">
        <v>942</v>
      </c>
      <c r="B149" s="338" t="s">
        <v>943</v>
      </c>
      <c r="C149" s="358">
        <v>44224</v>
      </c>
      <c r="D149" s="351" t="s">
        <v>759</v>
      </c>
      <c r="E149" s="352" t="s">
        <v>856</v>
      </c>
      <c r="F149" s="338">
        <v>0.4465277777777778</v>
      </c>
      <c r="G149" s="338">
        <v>0.45</v>
      </c>
      <c r="H149" s="338" t="s">
        <v>982</v>
      </c>
      <c r="I149" s="353">
        <v>799</v>
      </c>
      <c r="J149" s="338" t="str">
        <f>IFERROR(VLOOKUP(I149,'Chart of accounts'!A:H,2,FALSE),"")</f>
        <v>50211990 00</v>
      </c>
      <c r="K149" s="338" t="str">
        <f>IFERROR(VLOOKUP(I149,'Chart of accounts'!A:H,3,FALSE),"")</f>
        <v>Other Professional Services</v>
      </c>
      <c r="L149" s="338" t="str">
        <f>IFERROR(VLOOKUP(I149,'Chart of accounts'!A:H,4,FALSE),"")</f>
        <v>50211990 00 - Other Professional Services (799)</v>
      </c>
      <c r="M149" s="361" t="s">
        <v>905</v>
      </c>
      <c r="N149" s="355" t="s">
        <v>843</v>
      </c>
      <c r="O149" s="355" t="s">
        <v>855</v>
      </c>
      <c r="P149" s="355"/>
      <c r="Q149" s="428">
        <v>11158</v>
      </c>
      <c r="R149" s="319">
        <f t="shared" si="1"/>
        <v>-11158</v>
      </c>
      <c r="S149" s="319" t="str">
        <f>VLOOKUP(H149,'Fund Utilization Report'!$A$4:$U$1800,13,FALSE)</f>
        <v>MOOE</v>
      </c>
      <c r="T149" s="319" t="str">
        <f>VLOOKUP(H149,'Fund Utilization Report'!$A$4:$U$1800,2,FALSE)</f>
        <v>GAA</v>
      </c>
      <c r="U149" s="319" t="str">
        <f>VLOOKUP(H149,'Fund Utilization Report'!$A$4:$U$1800,3,FALSE)</f>
        <v>FY2021, RA11518</v>
      </c>
      <c r="V149" s="319" t="str">
        <f>VLOOKUP(H149,'Fund Utilization Report'!$A$4:$U$1800,4,FALSE)</f>
        <v>OTOP</v>
      </c>
      <c r="W149" s="319" t="str">
        <f>VLOOKUP(H149,'Fund Utilization Report'!$A$4:$U$1800,5,FALSE)</f>
        <v>01101101</v>
      </c>
      <c r="X149" s="319" t="str">
        <f>VLOOKUP(H149,'Fund Utilization Report'!$A$4:$U$1800,6,FALSE)</f>
        <v>GOP</v>
      </c>
      <c r="Y149" s="320" t="str">
        <f>VLOOKUP(H149,'Fund Utilization Report'!$A$4:$U$1800,7,FALSE)</f>
        <v>MOOE</v>
      </c>
      <c r="Z149" s="321">
        <f>VLOOKUP(H149,'Fund Utilization Report'!$A$4:$U$1800,8,FALSE)</f>
        <v>5020000000</v>
      </c>
      <c r="AA149" s="319" t="str">
        <f>VLOOKUP(H149,'Fund Utilization Report'!$A$4:$U$1800,14,FALSE)</f>
        <v>330100200002000</v>
      </c>
      <c r="AB149" s="349" t="str">
        <f>VLOOKUP(H149,'Fund Utilization Report'!$A$4:$U$1800,15,FALSE)</f>
        <v>OTOP - Next Generation</v>
      </c>
      <c r="AC149" s="39" t="s">
        <v>0</v>
      </c>
      <c r="AD149" s="34">
        <v>2</v>
      </c>
      <c r="AE149" s="39">
        <v>799</v>
      </c>
      <c r="AF149" s="51" t="str">
        <f>VLOOKUP(AE149,'[2]Chart of accounts'!A:H,2,FALSE)</f>
        <v>50211990 00</v>
      </c>
      <c r="AG149" s="53" t="s">
        <v>4</v>
      </c>
      <c r="AH149" s="40" t="s">
        <v>857</v>
      </c>
    </row>
    <row r="150" spans="1:34" s="32" customFormat="1" ht="27.6">
      <c r="A150" s="338" t="s">
        <v>942</v>
      </c>
      <c r="B150" s="338" t="s">
        <v>943</v>
      </c>
      <c r="C150" s="358">
        <v>44224</v>
      </c>
      <c r="D150" s="351" t="s">
        <v>759</v>
      </c>
      <c r="E150" s="352" t="s">
        <v>856</v>
      </c>
      <c r="F150" s="338">
        <v>0.4465277777777778</v>
      </c>
      <c r="G150" s="338">
        <v>0.45</v>
      </c>
      <c r="H150" s="338" t="s">
        <v>985</v>
      </c>
      <c r="I150" s="353">
        <v>799</v>
      </c>
      <c r="J150" s="338" t="str">
        <f>IFERROR(VLOOKUP(I150,'Chart of accounts'!A:H,2,FALSE),"")</f>
        <v>50211990 00</v>
      </c>
      <c r="K150" s="338" t="str">
        <f>IFERROR(VLOOKUP(I150,'Chart of accounts'!A:H,3,FALSE),"")</f>
        <v>Other Professional Services</v>
      </c>
      <c r="L150" s="338" t="str">
        <f>IFERROR(VLOOKUP(I150,'Chart of accounts'!A:H,4,FALSE),"")</f>
        <v>50211990 00 - Other Professional Services (799)</v>
      </c>
      <c r="M150" s="361" t="s">
        <v>7</v>
      </c>
      <c r="N150" s="355" t="s">
        <v>843</v>
      </c>
      <c r="O150" s="355" t="s">
        <v>855</v>
      </c>
      <c r="P150" s="355"/>
      <c r="Q150" s="428">
        <v>11158</v>
      </c>
      <c r="R150" s="319">
        <f t="shared" si="1"/>
        <v>-11158</v>
      </c>
      <c r="S150" s="319" t="str">
        <f>VLOOKUP(H150,'Fund Utilization Report'!$A$4:$U$1800,13,FALSE)</f>
        <v>MOOE</v>
      </c>
      <c r="T150" s="319" t="str">
        <f>VLOOKUP(H150,'Fund Utilization Report'!$A$4:$U$1800,2,FALSE)</f>
        <v>GAA</v>
      </c>
      <c r="U150" s="319" t="str">
        <f>VLOOKUP(H150,'Fund Utilization Report'!$A$4:$U$1800,3,FALSE)</f>
        <v>FY2021, RA11518</v>
      </c>
      <c r="V150" s="319" t="str">
        <f>VLOOKUP(H150,'Fund Utilization Report'!$A$4:$U$1800,4,FALSE)</f>
        <v>LSP-PBG</v>
      </c>
      <c r="W150" s="319" t="str">
        <f>VLOOKUP(H150,'Fund Utilization Report'!$A$4:$U$1800,5,FALSE)</f>
        <v>01101101</v>
      </c>
      <c r="X150" s="319" t="str">
        <f>VLOOKUP(H150,'Fund Utilization Report'!$A$4:$U$1800,6,FALSE)</f>
        <v>GOP</v>
      </c>
      <c r="Y150" s="320" t="str">
        <f>VLOOKUP(H150,'Fund Utilization Report'!$A$4:$U$1800,7,FALSE)</f>
        <v>MOOE</v>
      </c>
      <c r="Z150" s="321">
        <f>VLOOKUP(H150,'Fund Utilization Report'!$A$4:$U$1800,8,FALSE)</f>
        <v>5020000000</v>
      </c>
      <c r="AA150" s="319" t="str">
        <f>VLOOKUP(H150,'Fund Utilization Report'!$A$4:$U$1800,14,FALSE)</f>
        <v>330100200004000</v>
      </c>
      <c r="AB150" s="349" t="str">
        <f>VLOOKUP(H150,'Fund Utilization Report'!$A$4:$U$1800,15,FALSE)</f>
        <v>MSME Development Program : Livelihood Seeding Program and Pangkabuhayan sa Pagbangon at Ginhawa</v>
      </c>
      <c r="AC150" s="39" t="s">
        <v>0</v>
      </c>
      <c r="AD150" s="34">
        <v>2</v>
      </c>
      <c r="AE150" s="39">
        <v>799</v>
      </c>
      <c r="AF150" s="51" t="str">
        <f>VLOOKUP(AE150,'[2]Chart of accounts'!A:H,2,FALSE)</f>
        <v>50211990 00</v>
      </c>
      <c r="AG150" s="53" t="s">
        <v>4</v>
      </c>
      <c r="AH150" s="40" t="s">
        <v>7</v>
      </c>
    </row>
    <row r="151" spans="1:34" s="32" customFormat="1" ht="27.6">
      <c r="A151" s="338" t="s">
        <v>942</v>
      </c>
      <c r="B151" s="338" t="s">
        <v>943</v>
      </c>
      <c r="C151" s="358">
        <v>44224</v>
      </c>
      <c r="D151" s="351" t="s">
        <v>759</v>
      </c>
      <c r="E151" s="352" t="s">
        <v>856</v>
      </c>
      <c r="F151" s="338">
        <v>0.4465277777777778</v>
      </c>
      <c r="G151" s="338">
        <v>0.45</v>
      </c>
      <c r="H151" s="338" t="s">
        <v>980</v>
      </c>
      <c r="I151" s="353">
        <v>799</v>
      </c>
      <c r="J151" s="338" t="str">
        <f>IFERROR(VLOOKUP(I151,'Chart of accounts'!A:H,2,FALSE),"")</f>
        <v>50211990 00</v>
      </c>
      <c r="K151" s="338" t="str">
        <f>IFERROR(VLOOKUP(I151,'Chart of accounts'!A:H,3,FALSE),"")</f>
        <v>Other Professional Services</v>
      </c>
      <c r="L151" s="338" t="str">
        <f>IFERROR(VLOOKUP(I151,'Chart of accounts'!A:H,4,FALSE),"")</f>
        <v>50211990 00 - Other Professional Services (799)</v>
      </c>
      <c r="M151" s="361" t="s">
        <v>845</v>
      </c>
      <c r="N151" s="355" t="s">
        <v>843</v>
      </c>
      <c r="O151" s="355" t="s">
        <v>855</v>
      </c>
      <c r="P151" s="355"/>
      <c r="Q151" s="428">
        <v>11158</v>
      </c>
      <c r="R151" s="319">
        <f t="shared" si="1"/>
        <v>-11158</v>
      </c>
      <c r="S151" s="319" t="str">
        <f>VLOOKUP(H151,'Fund Utilization Report'!$A$4:$U$1800,13,FALSE)</f>
        <v>MOOE</v>
      </c>
      <c r="T151" s="319" t="str">
        <f>VLOOKUP(H151,'Fund Utilization Report'!$A$4:$U$1800,2,FALSE)</f>
        <v>GAA</v>
      </c>
      <c r="U151" s="319" t="str">
        <f>VLOOKUP(H151,'Fund Utilization Report'!$A$4:$U$1800,3,FALSE)</f>
        <v>FY2021, RA11518</v>
      </c>
      <c r="V151" s="319" t="str">
        <f>VLOOKUP(H151,'Fund Utilization Report'!$A$4:$U$1800,4,FALSE)</f>
        <v>NC</v>
      </c>
      <c r="W151" s="319" t="str">
        <f>VLOOKUP(H151,'Fund Utilization Report'!$A$4:$U$1800,5,FALSE)</f>
        <v>01101101</v>
      </c>
      <c r="X151" s="319" t="str">
        <f>VLOOKUP(H151,'Fund Utilization Report'!$A$4:$U$1800,6,FALSE)</f>
        <v>GOP</v>
      </c>
      <c r="Y151" s="320" t="str">
        <f>VLOOKUP(H151,'Fund Utilization Report'!$A$4:$U$1800,7,FALSE)</f>
        <v>MOOE</v>
      </c>
      <c r="Z151" s="321">
        <f>VLOOKUP(H151,'Fund Utilization Report'!$A$4:$U$1800,8,FALSE)</f>
        <v>5020000000</v>
      </c>
      <c r="AA151" s="319" t="str">
        <f>VLOOKUP(H151,'Fund Utilization Report'!$A$4:$U$1800,14,FALSE)</f>
        <v>330100200001000</v>
      </c>
      <c r="AB151" s="349" t="str">
        <f>VLOOKUP(H151,'Fund Utilization Report'!$A$4:$U$1800,15,FALSE)</f>
        <v>Establishment of Negosyo Centers</v>
      </c>
      <c r="AC151" s="39" t="s">
        <v>0</v>
      </c>
      <c r="AD151" s="34">
        <v>2</v>
      </c>
      <c r="AE151" s="39">
        <v>799</v>
      </c>
      <c r="AF151" s="51" t="str">
        <f>VLOOKUP(AE151,'[2]Chart of accounts'!A:H,2,FALSE)</f>
        <v>50211990 00</v>
      </c>
      <c r="AG151" s="53" t="s">
        <v>4</v>
      </c>
      <c r="AH151" s="40" t="s">
        <v>845</v>
      </c>
    </row>
    <row r="152" spans="1:34" s="411" customFormat="1" ht="27.6">
      <c r="A152" s="405" t="s">
        <v>942</v>
      </c>
      <c r="B152" s="405" t="s">
        <v>943</v>
      </c>
      <c r="C152" s="402">
        <v>44224</v>
      </c>
      <c r="D152" s="403" t="s">
        <v>759</v>
      </c>
      <c r="E152" s="404" t="s">
        <v>858</v>
      </c>
      <c r="F152" s="405">
        <v>0.45</v>
      </c>
      <c r="G152" s="405">
        <v>0.4548611111111111</v>
      </c>
      <c r="H152" s="405" t="s">
        <v>961</v>
      </c>
      <c r="I152" s="416">
        <v>755</v>
      </c>
      <c r="J152" s="405" t="str">
        <f>IFERROR(VLOOKUP(I152,'Chart of accounts'!A:H,2,FALSE),"")</f>
        <v>50203010 00</v>
      </c>
      <c r="K152" s="405" t="str">
        <f>IFERROR(VLOOKUP(I152,'Chart of accounts'!A:H,3,FALSE),"")</f>
        <v>Office Supplies Expenses</v>
      </c>
      <c r="L152" s="405" t="str">
        <f>IFERROR(VLOOKUP(I152,'Chart of accounts'!A:H,4,FALSE),"")</f>
        <v>50203010 00 - Office Supplies Expenses (755)</v>
      </c>
      <c r="M152" s="408" t="s">
        <v>812</v>
      </c>
      <c r="N152" s="409" t="s">
        <v>859</v>
      </c>
      <c r="O152" s="409" t="s">
        <v>860</v>
      </c>
      <c r="P152" s="409"/>
      <c r="Q152" s="65"/>
      <c r="R152" s="319">
        <f t="shared" si="1"/>
        <v>0</v>
      </c>
      <c r="S152" s="63" t="str">
        <f>VLOOKUP(H152,'Fund Utilization Report'!$A$4:$U$1800,13,FALSE)</f>
        <v>MOOE</v>
      </c>
      <c r="T152" s="63" t="str">
        <f>VLOOKUP(H152,'Fund Utilization Report'!$A$4:$U$1800,2,FALSE)</f>
        <v>GAA</v>
      </c>
      <c r="U152" s="63" t="str">
        <f>VLOOKUP(H152,'Fund Utilization Report'!$A$4:$U$1800,3,FALSE)</f>
        <v>FY2021, RA11518</v>
      </c>
      <c r="V152" s="63" t="str">
        <f>VLOOKUP(H152,'Fund Utilization Report'!$A$4:$U$1800,4,FALSE)</f>
        <v>GAS(GMS)</v>
      </c>
      <c r="W152" s="63" t="str">
        <f>VLOOKUP(H152,'Fund Utilization Report'!$A$4:$U$1800,5,FALSE)</f>
        <v>01101101</v>
      </c>
      <c r="X152" s="63" t="str">
        <f>VLOOKUP(H152,'Fund Utilization Report'!$A$4:$U$1800,6,FALSE)</f>
        <v>GOP</v>
      </c>
      <c r="Y152" s="417" t="str">
        <f>VLOOKUP(H152,'Fund Utilization Report'!$A$4:$U$1800,7,FALSE)</f>
        <v>MOOE</v>
      </c>
      <c r="Z152" s="418">
        <f>VLOOKUP(H152,'Fund Utilization Report'!$A$4:$U$1800,8,FALSE)</f>
        <v>5020000000</v>
      </c>
      <c r="AA152" s="63" t="str">
        <f>VLOOKUP(H152,'Fund Utilization Report'!$A$4:$U$1800,14,FALSE)</f>
        <v>100000100001000</v>
      </c>
      <c r="AB152" s="419" t="str">
        <f>VLOOKUP(H152,'Fund Utilization Report'!$A$4:$U$1800,15,FALSE)</f>
        <v>General Administration and Supervision - General Management and Supervision</v>
      </c>
      <c r="AC152" s="406" t="s">
        <v>0</v>
      </c>
      <c r="AD152" s="403">
        <v>2</v>
      </c>
      <c r="AE152" s="406">
        <v>755</v>
      </c>
      <c r="AF152" s="406" t="str">
        <f>VLOOKUP(AE152,'[2]Chart of accounts'!A:H,2,FALSE)</f>
        <v>50203010 00</v>
      </c>
      <c r="AG152" s="407" t="s">
        <v>3</v>
      </c>
      <c r="AH152" s="407" t="s">
        <v>812</v>
      </c>
    </row>
    <row r="153" spans="1:34" s="32" customFormat="1" ht="27.6">
      <c r="A153" s="338" t="s">
        <v>942</v>
      </c>
      <c r="B153" s="338" t="s">
        <v>943</v>
      </c>
      <c r="C153" s="358">
        <v>44224</v>
      </c>
      <c r="D153" s="351" t="s">
        <v>759</v>
      </c>
      <c r="E153" s="352" t="s">
        <v>861</v>
      </c>
      <c r="F153" s="338">
        <v>0.65416666666666667</v>
      </c>
      <c r="G153" s="338">
        <v>0.6645833333333333</v>
      </c>
      <c r="H153" s="338" t="s">
        <v>999</v>
      </c>
      <c r="I153" s="353">
        <v>706</v>
      </c>
      <c r="J153" s="338" t="str">
        <f>IFERROR(VLOOKUP(I153,'Chart of accounts'!A:H,2,FALSE),"")</f>
        <v>50101020 00</v>
      </c>
      <c r="K153" s="338" t="str">
        <f>IFERROR(VLOOKUP(I153,'Chart of accounts'!A:H,3,FALSE),"")</f>
        <v>Basic Salary - Contractual</v>
      </c>
      <c r="L153" s="338" t="str">
        <f>IFERROR(VLOOKUP(I153,'Chart of accounts'!A:H,4,FALSE),"")</f>
        <v>50101020 00 - Basic Salary - Contractual (706)</v>
      </c>
      <c r="M153" s="361" t="s">
        <v>2</v>
      </c>
      <c r="N153" s="355" t="s">
        <v>863</v>
      </c>
      <c r="O153" s="355" t="s">
        <v>864</v>
      </c>
      <c r="P153" s="355"/>
      <c r="Q153" s="363">
        <v>43681</v>
      </c>
      <c r="R153" s="319">
        <f t="shared" si="1"/>
        <v>-43681</v>
      </c>
      <c r="S153" s="319" t="str">
        <f>VLOOKUP(H153,'Fund Utilization Report'!$A$4:$U$1800,13,FALSE)</f>
        <v>PS</v>
      </c>
      <c r="T153" s="319" t="str">
        <f>VLOOKUP(H153,'Fund Utilization Report'!$A$4:$U$1800,2,FALSE)</f>
        <v>SAA15</v>
      </c>
      <c r="U153" s="319" t="str">
        <f>VLOOKUP(H153,'Fund Utilization Report'!$A$4:$U$1800,3,FALSE)</f>
        <v>2021-01-0015</v>
      </c>
      <c r="V153" s="319" t="str">
        <f>VLOOKUP(H153,'Fund Utilization Report'!$A$4:$U$1800,4,FALSE)</f>
        <v>CARP</v>
      </c>
      <c r="W153" s="319" t="str">
        <f>VLOOKUP(H153,'Fund Utilization Report'!$A$4:$U$1800,5,FALSE)</f>
        <v>01101101</v>
      </c>
      <c r="X153" s="319" t="str">
        <f>VLOOKUP(H153,'Fund Utilization Report'!$A$4:$U$1800,6,FALSE)</f>
        <v>GOP</v>
      </c>
      <c r="Y153" s="320">
        <f>VLOOKUP(H153,'Fund Utilization Report'!$A$4:$U$1800,7,FALSE)</f>
        <v>706</v>
      </c>
      <c r="Z153" s="321" t="str">
        <f>VLOOKUP(H153,'Fund Utilization Report'!$A$4:$U$1800,8,FALSE)</f>
        <v>50101020 00</v>
      </c>
      <c r="AA153" s="319" t="str">
        <f>VLOOKUP(H153,'Fund Utilization Report'!$A$4:$U$1800,14,FALSE)</f>
        <v>330100100003000</v>
      </c>
      <c r="AB153" s="349" t="str">
        <f>VLOOKUP(H153,'Fund Utilization Report'!$A$4:$U$1800,15,FALSE)</f>
        <v>MSME Development Program : Program Beneficiaries Development Component of the Comprehensive Agrarian Reform Program</v>
      </c>
      <c r="AC153" s="39" t="s">
        <v>0</v>
      </c>
      <c r="AD153" s="34">
        <v>1</v>
      </c>
      <c r="AE153" s="39">
        <v>706</v>
      </c>
      <c r="AF153" s="51" t="str">
        <f>VLOOKUP(AE153,'[2]Chart of accounts'!A:H,2,FALSE)</f>
        <v>50101020 00</v>
      </c>
      <c r="AG153" s="53" t="s">
        <v>4</v>
      </c>
      <c r="AH153" s="40" t="s">
        <v>862</v>
      </c>
    </row>
    <row r="154" spans="1:34" s="32" customFormat="1" ht="27.6">
      <c r="A154" s="338" t="s">
        <v>942</v>
      </c>
      <c r="B154" s="338" t="s">
        <v>943</v>
      </c>
      <c r="C154" s="358">
        <v>44224</v>
      </c>
      <c r="D154" s="351" t="s">
        <v>759</v>
      </c>
      <c r="E154" s="352" t="s">
        <v>861</v>
      </c>
      <c r="F154" s="338">
        <v>0.65416666666666667</v>
      </c>
      <c r="G154" s="338">
        <v>0.6645833333333333</v>
      </c>
      <c r="H154" s="338" t="s">
        <v>999</v>
      </c>
      <c r="I154" s="353">
        <v>711</v>
      </c>
      <c r="J154" s="338" t="str">
        <f>IFERROR(VLOOKUP(I154,'Chart of accounts'!A:H,2,FALSE),"")</f>
        <v>50102010 01</v>
      </c>
      <c r="K154" s="338" t="str">
        <f>IFERROR(VLOOKUP(I154,'Chart of accounts'!A:H,3,FALSE),"")</f>
        <v>PERA - Civilian</v>
      </c>
      <c r="L154" s="338" t="str">
        <f>IFERROR(VLOOKUP(I154,'Chart of accounts'!A:H,4,FALSE),"")</f>
        <v>50102010 01 - PERA - Civilian (711)</v>
      </c>
      <c r="M154" s="361" t="s">
        <v>2</v>
      </c>
      <c r="N154" s="355" t="s">
        <v>863</v>
      </c>
      <c r="O154" s="355" t="s">
        <v>864</v>
      </c>
      <c r="P154" s="355"/>
      <c r="Q154" s="363">
        <v>2000</v>
      </c>
      <c r="R154" s="319">
        <f t="shared" si="1"/>
        <v>-2000</v>
      </c>
      <c r="S154" s="319" t="str">
        <f>VLOOKUP(H154,'Fund Utilization Report'!$A$4:$U$1800,13,FALSE)</f>
        <v>PS</v>
      </c>
      <c r="T154" s="319" t="str">
        <f>VLOOKUP(H154,'Fund Utilization Report'!$A$4:$U$1800,2,FALSE)</f>
        <v>SAA15</v>
      </c>
      <c r="U154" s="319" t="str">
        <f>VLOOKUP(H154,'Fund Utilization Report'!$A$4:$U$1800,3,FALSE)</f>
        <v>2021-01-0015</v>
      </c>
      <c r="V154" s="319" t="str">
        <f>VLOOKUP(H154,'Fund Utilization Report'!$A$4:$U$1800,4,FALSE)</f>
        <v>CARP</v>
      </c>
      <c r="W154" s="319" t="str">
        <f>VLOOKUP(H154,'Fund Utilization Report'!$A$4:$U$1800,5,FALSE)</f>
        <v>01101101</v>
      </c>
      <c r="X154" s="319" t="str">
        <f>VLOOKUP(H154,'Fund Utilization Report'!$A$4:$U$1800,6,FALSE)</f>
        <v>GOP</v>
      </c>
      <c r="Y154" s="320">
        <f>VLOOKUP(H154,'Fund Utilization Report'!$A$4:$U$1800,7,FALSE)</f>
        <v>706</v>
      </c>
      <c r="Z154" s="321" t="str">
        <f>VLOOKUP(H154,'Fund Utilization Report'!$A$4:$U$1800,8,FALSE)</f>
        <v>50101020 00</v>
      </c>
      <c r="AA154" s="319" t="str">
        <f>VLOOKUP(H154,'Fund Utilization Report'!$A$4:$U$1800,14,FALSE)</f>
        <v>330100100003000</v>
      </c>
      <c r="AB154" s="349" t="str">
        <f>VLOOKUP(H154,'Fund Utilization Report'!$A$4:$U$1800,15,FALSE)</f>
        <v>MSME Development Program : Program Beneficiaries Development Component of the Comprehensive Agrarian Reform Program</v>
      </c>
      <c r="AC154" s="39" t="s">
        <v>0</v>
      </c>
      <c r="AD154" s="34">
        <v>1</v>
      </c>
      <c r="AE154" s="39">
        <v>711</v>
      </c>
      <c r="AF154" s="51" t="str">
        <f>VLOOKUP(AE154,'[2]Chart of accounts'!A:H,2,FALSE)</f>
        <v>50102010 01</v>
      </c>
      <c r="AG154" s="53" t="s">
        <v>4</v>
      </c>
      <c r="AH154" s="40" t="s">
        <v>862</v>
      </c>
    </row>
    <row r="155" spans="1:34" s="32" customFormat="1" ht="27.6">
      <c r="A155" s="338" t="s">
        <v>942</v>
      </c>
      <c r="B155" s="338" t="s">
        <v>943</v>
      </c>
      <c r="C155" s="358">
        <v>44224</v>
      </c>
      <c r="D155" s="351" t="s">
        <v>759</v>
      </c>
      <c r="E155" s="352" t="s">
        <v>861</v>
      </c>
      <c r="F155" s="338">
        <v>0.65416666666666667</v>
      </c>
      <c r="G155" s="338">
        <v>0.6645833333333333</v>
      </c>
      <c r="H155" s="338" t="s">
        <v>999</v>
      </c>
      <c r="I155" s="353">
        <v>731</v>
      </c>
      <c r="J155" s="338" t="str">
        <f>IFERROR(VLOOKUP(I155,'Chart of accounts'!A:H,2,FALSE),"")</f>
        <v>50103010 00</v>
      </c>
      <c r="K155" s="338" t="str">
        <f>IFERROR(VLOOKUP(I155,'Chart of accounts'!A:H,3,FALSE),"")</f>
        <v>Retirement and Life Insurance Premiums</v>
      </c>
      <c r="L155" s="338" t="str">
        <f>IFERROR(VLOOKUP(I155,'Chart of accounts'!A:H,4,FALSE),"")</f>
        <v>50103010 00 - Retirement and Life Insurance Premiums (731)</v>
      </c>
      <c r="M155" s="361" t="s">
        <v>2</v>
      </c>
      <c r="N155" s="355" t="s">
        <v>863</v>
      </c>
      <c r="O155" s="355" t="s">
        <v>864</v>
      </c>
      <c r="P155" s="355"/>
      <c r="Q155" s="363">
        <v>5241.72</v>
      </c>
      <c r="R155" s="319">
        <f t="shared" si="1"/>
        <v>-5241.72</v>
      </c>
      <c r="S155" s="319" t="str">
        <f>VLOOKUP(H155,'Fund Utilization Report'!$A$4:$U$1800,13,FALSE)</f>
        <v>PS</v>
      </c>
      <c r="T155" s="319" t="str">
        <f>VLOOKUP(H155,'Fund Utilization Report'!$A$4:$U$1800,2,FALSE)</f>
        <v>SAA15</v>
      </c>
      <c r="U155" s="319" t="str">
        <f>VLOOKUP(H155,'Fund Utilization Report'!$A$4:$U$1800,3,FALSE)</f>
        <v>2021-01-0015</v>
      </c>
      <c r="V155" s="319" t="str">
        <f>VLOOKUP(H155,'Fund Utilization Report'!$A$4:$U$1800,4,FALSE)</f>
        <v>CARP</v>
      </c>
      <c r="W155" s="319" t="str">
        <f>VLOOKUP(H155,'Fund Utilization Report'!$A$4:$U$1800,5,FALSE)</f>
        <v>01101101</v>
      </c>
      <c r="X155" s="319" t="str">
        <f>VLOOKUP(H155,'Fund Utilization Report'!$A$4:$U$1800,6,FALSE)</f>
        <v>GOP</v>
      </c>
      <c r="Y155" s="320">
        <f>VLOOKUP(H155,'Fund Utilization Report'!$A$4:$U$1800,7,FALSE)</f>
        <v>706</v>
      </c>
      <c r="Z155" s="321" t="str">
        <f>VLOOKUP(H155,'Fund Utilization Report'!$A$4:$U$1800,8,FALSE)</f>
        <v>50101020 00</v>
      </c>
      <c r="AA155" s="319" t="str">
        <f>VLOOKUP(H155,'Fund Utilization Report'!$A$4:$U$1800,14,FALSE)</f>
        <v>330100100003000</v>
      </c>
      <c r="AB155" s="349" t="str">
        <f>VLOOKUP(H155,'Fund Utilization Report'!$A$4:$U$1800,15,FALSE)</f>
        <v>MSME Development Program : Program Beneficiaries Development Component of the Comprehensive Agrarian Reform Program</v>
      </c>
      <c r="AC155" s="39" t="s">
        <v>0</v>
      </c>
      <c r="AD155" s="34">
        <v>1</v>
      </c>
      <c r="AE155" s="39">
        <v>731</v>
      </c>
      <c r="AF155" s="51" t="str">
        <f>VLOOKUP(AE155,'[2]Chart of accounts'!A:H,2,FALSE)</f>
        <v>50103010 00</v>
      </c>
      <c r="AG155" s="53" t="s">
        <v>4</v>
      </c>
      <c r="AH155" s="40" t="s">
        <v>862</v>
      </c>
    </row>
    <row r="156" spans="1:34" s="32" customFormat="1" ht="27.6">
      <c r="A156" s="338" t="s">
        <v>942</v>
      </c>
      <c r="B156" s="338" t="s">
        <v>943</v>
      </c>
      <c r="C156" s="358">
        <v>44224</v>
      </c>
      <c r="D156" s="351" t="s">
        <v>759</v>
      </c>
      <c r="E156" s="352" t="s">
        <v>861</v>
      </c>
      <c r="F156" s="338">
        <v>0.65416666666666667</v>
      </c>
      <c r="G156" s="338">
        <v>0.6645833333333333</v>
      </c>
      <c r="H156" s="338" t="s">
        <v>999</v>
      </c>
      <c r="I156" s="353">
        <v>732</v>
      </c>
      <c r="J156" s="338" t="str">
        <f>IFERROR(VLOOKUP(I156,'Chart of accounts'!A:H,2,FALSE),"")</f>
        <v>50103020 01</v>
      </c>
      <c r="K156" s="338" t="str">
        <f>IFERROR(VLOOKUP(I156,'Chart of accounts'!A:H,3,FALSE),"")</f>
        <v>Pag-IBIG - Civilian</v>
      </c>
      <c r="L156" s="338" t="str">
        <f>IFERROR(VLOOKUP(I156,'Chart of accounts'!A:H,4,FALSE),"")</f>
        <v>50103020 01 - Pag-IBIG - Civilian (732)</v>
      </c>
      <c r="M156" s="361" t="s">
        <v>2</v>
      </c>
      <c r="N156" s="355" t="s">
        <v>863</v>
      </c>
      <c r="O156" s="355" t="s">
        <v>864</v>
      </c>
      <c r="P156" s="355"/>
      <c r="Q156" s="363">
        <v>100</v>
      </c>
      <c r="R156" s="319">
        <f t="shared" si="1"/>
        <v>-100</v>
      </c>
      <c r="S156" s="319" t="str">
        <f>VLOOKUP(H156,'Fund Utilization Report'!$A$4:$U$1800,13,FALSE)</f>
        <v>PS</v>
      </c>
      <c r="T156" s="319" t="str">
        <f>VLOOKUP(H156,'Fund Utilization Report'!$A$4:$U$1800,2,FALSE)</f>
        <v>SAA15</v>
      </c>
      <c r="U156" s="319" t="str">
        <f>VLOOKUP(H156,'Fund Utilization Report'!$A$4:$U$1800,3,FALSE)</f>
        <v>2021-01-0015</v>
      </c>
      <c r="V156" s="319" t="str">
        <f>VLOOKUP(H156,'Fund Utilization Report'!$A$4:$U$1800,4,FALSE)</f>
        <v>CARP</v>
      </c>
      <c r="W156" s="319" t="str">
        <f>VLOOKUP(H156,'Fund Utilization Report'!$A$4:$U$1800,5,FALSE)</f>
        <v>01101101</v>
      </c>
      <c r="X156" s="319" t="str">
        <f>VLOOKUP(H156,'Fund Utilization Report'!$A$4:$U$1800,6,FALSE)</f>
        <v>GOP</v>
      </c>
      <c r="Y156" s="320">
        <f>VLOOKUP(H156,'Fund Utilization Report'!$A$4:$U$1800,7,FALSE)</f>
        <v>706</v>
      </c>
      <c r="Z156" s="321" t="str">
        <f>VLOOKUP(H156,'Fund Utilization Report'!$A$4:$U$1800,8,FALSE)</f>
        <v>50101020 00</v>
      </c>
      <c r="AA156" s="319" t="str">
        <f>VLOOKUP(H156,'Fund Utilization Report'!$A$4:$U$1800,14,FALSE)</f>
        <v>330100100003000</v>
      </c>
      <c r="AB156" s="349" t="str">
        <f>VLOOKUP(H156,'Fund Utilization Report'!$A$4:$U$1800,15,FALSE)</f>
        <v>MSME Development Program : Program Beneficiaries Development Component of the Comprehensive Agrarian Reform Program</v>
      </c>
      <c r="AC156" s="39" t="s">
        <v>0</v>
      </c>
      <c r="AD156" s="34">
        <v>1</v>
      </c>
      <c r="AE156" s="39">
        <v>732</v>
      </c>
      <c r="AF156" s="51" t="str">
        <f>VLOOKUP(AE156,'[2]Chart of accounts'!A:H,2,FALSE)</f>
        <v>50103020 01</v>
      </c>
      <c r="AG156" s="53" t="s">
        <v>4</v>
      </c>
      <c r="AH156" s="40" t="s">
        <v>862</v>
      </c>
    </row>
    <row r="157" spans="1:34" s="32" customFormat="1" ht="27.6">
      <c r="A157" s="338" t="s">
        <v>942</v>
      </c>
      <c r="B157" s="338" t="s">
        <v>943</v>
      </c>
      <c r="C157" s="358">
        <v>44224</v>
      </c>
      <c r="D157" s="351" t="s">
        <v>759</v>
      </c>
      <c r="E157" s="352" t="s">
        <v>861</v>
      </c>
      <c r="F157" s="338">
        <v>0.65416666666666667</v>
      </c>
      <c r="G157" s="338">
        <v>0.6645833333333333</v>
      </c>
      <c r="H157" s="338" t="s">
        <v>999</v>
      </c>
      <c r="I157" s="353">
        <v>733</v>
      </c>
      <c r="J157" s="338" t="str">
        <f>IFERROR(VLOOKUP(I157,'Chart of accounts'!A:H,2,FALSE),"")</f>
        <v>50103030 01</v>
      </c>
      <c r="K157" s="338" t="str">
        <f>IFERROR(VLOOKUP(I157,'Chart of accounts'!A:H,3,FALSE),"")</f>
        <v>PhilHealth - Civilian</v>
      </c>
      <c r="L157" s="338" t="str">
        <f>IFERROR(VLOOKUP(I157,'Chart of accounts'!A:H,4,FALSE),"")</f>
        <v>50103030 01 - PhilHealth - Civilian (733)</v>
      </c>
      <c r="M157" s="361" t="s">
        <v>2</v>
      </c>
      <c r="N157" s="355" t="s">
        <v>863</v>
      </c>
      <c r="O157" s="355" t="s">
        <v>864</v>
      </c>
      <c r="P157" s="355"/>
      <c r="Q157" s="363">
        <v>655.22</v>
      </c>
      <c r="R157" s="319">
        <f t="shared" si="1"/>
        <v>-655.22</v>
      </c>
      <c r="S157" s="319" t="str">
        <f>VLOOKUP(H157,'Fund Utilization Report'!$A$4:$U$1800,13,FALSE)</f>
        <v>PS</v>
      </c>
      <c r="T157" s="319" t="str">
        <f>VLOOKUP(H157,'Fund Utilization Report'!$A$4:$U$1800,2,FALSE)</f>
        <v>SAA15</v>
      </c>
      <c r="U157" s="319" t="str">
        <f>VLOOKUP(H157,'Fund Utilization Report'!$A$4:$U$1800,3,FALSE)</f>
        <v>2021-01-0015</v>
      </c>
      <c r="V157" s="319" t="str">
        <f>VLOOKUP(H157,'Fund Utilization Report'!$A$4:$U$1800,4,FALSE)</f>
        <v>CARP</v>
      </c>
      <c r="W157" s="319" t="str">
        <f>VLOOKUP(H157,'Fund Utilization Report'!$A$4:$U$1800,5,FALSE)</f>
        <v>01101101</v>
      </c>
      <c r="X157" s="319" t="str">
        <f>VLOOKUP(H157,'Fund Utilization Report'!$A$4:$U$1800,6,FALSE)</f>
        <v>GOP</v>
      </c>
      <c r="Y157" s="320">
        <f>VLOOKUP(H157,'Fund Utilization Report'!$A$4:$U$1800,7,FALSE)</f>
        <v>706</v>
      </c>
      <c r="Z157" s="321" t="str">
        <f>VLOOKUP(H157,'Fund Utilization Report'!$A$4:$U$1800,8,FALSE)</f>
        <v>50101020 00</v>
      </c>
      <c r="AA157" s="319" t="str">
        <f>VLOOKUP(H157,'Fund Utilization Report'!$A$4:$U$1800,14,FALSE)</f>
        <v>330100100003000</v>
      </c>
      <c r="AB157" s="349" t="str">
        <f>VLOOKUP(H157,'Fund Utilization Report'!$A$4:$U$1800,15,FALSE)</f>
        <v>MSME Development Program : Program Beneficiaries Development Component of the Comprehensive Agrarian Reform Program</v>
      </c>
      <c r="AC157" s="39" t="s">
        <v>0</v>
      </c>
      <c r="AD157" s="34">
        <v>1</v>
      </c>
      <c r="AE157" s="39">
        <v>733</v>
      </c>
      <c r="AF157" s="51" t="str">
        <f>VLOOKUP(AE157,'[2]Chart of accounts'!A:H,2,FALSE)</f>
        <v>50103030 01</v>
      </c>
      <c r="AG157" s="53" t="s">
        <v>4</v>
      </c>
      <c r="AH157" s="40" t="s">
        <v>862</v>
      </c>
    </row>
    <row r="158" spans="1:34" s="32" customFormat="1" ht="27.6">
      <c r="A158" s="338" t="s">
        <v>942</v>
      </c>
      <c r="B158" s="338" t="s">
        <v>943</v>
      </c>
      <c r="C158" s="358">
        <v>44224</v>
      </c>
      <c r="D158" s="351" t="s">
        <v>759</v>
      </c>
      <c r="E158" s="352" t="s">
        <v>861</v>
      </c>
      <c r="F158" s="338">
        <v>0.65416666666666667</v>
      </c>
      <c r="G158" s="338">
        <v>0.6645833333333333</v>
      </c>
      <c r="H158" s="338" t="s">
        <v>999</v>
      </c>
      <c r="I158" s="353">
        <v>734</v>
      </c>
      <c r="J158" s="338" t="str">
        <f>IFERROR(VLOOKUP(I158,'Chart of accounts'!A:H,2,FALSE),"")</f>
        <v>50103040 01</v>
      </c>
      <c r="K158" s="338" t="str">
        <f>IFERROR(VLOOKUP(I158,'Chart of accounts'!A:H,3,FALSE),"")</f>
        <v>ECIP - Civilian</v>
      </c>
      <c r="L158" s="338" t="str">
        <f>IFERROR(VLOOKUP(I158,'Chart of accounts'!A:H,4,FALSE),"")</f>
        <v>50103040 01 - ECIP - Civilian (734)</v>
      </c>
      <c r="M158" s="361" t="s">
        <v>2</v>
      </c>
      <c r="N158" s="355" t="s">
        <v>863</v>
      </c>
      <c r="O158" s="355" t="s">
        <v>864</v>
      </c>
      <c r="P158" s="355"/>
      <c r="Q158" s="363">
        <v>100</v>
      </c>
      <c r="R158" s="319">
        <f t="shared" si="1"/>
        <v>-100</v>
      </c>
      <c r="S158" s="319" t="str">
        <f>VLOOKUP(H158,'Fund Utilization Report'!$A$4:$U$1800,13,FALSE)</f>
        <v>PS</v>
      </c>
      <c r="T158" s="319" t="str">
        <f>VLOOKUP(H158,'Fund Utilization Report'!$A$4:$U$1800,2,FALSE)</f>
        <v>SAA15</v>
      </c>
      <c r="U158" s="319" t="str">
        <f>VLOOKUP(H158,'Fund Utilization Report'!$A$4:$U$1800,3,FALSE)</f>
        <v>2021-01-0015</v>
      </c>
      <c r="V158" s="319" t="str">
        <f>VLOOKUP(H158,'Fund Utilization Report'!$A$4:$U$1800,4,FALSE)</f>
        <v>CARP</v>
      </c>
      <c r="W158" s="319" t="str">
        <f>VLOOKUP(H158,'Fund Utilization Report'!$A$4:$U$1800,5,FALSE)</f>
        <v>01101101</v>
      </c>
      <c r="X158" s="319" t="str">
        <f>VLOOKUP(H158,'Fund Utilization Report'!$A$4:$U$1800,6,FALSE)</f>
        <v>GOP</v>
      </c>
      <c r="Y158" s="320">
        <f>VLOOKUP(H158,'Fund Utilization Report'!$A$4:$U$1800,7,FALSE)</f>
        <v>706</v>
      </c>
      <c r="Z158" s="321" t="str">
        <f>VLOOKUP(H158,'Fund Utilization Report'!$A$4:$U$1800,8,FALSE)</f>
        <v>50101020 00</v>
      </c>
      <c r="AA158" s="319" t="str">
        <f>VLOOKUP(H158,'Fund Utilization Report'!$A$4:$U$1800,14,FALSE)</f>
        <v>330100100003000</v>
      </c>
      <c r="AB158" s="349" t="str">
        <f>VLOOKUP(H158,'Fund Utilization Report'!$A$4:$U$1800,15,FALSE)</f>
        <v>MSME Development Program : Program Beneficiaries Development Component of the Comprehensive Agrarian Reform Program</v>
      </c>
      <c r="AC158" s="39" t="s">
        <v>0</v>
      </c>
      <c r="AD158" s="34">
        <v>1</v>
      </c>
      <c r="AE158" s="39">
        <v>734</v>
      </c>
      <c r="AF158" s="51" t="str">
        <f>VLOOKUP(AE158,'[2]Chart of accounts'!A:H,2,FALSE)</f>
        <v>50103040 01</v>
      </c>
      <c r="AG158" s="53" t="s">
        <v>4</v>
      </c>
      <c r="AH158" s="40" t="s">
        <v>862</v>
      </c>
    </row>
    <row r="159" spans="1:34" s="32" customFormat="1" ht="27.6">
      <c r="A159" s="338" t="s">
        <v>942</v>
      </c>
      <c r="B159" s="338" t="s">
        <v>943</v>
      </c>
      <c r="C159" s="358">
        <v>44224</v>
      </c>
      <c r="D159" s="351" t="s">
        <v>759</v>
      </c>
      <c r="E159" s="352" t="s">
        <v>865</v>
      </c>
      <c r="F159" s="338">
        <v>0.6645833333333333</v>
      </c>
      <c r="G159" s="338">
        <v>0.66666666666666663</v>
      </c>
      <c r="H159" s="338" t="s">
        <v>999</v>
      </c>
      <c r="I159" s="353">
        <v>706</v>
      </c>
      <c r="J159" s="338" t="str">
        <f>IFERROR(VLOOKUP(I159,'Chart of accounts'!A:H,2,FALSE),"")</f>
        <v>50101020 00</v>
      </c>
      <c r="K159" s="338" t="str">
        <f>IFERROR(VLOOKUP(I159,'Chart of accounts'!A:H,3,FALSE),"")</f>
        <v>Basic Salary - Contractual</v>
      </c>
      <c r="L159" s="338" t="str">
        <f>IFERROR(VLOOKUP(I159,'Chart of accounts'!A:H,4,FALSE),"")</f>
        <v>50101020 00 - Basic Salary - Contractual (706)</v>
      </c>
      <c r="M159" s="360" t="s">
        <v>788</v>
      </c>
      <c r="N159" s="355" t="s">
        <v>789</v>
      </c>
      <c r="O159" s="355" t="s">
        <v>864</v>
      </c>
      <c r="P159" s="355"/>
      <c r="Q159" s="363">
        <v>77256</v>
      </c>
      <c r="R159" s="319">
        <f t="shared" si="1"/>
        <v>-77256</v>
      </c>
      <c r="S159" s="319" t="str">
        <f>VLOOKUP(H159,'Fund Utilization Report'!$A$4:$U$1800,13,FALSE)</f>
        <v>PS</v>
      </c>
      <c r="T159" s="319" t="str">
        <f>VLOOKUP(H159,'Fund Utilization Report'!$A$4:$U$1800,2,FALSE)</f>
        <v>SAA15</v>
      </c>
      <c r="U159" s="319" t="str">
        <f>VLOOKUP(H159,'Fund Utilization Report'!$A$4:$U$1800,3,FALSE)</f>
        <v>2021-01-0015</v>
      </c>
      <c r="V159" s="319" t="str">
        <f>VLOOKUP(H159,'Fund Utilization Report'!$A$4:$U$1800,4,FALSE)</f>
        <v>CARP</v>
      </c>
      <c r="W159" s="319" t="str">
        <f>VLOOKUP(H159,'Fund Utilization Report'!$A$4:$U$1800,5,FALSE)</f>
        <v>01101101</v>
      </c>
      <c r="X159" s="319" t="str">
        <f>VLOOKUP(H159,'Fund Utilization Report'!$A$4:$U$1800,6,FALSE)</f>
        <v>GOP</v>
      </c>
      <c r="Y159" s="320">
        <f>VLOOKUP(H159,'Fund Utilization Report'!$A$4:$U$1800,7,FALSE)</f>
        <v>706</v>
      </c>
      <c r="Z159" s="321" t="str">
        <f>VLOOKUP(H159,'Fund Utilization Report'!$A$4:$U$1800,8,FALSE)</f>
        <v>50101020 00</v>
      </c>
      <c r="AA159" s="319" t="str">
        <f>VLOOKUP(H159,'Fund Utilization Report'!$A$4:$U$1800,14,FALSE)</f>
        <v>330100100003000</v>
      </c>
      <c r="AB159" s="349" t="str">
        <f>VLOOKUP(H159,'Fund Utilization Report'!$A$4:$U$1800,15,FALSE)</f>
        <v>MSME Development Program : Program Beneficiaries Development Component of the Comprehensive Agrarian Reform Program</v>
      </c>
      <c r="AC159" s="39" t="s">
        <v>0</v>
      </c>
      <c r="AD159" s="34">
        <v>1</v>
      </c>
      <c r="AE159" s="39">
        <v>706</v>
      </c>
      <c r="AF159" s="51" t="str">
        <f>VLOOKUP(AE159,'[2]Chart of accounts'!A:H,2,FALSE)</f>
        <v>50101020 00</v>
      </c>
      <c r="AG159" s="53" t="s">
        <v>4</v>
      </c>
      <c r="AH159" s="40" t="s">
        <v>862</v>
      </c>
    </row>
    <row r="160" spans="1:34" s="32" customFormat="1" ht="27.6">
      <c r="A160" s="338" t="s">
        <v>942</v>
      </c>
      <c r="B160" s="338" t="s">
        <v>943</v>
      </c>
      <c r="C160" s="358">
        <v>44224</v>
      </c>
      <c r="D160" s="351" t="s">
        <v>759</v>
      </c>
      <c r="E160" s="352" t="s">
        <v>865</v>
      </c>
      <c r="F160" s="338">
        <v>0.6645833333333333</v>
      </c>
      <c r="G160" s="338">
        <v>0.66666666666666663</v>
      </c>
      <c r="H160" s="338" t="s">
        <v>999</v>
      </c>
      <c r="I160" s="353">
        <v>711</v>
      </c>
      <c r="J160" s="338" t="str">
        <f>IFERROR(VLOOKUP(I160,'Chart of accounts'!A:H,2,FALSE),"")</f>
        <v>50102010 01</v>
      </c>
      <c r="K160" s="338" t="str">
        <f>IFERROR(VLOOKUP(I160,'Chart of accounts'!A:H,3,FALSE),"")</f>
        <v>PERA - Civilian</v>
      </c>
      <c r="L160" s="338" t="str">
        <f>IFERROR(VLOOKUP(I160,'Chart of accounts'!A:H,4,FALSE),"")</f>
        <v>50102010 01 - PERA - Civilian (711)</v>
      </c>
      <c r="M160" s="360" t="s">
        <v>788</v>
      </c>
      <c r="N160" s="355" t="s">
        <v>789</v>
      </c>
      <c r="O160" s="355" t="s">
        <v>864</v>
      </c>
      <c r="P160" s="355"/>
      <c r="Q160" s="363">
        <v>4000</v>
      </c>
      <c r="R160" s="319">
        <f t="shared" si="1"/>
        <v>-4000</v>
      </c>
      <c r="S160" s="319" t="str">
        <f>VLOOKUP(H160,'Fund Utilization Report'!$A$4:$U$1800,13,FALSE)</f>
        <v>PS</v>
      </c>
      <c r="T160" s="319" t="str">
        <f>VLOOKUP(H160,'Fund Utilization Report'!$A$4:$U$1800,2,FALSE)</f>
        <v>SAA15</v>
      </c>
      <c r="U160" s="319" t="str">
        <f>VLOOKUP(H160,'Fund Utilization Report'!$A$4:$U$1800,3,FALSE)</f>
        <v>2021-01-0015</v>
      </c>
      <c r="V160" s="319" t="str">
        <f>VLOOKUP(H160,'Fund Utilization Report'!$A$4:$U$1800,4,FALSE)</f>
        <v>CARP</v>
      </c>
      <c r="W160" s="319" t="str">
        <f>VLOOKUP(H160,'Fund Utilization Report'!$A$4:$U$1800,5,FALSE)</f>
        <v>01101101</v>
      </c>
      <c r="X160" s="319" t="str">
        <f>VLOOKUP(H160,'Fund Utilization Report'!$A$4:$U$1800,6,FALSE)</f>
        <v>GOP</v>
      </c>
      <c r="Y160" s="320">
        <f>VLOOKUP(H160,'Fund Utilization Report'!$A$4:$U$1800,7,FALSE)</f>
        <v>706</v>
      </c>
      <c r="Z160" s="321" t="str">
        <f>VLOOKUP(H160,'Fund Utilization Report'!$A$4:$U$1800,8,FALSE)</f>
        <v>50101020 00</v>
      </c>
      <c r="AA160" s="319" t="str">
        <f>VLOOKUP(H160,'Fund Utilization Report'!$A$4:$U$1800,14,FALSE)</f>
        <v>330100100003000</v>
      </c>
      <c r="AB160" s="349" t="str">
        <f>VLOOKUP(H160,'Fund Utilization Report'!$A$4:$U$1800,15,FALSE)</f>
        <v>MSME Development Program : Program Beneficiaries Development Component of the Comprehensive Agrarian Reform Program</v>
      </c>
      <c r="AC160" s="39" t="s">
        <v>0</v>
      </c>
      <c r="AD160" s="34">
        <v>1</v>
      </c>
      <c r="AE160" s="39">
        <v>711</v>
      </c>
      <c r="AF160" s="51" t="str">
        <f>VLOOKUP(AE160,'[2]Chart of accounts'!A:H,2,FALSE)</f>
        <v>50102010 01</v>
      </c>
      <c r="AG160" s="53" t="s">
        <v>4</v>
      </c>
      <c r="AH160" s="40" t="s">
        <v>862</v>
      </c>
    </row>
    <row r="161" spans="1:34" s="32" customFormat="1" ht="27.6">
      <c r="A161" s="338" t="s">
        <v>942</v>
      </c>
      <c r="B161" s="338" t="s">
        <v>943</v>
      </c>
      <c r="C161" s="358">
        <v>44224</v>
      </c>
      <c r="D161" s="351" t="s">
        <v>759</v>
      </c>
      <c r="E161" s="352" t="s">
        <v>865</v>
      </c>
      <c r="F161" s="338">
        <v>0.6645833333333333</v>
      </c>
      <c r="G161" s="338">
        <v>0.66666666666666663</v>
      </c>
      <c r="H161" s="338" t="s">
        <v>999</v>
      </c>
      <c r="I161" s="353">
        <v>731</v>
      </c>
      <c r="J161" s="338" t="str">
        <f>IFERROR(VLOOKUP(I161,'Chart of accounts'!A:H,2,FALSE),"")</f>
        <v>50103010 00</v>
      </c>
      <c r="K161" s="338" t="str">
        <f>IFERROR(VLOOKUP(I161,'Chart of accounts'!A:H,3,FALSE),"")</f>
        <v>Retirement and Life Insurance Premiums</v>
      </c>
      <c r="L161" s="338" t="str">
        <f>IFERROR(VLOOKUP(I161,'Chart of accounts'!A:H,4,FALSE),"")</f>
        <v>50103010 00 - Retirement and Life Insurance Premiums (731)</v>
      </c>
      <c r="M161" s="360" t="s">
        <v>788</v>
      </c>
      <c r="N161" s="355" t="s">
        <v>789</v>
      </c>
      <c r="O161" s="355" t="s">
        <v>864</v>
      </c>
      <c r="P161" s="355"/>
      <c r="Q161" s="363">
        <v>9270.7199999999993</v>
      </c>
      <c r="R161" s="319">
        <f t="shared" si="1"/>
        <v>-9270.7199999999993</v>
      </c>
      <c r="S161" s="319" t="str">
        <f>VLOOKUP(H161,'Fund Utilization Report'!$A$4:$U$1800,13,FALSE)</f>
        <v>PS</v>
      </c>
      <c r="T161" s="319" t="str">
        <f>VLOOKUP(H161,'Fund Utilization Report'!$A$4:$U$1800,2,FALSE)</f>
        <v>SAA15</v>
      </c>
      <c r="U161" s="319" t="str">
        <f>VLOOKUP(H161,'Fund Utilization Report'!$A$4:$U$1800,3,FALSE)</f>
        <v>2021-01-0015</v>
      </c>
      <c r="V161" s="319" t="str">
        <f>VLOOKUP(H161,'Fund Utilization Report'!$A$4:$U$1800,4,FALSE)</f>
        <v>CARP</v>
      </c>
      <c r="W161" s="319" t="str">
        <f>VLOOKUP(H161,'Fund Utilization Report'!$A$4:$U$1800,5,FALSE)</f>
        <v>01101101</v>
      </c>
      <c r="X161" s="319" t="str">
        <f>VLOOKUP(H161,'Fund Utilization Report'!$A$4:$U$1800,6,FALSE)</f>
        <v>GOP</v>
      </c>
      <c r="Y161" s="320">
        <f>VLOOKUP(H161,'Fund Utilization Report'!$A$4:$U$1800,7,FALSE)</f>
        <v>706</v>
      </c>
      <c r="Z161" s="321" t="str">
        <f>VLOOKUP(H161,'Fund Utilization Report'!$A$4:$U$1800,8,FALSE)</f>
        <v>50101020 00</v>
      </c>
      <c r="AA161" s="319" t="str">
        <f>VLOOKUP(H161,'Fund Utilization Report'!$A$4:$U$1800,14,FALSE)</f>
        <v>330100100003000</v>
      </c>
      <c r="AB161" s="349" t="str">
        <f>VLOOKUP(H161,'Fund Utilization Report'!$A$4:$U$1800,15,FALSE)</f>
        <v>MSME Development Program : Program Beneficiaries Development Component of the Comprehensive Agrarian Reform Program</v>
      </c>
      <c r="AC161" s="39" t="s">
        <v>0</v>
      </c>
      <c r="AD161" s="34">
        <v>1</v>
      </c>
      <c r="AE161" s="39">
        <v>731</v>
      </c>
      <c r="AF161" s="51" t="str">
        <f>VLOOKUP(AE161,'[2]Chart of accounts'!A:H,2,FALSE)</f>
        <v>50103010 00</v>
      </c>
      <c r="AG161" s="53" t="s">
        <v>4</v>
      </c>
      <c r="AH161" s="40" t="s">
        <v>862</v>
      </c>
    </row>
    <row r="162" spans="1:34" s="32" customFormat="1" ht="27.6">
      <c r="A162" s="338" t="s">
        <v>942</v>
      </c>
      <c r="B162" s="338" t="s">
        <v>943</v>
      </c>
      <c r="C162" s="358">
        <v>44224</v>
      </c>
      <c r="D162" s="351" t="s">
        <v>759</v>
      </c>
      <c r="E162" s="352" t="s">
        <v>865</v>
      </c>
      <c r="F162" s="338">
        <v>0.6645833333333333</v>
      </c>
      <c r="G162" s="338">
        <v>0.66666666666666663</v>
      </c>
      <c r="H162" s="338" t="s">
        <v>999</v>
      </c>
      <c r="I162" s="353">
        <v>732</v>
      </c>
      <c r="J162" s="338" t="str">
        <f>IFERROR(VLOOKUP(I162,'Chart of accounts'!A:H,2,FALSE),"")</f>
        <v>50103020 01</v>
      </c>
      <c r="K162" s="338" t="str">
        <f>IFERROR(VLOOKUP(I162,'Chart of accounts'!A:H,3,FALSE),"")</f>
        <v>Pag-IBIG - Civilian</v>
      </c>
      <c r="L162" s="338" t="str">
        <f>IFERROR(VLOOKUP(I162,'Chart of accounts'!A:H,4,FALSE),"")</f>
        <v>50103020 01 - Pag-IBIG - Civilian (732)</v>
      </c>
      <c r="M162" s="360" t="s">
        <v>788</v>
      </c>
      <c r="N162" s="355" t="s">
        <v>789</v>
      </c>
      <c r="O162" s="355" t="s">
        <v>864</v>
      </c>
      <c r="P162" s="355"/>
      <c r="Q162" s="363">
        <v>200</v>
      </c>
      <c r="R162" s="319">
        <f t="shared" si="1"/>
        <v>-200</v>
      </c>
      <c r="S162" s="319" t="str">
        <f>VLOOKUP(H162,'Fund Utilization Report'!$A$4:$U$1800,13,FALSE)</f>
        <v>PS</v>
      </c>
      <c r="T162" s="319" t="str">
        <f>VLOOKUP(H162,'Fund Utilization Report'!$A$4:$U$1800,2,FALSE)</f>
        <v>SAA15</v>
      </c>
      <c r="U162" s="319" t="str">
        <f>VLOOKUP(H162,'Fund Utilization Report'!$A$4:$U$1800,3,FALSE)</f>
        <v>2021-01-0015</v>
      </c>
      <c r="V162" s="319" t="str">
        <f>VLOOKUP(H162,'Fund Utilization Report'!$A$4:$U$1800,4,FALSE)</f>
        <v>CARP</v>
      </c>
      <c r="W162" s="319" t="str">
        <f>VLOOKUP(H162,'Fund Utilization Report'!$A$4:$U$1800,5,FALSE)</f>
        <v>01101101</v>
      </c>
      <c r="X162" s="319" t="str">
        <f>VLOOKUP(H162,'Fund Utilization Report'!$A$4:$U$1800,6,FALSE)</f>
        <v>GOP</v>
      </c>
      <c r="Y162" s="320">
        <f>VLOOKUP(H162,'Fund Utilization Report'!$A$4:$U$1800,7,FALSE)</f>
        <v>706</v>
      </c>
      <c r="Z162" s="321" t="str">
        <f>VLOOKUP(H162,'Fund Utilization Report'!$A$4:$U$1800,8,FALSE)</f>
        <v>50101020 00</v>
      </c>
      <c r="AA162" s="319" t="str">
        <f>VLOOKUP(H162,'Fund Utilization Report'!$A$4:$U$1800,14,FALSE)</f>
        <v>330100100003000</v>
      </c>
      <c r="AB162" s="349" t="str">
        <f>VLOOKUP(H162,'Fund Utilization Report'!$A$4:$U$1800,15,FALSE)</f>
        <v>MSME Development Program : Program Beneficiaries Development Component of the Comprehensive Agrarian Reform Program</v>
      </c>
      <c r="AC162" s="39" t="s">
        <v>0</v>
      </c>
      <c r="AD162" s="34">
        <v>1</v>
      </c>
      <c r="AE162" s="39">
        <v>732</v>
      </c>
      <c r="AF162" s="51" t="str">
        <f>VLOOKUP(AE162,'[2]Chart of accounts'!A:H,2,FALSE)</f>
        <v>50103020 01</v>
      </c>
      <c r="AG162" s="53" t="s">
        <v>4</v>
      </c>
      <c r="AH162" s="40" t="s">
        <v>862</v>
      </c>
    </row>
    <row r="163" spans="1:34" s="32" customFormat="1" ht="27.6">
      <c r="A163" s="338" t="s">
        <v>942</v>
      </c>
      <c r="B163" s="338" t="s">
        <v>943</v>
      </c>
      <c r="C163" s="358">
        <v>44224</v>
      </c>
      <c r="D163" s="351" t="s">
        <v>759</v>
      </c>
      <c r="E163" s="352" t="s">
        <v>865</v>
      </c>
      <c r="F163" s="338">
        <v>0.6645833333333333</v>
      </c>
      <c r="G163" s="338">
        <v>0.66666666666666663</v>
      </c>
      <c r="H163" s="338" t="s">
        <v>999</v>
      </c>
      <c r="I163" s="353">
        <v>733</v>
      </c>
      <c r="J163" s="338" t="str">
        <f>IFERROR(VLOOKUP(I163,'Chart of accounts'!A:H,2,FALSE),"")</f>
        <v>50103030 01</v>
      </c>
      <c r="K163" s="338" t="str">
        <f>IFERROR(VLOOKUP(I163,'Chart of accounts'!A:H,3,FALSE),"")</f>
        <v>PhilHealth - Civilian</v>
      </c>
      <c r="L163" s="338" t="str">
        <f>IFERROR(VLOOKUP(I163,'Chart of accounts'!A:H,4,FALSE),"")</f>
        <v>50103030 01 - PhilHealth - Civilian (733)</v>
      </c>
      <c r="M163" s="360" t="s">
        <v>788</v>
      </c>
      <c r="N163" s="355" t="s">
        <v>789</v>
      </c>
      <c r="O163" s="355" t="s">
        <v>864</v>
      </c>
      <c r="P163" s="355"/>
      <c r="Q163" s="363">
        <v>1158.8499999999999</v>
      </c>
      <c r="R163" s="319">
        <f t="shared" si="1"/>
        <v>-1158.8499999999999</v>
      </c>
      <c r="S163" s="319" t="str">
        <f>VLOOKUP(H163,'Fund Utilization Report'!$A$4:$U$1800,13,FALSE)</f>
        <v>PS</v>
      </c>
      <c r="T163" s="319" t="str">
        <f>VLOOKUP(H163,'Fund Utilization Report'!$A$4:$U$1800,2,FALSE)</f>
        <v>SAA15</v>
      </c>
      <c r="U163" s="319" t="str">
        <f>VLOOKUP(H163,'Fund Utilization Report'!$A$4:$U$1800,3,FALSE)</f>
        <v>2021-01-0015</v>
      </c>
      <c r="V163" s="319" t="str">
        <f>VLOOKUP(H163,'Fund Utilization Report'!$A$4:$U$1800,4,FALSE)</f>
        <v>CARP</v>
      </c>
      <c r="W163" s="319" t="str">
        <f>VLOOKUP(H163,'Fund Utilization Report'!$A$4:$U$1800,5,FALSE)</f>
        <v>01101101</v>
      </c>
      <c r="X163" s="319" t="str">
        <f>VLOOKUP(H163,'Fund Utilization Report'!$A$4:$U$1800,6,FALSE)</f>
        <v>GOP</v>
      </c>
      <c r="Y163" s="320">
        <f>VLOOKUP(H163,'Fund Utilization Report'!$A$4:$U$1800,7,FALSE)</f>
        <v>706</v>
      </c>
      <c r="Z163" s="321" t="str">
        <f>VLOOKUP(H163,'Fund Utilization Report'!$A$4:$U$1800,8,FALSE)</f>
        <v>50101020 00</v>
      </c>
      <c r="AA163" s="319" t="str">
        <f>VLOOKUP(H163,'Fund Utilization Report'!$A$4:$U$1800,14,FALSE)</f>
        <v>330100100003000</v>
      </c>
      <c r="AB163" s="349" t="str">
        <f>VLOOKUP(H163,'Fund Utilization Report'!$A$4:$U$1800,15,FALSE)</f>
        <v>MSME Development Program : Program Beneficiaries Development Component of the Comprehensive Agrarian Reform Program</v>
      </c>
      <c r="AC163" s="39" t="s">
        <v>0</v>
      </c>
      <c r="AD163" s="34">
        <v>1</v>
      </c>
      <c r="AE163" s="39">
        <v>733</v>
      </c>
      <c r="AF163" s="51" t="str">
        <f>VLOOKUP(AE163,'[2]Chart of accounts'!A:H,2,FALSE)</f>
        <v>50103030 01</v>
      </c>
      <c r="AG163" s="53" t="s">
        <v>4</v>
      </c>
      <c r="AH163" s="40" t="s">
        <v>862</v>
      </c>
    </row>
    <row r="164" spans="1:34" s="32" customFormat="1" ht="27.6">
      <c r="A164" s="338" t="s">
        <v>942</v>
      </c>
      <c r="B164" s="338" t="s">
        <v>943</v>
      </c>
      <c r="C164" s="358">
        <v>44224</v>
      </c>
      <c r="D164" s="351" t="s">
        <v>759</v>
      </c>
      <c r="E164" s="352" t="s">
        <v>865</v>
      </c>
      <c r="F164" s="338">
        <v>0.6645833333333333</v>
      </c>
      <c r="G164" s="338">
        <v>0.66666666666666663</v>
      </c>
      <c r="H164" s="338" t="s">
        <v>999</v>
      </c>
      <c r="I164" s="353">
        <v>734</v>
      </c>
      <c r="J164" s="338" t="str">
        <f>IFERROR(VLOOKUP(I164,'Chart of accounts'!A:H,2,FALSE),"")</f>
        <v>50103040 01</v>
      </c>
      <c r="K164" s="338" t="str">
        <f>IFERROR(VLOOKUP(I164,'Chart of accounts'!A:H,3,FALSE),"")</f>
        <v>ECIP - Civilian</v>
      </c>
      <c r="L164" s="338" t="str">
        <f>IFERROR(VLOOKUP(I164,'Chart of accounts'!A:H,4,FALSE),"")</f>
        <v>50103040 01 - ECIP - Civilian (734)</v>
      </c>
      <c r="M164" s="360" t="s">
        <v>788</v>
      </c>
      <c r="N164" s="355" t="s">
        <v>789</v>
      </c>
      <c r="O164" s="355" t="s">
        <v>864</v>
      </c>
      <c r="P164" s="355"/>
      <c r="Q164" s="363">
        <v>200</v>
      </c>
      <c r="R164" s="319">
        <f t="shared" si="1"/>
        <v>-200</v>
      </c>
      <c r="S164" s="319" t="str">
        <f>VLOOKUP(H164,'Fund Utilization Report'!$A$4:$U$1800,13,FALSE)</f>
        <v>PS</v>
      </c>
      <c r="T164" s="319" t="str">
        <f>VLOOKUP(H164,'Fund Utilization Report'!$A$4:$U$1800,2,FALSE)</f>
        <v>SAA15</v>
      </c>
      <c r="U164" s="319" t="str">
        <f>VLOOKUP(H164,'Fund Utilization Report'!$A$4:$U$1800,3,FALSE)</f>
        <v>2021-01-0015</v>
      </c>
      <c r="V164" s="319" t="str">
        <f>VLOOKUP(H164,'Fund Utilization Report'!$A$4:$U$1800,4,FALSE)</f>
        <v>CARP</v>
      </c>
      <c r="W164" s="319" t="str">
        <f>VLOOKUP(H164,'Fund Utilization Report'!$A$4:$U$1800,5,FALSE)</f>
        <v>01101101</v>
      </c>
      <c r="X164" s="319" t="str">
        <f>VLOOKUP(H164,'Fund Utilization Report'!$A$4:$U$1800,6,FALSE)</f>
        <v>GOP</v>
      </c>
      <c r="Y164" s="320">
        <f>VLOOKUP(H164,'Fund Utilization Report'!$A$4:$U$1800,7,FALSE)</f>
        <v>706</v>
      </c>
      <c r="Z164" s="321" t="str">
        <f>VLOOKUP(H164,'Fund Utilization Report'!$A$4:$U$1800,8,FALSE)</f>
        <v>50101020 00</v>
      </c>
      <c r="AA164" s="319" t="str">
        <f>VLOOKUP(H164,'Fund Utilization Report'!$A$4:$U$1800,14,FALSE)</f>
        <v>330100100003000</v>
      </c>
      <c r="AB164" s="349" t="str">
        <f>VLOOKUP(H164,'Fund Utilization Report'!$A$4:$U$1800,15,FALSE)</f>
        <v>MSME Development Program : Program Beneficiaries Development Component of the Comprehensive Agrarian Reform Program</v>
      </c>
      <c r="AC164" s="39" t="s">
        <v>0</v>
      </c>
      <c r="AD164" s="34">
        <v>1</v>
      </c>
      <c r="AE164" s="39">
        <v>734</v>
      </c>
      <c r="AF164" s="51" t="str">
        <f>VLOOKUP(AE164,'[2]Chart of accounts'!A:H,2,FALSE)</f>
        <v>50103040 01</v>
      </c>
      <c r="AG164" s="53" t="s">
        <v>4</v>
      </c>
      <c r="AH164" s="40" t="s">
        <v>862</v>
      </c>
    </row>
    <row r="165" spans="1:34" s="32" customFormat="1" ht="27.6">
      <c r="A165" s="338" t="s">
        <v>942</v>
      </c>
      <c r="B165" s="338" t="s">
        <v>943</v>
      </c>
      <c r="C165" s="358">
        <v>44224</v>
      </c>
      <c r="D165" s="351" t="s">
        <v>759</v>
      </c>
      <c r="E165" s="352" t="s">
        <v>866</v>
      </c>
      <c r="F165" s="338">
        <v>0.66666666666666663</v>
      </c>
      <c r="G165" s="338">
        <v>0.6694444444444444</v>
      </c>
      <c r="H165" s="338" t="s">
        <v>999</v>
      </c>
      <c r="I165" s="353">
        <v>706</v>
      </c>
      <c r="J165" s="338" t="str">
        <f>IFERROR(VLOOKUP(I165,'Chart of accounts'!A:H,2,FALSE),"")</f>
        <v>50101020 00</v>
      </c>
      <c r="K165" s="338" t="str">
        <f>IFERROR(VLOOKUP(I165,'Chart of accounts'!A:H,3,FALSE),"")</f>
        <v>Basic Salary - Contractual</v>
      </c>
      <c r="L165" s="338" t="str">
        <f>IFERROR(VLOOKUP(I165,'Chart of accounts'!A:H,4,FALSE),"")</f>
        <v>50101020 00 - Basic Salary - Contractual (706)</v>
      </c>
      <c r="M165" s="360" t="s">
        <v>776</v>
      </c>
      <c r="N165" s="355" t="s">
        <v>867</v>
      </c>
      <c r="O165" s="355" t="s">
        <v>864</v>
      </c>
      <c r="P165" s="355"/>
      <c r="Q165" s="363">
        <v>33575</v>
      </c>
      <c r="R165" s="319">
        <f t="shared" si="1"/>
        <v>-33575</v>
      </c>
      <c r="S165" s="319" t="str">
        <f>VLOOKUP(H165,'Fund Utilization Report'!$A$4:$U$1800,13,FALSE)</f>
        <v>PS</v>
      </c>
      <c r="T165" s="319" t="str">
        <f>VLOOKUP(H165,'Fund Utilization Report'!$A$4:$U$1800,2,FALSE)</f>
        <v>SAA15</v>
      </c>
      <c r="U165" s="319" t="str">
        <f>VLOOKUP(H165,'Fund Utilization Report'!$A$4:$U$1800,3,FALSE)</f>
        <v>2021-01-0015</v>
      </c>
      <c r="V165" s="319" t="str">
        <f>VLOOKUP(H165,'Fund Utilization Report'!$A$4:$U$1800,4,FALSE)</f>
        <v>CARP</v>
      </c>
      <c r="W165" s="319" t="str">
        <f>VLOOKUP(H165,'Fund Utilization Report'!$A$4:$U$1800,5,FALSE)</f>
        <v>01101101</v>
      </c>
      <c r="X165" s="319" t="str">
        <f>VLOOKUP(H165,'Fund Utilization Report'!$A$4:$U$1800,6,FALSE)</f>
        <v>GOP</v>
      </c>
      <c r="Y165" s="320">
        <f>VLOOKUP(H165,'Fund Utilization Report'!$A$4:$U$1800,7,FALSE)</f>
        <v>706</v>
      </c>
      <c r="Z165" s="321" t="str">
        <f>VLOOKUP(H165,'Fund Utilization Report'!$A$4:$U$1800,8,FALSE)</f>
        <v>50101020 00</v>
      </c>
      <c r="AA165" s="319" t="str">
        <f>VLOOKUP(H165,'Fund Utilization Report'!$A$4:$U$1800,14,FALSE)</f>
        <v>330100100003000</v>
      </c>
      <c r="AB165" s="349" t="str">
        <f>VLOOKUP(H165,'Fund Utilization Report'!$A$4:$U$1800,15,FALSE)</f>
        <v>MSME Development Program : Program Beneficiaries Development Component of the Comprehensive Agrarian Reform Program</v>
      </c>
      <c r="AC165" s="39" t="s">
        <v>0</v>
      </c>
      <c r="AD165" s="34">
        <v>1</v>
      </c>
      <c r="AE165" s="39">
        <v>706</v>
      </c>
      <c r="AF165" s="51" t="str">
        <f>VLOOKUP(AE165,'[2]Chart of accounts'!A:H,2,FALSE)</f>
        <v>50101020 00</v>
      </c>
      <c r="AG165" s="53" t="s">
        <v>4</v>
      </c>
      <c r="AH165" s="40" t="s">
        <v>862</v>
      </c>
    </row>
    <row r="166" spans="1:34" s="32" customFormat="1" ht="27.6">
      <c r="A166" s="338" t="s">
        <v>942</v>
      </c>
      <c r="B166" s="338" t="s">
        <v>943</v>
      </c>
      <c r="C166" s="358">
        <v>44224</v>
      </c>
      <c r="D166" s="351" t="s">
        <v>759</v>
      </c>
      <c r="E166" s="352" t="s">
        <v>866</v>
      </c>
      <c r="F166" s="338">
        <v>0.66666666666666663</v>
      </c>
      <c r="G166" s="338">
        <v>0.6694444444444444</v>
      </c>
      <c r="H166" s="338" t="s">
        <v>999</v>
      </c>
      <c r="I166" s="353">
        <v>711</v>
      </c>
      <c r="J166" s="338" t="str">
        <f>IFERROR(VLOOKUP(I166,'Chart of accounts'!A:H,2,FALSE),"")</f>
        <v>50102010 01</v>
      </c>
      <c r="K166" s="338" t="str">
        <f>IFERROR(VLOOKUP(I166,'Chart of accounts'!A:H,3,FALSE),"")</f>
        <v>PERA - Civilian</v>
      </c>
      <c r="L166" s="338" t="str">
        <f>IFERROR(VLOOKUP(I166,'Chart of accounts'!A:H,4,FALSE),"")</f>
        <v>50102010 01 - PERA - Civilian (711)</v>
      </c>
      <c r="M166" s="360" t="s">
        <v>776</v>
      </c>
      <c r="N166" s="355" t="s">
        <v>867</v>
      </c>
      <c r="O166" s="355" t="s">
        <v>864</v>
      </c>
      <c r="P166" s="355"/>
      <c r="Q166" s="363">
        <v>2000</v>
      </c>
      <c r="R166" s="319">
        <f t="shared" si="1"/>
        <v>-2000</v>
      </c>
      <c r="S166" s="319" t="str">
        <f>VLOOKUP(H166,'Fund Utilization Report'!$A$4:$U$1800,13,FALSE)</f>
        <v>PS</v>
      </c>
      <c r="T166" s="319" t="str">
        <f>VLOOKUP(H166,'Fund Utilization Report'!$A$4:$U$1800,2,FALSE)</f>
        <v>SAA15</v>
      </c>
      <c r="U166" s="319" t="str">
        <f>VLOOKUP(H166,'Fund Utilization Report'!$A$4:$U$1800,3,FALSE)</f>
        <v>2021-01-0015</v>
      </c>
      <c r="V166" s="319" t="str">
        <f>VLOOKUP(H166,'Fund Utilization Report'!$A$4:$U$1800,4,FALSE)</f>
        <v>CARP</v>
      </c>
      <c r="W166" s="319" t="str">
        <f>VLOOKUP(H166,'Fund Utilization Report'!$A$4:$U$1800,5,FALSE)</f>
        <v>01101101</v>
      </c>
      <c r="X166" s="319" t="str">
        <f>VLOOKUP(H166,'Fund Utilization Report'!$A$4:$U$1800,6,FALSE)</f>
        <v>GOP</v>
      </c>
      <c r="Y166" s="320">
        <f>VLOOKUP(H166,'Fund Utilization Report'!$A$4:$U$1800,7,FALSE)</f>
        <v>706</v>
      </c>
      <c r="Z166" s="321" t="str">
        <f>VLOOKUP(H166,'Fund Utilization Report'!$A$4:$U$1800,8,FALSE)</f>
        <v>50101020 00</v>
      </c>
      <c r="AA166" s="319" t="str">
        <f>VLOOKUP(H166,'Fund Utilization Report'!$A$4:$U$1800,14,FALSE)</f>
        <v>330100100003000</v>
      </c>
      <c r="AB166" s="349" t="str">
        <f>VLOOKUP(H166,'Fund Utilization Report'!$A$4:$U$1800,15,FALSE)</f>
        <v>MSME Development Program : Program Beneficiaries Development Component of the Comprehensive Agrarian Reform Program</v>
      </c>
      <c r="AC166" s="39" t="s">
        <v>0</v>
      </c>
      <c r="AD166" s="34">
        <v>1</v>
      </c>
      <c r="AE166" s="39">
        <v>711</v>
      </c>
      <c r="AF166" s="51" t="str">
        <f>VLOOKUP(AE166,'[2]Chart of accounts'!A:H,2,FALSE)</f>
        <v>50102010 01</v>
      </c>
      <c r="AG166" s="53" t="s">
        <v>4</v>
      </c>
      <c r="AH166" s="40" t="s">
        <v>862</v>
      </c>
    </row>
    <row r="167" spans="1:34" s="32" customFormat="1" ht="27.6">
      <c r="A167" s="338" t="s">
        <v>942</v>
      </c>
      <c r="B167" s="338" t="s">
        <v>943</v>
      </c>
      <c r="C167" s="358">
        <v>44224</v>
      </c>
      <c r="D167" s="351" t="s">
        <v>759</v>
      </c>
      <c r="E167" s="352" t="s">
        <v>866</v>
      </c>
      <c r="F167" s="338">
        <v>0.66666666666666663</v>
      </c>
      <c r="G167" s="338">
        <v>0.6694444444444444</v>
      </c>
      <c r="H167" s="338" t="s">
        <v>999</v>
      </c>
      <c r="I167" s="353">
        <v>731</v>
      </c>
      <c r="J167" s="338" t="str">
        <f>IFERROR(VLOOKUP(I167,'Chart of accounts'!A:H,2,FALSE),"")</f>
        <v>50103010 00</v>
      </c>
      <c r="K167" s="338" t="str">
        <f>IFERROR(VLOOKUP(I167,'Chart of accounts'!A:H,3,FALSE),"")</f>
        <v>Retirement and Life Insurance Premiums</v>
      </c>
      <c r="L167" s="338" t="str">
        <f>IFERROR(VLOOKUP(I167,'Chart of accounts'!A:H,4,FALSE),"")</f>
        <v>50103010 00 - Retirement and Life Insurance Premiums (731)</v>
      </c>
      <c r="M167" s="360" t="s">
        <v>776</v>
      </c>
      <c r="N167" s="355" t="s">
        <v>867</v>
      </c>
      <c r="O167" s="355" t="s">
        <v>864</v>
      </c>
      <c r="P167" s="355"/>
      <c r="Q167" s="363">
        <v>4029</v>
      </c>
      <c r="R167" s="319">
        <f t="shared" si="1"/>
        <v>-4029</v>
      </c>
      <c r="S167" s="319" t="str">
        <f>VLOOKUP(H167,'Fund Utilization Report'!$A$4:$U$1800,13,FALSE)</f>
        <v>PS</v>
      </c>
      <c r="T167" s="319" t="str">
        <f>VLOOKUP(H167,'Fund Utilization Report'!$A$4:$U$1800,2,FALSE)</f>
        <v>SAA15</v>
      </c>
      <c r="U167" s="319" t="str">
        <f>VLOOKUP(H167,'Fund Utilization Report'!$A$4:$U$1800,3,FALSE)</f>
        <v>2021-01-0015</v>
      </c>
      <c r="V167" s="319" t="str">
        <f>VLOOKUP(H167,'Fund Utilization Report'!$A$4:$U$1800,4,FALSE)</f>
        <v>CARP</v>
      </c>
      <c r="W167" s="319" t="str">
        <f>VLOOKUP(H167,'Fund Utilization Report'!$A$4:$U$1800,5,FALSE)</f>
        <v>01101101</v>
      </c>
      <c r="X167" s="319" t="str">
        <f>VLOOKUP(H167,'Fund Utilization Report'!$A$4:$U$1800,6,FALSE)</f>
        <v>GOP</v>
      </c>
      <c r="Y167" s="320">
        <f>VLOOKUP(H167,'Fund Utilization Report'!$A$4:$U$1800,7,FALSE)</f>
        <v>706</v>
      </c>
      <c r="Z167" s="321" t="str">
        <f>VLOOKUP(H167,'Fund Utilization Report'!$A$4:$U$1800,8,FALSE)</f>
        <v>50101020 00</v>
      </c>
      <c r="AA167" s="319" t="str">
        <f>VLOOKUP(H167,'Fund Utilization Report'!$A$4:$U$1800,14,FALSE)</f>
        <v>330100100003000</v>
      </c>
      <c r="AB167" s="349" t="str">
        <f>VLOOKUP(H167,'Fund Utilization Report'!$A$4:$U$1800,15,FALSE)</f>
        <v>MSME Development Program : Program Beneficiaries Development Component of the Comprehensive Agrarian Reform Program</v>
      </c>
      <c r="AC167" s="39" t="s">
        <v>0</v>
      </c>
      <c r="AD167" s="34">
        <v>1</v>
      </c>
      <c r="AE167" s="39">
        <v>731</v>
      </c>
      <c r="AF167" s="51" t="str">
        <f>VLOOKUP(AE167,'[2]Chart of accounts'!A:H,2,FALSE)</f>
        <v>50103010 00</v>
      </c>
      <c r="AG167" s="53" t="s">
        <v>4</v>
      </c>
      <c r="AH167" s="40" t="s">
        <v>862</v>
      </c>
    </row>
    <row r="168" spans="1:34" s="32" customFormat="1" ht="27.6">
      <c r="A168" s="338" t="s">
        <v>942</v>
      </c>
      <c r="B168" s="338" t="s">
        <v>943</v>
      </c>
      <c r="C168" s="358">
        <v>44224</v>
      </c>
      <c r="D168" s="351" t="s">
        <v>759</v>
      </c>
      <c r="E168" s="352" t="s">
        <v>866</v>
      </c>
      <c r="F168" s="338">
        <v>0.66666666666666663</v>
      </c>
      <c r="G168" s="338">
        <v>0.6694444444444444</v>
      </c>
      <c r="H168" s="338" t="s">
        <v>999</v>
      </c>
      <c r="I168" s="353">
        <v>732</v>
      </c>
      <c r="J168" s="338" t="str">
        <f>IFERROR(VLOOKUP(I168,'Chart of accounts'!A:H,2,FALSE),"")</f>
        <v>50103020 01</v>
      </c>
      <c r="K168" s="338" t="str">
        <f>IFERROR(VLOOKUP(I168,'Chart of accounts'!A:H,3,FALSE),"")</f>
        <v>Pag-IBIG - Civilian</v>
      </c>
      <c r="L168" s="338" t="str">
        <f>IFERROR(VLOOKUP(I168,'Chart of accounts'!A:H,4,FALSE),"")</f>
        <v>50103020 01 - Pag-IBIG - Civilian (732)</v>
      </c>
      <c r="M168" s="360" t="s">
        <v>776</v>
      </c>
      <c r="N168" s="355" t="s">
        <v>867</v>
      </c>
      <c r="O168" s="355" t="s">
        <v>864</v>
      </c>
      <c r="P168" s="355"/>
      <c r="Q168" s="363">
        <v>100</v>
      </c>
      <c r="R168" s="319">
        <f t="shared" si="1"/>
        <v>-100</v>
      </c>
      <c r="S168" s="319" t="str">
        <f>VLOOKUP(H168,'Fund Utilization Report'!$A$4:$U$1800,13,FALSE)</f>
        <v>PS</v>
      </c>
      <c r="T168" s="319" t="str">
        <f>VLOOKUP(H168,'Fund Utilization Report'!$A$4:$U$1800,2,FALSE)</f>
        <v>SAA15</v>
      </c>
      <c r="U168" s="319" t="str">
        <f>VLOOKUP(H168,'Fund Utilization Report'!$A$4:$U$1800,3,FALSE)</f>
        <v>2021-01-0015</v>
      </c>
      <c r="V168" s="319" t="str">
        <f>VLOOKUP(H168,'Fund Utilization Report'!$A$4:$U$1800,4,FALSE)</f>
        <v>CARP</v>
      </c>
      <c r="W168" s="319" t="str">
        <f>VLOOKUP(H168,'Fund Utilization Report'!$A$4:$U$1800,5,FALSE)</f>
        <v>01101101</v>
      </c>
      <c r="X168" s="319" t="str">
        <f>VLOOKUP(H168,'Fund Utilization Report'!$A$4:$U$1800,6,FALSE)</f>
        <v>GOP</v>
      </c>
      <c r="Y168" s="320">
        <f>VLOOKUP(H168,'Fund Utilization Report'!$A$4:$U$1800,7,FALSE)</f>
        <v>706</v>
      </c>
      <c r="Z168" s="321" t="str">
        <f>VLOOKUP(H168,'Fund Utilization Report'!$A$4:$U$1800,8,FALSE)</f>
        <v>50101020 00</v>
      </c>
      <c r="AA168" s="319" t="str">
        <f>VLOOKUP(H168,'Fund Utilization Report'!$A$4:$U$1800,14,FALSE)</f>
        <v>330100100003000</v>
      </c>
      <c r="AB168" s="349" t="str">
        <f>VLOOKUP(H168,'Fund Utilization Report'!$A$4:$U$1800,15,FALSE)</f>
        <v>MSME Development Program : Program Beneficiaries Development Component of the Comprehensive Agrarian Reform Program</v>
      </c>
      <c r="AC168" s="39" t="s">
        <v>0</v>
      </c>
      <c r="AD168" s="34">
        <v>1</v>
      </c>
      <c r="AE168" s="39">
        <v>732</v>
      </c>
      <c r="AF168" s="51" t="str">
        <f>VLOOKUP(AE168,'[2]Chart of accounts'!A:H,2,FALSE)</f>
        <v>50103020 01</v>
      </c>
      <c r="AG168" s="53" t="s">
        <v>4</v>
      </c>
      <c r="AH168" s="40" t="s">
        <v>862</v>
      </c>
    </row>
    <row r="169" spans="1:34" s="32" customFormat="1" ht="27.6">
      <c r="A169" s="338" t="s">
        <v>942</v>
      </c>
      <c r="B169" s="338" t="s">
        <v>943</v>
      </c>
      <c r="C169" s="358">
        <v>44224</v>
      </c>
      <c r="D169" s="351" t="s">
        <v>759</v>
      </c>
      <c r="E169" s="352" t="s">
        <v>866</v>
      </c>
      <c r="F169" s="338">
        <v>0.66666666666666663</v>
      </c>
      <c r="G169" s="338">
        <v>0.6694444444444444</v>
      </c>
      <c r="H169" s="338" t="s">
        <v>999</v>
      </c>
      <c r="I169" s="353">
        <v>733</v>
      </c>
      <c r="J169" s="338" t="str">
        <f>IFERROR(VLOOKUP(I169,'Chart of accounts'!A:H,2,FALSE),"")</f>
        <v>50103030 01</v>
      </c>
      <c r="K169" s="338" t="str">
        <f>IFERROR(VLOOKUP(I169,'Chart of accounts'!A:H,3,FALSE),"")</f>
        <v>PhilHealth - Civilian</v>
      </c>
      <c r="L169" s="338" t="str">
        <f>IFERROR(VLOOKUP(I169,'Chart of accounts'!A:H,4,FALSE),"")</f>
        <v>50103030 01 - PhilHealth - Civilian (733)</v>
      </c>
      <c r="M169" s="360" t="s">
        <v>776</v>
      </c>
      <c r="N169" s="355" t="s">
        <v>867</v>
      </c>
      <c r="O169" s="355" t="s">
        <v>864</v>
      </c>
      <c r="P169" s="355"/>
      <c r="Q169" s="363">
        <v>503.63</v>
      </c>
      <c r="R169" s="319">
        <f t="shared" si="1"/>
        <v>-503.63</v>
      </c>
      <c r="S169" s="319" t="str">
        <f>VLOOKUP(H169,'Fund Utilization Report'!$A$4:$U$1800,13,FALSE)</f>
        <v>PS</v>
      </c>
      <c r="T169" s="319" t="str">
        <f>VLOOKUP(H169,'Fund Utilization Report'!$A$4:$U$1800,2,FALSE)</f>
        <v>SAA15</v>
      </c>
      <c r="U169" s="319" t="str">
        <f>VLOOKUP(H169,'Fund Utilization Report'!$A$4:$U$1800,3,FALSE)</f>
        <v>2021-01-0015</v>
      </c>
      <c r="V169" s="319" t="str">
        <f>VLOOKUP(H169,'Fund Utilization Report'!$A$4:$U$1800,4,FALSE)</f>
        <v>CARP</v>
      </c>
      <c r="W169" s="319" t="str">
        <f>VLOOKUP(H169,'Fund Utilization Report'!$A$4:$U$1800,5,FALSE)</f>
        <v>01101101</v>
      </c>
      <c r="X169" s="319" t="str">
        <f>VLOOKUP(H169,'Fund Utilization Report'!$A$4:$U$1800,6,FALSE)</f>
        <v>GOP</v>
      </c>
      <c r="Y169" s="320">
        <f>VLOOKUP(H169,'Fund Utilization Report'!$A$4:$U$1800,7,FALSE)</f>
        <v>706</v>
      </c>
      <c r="Z169" s="321" t="str">
        <f>VLOOKUP(H169,'Fund Utilization Report'!$A$4:$U$1800,8,FALSE)</f>
        <v>50101020 00</v>
      </c>
      <c r="AA169" s="319" t="str">
        <f>VLOOKUP(H169,'Fund Utilization Report'!$A$4:$U$1800,14,FALSE)</f>
        <v>330100100003000</v>
      </c>
      <c r="AB169" s="349" t="str">
        <f>VLOOKUP(H169,'Fund Utilization Report'!$A$4:$U$1800,15,FALSE)</f>
        <v>MSME Development Program : Program Beneficiaries Development Component of the Comprehensive Agrarian Reform Program</v>
      </c>
      <c r="AC169" s="39" t="s">
        <v>0</v>
      </c>
      <c r="AD169" s="34">
        <v>1</v>
      </c>
      <c r="AE169" s="39">
        <v>733</v>
      </c>
      <c r="AF169" s="51" t="str">
        <f>VLOOKUP(AE169,'[2]Chart of accounts'!A:H,2,FALSE)</f>
        <v>50103030 01</v>
      </c>
      <c r="AG169" s="53" t="s">
        <v>4</v>
      </c>
      <c r="AH169" s="40" t="s">
        <v>862</v>
      </c>
    </row>
    <row r="170" spans="1:34" s="32" customFormat="1" ht="27.6">
      <c r="A170" s="338" t="s">
        <v>942</v>
      </c>
      <c r="B170" s="338" t="s">
        <v>943</v>
      </c>
      <c r="C170" s="358">
        <v>44224</v>
      </c>
      <c r="D170" s="351" t="s">
        <v>759</v>
      </c>
      <c r="E170" s="352" t="s">
        <v>866</v>
      </c>
      <c r="F170" s="338">
        <v>0.66666666666666663</v>
      </c>
      <c r="G170" s="338">
        <v>0.6694444444444444</v>
      </c>
      <c r="H170" s="338" t="s">
        <v>999</v>
      </c>
      <c r="I170" s="353">
        <v>734</v>
      </c>
      <c r="J170" s="338" t="str">
        <f>IFERROR(VLOOKUP(I170,'Chart of accounts'!A:H,2,FALSE),"")</f>
        <v>50103040 01</v>
      </c>
      <c r="K170" s="338" t="str">
        <f>IFERROR(VLOOKUP(I170,'Chart of accounts'!A:H,3,FALSE),"")</f>
        <v>ECIP - Civilian</v>
      </c>
      <c r="L170" s="338" t="str">
        <f>IFERROR(VLOOKUP(I170,'Chart of accounts'!A:H,4,FALSE),"")</f>
        <v>50103040 01 - ECIP - Civilian (734)</v>
      </c>
      <c r="M170" s="360" t="s">
        <v>776</v>
      </c>
      <c r="N170" s="355" t="s">
        <v>867</v>
      </c>
      <c r="O170" s="355" t="s">
        <v>864</v>
      </c>
      <c r="P170" s="355"/>
      <c r="Q170" s="363">
        <v>100</v>
      </c>
      <c r="R170" s="319">
        <f t="shared" si="1"/>
        <v>-100</v>
      </c>
      <c r="S170" s="319" t="str">
        <f>VLOOKUP(H170,'Fund Utilization Report'!$A$4:$U$1800,13,FALSE)</f>
        <v>PS</v>
      </c>
      <c r="T170" s="319" t="str">
        <f>VLOOKUP(H170,'Fund Utilization Report'!$A$4:$U$1800,2,FALSE)</f>
        <v>SAA15</v>
      </c>
      <c r="U170" s="319" t="str">
        <f>VLOOKUP(H170,'Fund Utilization Report'!$A$4:$U$1800,3,FALSE)</f>
        <v>2021-01-0015</v>
      </c>
      <c r="V170" s="319" t="str">
        <f>VLOOKUP(H170,'Fund Utilization Report'!$A$4:$U$1800,4,FALSE)</f>
        <v>CARP</v>
      </c>
      <c r="W170" s="319" t="str">
        <f>VLOOKUP(H170,'Fund Utilization Report'!$A$4:$U$1800,5,FALSE)</f>
        <v>01101101</v>
      </c>
      <c r="X170" s="319" t="str">
        <f>VLOOKUP(H170,'Fund Utilization Report'!$A$4:$U$1800,6,FALSE)</f>
        <v>GOP</v>
      </c>
      <c r="Y170" s="320">
        <f>VLOOKUP(H170,'Fund Utilization Report'!$A$4:$U$1800,7,FALSE)</f>
        <v>706</v>
      </c>
      <c r="Z170" s="321" t="str">
        <f>VLOOKUP(H170,'Fund Utilization Report'!$A$4:$U$1800,8,FALSE)</f>
        <v>50101020 00</v>
      </c>
      <c r="AA170" s="319" t="str">
        <f>VLOOKUP(H170,'Fund Utilization Report'!$A$4:$U$1800,14,FALSE)</f>
        <v>330100100003000</v>
      </c>
      <c r="AB170" s="349" t="str">
        <f>VLOOKUP(H170,'Fund Utilization Report'!$A$4:$U$1800,15,FALSE)</f>
        <v>MSME Development Program : Program Beneficiaries Development Component of the Comprehensive Agrarian Reform Program</v>
      </c>
      <c r="AC170" s="39" t="s">
        <v>0</v>
      </c>
      <c r="AD170" s="34">
        <v>1</v>
      </c>
      <c r="AE170" s="39">
        <v>734</v>
      </c>
      <c r="AF170" s="51" t="str">
        <f>VLOOKUP(AE170,'[2]Chart of accounts'!A:H,2,FALSE)</f>
        <v>50103040 01</v>
      </c>
      <c r="AG170" s="53" t="s">
        <v>4</v>
      </c>
      <c r="AH170" s="40" t="s">
        <v>862</v>
      </c>
    </row>
    <row r="171" spans="1:34" s="32" customFormat="1" ht="27.6">
      <c r="A171" s="338" t="s">
        <v>942</v>
      </c>
      <c r="B171" s="338" t="s">
        <v>943</v>
      </c>
      <c r="C171" s="358">
        <v>44224</v>
      </c>
      <c r="D171" s="351" t="s">
        <v>759</v>
      </c>
      <c r="E171" s="352" t="s">
        <v>868</v>
      </c>
      <c r="F171" s="338">
        <v>0.6694444444444444</v>
      </c>
      <c r="G171" s="338">
        <v>0.67152777777777783</v>
      </c>
      <c r="H171" s="338" t="s">
        <v>999</v>
      </c>
      <c r="I171" s="353">
        <v>706</v>
      </c>
      <c r="J171" s="338" t="str">
        <f>IFERROR(VLOOKUP(I171,'Chart of accounts'!A:H,2,FALSE),"")</f>
        <v>50101020 00</v>
      </c>
      <c r="K171" s="338" t="str">
        <f>IFERROR(VLOOKUP(I171,'Chart of accounts'!A:H,3,FALSE),"")</f>
        <v>Basic Salary - Contractual</v>
      </c>
      <c r="L171" s="338" t="str">
        <f>IFERROR(VLOOKUP(I171,'Chart of accounts'!A:H,4,FALSE),"")</f>
        <v>50101020 00 - Basic Salary - Contractual (706)</v>
      </c>
      <c r="M171" s="360" t="s">
        <v>769</v>
      </c>
      <c r="N171" s="355" t="s">
        <v>869</v>
      </c>
      <c r="O171" s="355" t="s">
        <v>864</v>
      </c>
      <c r="P171" s="355"/>
      <c r="Q171" s="363">
        <v>33575</v>
      </c>
      <c r="R171" s="319">
        <f t="shared" si="1"/>
        <v>-33575</v>
      </c>
      <c r="S171" s="319" t="str">
        <f>VLOOKUP(H171,'Fund Utilization Report'!$A$4:$U$1800,13,FALSE)</f>
        <v>PS</v>
      </c>
      <c r="T171" s="319" t="str">
        <f>VLOOKUP(H171,'Fund Utilization Report'!$A$4:$U$1800,2,FALSE)</f>
        <v>SAA15</v>
      </c>
      <c r="U171" s="319" t="str">
        <f>VLOOKUP(H171,'Fund Utilization Report'!$A$4:$U$1800,3,FALSE)</f>
        <v>2021-01-0015</v>
      </c>
      <c r="V171" s="319" t="str">
        <f>VLOOKUP(H171,'Fund Utilization Report'!$A$4:$U$1800,4,FALSE)</f>
        <v>CARP</v>
      </c>
      <c r="W171" s="319" t="str">
        <f>VLOOKUP(H171,'Fund Utilization Report'!$A$4:$U$1800,5,FALSE)</f>
        <v>01101101</v>
      </c>
      <c r="X171" s="319" t="str">
        <f>VLOOKUP(H171,'Fund Utilization Report'!$A$4:$U$1800,6,FALSE)</f>
        <v>GOP</v>
      </c>
      <c r="Y171" s="320">
        <f>VLOOKUP(H171,'Fund Utilization Report'!$A$4:$U$1800,7,FALSE)</f>
        <v>706</v>
      </c>
      <c r="Z171" s="321" t="str">
        <f>VLOOKUP(H171,'Fund Utilization Report'!$A$4:$U$1800,8,FALSE)</f>
        <v>50101020 00</v>
      </c>
      <c r="AA171" s="319" t="str">
        <f>VLOOKUP(H171,'Fund Utilization Report'!$A$4:$U$1800,14,FALSE)</f>
        <v>330100100003000</v>
      </c>
      <c r="AB171" s="349" t="str">
        <f>VLOOKUP(H171,'Fund Utilization Report'!$A$4:$U$1800,15,FALSE)</f>
        <v>MSME Development Program : Program Beneficiaries Development Component of the Comprehensive Agrarian Reform Program</v>
      </c>
      <c r="AC171" s="39" t="s">
        <v>0</v>
      </c>
      <c r="AD171" s="34">
        <v>1</v>
      </c>
      <c r="AE171" s="39">
        <v>706</v>
      </c>
      <c r="AF171" s="51" t="str">
        <f>VLOOKUP(AE171,'[2]Chart of accounts'!A:H,2,FALSE)</f>
        <v>50101020 00</v>
      </c>
      <c r="AG171" s="53" t="s">
        <v>4</v>
      </c>
      <c r="AH171" s="40" t="s">
        <v>862</v>
      </c>
    </row>
    <row r="172" spans="1:34" s="32" customFormat="1" ht="27.6">
      <c r="A172" s="338" t="s">
        <v>942</v>
      </c>
      <c r="B172" s="338" t="s">
        <v>943</v>
      </c>
      <c r="C172" s="358">
        <v>44224</v>
      </c>
      <c r="D172" s="351" t="s">
        <v>759</v>
      </c>
      <c r="E172" s="352" t="s">
        <v>868</v>
      </c>
      <c r="F172" s="338">
        <v>0.6694444444444444</v>
      </c>
      <c r="G172" s="338">
        <v>0.67152777777777783</v>
      </c>
      <c r="H172" s="338" t="s">
        <v>999</v>
      </c>
      <c r="I172" s="353">
        <v>711</v>
      </c>
      <c r="J172" s="338" t="str">
        <f>IFERROR(VLOOKUP(I172,'Chart of accounts'!A:H,2,FALSE),"")</f>
        <v>50102010 01</v>
      </c>
      <c r="K172" s="338" t="str">
        <f>IFERROR(VLOOKUP(I172,'Chart of accounts'!A:H,3,FALSE),"")</f>
        <v>PERA - Civilian</v>
      </c>
      <c r="L172" s="338" t="str">
        <f>IFERROR(VLOOKUP(I172,'Chart of accounts'!A:H,4,FALSE),"")</f>
        <v>50102010 01 - PERA - Civilian (711)</v>
      </c>
      <c r="M172" s="360" t="s">
        <v>769</v>
      </c>
      <c r="N172" s="355" t="s">
        <v>869</v>
      </c>
      <c r="O172" s="355" t="s">
        <v>864</v>
      </c>
      <c r="P172" s="355"/>
      <c r="Q172" s="363">
        <v>2000</v>
      </c>
      <c r="R172" s="319">
        <f t="shared" si="1"/>
        <v>-2000</v>
      </c>
      <c r="S172" s="319" t="str">
        <f>VLOOKUP(H172,'Fund Utilization Report'!$A$4:$U$1800,13,FALSE)</f>
        <v>PS</v>
      </c>
      <c r="T172" s="319" t="str">
        <f>VLOOKUP(H172,'Fund Utilization Report'!$A$4:$U$1800,2,FALSE)</f>
        <v>SAA15</v>
      </c>
      <c r="U172" s="319" t="str">
        <f>VLOOKUP(H172,'Fund Utilization Report'!$A$4:$U$1800,3,FALSE)</f>
        <v>2021-01-0015</v>
      </c>
      <c r="V172" s="319" t="str">
        <f>VLOOKUP(H172,'Fund Utilization Report'!$A$4:$U$1800,4,FALSE)</f>
        <v>CARP</v>
      </c>
      <c r="W172" s="319" t="str">
        <f>VLOOKUP(H172,'Fund Utilization Report'!$A$4:$U$1800,5,FALSE)</f>
        <v>01101101</v>
      </c>
      <c r="X172" s="319" t="str">
        <f>VLOOKUP(H172,'Fund Utilization Report'!$A$4:$U$1800,6,FALSE)</f>
        <v>GOP</v>
      </c>
      <c r="Y172" s="320">
        <f>VLOOKUP(H172,'Fund Utilization Report'!$A$4:$U$1800,7,FALSE)</f>
        <v>706</v>
      </c>
      <c r="Z172" s="321" t="str">
        <f>VLOOKUP(H172,'Fund Utilization Report'!$A$4:$U$1800,8,FALSE)</f>
        <v>50101020 00</v>
      </c>
      <c r="AA172" s="319" t="str">
        <f>VLOOKUP(H172,'Fund Utilization Report'!$A$4:$U$1800,14,FALSE)</f>
        <v>330100100003000</v>
      </c>
      <c r="AB172" s="349" t="str">
        <f>VLOOKUP(H172,'Fund Utilization Report'!$A$4:$U$1800,15,FALSE)</f>
        <v>MSME Development Program : Program Beneficiaries Development Component of the Comprehensive Agrarian Reform Program</v>
      </c>
      <c r="AC172" s="39" t="s">
        <v>0</v>
      </c>
      <c r="AD172" s="34">
        <v>1</v>
      </c>
      <c r="AE172" s="39">
        <v>711</v>
      </c>
      <c r="AF172" s="51" t="str">
        <f>VLOOKUP(AE172,'[2]Chart of accounts'!A:H,2,FALSE)</f>
        <v>50102010 01</v>
      </c>
      <c r="AG172" s="53" t="s">
        <v>4</v>
      </c>
      <c r="AH172" s="40" t="s">
        <v>862</v>
      </c>
    </row>
    <row r="173" spans="1:34" s="32" customFormat="1" ht="27.6">
      <c r="A173" s="338" t="s">
        <v>942</v>
      </c>
      <c r="B173" s="338" t="s">
        <v>943</v>
      </c>
      <c r="C173" s="358">
        <v>44224</v>
      </c>
      <c r="D173" s="351" t="s">
        <v>759</v>
      </c>
      <c r="E173" s="352" t="s">
        <v>868</v>
      </c>
      <c r="F173" s="338">
        <v>0.6694444444444444</v>
      </c>
      <c r="G173" s="338">
        <v>0.67152777777777783</v>
      </c>
      <c r="H173" s="338" t="s">
        <v>999</v>
      </c>
      <c r="I173" s="353">
        <v>731</v>
      </c>
      <c r="J173" s="338" t="str">
        <f>IFERROR(VLOOKUP(I173,'Chart of accounts'!A:H,2,FALSE),"")</f>
        <v>50103010 00</v>
      </c>
      <c r="K173" s="338" t="str">
        <f>IFERROR(VLOOKUP(I173,'Chart of accounts'!A:H,3,FALSE),"")</f>
        <v>Retirement and Life Insurance Premiums</v>
      </c>
      <c r="L173" s="338" t="str">
        <f>IFERROR(VLOOKUP(I173,'Chart of accounts'!A:H,4,FALSE),"")</f>
        <v>50103010 00 - Retirement and Life Insurance Premiums (731)</v>
      </c>
      <c r="M173" s="360" t="s">
        <v>769</v>
      </c>
      <c r="N173" s="355" t="s">
        <v>869</v>
      </c>
      <c r="O173" s="355" t="s">
        <v>864</v>
      </c>
      <c r="P173" s="355"/>
      <c r="Q173" s="363">
        <v>4029</v>
      </c>
      <c r="R173" s="319">
        <f t="shared" si="1"/>
        <v>-4029</v>
      </c>
      <c r="S173" s="319" t="str">
        <f>VLOOKUP(H173,'Fund Utilization Report'!$A$4:$U$1800,13,FALSE)</f>
        <v>PS</v>
      </c>
      <c r="T173" s="319" t="str">
        <f>VLOOKUP(H173,'Fund Utilization Report'!$A$4:$U$1800,2,FALSE)</f>
        <v>SAA15</v>
      </c>
      <c r="U173" s="319" t="str">
        <f>VLOOKUP(H173,'Fund Utilization Report'!$A$4:$U$1800,3,FALSE)</f>
        <v>2021-01-0015</v>
      </c>
      <c r="V173" s="319" t="str">
        <f>VLOOKUP(H173,'Fund Utilization Report'!$A$4:$U$1800,4,FALSE)</f>
        <v>CARP</v>
      </c>
      <c r="W173" s="319" t="str">
        <f>VLOOKUP(H173,'Fund Utilization Report'!$A$4:$U$1800,5,FALSE)</f>
        <v>01101101</v>
      </c>
      <c r="X173" s="319" t="str">
        <f>VLOOKUP(H173,'Fund Utilization Report'!$A$4:$U$1800,6,FALSE)</f>
        <v>GOP</v>
      </c>
      <c r="Y173" s="320">
        <f>VLOOKUP(H173,'Fund Utilization Report'!$A$4:$U$1800,7,FALSE)</f>
        <v>706</v>
      </c>
      <c r="Z173" s="321" t="str">
        <f>VLOOKUP(H173,'Fund Utilization Report'!$A$4:$U$1800,8,FALSE)</f>
        <v>50101020 00</v>
      </c>
      <c r="AA173" s="319" t="str">
        <f>VLOOKUP(H173,'Fund Utilization Report'!$A$4:$U$1800,14,FALSE)</f>
        <v>330100100003000</v>
      </c>
      <c r="AB173" s="349" t="str">
        <f>VLOOKUP(H173,'Fund Utilization Report'!$A$4:$U$1800,15,FALSE)</f>
        <v>MSME Development Program : Program Beneficiaries Development Component of the Comprehensive Agrarian Reform Program</v>
      </c>
      <c r="AC173" s="39" t="s">
        <v>0</v>
      </c>
      <c r="AD173" s="34">
        <v>1</v>
      </c>
      <c r="AE173" s="39">
        <v>731</v>
      </c>
      <c r="AF173" s="51" t="str">
        <f>VLOOKUP(AE173,'[2]Chart of accounts'!A:H,2,FALSE)</f>
        <v>50103010 00</v>
      </c>
      <c r="AG173" s="53" t="s">
        <v>4</v>
      </c>
      <c r="AH173" s="40" t="s">
        <v>862</v>
      </c>
    </row>
    <row r="174" spans="1:34" s="32" customFormat="1" ht="27.6">
      <c r="A174" s="338" t="s">
        <v>942</v>
      </c>
      <c r="B174" s="338" t="s">
        <v>943</v>
      </c>
      <c r="C174" s="358">
        <v>44224</v>
      </c>
      <c r="D174" s="351" t="s">
        <v>759</v>
      </c>
      <c r="E174" s="352" t="s">
        <v>868</v>
      </c>
      <c r="F174" s="338">
        <v>0.6694444444444444</v>
      </c>
      <c r="G174" s="338">
        <v>0.67152777777777783</v>
      </c>
      <c r="H174" s="338" t="s">
        <v>999</v>
      </c>
      <c r="I174" s="353">
        <v>732</v>
      </c>
      <c r="J174" s="338" t="str">
        <f>IFERROR(VLOOKUP(I174,'Chart of accounts'!A:H,2,FALSE),"")</f>
        <v>50103020 01</v>
      </c>
      <c r="K174" s="338" t="str">
        <f>IFERROR(VLOOKUP(I174,'Chart of accounts'!A:H,3,FALSE),"")</f>
        <v>Pag-IBIG - Civilian</v>
      </c>
      <c r="L174" s="338" t="str">
        <f>IFERROR(VLOOKUP(I174,'Chart of accounts'!A:H,4,FALSE),"")</f>
        <v>50103020 01 - Pag-IBIG - Civilian (732)</v>
      </c>
      <c r="M174" s="360" t="s">
        <v>769</v>
      </c>
      <c r="N174" s="355" t="s">
        <v>869</v>
      </c>
      <c r="O174" s="355" t="s">
        <v>864</v>
      </c>
      <c r="P174" s="355"/>
      <c r="Q174" s="363">
        <v>100</v>
      </c>
      <c r="R174" s="319">
        <f t="shared" si="1"/>
        <v>-100</v>
      </c>
      <c r="S174" s="319" t="str">
        <f>VLOOKUP(H174,'Fund Utilization Report'!$A$4:$U$1800,13,FALSE)</f>
        <v>PS</v>
      </c>
      <c r="T174" s="319" t="str">
        <f>VLOOKUP(H174,'Fund Utilization Report'!$A$4:$U$1800,2,FALSE)</f>
        <v>SAA15</v>
      </c>
      <c r="U174" s="319" t="str">
        <f>VLOOKUP(H174,'Fund Utilization Report'!$A$4:$U$1800,3,FALSE)</f>
        <v>2021-01-0015</v>
      </c>
      <c r="V174" s="319" t="str">
        <f>VLOOKUP(H174,'Fund Utilization Report'!$A$4:$U$1800,4,FALSE)</f>
        <v>CARP</v>
      </c>
      <c r="W174" s="319" t="str">
        <f>VLOOKUP(H174,'Fund Utilization Report'!$A$4:$U$1800,5,FALSE)</f>
        <v>01101101</v>
      </c>
      <c r="X174" s="319" t="str">
        <f>VLOOKUP(H174,'Fund Utilization Report'!$A$4:$U$1800,6,FALSE)</f>
        <v>GOP</v>
      </c>
      <c r="Y174" s="320">
        <f>VLOOKUP(H174,'Fund Utilization Report'!$A$4:$U$1800,7,FALSE)</f>
        <v>706</v>
      </c>
      <c r="Z174" s="321" t="str">
        <f>VLOOKUP(H174,'Fund Utilization Report'!$A$4:$U$1800,8,FALSE)</f>
        <v>50101020 00</v>
      </c>
      <c r="AA174" s="319" t="str">
        <f>VLOOKUP(H174,'Fund Utilization Report'!$A$4:$U$1800,14,FALSE)</f>
        <v>330100100003000</v>
      </c>
      <c r="AB174" s="349" t="str">
        <f>VLOOKUP(H174,'Fund Utilization Report'!$A$4:$U$1800,15,FALSE)</f>
        <v>MSME Development Program : Program Beneficiaries Development Component of the Comprehensive Agrarian Reform Program</v>
      </c>
      <c r="AC174" s="39" t="s">
        <v>0</v>
      </c>
      <c r="AD174" s="34">
        <v>1</v>
      </c>
      <c r="AE174" s="39">
        <v>732</v>
      </c>
      <c r="AF174" s="51" t="str">
        <f>VLOOKUP(AE174,'[2]Chart of accounts'!A:H,2,FALSE)</f>
        <v>50103020 01</v>
      </c>
      <c r="AG174" s="53" t="s">
        <v>4</v>
      </c>
      <c r="AH174" s="40" t="s">
        <v>862</v>
      </c>
    </row>
    <row r="175" spans="1:34" s="32" customFormat="1" ht="27.6">
      <c r="A175" s="338" t="s">
        <v>942</v>
      </c>
      <c r="B175" s="338" t="s">
        <v>943</v>
      </c>
      <c r="C175" s="358">
        <v>44224</v>
      </c>
      <c r="D175" s="351" t="s">
        <v>759</v>
      </c>
      <c r="E175" s="352" t="s">
        <v>868</v>
      </c>
      <c r="F175" s="338">
        <v>0.6694444444444444</v>
      </c>
      <c r="G175" s="338">
        <v>0.67152777777777783</v>
      </c>
      <c r="H175" s="338" t="s">
        <v>999</v>
      </c>
      <c r="I175" s="353">
        <v>733</v>
      </c>
      <c r="J175" s="338" t="str">
        <f>IFERROR(VLOOKUP(I175,'Chart of accounts'!A:H,2,FALSE),"")</f>
        <v>50103030 01</v>
      </c>
      <c r="K175" s="338" t="str">
        <f>IFERROR(VLOOKUP(I175,'Chart of accounts'!A:H,3,FALSE),"")</f>
        <v>PhilHealth - Civilian</v>
      </c>
      <c r="L175" s="338" t="str">
        <f>IFERROR(VLOOKUP(I175,'Chart of accounts'!A:H,4,FALSE),"")</f>
        <v>50103030 01 - PhilHealth - Civilian (733)</v>
      </c>
      <c r="M175" s="360" t="s">
        <v>769</v>
      </c>
      <c r="N175" s="355" t="s">
        <v>869</v>
      </c>
      <c r="O175" s="355" t="s">
        <v>864</v>
      </c>
      <c r="P175" s="355"/>
      <c r="Q175" s="363">
        <v>503.63</v>
      </c>
      <c r="R175" s="319">
        <f t="shared" ref="R175:R238" si="2">P175-Q175</f>
        <v>-503.63</v>
      </c>
      <c r="S175" s="319" t="str">
        <f>VLOOKUP(H175,'Fund Utilization Report'!$A$4:$U$1800,13,FALSE)</f>
        <v>PS</v>
      </c>
      <c r="T175" s="319" t="str">
        <f>VLOOKUP(H175,'Fund Utilization Report'!$A$4:$U$1800,2,FALSE)</f>
        <v>SAA15</v>
      </c>
      <c r="U175" s="319" t="str">
        <f>VLOOKUP(H175,'Fund Utilization Report'!$A$4:$U$1800,3,FALSE)</f>
        <v>2021-01-0015</v>
      </c>
      <c r="V175" s="319" t="str">
        <f>VLOOKUP(H175,'Fund Utilization Report'!$A$4:$U$1800,4,FALSE)</f>
        <v>CARP</v>
      </c>
      <c r="W175" s="319" t="str">
        <f>VLOOKUP(H175,'Fund Utilization Report'!$A$4:$U$1800,5,FALSE)</f>
        <v>01101101</v>
      </c>
      <c r="X175" s="319" t="str">
        <f>VLOOKUP(H175,'Fund Utilization Report'!$A$4:$U$1800,6,FALSE)</f>
        <v>GOP</v>
      </c>
      <c r="Y175" s="320">
        <f>VLOOKUP(H175,'Fund Utilization Report'!$A$4:$U$1800,7,FALSE)</f>
        <v>706</v>
      </c>
      <c r="Z175" s="321" t="str">
        <f>VLOOKUP(H175,'Fund Utilization Report'!$A$4:$U$1800,8,FALSE)</f>
        <v>50101020 00</v>
      </c>
      <c r="AA175" s="319" t="str">
        <f>VLOOKUP(H175,'Fund Utilization Report'!$A$4:$U$1800,14,FALSE)</f>
        <v>330100100003000</v>
      </c>
      <c r="AB175" s="349" t="str">
        <f>VLOOKUP(H175,'Fund Utilization Report'!$A$4:$U$1800,15,FALSE)</f>
        <v>MSME Development Program : Program Beneficiaries Development Component of the Comprehensive Agrarian Reform Program</v>
      </c>
      <c r="AC175" s="39" t="s">
        <v>0</v>
      </c>
      <c r="AD175" s="34">
        <v>1</v>
      </c>
      <c r="AE175" s="39">
        <v>733</v>
      </c>
      <c r="AF175" s="51" t="str">
        <f>VLOOKUP(AE175,'[2]Chart of accounts'!A:H,2,FALSE)</f>
        <v>50103030 01</v>
      </c>
      <c r="AG175" s="53" t="s">
        <v>4</v>
      </c>
      <c r="AH175" s="40" t="s">
        <v>862</v>
      </c>
    </row>
    <row r="176" spans="1:34" s="32" customFormat="1" ht="27.6">
      <c r="A176" s="338" t="s">
        <v>942</v>
      </c>
      <c r="B176" s="338" t="s">
        <v>943</v>
      </c>
      <c r="C176" s="358">
        <v>44224</v>
      </c>
      <c r="D176" s="351" t="s">
        <v>759</v>
      </c>
      <c r="E176" s="352" t="s">
        <v>868</v>
      </c>
      <c r="F176" s="338">
        <v>0.6694444444444444</v>
      </c>
      <c r="G176" s="338">
        <v>0.67152777777777783</v>
      </c>
      <c r="H176" s="338" t="s">
        <v>999</v>
      </c>
      <c r="I176" s="353">
        <v>734</v>
      </c>
      <c r="J176" s="338" t="str">
        <f>IFERROR(VLOOKUP(I176,'Chart of accounts'!A:H,2,FALSE),"")</f>
        <v>50103040 01</v>
      </c>
      <c r="K176" s="338" t="str">
        <f>IFERROR(VLOOKUP(I176,'Chart of accounts'!A:H,3,FALSE),"")</f>
        <v>ECIP - Civilian</v>
      </c>
      <c r="L176" s="338" t="str">
        <f>IFERROR(VLOOKUP(I176,'Chart of accounts'!A:H,4,FALSE),"")</f>
        <v>50103040 01 - ECIP - Civilian (734)</v>
      </c>
      <c r="M176" s="360" t="s">
        <v>769</v>
      </c>
      <c r="N176" s="355" t="s">
        <v>869</v>
      </c>
      <c r="O176" s="355" t="s">
        <v>864</v>
      </c>
      <c r="P176" s="355"/>
      <c r="Q176" s="363">
        <v>100</v>
      </c>
      <c r="R176" s="319">
        <f t="shared" si="2"/>
        <v>-100</v>
      </c>
      <c r="S176" s="319" t="str">
        <f>VLOOKUP(H176,'Fund Utilization Report'!$A$4:$U$1800,13,FALSE)</f>
        <v>PS</v>
      </c>
      <c r="T176" s="319" t="str">
        <f>VLOOKUP(H176,'Fund Utilization Report'!$A$4:$U$1800,2,FALSE)</f>
        <v>SAA15</v>
      </c>
      <c r="U176" s="319" t="str">
        <f>VLOOKUP(H176,'Fund Utilization Report'!$A$4:$U$1800,3,FALSE)</f>
        <v>2021-01-0015</v>
      </c>
      <c r="V176" s="319" t="str">
        <f>VLOOKUP(H176,'Fund Utilization Report'!$A$4:$U$1800,4,FALSE)</f>
        <v>CARP</v>
      </c>
      <c r="W176" s="319" t="str">
        <f>VLOOKUP(H176,'Fund Utilization Report'!$A$4:$U$1800,5,FALSE)</f>
        <v>01101101</v>
      </c>
      <c r="X176" s="319" t="str">
        <f>VLOOKUP(H176,'Fund Utilization Report'!$A$4:$U$1800,6,FALSE)</f>
        <v>GOP</v>
      </c>
      <c r="Y176" s="320">
        <f>VLOOKUP(H176,'Fund Utilization Report'!$A$4:$U$1800,7,FALSE)</f>
        <v>706</v>
      </c>
      <c r="Z176" s="321" t="str">
        <f>VLOOKUP(H176,'Fund Utilization Report'!$A$4:$U$1800,8,FALSE)</f>
        <v>50101020 00</v>
      </c>
      <c r="AA176" s="319" t="str">
        <f>VLOOKUP(H176,'Fund Utilization Report'!$A$4:$U$1800,14,FALSE)</f>
        <v>330100100003000</v>
      </c>
      <c r="AB176" s="349" t="str">
        <f>VLOOKUP(H176,'Fund Utilization Report'!$A$4:$U$1800,15,FALSE)</f>
        <v>MSME Development Program : Program Beneficiaries Development Component of the Comprehensive Agrarian Reform Program</v>
      </c>
      <c r="AC176" s="39" t="s">
        <v>0</v>
      </c>
      <c r="AD176" s="34">
        <v>1</v>
      </c>
      <c r="AE176" s="39">
        <v>734</v>
      </c>
      <c r="AF176" s="51" t="str">
        <f>VLOOKUP(AE176,'[2]Chart of accounts'!A:H,2,FALSE)</f>
        <v>50103040 01</v>
      </c>
      <c r="AG176" s="53" t="s">
        <v>4</v>
      </c>
      <c r="AH176" s="40" t="s">
        <v>862</v>
      </c>
    </row>
    <row r="177" spans="1:34" s="32" customFormat="1" ht="27.6">
      <c r="A177" s="338" t="s">
        <v>942</v>
      </c>
      <c r="B177" s="338" t="s">
        <v>943</v>
      </c>
      <c r="C177" s="358">
        <v>44224</v>
      </c>
      <c r="D177" s="351" t="s">
        <v>759</v>
      </c>
      <c r="E177" s="352" t="s">
        <v>870</v>
      </c>
      <c r="F177" s="338">
        <v>0.67152777777777783</v>
      </c>
      <c r="G177" s="338">
        <v>0.6743055555555556</v>
      </c>
      <c r="H177" s="338" t="s">
        <v>999</v>
      </c>
      <c r="I177" s="353">
        <v>706</v>
      </c>
      <c r="J177" s="338" t="str">
        <f>IFERROR(VLOOKUP(I177,'Chart of accounts'!A:H,2,FALSE),"")</f>
        <v>50101020 00</v>
      </c>
      <c r="K177" s="338" t="str">
        <f>IFERROR(VLOOKUP(I177,'Chart of accounts'!A:H,3,FALSE),"")</f>
        <v>Basic Salary - Contractual</v>
      </c>
      <c r="L177" s="338" t="str">
        <f>IFERROR(VLOOKUP(I177,'Chart of accounts'!A:H,4,FALSE),"")</f>
        <v>50101020 00 - Basic Salary - Contractual (706)</v>
      </c>
      <c r="M177" s="360" t="s">
        <v>771</v>
      </c>
      <c r="N177" s="355" t="s">
        <v>768</v>
      </c>
      <c r="O177" s="355" t="s">
        <v>864</v>
      </c>
      <c r="P177" s="355"/>
      <c r="Q177" s="363">
        <v>77256</v>
      </c>
      <c r="R177" s="319">
        <f t="shared" si="2"/>
        <v>-77256</v>
      </c>
      <c r="S177" s="319" t="str">
        <f>VLOOKUP(H177,'Fund Utilization Report'!$A$4:$U$1800,13,FALSE)</f>
        <v>PS</v>
      </c>
      <c r="T177" s="319" t="str">
        <f>VLOOKUP(H177,'Fund Utilization Report'!$A$4:$U$1800,2,FALSE)</f>
        <v>SAA15</v>
      </c>
      <c r="U177" s="319" t="str">
        <f>VLOOKUP(H177,'Fund Utilization Report'!$A$4:$U$1800,3,FALSE)</f>
        <v>2021-01-0015</v>
      </c>
      <c r="V177" s="319" t="str">
        <f>VLOOKUP(H177,'Fund Utilization Report'!$A$4:$U$1800,4,FALSE)</f>
        <v>CARP</v>
      </c>
      <c r="W177" s="319" t="str">
        <f>VLOOKUP(H177,'Fund Utilization Report'!$A$4:$U$1800,5,FALSE)</f>
        <v>01101101</v>
      </c>
      <c r="X177" s="319" t="str">
        <f>VLOOKUP(H177,'Fund Utilization Report'!$A$4:$U$1800,6,FALSE)</f>
        <v>GOP</v>
      </c>
      <c r="Y177" s="320">
        <f>VLOOKUP(H177,'Fund Utilization Report'!$A$4:$U$1800,7,FALSE)</f>
        <v>706</v>
      </c>
      <c r="Z177" s="321" t="str">
        <f>VLOOKUP(H177,'Fund Utilization Report'!$A$4:$U$1800,8,FALSE)</f>
        <v>50101020 00</v>
      </c>
      <c r="AA177" s="319" t="str">
        <f>VLOOKUP(H177,'Fund Utilization Report'!$A$4:$U$1800,14,FALSE)</f>
        <v>330100100003000</v>
      </c>
      <c r="AB177" s="349" t="str">
        <f>VLOOKUP(H177,'Fund Utilization Report'!$A$4:$U$1800,15,FALSE)</f>
        <v>MSME Development Program : Program Beneficiaries Development Component of the Comprehensive Agrarian Reform Program</v>
      </c>
      <c r="AC177" s="39" t="s">
        <v>0</v>
      </c>
      <c r="AD177" s="34">
        <v>1</v>
      </c>
      <c r="AE177" s="39">
        <v>706</v>
      </c>
      <c r="AF177" s="51" t="str">
        <f>VLOOKUP(AE177,'[2]Chart of accounts'!A:H,2,FALSE)</f>
        <v>50101020 00</v>
      </c>
      <c r="AG177" s="53" t="s">
        <v>4</v>
      </c>
      <c r="AH177" s="40" t="s">
        <v>862</v>
      </c>
    </row>
    <row r="178" spans="1:34" s="32" customFormat="1" ht="27.6">
      <c r="A178" s="338" t="s">
        <v>942</v>
      </c>
      <c r="B178" s="338" t="s">
        <v>943</v>
      </c>
      <c r="C178" s="358">
        <v>44224</v>
      </c>
      <c r="D178" s="351" t="s">
        <v>759</v>
      </c>
      <c r="E178" s="352" t="s">
        <v>870</v>
      </c>
      <c r="F178" s="338">
        <v>0.67152777777777783</v>
      </c>
      <c r="G178" s="338">
        <v>0.6743055555555556</v>
      </c>
      <c r="H178" s="338" t="s">
        <v>999</v>
      </c>
      <c r="I178" s="353">
        <v>711</v>
      </c>
      <c r="J178" s="338" t="str">
        <f>IFERROR(VLOOKUP(I178,'Chart of accounts'!A:H,2,FALSE),"")</f>
        <v>50102010 01</v>
      </c>
      <c r="K178" s="338" t="str">
        <f>IFERROR(VLOOKUP(I178,'Chart of accounts'!A:H,3,FALSE),"")</f>
        <v>PERA - Civilian</v>
      </c>
      <c r="L178" s="338" t="str">
        <f>IFERROR(VLOOKUP(I178,'Chart of accounts'!A:H,4,FALSE),"")</f>
        <v>50102010 01 - PERA - Civilian (711)</v>
      </c>
      <c r="M178" s="360" t="s">
        <v>771</v>
      </c>
      <c r="N178" s="355" t="s">
        <v>768</v>
      </c>
      <c r="O178" s="355" t="s">
        <v>864</v>
      </c>
      <c r="P178" s="355"/>
      <c r="Q178" s="363">
        <v>4000</v>
      </c>
      <c r="R178" s="319">
        <f t="shared" si="2"/>
        <v>-4000</v>
      </c>
      <c r="S178" s="319" t="str">
        <f>VLOOKUP(H178,'Fund Utilization Report'!$A$4:$U$1800,13,FALSE)</f>
        <v>PS</v>
      </c>
      <c r="T178" s="319" t="str">
        <f>VLOOKUP(H178,'Fund Utilization Report'!$A$4:$U$1800,2,FALSE)</f>
        <v>SAA15</v>
      </c>
      <c r="U178" s="319" t="str">
        <f>VLOOKUP(H178,'Fund Utilization Report'!$A$4:$U$1800,3,FALSE)</f>
        <v>2021-01-0015</v>
      </c>
      <c r="V178" s="319" t="str">
        <f>VLOOKUP(H178,'Fund Utilization Report'!$A$4:$U$1800,4,FALSE)</f>
        <v>CARP</v>
      </c>
      <c r="W178" s="319" t="str">
        <f>VLOOKUP(H178,'Fund Utilization Report'!$A$4:$U$1800,5,FALSE)</f>
        <v>01101101</v>
      </c>
      <c r="X178" s="319" t="str">
        <f>VLOOKUP(H178,'Fund Utilization Report'!$A$4:$U$1800,6,FALSE)</f>
        <v>GOP</v>
      </c>
      <c r="Y178" s="320">
        <f>VLOOKUP(H178,'Fund Utilization Report'!$A$4:$U$1800,7,FALSE)</f>
        <v>706</v>
      </c>
      <c r="Z178" s="321" t="str">
        <f>VLOOKUP(H178,'Fund Utilization Report'!$A$4:$U$1800,8,FALSE)</f>
        <v>50101020 00</v>
      </c>
      <c r="AA178" s="319" t="str">
        <f>VLOOKUP(H178,'Fund Utilization Report'!$A$4:$U$1800,14,FALSE)</f>
        <v>330100100003000</v>
      </c>
      <c r="AB178" s="349" t="str">
        <f>VLOOKUP(H178,'Fund Utilization Report'!$A$4:$U$1800,15,FALSE)</f>
        <v>MSME Development Program : Program Beneficiaries Development Component of the Comprehensive Agrarian Reform Program</v>
      </c>
      <c r="AC178" s="39" t="s">
        <v>0</v>
      </c>
      <c r="AD178" s="34">
        <v>1</v>
      </c>
      <c r="AE178" s="39">
        <v>711</v>
      </c>
      <c r="AF178" s="51" t="str">
        <f>VLOOKUP(AE178,'[2]Chart of accounts'!A:H,2,FALSE)</f>
        <v>50102010 01</v>
      </c>
      <c r="AG178" s="53" t="s">
        <v>4</v>
      </c>
      <c r="AH178" s="40" t="s">
        <v>862</v>
      </c>
    </row>
    <row r="179" spans="1:34" s="32" customFormat="1" ht="27.6">
      <c r="A179" s="338" t="s">
        <v>942</v>
      </c>
      <c r="B179" s="338" t="s">
        <v>943</v>
      </c>
      <c r="C179" s="358">
        <v>44224</v>
      </c>
      <c r="D179" s="351" t="s">
        <v>759</v>
      </c>
      <c r="E179" s="352" t="s">
        <v>870</v>
      </c>
      <c r="F179" s="338">
        <v>0.67152777777777783</v>
      </c>
      <c r="G179" s="338">
        <v>0.6743055555555556</v>
      </c>
      <c r="H179" s="338" t="s">
        <v>999</v>
      </c>
      <c r="I179" s="353">
        <v>731</v>
      </c>
      <c r="J179" s="338" t="str">
        <f>IFERROR(VLOOKUP(I179,'Chart of accounts'!A:H,2,FALSE),"")</f>
        <v>50103010 00</v>
      </c>
      <c r="K179" s="338" t="str">
        <f>IFERROR(VLOOKUP(I179,'Chart of accounts'!A:H,3,FALSE),"")</f>
        <v>Retirement and Life Insurance Premiums</v>
      </c>
      <c r="L179" s="338" t="str">
        <f>IFERROR(VLOOKUP(I179,'Chart of accounts'!A:H,4,FALSE),"")</f>
        <v>50103010 00 - Retirement and Life Insurance Premiums (731)</v>
      </c>
      <c r="M179" s="360" t="s">
        <v>771</v>
      </c>
      <c r="N179" s="355" t="s">
        <v>768</v>
      </c>
      <c r="O179" s="355" t="s">
        <v>864</v>
      </c>
      <c r="P179" s="355"/>
      <c r="Q179" s="363">
        <v>9270.7199999999993</v>
      </c>
      <c r="R179" s="319">
        <f t="shared" si="2"/>
        <v>-9270.7199999999993</v>
      </c>
      <c r="S179" s="319" t="str">
        <f>VLOOKUP(H179,'Fund Utilization Report'!$A$4:$U$1800,13,FALSE)</f>
        <v>PS</v>
      </c>
      <c r="T179" s="319" t="str">
        <f>VLOOKUP(H179,'Fund Utilization Report'!$A$4:$U$1800,2,FALSE)</f>
        <v>SAA15</v>
      </c>
      <c r="U179" s="319" t="str">
        <f>VLOOKUP(H179,'Fund Utilization Report'!$A$4:$U$1800,3,FALSE)</f>
        <v>2021-01-0015</v>
      </c>
      <c r="V179" s="319" t="str">
        <f>VLOOKUP(H179,'Fund Utilization Report'!$A$4:$U$1800,4,FALSE)</f>
        <v>CARP</v>
      </c>
      <c r="W179" s="319" t="str">
        <f>VLOOKUP(H179,'Fund Utilization Report'!$A$4:$U$1800,5,FALSE)</f>
        <v>01101101</v>
      </c>
      <c r="X179" s="319" t="str">
        <f>VLOOKUP(H179,'Fund Utilization Report'!$A$4:$U$1800,6,FALSE)</f>
        <v>GOP</v>
      </c>
      <c r="Y179" s="320">
        <f>VLOOKUP(H179,'Fund Utilization Report'!$A$4:$U$1800,7,FALSE)</f>
        <v>706</v>
      </c>
      <c r="Z179" s="321" t="str">
        <f>VLOOKUP(H179,'Fund Utilization Report'!$A$4:$U$1800,8,FALSE)</f>
        <v>50101020 00</v>
      </c>
      <c r="AA179" s="319" t="str">
        <f>VLOOKUP(H179,'Fund Utilization Report'!$A$4:$U$1800,14,FALSE)</f>
        <v>330100100003000</v>
      </c>
      <c r="AB179" s="349" t="str">
        <f>VLOOKUP(H179,'Fund Utilization Report'!$A$4:$U$1800,15,FALSE)</f>
        <v>MSME Development Program : Program Beneficiaries Development Component of the Comprehensive Agrarian Reform Program</v>
      </c>
      <c r="AC179" s="39" t="s">
        <v>0</v>
      </c>
      <c r="AD179" s="34">
        <v>1</v>
      </c>
      <c r="AE179" s="39">
        <v>731</v>
      </c>
      <c r="AF179" s="51" t="str">
        <f>VLOOKUP(AE179,'[2]Chart of accounts'!A:H,2,FALSE)</f>
        <v>50103010 00</v>
      </c>
      <c r="AG179" s="53" t="s">
        <v>4</v>
      </c>
      <c r="AH179" s="40" t="s">
        <v>862</v>
      </c>
    </row>
    <row r="180" spans="1:34" s="32" customFormat="1" ht="27.6">
      <c r="A180" s="338" t="s">
        <v>942</v>
      </c>
      <c r="B180" s="338" t="s">
        <v>943</v>
      </c>
      <c r="C180" s="358">
        <v>44224</v>
      </c>
      <c r="D180" s="351" t="s">
        <v>759</v>
      </c>
      <c r="E180" s="352" t="s">
        <v>870</v>
      </c>
      <c r="F180" s="338">
        <v>0.67152777777777783</v>
      </c>
      <c r="G180" s="338">
        <v>0.6743055555555556</v>
      </c>
      <c r="H180" s="338" t="s">
        <v>999</v>
      </c>
      <c r="I180" s="353">
        <v>732</v>
      </c>
      <c r="J180" s="338" t="str">
        <f>IFERROR(VLOOKUP(I180,'Chart of accounts'!A:H,2,FALSE),"")</f>
        <v>50103020 01</v>
      </c>
      <c r="K180" s="338" t="str">
        <f>IFERROR(VLOOKUP(I180,'Chart of accounts'!A:H,3,FALSE),"")</f>
        <v>Pag-IBIG - Civilian</v>
      </c>
      <c r="L180" s="338" t="str">
        <f>IFERROR(VLOOKUP(I180,'Chart of accounts'!A:H,4,FALSE),"")</f>
        <v>50103020 01 - Pag-IBIG - Civilian (732)</v>
      </c>
      <c r="M180" s="360" t="s">
        <v>771</v>
      </c>
      <c r="N180" s="355" t="s">
        <v>768</v>
      </c>
      <c r="O180" s="355" t="s">
        <v>864</v>
      </c>
      <c r="P180" s="355"/>
      <c r="Q180" s="363">
        <v>200</v>
      </c>
      <c r="R180" s="319">
        <f t="shared" si="2"/>
        <v>-200</v>
      </c>
      <c r="S180" s="319" t="str">
        <f>VLOOKUP(H180,'Fund Utilization Report'!$A$4:$U$1800,13,FALSE)</f>
        <v>PS</v>
      </c>
      <c r="T180" s="319" t="str">
        <f>VLOOKUP(H180,'Fund Utilization Report'!$A$4:$U$1800,2,FALSE)</f>
        <v>SAA15</v>
      </c>
      <c r="U180" s="319" t="str">
        <f>VLOOKUP(H180,'Fund Utilization Report'!$A$4:$U$1800,3,FALSE)</f>
        <v>2021-01-0015</v>
      </c>
      <c r="V180" s="319" t="str">
        <f>VLOOKUP(H180,'Fund Utilization Report'!$A$4:$U$1800,4,FALSE)</f>
        <v>CARP</v>
      </c>
      <c r="W180" s="319" t="str">
        <f>VLOOKUP(H180,'Fund Utilization Report'!$A$4:$U$1800,5,FALSE)</f>
        <v>01101101</v>
      </c>
      <c r="X180" s="319" t="str">
        <f>VLOOKUP(H180,'Fund Utilization Report'!$A$4:$U$1800,6,FALSE)</f>
        <v>GOP</v>
      </c>
      <c r="Y180" s="320">
        <f>VLOOKUP(H180,'Fund Utilization Report'!$A$4:$U$1800,7,FALSE)</f>
        <v>706</v>
      </c>
      <c r="Z180" s="321" t="str">
        <f>VLOOKUP(H180,'Fund Utilization Report'!$A$4:$U$1800,8,FALSE)</f>
        <v>50101020 00</v>
      </c>
      <c r="AA180" s="319" t="str">
        <f>VLOOKUP(H180,'Fund Utilization Report'!$A$4:$U$1800,14,FALSE)</f>
        <v>330100100003000</v>
      </c>
      <c r="AB180" s="349" t="str">
        <f>VLOOKUP(H180,'Fund Utilization Report'!$A$4:$U$1800,15,FALSE)</f>
        <v>MSME Development Program : Program Beneficiaries Development Component of the Comprehensive Agrarian Reform Program</v>
      </c>
      <c r="AC180" s="39" t="s">
        <v>0</v>
      </c>
      <c r="AD180" s="34">
        <v>1</v>
      </c>
      <c r="AE180" s="39">
        <v>732</v>
      </c>
      <c r="AF180" s="51" t="str">
        <f>VLOOKUP(AE180,'[2]Chart of accounts'!A:H,2,FALSE)</f>
        <v>50103020 01</v>
      </c>
      <c r="AG180" s="53" t="s">
        <v>4</v>
      </c>
      <c r="AH180" s="40" t="s">
        <v>862</v>
      </c>
    </row>
    <row r="181" spans="1:34" s="32" customFormat="1" ht="27.6">
      <c r="A181" s="338" t="s">
        <v>942</v>
      </c>
      <c r="B181" s="338" t="s">
        <v>943</v>
      </c>
      <c r="C181" s="358">
        <v>44224</v>
      </c>
      <c r="D181" s="351" t="s">
        <v>759</v>
      </c>
      <c r="E181" s="352" t="s">
        <v>870</v>
      </c>
      <c r="F181" s="338">
        <v>0.67152777777777783</v>
      </c>
      <c r="G181" s="338">
        <v>0.6743055555555556</v>
      </c>
      <c r="H181" s="338" t="s">
        <v>999</v>
      </c>
      <c r="I181" s="353">
        <v>733</v>
      </c>
      <c r="J181" s="338" t="str">
        <f>IFERROR(VLOOKUP(I181,'Chart of accounts'!A:H,2,FALSE),"")</f>
        <v>50103030 01</v>
      </c>
      <c r="K181" s="338" t="str">
        <f>IFERROR(VLOOKUP(I181,'Chart of accounts'!A:H,3,FALSE),"")</f>
        <v>PhilHealth - Civilian</v>
      </c>
      <c r="L181" s="338" t="str">
        <f>IFERROR(VLOOKUP(I181,'Chart of accounts'!A:H,4,FALSE),"")</f>
        <v>50103030 01 - PhilHealth - Civilian (733)</v>
      </c>
      <c r="M181" s="360" t="s">
        <v>771</v>
      </c>
      <c r="N181" s="355" t="s">
        <v>768</v>
      </c>
      <c r="O181" s="355" t="s">
        <v>864</v>
      </c>
      <c r="P181" s="355"/>
      <c r="Q181" s="363">
        <v>1158.8499999999999</v>
      </c>
      <c r="R181" s="319">
        <f t="shared" si="2"/>
        <v>-1158.8499999999999</v>
      </c>
      <c r="S181" s="319" t="str">
        <f>VLOOKUP(H181,'Fund Utilization Report'!$A$4:$U$1800,13,FALSE)</f>
        <v>PS</v>
      </c>
      <c r="T181" s="319" t="str">
        <f>VLOOKUP(H181,'Fund Utilization Report'!$A$4:$U$1800,2,FALSE)</f>
        <v>SAA15</v>
      </c>
      <c r="U181" s="319" t="str">
        <f>VLOOKUP(H181,'Fund Utilization Report'!$A$4:$U$1800,3,FALSE)</f>
        <v>2021-01-0015</v>
      </c>
      <c r="V181" s="319" t="str">
        <f>VLOOKUP(H181,'Fund Utilization Report'!$A$4:$U$1800,4,FALSE)</f>
        <v>CARP</v>
      </c>
      <c r="W181" s="319" t="str">
        <f>VLOOKUP(H181,'Fund Utilization Report'!$A$4:$U$1800,5,FALSE)</f>
        <v>01101101</v>
      </c>
      <c r="X181" s="319" t="str">
        <f>VLOOKUP(H181,'Fund Utilization Report'!$A$4:$U$1800,6,FALSE)</f>
        <v>GOP</v>
      </c>
      <c r="Y181" s="320">
        <f>VLOOKUP(H181,'Fund Utilization Report'!$A$4:$U$1800,7,FALSE)</f>
        <v>706</v>
      </c>
      <c r="Z181" s="321" t="str">
        <f>VLOOKUP(H181,'Fund Utilization Report'!$A$4:$U$1800,8,FALSE)</f>
        <v>50101020 00</v>
      </c>
      <c r="AA181" s="319" t="str">
        <f>VLOOKUP(H181,'Fund Utilization Report'!$A$4:$U$1800,14,FALSE)</f>
        <v>330100100003000</v>
      </c>
      <c r="AB181" s="349" t="str">
        <f>VLOOKUP(H181,'Fund Utilization Report'!$A$4:$U$1800,15,FALSE)</f>
        <v>MSME Development Program : Program Beneficiaries Development Component of the Comprehensive Agrarian Reform Program</v>
      </c>
      <c r="AC181" s="39" t="s">
        <v>0</v>
      </c>
      <c r="AD181" s="34">
        <v>1</v>
      </c>
      <c r="AE181" s="39">
        <v>733</v>
      </c>
      <c r="AF181" s="51" t="str">
        <f>VLOOKUP(AE181,'[2]Chart of accounts'!A:H,2,FALSE)</f>
        <v>50103030 01</v>
      </c>
      <c r="AG181" s="53" t="s">
        <v>4</v>
      </c>
      <c r="AH181" s="40" t="s">
        <v>862</v>
      </c>
    </row>
    <row r="182" spans="1:34" s="32" customFormat="1" ht="27.6">
      <c r="A182" s="338" t="s">
        <v>942</v>
      </c>
      <c r="B182" s="338" t="s">
        <v>943</v>
      </c>
      <c r="C182" s="358">
        <v>44224</v>
      </c>
      <c r="D182" s="351" t="s">
        <v>759</v>
      </c>
      <c r="E182" s="352" t="s">
        <v>870</v>
      </c>
      <c r="F182" s="338">
        <v>0.67152777777777783</v>
      </c>
      <c r="G182" s="338">
        <v>0.6743055555555556</v>
      </c>
      <c r="H182" s="338" t="s">
        <v>999</v>
      </c>
      <c r="I182" s="353">
        <v>734</v>
      </c>
      <c r="J182" s="338" t="str">
        <f>IFERROR(VLOOKUP(I182,'Chart of accounts'!A:H,2,FALSE),"")</f>
        <v>50103040 01</v>
      </c>
      <c r="K182" s="338" t="str">
        <f>IFERROR(VLOOKUP(I182,'Chart of accounts'!A:H,3,FALSE),"")</f>
        <v>ECIP - Civilian</v>
      </c>
      <c r="L182" s="338" t="str">
        <f>IFERROR(VLOOKUP(I182,'Chart of accounts'!A:H,4,FALSE),"")</f>
        <v>50103040 01 - ECIP - Civilian (734)</v>
      </c>
      <c r="M182" s="360" t="s">
        <v>771</v>
      </c>
      <c r="N182" s="355" t="s">
        <v>768</v>
      </c>
      <c r="O182" s="355" t="s">
        <v>864</v>
      </c>
      <c r="P182" s="355"/>
      <c r="Q182" s="363">
        <v>200</v>
      </c>
      <c r="R182" s="319">
        <f t="shared" si="2"/>
        <v>-200</v>
      </c>
      <c r="S182" s="319" t="str">
        <f>VLOOKUP(H182,'Fund Utilization Report'!$A$4:$U$1800,13,FALSE)</f>
        <v>PS</v>
      </c>
      <c r="T182" s="319" t="str">
        <f>VLOOKUP(H182,'Fund Utilization Report'!$A$4:$U$1800,2,FALSE)</f>
        <v>SAA15</v>
      </c>
      <c r="U182" s="319" t="str">
        <f>VLOOKUP(H182,'Fund Utilization Report'!$A$4:$U$1800,3,FALSE)</f>
        <v>2021-01-0015</v>
      </c>
      <c r="V182" s="319" t="str">
        <f>VLOOKUP(H182,'Fund Utilization Report'!$A$4:$U$1800,4,FALSE)</f>
        <v>CARP</v>
      </c>
      <c r="W182" s="319" t="str">
        <f>VLOOKUP(H182,'Fund Utilization Report'!$A$4:$U$1800,5,FALSE)</f>
        <v>01101101</v>
      </c>
      <c r="X182" s="319" t="str">
        <f>VLOOKUP(H182,'Fund Utilization Report'!$A$4:$U$1800,6,FALSE)</f>
        <v>GOP</v>
      </c>
      <c r="Y182" s="320">
        <f>VLOOKUP(H182,'Fund Utilization Report'!$A$4:$U$1800,7,FALSE)</f>
        <v>706</v>
      </c>
      <c r="Z182" s="321" t="str">
        <f>VLOOKUP(H182,'Fund Utilization Report'!$A$4:$U$1800,8,FALSE)</f>
        <v>50101020 00</v>
      </c>
      <c r="AA182" s="319" t="str">
        <f>VLOOKUP(H182,'Fund Utilization Report'!$A$4:$U$1800,14,FALSE)</f>
        <v>330100100003000</v>
      </c>
      <c r="AB182" s="349" t="str">
        <f>VLOOKUP(H182,'Fund Utilization Report'!$A$4:$U$1800,15,FALSE)</f>
        <v>MSME Development Program : Program Beneficiaries Development Component of the Comprehensive Agrarian Reform Program</v>
      </c>
      <c r="AC182" s="39" t="s">
        <v>0</v>
      </c>
      <c r="AD182" s="34">
        <v>1</v>
      </c>
      <c r="AE182" s="39">
        <v>734</v>
      </c>
      <c r="AF182" s="51" t="str">
        <f>VLOOKUP(AE182,'[2]Chart of accounts'!A:H,2,FALSE)</f>
        <v>50103040 01</v>
      </c>
      <c r="AG182" s="53" t="s">
        <v>4</v>
      </c>
      <c r="AH182" s="40" t="s">
        <v>862</v>
      </c>
    </row>
    <row r="183" spans="1:34" s="32" customFormat="1" ht="27.6">
      <c r="A183" s="338" t="s">
        <v>942</v>
      </c>
      <c r="B183" s="338" t="s">
        <v>943</v>
      </c>
      <c r="C183" s="358">
        <v>44224</v>
      </c>
      <c r="D183" s="351" t="s">
        <v>759</v>
      </c>
      <c r="E183" s="352" t="s">
        <v>871</v>
      </c>
      <c r="F183" s="338">
        <v>0.6743055555555556</v>
      </c>
      <c r="G183" s="338">
        <v>0.67499999999999993</v>
      </c>
      <c r="H183" s="338" t="s">
        <v>999</v>
      </c>
      <c r="I183" s="353">
        <v>706</v>
      </c>
      <c r="J183" s="338" t="str">
        <f>IFERROR(VLOOKUP(I183,'Chart of accounts'!A:H,2,FALSE),"")</f>
        <v>50101020 00</v>
      </c>
      <c r="K183" s="338" t="str">
        <f>IFERROR(VLOOKUP(I183,'Chart of accounts'!A:H,3,FALSE),"")</f>
        <v>Basic Salary - Contractual</v>
      </c>
      <c r="L183" s="338" t="str">
        <f>IFERROR(VLOOKUP(I183,'Chart of accounts'!A:H,4,FALSE),"")</f>
        <v>50101020 00 - Basic Salary - Contractual (706)</v>
      </c>
      <c r="M183" s="360" t="s">
        <v>770</v>
      </c>
      <c r="N183" s="355" t="s">
        <v>872</v>
      </c>
      <c r="O183" s="355" t="s">
        <v>864</v>
      </c>
      <c r="P183" s="355"/>
      <c r="Q183" s="363">
        <v>33575</v>
      </c>
      <c r="R183" s="319">
        <f t="shared" si="2"/>
        <v>-33575</v>
      </c>
      <c r="S183" s="319" t="str">
        <f>VLOOKUP(H183,'Fund Utilization Report'!$A$4:$U$1800,13,FALSE)</f>
        <v>PS</v>
      </c>
      <c r="T183" s="319" t="str">
        <f>VLOOKUP(H183,'Fund Utilization Report'!$A$4:$U$1800,2,FALSE)</f>
        <v>SAA15</v>
      </c>
      <c r="U183" s="319" t="str">
        <f>VLOOKUP(H183,'Fund Utilization Report'!$A$4:$U$1800,3,FALSE)</f>
        <v>2021-01-0015</v>
      </c>
      <c r="V183" s="319" t="str">
        <f>VLOOKUP(H183,'Fund Utilization Report'!$A$4:$U$1800,4,FALSE)</f>
        <v>CARP</v>
      </c>
      <c r="W183" s="319" t="str">
        <f>VLOOKUP(H183,'Fund Utilization Report'!$A$4:$U$1800,5,FALSE)</f>
        <v>01101101</v>
      </c>
      <c r="X183" s="319" t="str">
        <f>VLOOKUP(H183,'Fund Utilization Report'!$A$4:$U$1800,6,FALSE)</f>
        <v>GOP</v>
      </c>
      <c r="Y183" s="320">
        <f>VLOOKUP(H183,'Fund Utilization Report'!$A$4:$U$1800,7,FALSE)</f>
        <v>706</v>
      </c>
      <c r="Z183" s="321" t="str">
        <f>VLOOKUP(H183,'Fund Utilization Report'!$A$4:$U$1800,8,FALSE)</f>
        <v>50101020 00</v>
      </c>
      <c r="AA183" s="319" t="str">
        <f>VLOOKUP(H183,'Fund Utilization Report'!$A$4:$U$1800,14,FALSE)</f>
        <v>330100100003000</v>
      </c>
      <c r="AB183" s="349" t="str">
        <f>VLOOKUP(H183,'Fund Utilization Report'!$A$4:$U$1800,15,FALSE)</f>
        <v>MSME Development Program : Program Beneficiaries Development Component of the Comprehensive Agrarian Reform Program</v>
      </c>
      <c r="AC183" s="39" t="s">
        <v>0</v>
      </c>
      <c r="AD183" s="34">
        <v>1</v>
      </c>
      <c r="AE183" s="39">
        <v>706</v>
      </c>
      <c r="AF183" s="51" t="str">
        <f>VLOOKUP(AE183,'[2]Chart of accounts'!A:H,2,FALSE)</f>
        <v>50101020 00</v>
      </c>
      <c r="AG183" s="53" t="s">
        <v>4</v>
      </c>
      <c r="AH183" s="40" t="s">
        <v>862</v>
      </c>
    </row>
    <row r="184" spans="1:34" s="32" customFormat="1" ht="27.6">
      <c r="A184" s="338" t="s">
        <v>942</v>
      </c>
      <c r="B184" s="338" t="s">
        <v>943</v>
      </c>
      <c r="C184" s="358">
        <v>44224</v>
      </c>
      <c r="D184" s="351" t="s">
        <v>759</v>
      </c>
      <c r="E184" s="352" t="s">
        <v>871</v>
      </c>
      <c r="F184" s="338">
        <v>0.6743055555555556</v>
      </c>
      <c r="G184" s="338">
        <v>0.67499999999999993</v>
      </c>
      <c r="H184" s="338" t="s">
        <v>999</v>
      </c>
      <c r="I184" s="353">
        <v>711</v>
      </c>
      <c r="J184" s="338" t="str">
        <f>IFERROR(VLOOKUP(I184,'Chart of accounts'!A:H,2,FALSE),"")</f>
        <v>50102010 01</v>
      </c>
      <c r="K184" s="338" t="str">
        <f>IFERROR(VLOOKUP(I184,'Chart of accounts'!A:H,3,FALSE),"")</f>
        <v>PERA - Civilian</v>
      </c>
      <c r="L184" s="338" t="str">
        <f>IFERROR(VLOOKUP(I184,'Chart of accounts'!A:H,4,FALSE),"")</f>
        <v>50102010 01 - PERA - Civilian (711)</v>
      </c>
      <c r="M184" s="361">
        <v>85</v>
      </c>
      <c r="N184" s="355" t="s">
        <v>872</v>
      </c>
      <c r="O184" s="355" t="s">
        <v>864</v>
      </c>
      <c r="P184" s="355"/>
      <c r="Q184" s="363">
        <v>2000</v>
      </c>
      <c r="R184" s="319">
        <f t="shared" si="2"/>
        <v>-2000</v>
      </c>
      <c r="S184" s="319" t="str">
        <f>VLOOKUP(H184,'Fund Utilization Report'!$A$4:$U$1800,13,FALSE)</f>
        <v>PS</v>
      </c>
      <c r="T184" s="319" t="str">
        <f>VLOOKUP(H184,'Fund Utilization Report'!$A$4:$U$1800,2,FALSE)</f>
        <v>SAA15</v>
      </c>
      <c r="U184" s="319" t="str">
        <f>VLOOKUP(H184,'Fund Utilization Report'!$A$4:$U$1800,3,FALSE)</f>
        <v>2021-01-0015</v>
      </c>
      <c r="V184" s="319" t="str">
        <f>VLOOKUP(H184,'Fund Utilization Report'!$A$4:$U$1800,4,FALSE)</f>
        <v>CARP</v>
      </c>
      <c r="W184" s="319" t="str">
        <f>VLOOKUP(H184,'Fund Utilization Report'!$A$4:$U$1800,5,FALSE)</f>
        <v>01101101</v>
      </c>
      <c r="X184" s="319" t="str">
        <f>VLOOKUP(H184,'Fund Utilization Report'!$A$4:$U$1800,6,FALSE)</f>
        <v>GOP</v>
      </c>
      <c r="Y184" s="320">
        <f>VLOOKUP(H184,'Fund Utilization Report'!$A$4:$U$1800,7,FALSE)</f>
        <v>706</v>
      </c>
      <c r="Z184" s="321" t="str">
        <f>VLOOKUP(H184,'Fund Utilization Report'!$A$4:$U$1800,8,FALSE)</f>
        <v>50101020 00</v>
      </c>
      <c r="AA184" s="319" t="str">
        <f>VLOOKUP(H184,'Fund Utilization Report'!$A$4:$U$1800,14,FALSE)</f>
        <v>330100100003000</v>
      </c>
      <c r="AB184" s="349" t="str">
        <f>VLOOKUP(H184,'Fund Utilization Report'!$A$4:$U$1800,15,FALSE)</f>
        <v>MSME Development Program : Program Beneficiaries Development Component of the Comprehensive Agrarian Reform Program</v>
      </c>
      <c r="AC184" s="39" t="s">
        <v>0</v>
      </c>
      <c r="AD184" s="34">
        <v>1</v>
      </c>
      <c r="AE184" s="39">
        <v>711</v>
      </c>
      <c r="AF184" s="51" t="str">
        <f>VLOOKUP(AE184,'[2]Chart of accounts'!A:H,2,FALSE)</f>
        <v>50102010 01</v>
      </c>
      <c r="AG184" s="53" t="s">
        <v>4</v>
      </c>
      <c r="AH184" s="40" t="s">
        <v>862</v>
      </c>
    </row>
    <row r="185" spans="1:34" s="32" customFormat="1" ht="27.6">
      <c r="A185" s="338" t="s">
        <v>942</v>
      </c>
      <c r="B185" s="338" t="s">
        <v>943</v>
      </c>
      <c r="C185" s="358">
        <v>44224</v>
      </c>
      <c r="D185" s="351" t="s">
        <v>759</v>
      </c>
      <c r="E185" s="352" t="s">
        <v>871</v>
      </c>
      <c r="F185" s="338">
        <v>0.6743055555555556</v>
      </c>
      <c r="G185" s="338">
        <v>0.67499999999999993</v>
      </c>
      <c r="H185" s="338" t="s">
        <v>999</v>
      </c>
      <c r="I185" s="353">
        <v>731</v>
      </c>
      <c r="J185" s="338" t="str">
        <f>IFERROR(VLOOKUP(I185,'Chart of accounts'!A:H,2,FALSE),"")</f>
        <v>50103010 00</v>
      </c>
      <c r="K185" s="338" t="str">
        <f>IFERROR(VLOOKUP(I185,'Chart of accounts'!A:H,3,FALSE),"")</f>
        <v>Retirement and Life Insurance Premiums</v>
      </c>
      <c r="L185" s="338" t="str">
        <f>IFERROR(VLOOKUP(I185,'Chart of accounts'!A:H,4,FALSE),"")</f>
        <v>50103010 00 - Retirement and Life Insurance Premiums (731)</v>
      </c>
      <c r="M185" s="361">
        <v>85</v>
      </c>
      <c r="N185" s="355" t="s">
        <v>872</v>
      </c>
      <c r="O185" s="355" t="s">
        <v>864</v>
      </c>
      <c r="P185" s="355"/>
      <c r="Q185" s="363">
        <v>4029</v>
      </c>
      <c r="R185" s="319">
        <f t="shared" si="2"/>
        <v>-4029</v>
      </c>
      <c r="S185" s="319" t="str">
        <f>VLOOKUP(H185,'Fund Utilization Report'!$A$4:$U$1800,13,FALSE)</f>
        <v>PS</v>
      </c>
      <c r="T185" s="319" t="str">
        <f>VLOOKUP(H185,'Fund Utilization Report'!$A$4:$U$1800,2,FALSE)</f>
        <v>SAA15</v>
      </c>
      <c r="U185" s="319" t="str">
        <f>VLOOKUP(H185,'Fund Utilization Report'!$A$4:$U$1800,3,FALSE)</f>
        <v>2021-01-0015</v>
      </c>
      <c r="V185" s="319" t="str">
        <f>VLOOKUP(H185,'Fund Utilization Report'!$A$4:$U$1800,4,FALSE)</f>
        <v>CARP</v>
      </c>
      <c r="W185" s="319" t="str">
        <f>VLOOKUP(H185,'Fund Utilization Report'!$A$4:$U$1800,5,FALSE)</f>
        <v>01101101</v>
      </c>
      <c r="X185" s="319" t="str">
        <f>VLOOKUP(H185,'Fund Utilization Report'!$A$4:$U$1800,6,FALSE)</f>
        <v>GOP</v>
      </c>
      <c r="Y185" s="320">
        <f>VLOOKUP(H185,'Fund Utilization Report'!$A$4:$U$1800,7,FALSE)</f>
        <v>706</v>
      </c>
      <c r="Z185" s="321" t="str">
        <f>VLOOKUP(H185,'Fund Utilization Report'!$A$4:$U$1800,8,FALSE)</f>
        <v>50101020 00</v>
      </c>
      <c r="AA185" s="319" t="str">
        <f>VLOOKUP(H185,'Fund Utilization Report'!$A$4:$U$1800,14,FALSE)</f>
        <v>330100100003000</v>
      </c>
      <c r="AB185" s="349" t="str">
        <f>VLOOKUP(H185,'Fund Utilization Report'!$A$4:$U$1800,15,FALSE)</f>
        <v>MSME Development Program : Program Beneficiaries Development Component of the Comprehensive Agrarian Reform Program</v>
      </c>
      <c r="AC185" s="39" t="s">
        <v>0</v>
      </c>
      <c r="AD185" s="34">
        <v>1</v>
      </c>
      <c r="AE185" s="39">
        <v>731</v>
      </c>
      <c r="AF185" s="51" t="str">
        <f>VLOOKUP(AE185,'[2]Chart of accounts'!A:H,2,FALSE)</f>
        <v>50103010 00</v>
      </c>
      <c r="AG185" s="53" t="s">
        <v>4</v>
      </c>
      <c r="AH185" s="40" t="s">
        <v>862</v>
      </c>
    </row>
    <row r="186" spans="1:34" s="32" customFormat="1" ht="27.6">
      <c r="A186" s="338" t="s">
        <v>942</v>
      </c>
      <c r="B186" s="338" t="s">
        <v>943</v>
      </c>
      <c r="C186" s="358">
        <v>44224</v>
      </c>
      <c r="D186" s="351" t="s">
        <v>759</v>
      </c>
      <c r="E186" s="352" t="s">
        <v>871</v>
      </c>
      <c r="F186" s="338">
        <v>0.6743055555555556</v>
      </c>
      <c r="G186" s="338">
        <v>0.67499999999999993</v>
      </c>
      <c r="H186" s="338" t="s">
        <v>999</v>
      </c>
      <c r="I186" s="353">
        <v>732</v>
      </c>
      <c r="J186" s="338" t="str">
        <f>IFERROR(VLOOKUP(I186,'Chart of accounts'!A:H,2,FALSE),"")</f>
        <v>50103020 01</v>
      </c>
      <c r="K186" s="338" t="str">
        <f>IFERROR(VLOOKUP(I186,'Chart of accounts'!A:H,3,FALSE),"")</f>
        <v>Pag-IBIG - Civilian</v>
      </c>
      <c r="L186" s="338" t="str">
        <f>IFERROR(VLOOKUP(I186,'Chart of accounts'!A:H,4,FALSE),"")</f>
        <v>50103020 01 - Pag-IBIG - Civilian (732)</v>
      </c>
      <c r="M186" s="361">
        <v>85</v>
      </c>
      <c r="N186" s="355" t="s">
        <v>872</v>
      </c>
      <c r="O186" s="355" t="s">
        <v>864</v>
      </c>
      <c r="P186" s="355"/>
      <c r="Q186" s="363">
        <v>100</v>
      </c>
      <c r="R186" s="319">
        <f t="shared" si="2"/>
        <v>-100</v>
      </c>
      <c r="S186" s="319" t="str">
        <f>VLOOKUP(H186,'Fund Utilization Report'!$A$4:$U$1800,13,FALSE)</f>
        <v>PS</v>
      </c>
      <c r="T186" s="319" t="str">
        <f>VLOOKUP(H186,'Fund Utilization Report'!$A$4:$U$1800,2,FALSE)</f>
        <v>SAA15</v>
      </c>
      <c r="U186" s="319" t="str">
        <f>VLOOKUP(H186,'Fund Utilization Report'!$A$4:$U$1800,3,FALSE)</f>
        <v>2021-01-0015</v>
      </c>
      <c r="V186" s="319" t="str">
        <f>VLOOKUP(H186,'Fund Utilization Report'!$A$4:$U$1800,4,FALSE)</f>
        <v>CARP</v>
      </c>
      <c r="W186" s="319" t="str">
        <f>VLOOKUP(H186,'Fund Utilization Report'!$A$4:$U$1800,5,FALSE)</f>
        <v>01101101</v>
      </c>
      <c r="X186" s="319" t="str">
        <f>VLOOKUP(H186,'Fund Utilization Report'!$A$4:$U$1800,6,FALSE)</f>
        <v>GOP</v>
      </c>
      <c r="Y186" s="320">
        <f>VLOOKUP(H186,'Fund Utilization Report'!$A$4:$U$1800,7,FALSE)</f>
        <v>706</v>
      </c>
      <c r="Z186" s="321" t="str">
        <f>VLOOKUP(H186,'Fund Utilization Report'!$A$4:$U$1800,8,FALSE)</f>
        <v>50101020 00</v>
      </c>
      <c r="AA186" s="319" t="str">
        <f>VLOOKUP(H186,'Fund Utilization Report'!$A$4:$U$1800,14,FALSE)</f>
        <v>330100100003000</v>
      </c>
      <c r="AB186" s="349" t="str">
        <f>VLOOKUP(H186,'Fund Utilization Report'!$A$4:$U$1800,15,FALSE)</f>
        <v>MSME Development Program : Program Beneficiaries Development Component of the Comprehensive Agrarian Reform Program</v>
      </c>
      <c r="AC186" s="39" t="s">
        <v>0</v>
      </c>
      <c r="AD186" s="34">
        <v>1</v>
      </c>
      <c r="AE186" s="39">
        <v>732</v>
      </c>
      <c r="AF186" s="51" t="str">
        <f>VLOOKUP(AE186,'[2]Chart of accounts'!A:H,2,FALSE)</f>
        <v>50103020 01</v>
      </c>
      <c r="AG186" s="53" t="s">
        <v>4</v>
      </c>
      <c r="AH186" s="40" t="s">
        <v>862</v>
      </c>
    </row>
    <row r="187" spans="1:34" s="32" customFormat="1" ht="27.6">
      <c r="A187" s="338" t="s">
        <v>942</v>
      </c>
      <c r="B187" s="338" t="s">
        <v>943</v>
      </c>
      <c r="C187" s="358">
        <v>44224</v>
      </c>
      <c r="D187" s="351" t="s">
        <v>759</v>
      </c>
      <c r="E187" s="352" t="s">
        <v>871</v>
      </c>
      <c r="F187" s="338">
        <v>0.6743055555555556</v>
      </c>
      <c r="G187" s="338">
        <v>0.67499999999999993</v>
      </c>
      <c r="H187" s="338" t="s">
        <v>999</v>
      </c>
      <c r="I187" s="353">
        <v>733</v>
      </c>
      <c r="J187" s="338" t="str">
        <f>IFERROR(VLOOKUP(I187,'Chart of accounts'!A:H,2,FALSE),"")</f>
        <v>50103030 01</v>
      </c>
      <c r="K187" s="338" t="str">
        <f>IFERROR(VLOOKUP(I187,'Chart of accounts'!A:H,3,FALSE),"")</f>
        <v>PhilHealth - Civilian</v>
      </c>
      <c r="L187" s="338" t="str">
        <f>IFERROR(VLOOKUP(I187,'Chart of accounts'!A:H,4,FALSE),"")</f>
        <v>50103030 01 - PhilHealth - Civilian (733)</v>
      </c>
      <c r="M187" s="361">
        <v>85</v>
      </c>
      <c r="N187" s="355" t="s">
        <v>872</v>
      </c>
      <c r="O187" s="355" t="s">
        <v>864</v>
      </c>
      <c r="P187" s="355"/>
      <c r="Q187" s="363">
        <v>503.63</v>
      </c>
      <c r="R187" s="319">
        <f t="shared" si="2"/>
        <v>-503.63</v>
      </c>
      <c r="S187" s="319" t="str">
        <f>VLOOKUP(H187,'Fund Utilization Report'!$A$4:$U$1800,13,FALSE)</f>
        <v>PS</v>
      </c>
      <c r="T187" s="319" t="str">
        <f>VLOOKUP(H187,'Fund Utilization Report'!$A$4:$U$1800,2,FALSE)</f>
        <v>SAA15</v>
      </c>
      <c r="U187" s="319" t="str">
        <f>VLOOKUP(H187,'Fund Utilization Report'!$A$4:$U$1800,3,FALSE)</f>
        <v>2021-01-0015</v>
      </c>
      <c r="V187" s="319" t="str">
        <f>VLOOKUP(H187,'Fund Utilization Report'!$A$4:$U$1800,4,FALSE)</f>
        <v>CARP</v>
      </c>
      <c r="W187" s="319" t="str">
        <f>VLOOKUP(H187,'Fund Utilization Report'!$A$4:$U$1800,5,FALSE)</f>
        <v>01101101</v>
      </c>
      <c r="X187" s="319" t="str">
        <f>VLOOKUP(H187,'Fund Utilization Report'!$A$4:$U$1800,6,FALSE)</f>
        <v>GOP</v>
      </c>
      <c r="Y187" s="320">
        <f>VLOOKUP(H187,'Fund Utilization Report'!$A$4:$U$1800,7,FALSE)</f>
        <v>706</v>
      </c>
      <c r="Z187" s="321" t="str">
        <f>VLOOKUP(H187,'Fund Utilization Report'!$A$4:$U$1800,8,FALSE)</f>
        <v>50101020 00</v>
      </c>
      <c r="AA187" s="319" t="str">
        <f>VLOOKUP(H187,'Fund Utilization Report'!$A$4:$U$1800,14,FALSE)</f>
        <v>330100100003000</v>
      </c>
      <c r="AB187" s="349" t="str">
        <f>VLOOKUP(H187,'Fund Utilization Report'!$A$4:$U$1800,15,FALSE)</f>
        <v>MSME Development Program : Program Beneficiaries Development Component of the Comprehensive Agrarian Reform Program</v>
      </c>
      <c r="AC187" s="39" t="s">
        <v>0</v>
      </c>
      <c r="AD187" s="34">
        <v>1</v>
      </c>
      <c r="AE187" s="39">
        <v>733</v>
      </c>
      <c r="AF187" s="51" t="str">
        <f>VLOOKUP(AE187,'[2]Chart of accounts'!A:H,2,FALSE)</f>
        <v>50103030 01</v>
      </c>
      <c r="AG187" s="53" t="s">
        <v>4</v>
      </c>
      <c r="AH187" s="40" t="s">
        <v>862</v>
      </c>
    </row>
    <row r="188" spans="1:34" s="32" customFormat="1" ht="27.6">
      <c r="A188" s="338" t="s">
        <v>942</v>
      </c>
      <c r="B188" s="338" t="s">
        <v>943</v>
      </c>
      <c r="C188" s="358">
        <v>44224</v>
      </c>
      <c r="D188" s="351" t="s">
        <v>759</v>
      </c>
      <c r="E188" s="352" t="s">
        <v>871</v>
      </c>
      <c r="F188" s="338">
        <v>0.6743055555555556</v>
      </c>
      <c r="G188" s="338">
        <v>0.67499999999999993</v>
      </c>
      <c r="H188" s="338" t="s">
        <v>999</v>
      </c>
      <c r="I188" s="353">
        <v>734</v>
      </c>
      <c r="J188" s="338" t="str">
        <f>IFERROR(VLOOKUP(I188,'Chart of accounts'!A:H,2,FALSE),"")</f>
        <v>50103040 01</v>
      </c>
      <c r="K188" s="338" t="str">
        <f>IFERROR(VLOOKUP(I188,'Chart of accounts'!A:H,3,FALSE),"")</f>
        <v>ECIP - Civilian</v>
      </c>
      <c r="L188" s="338" t="str">
        <f>IFERROR(VLOOKUP(I188,'Chart of accounts'!A:H,4,FALSE),"")</f>
        <v>50103040 01 - ECIP - Civilian (734)</v>
      </c>
      <c r="M188" s="361">
        <v>85</v>
      </c>
      <c r="N188" s="355" t="s">
        <v>872</v>
      </c>
      <c r="O188" s="355" t="s">
        <v>864</v>
      </c>
      <c r="P188" s="355"/>
      <c r="Q188" s="363">
        <v>100</v>
      </c>
      <c r="R188" s="319">
        <f t="shared" si="2"/>
        <v>-100</v>
      </c>
      <c r="S188" s="319" t="str">
        <f>VLOOKUP(H188,'Fund Utilization Report'!$A$4:$U$1800,13,FALSE)</f>
        <v>PS</v>
      </c>
      <c r="T188" s="319" t="str">
        <f>VLOOKUP(H188,'Fund Utilization Report'!$A$4:$U$1800,2,FALSE)</f>
        <v>SAA15</v>
      </c>
      <c r="U188" s="319" t="str">
        <f>VLOOKUP(H188,'Fund Utilization Report'!$A$4:$U$1800,3,FALSE)</f>
        <v>2021-01-0015</v>
      </c>
      <c r="V188" s="319" t="str">
        <f>VLOOKUP(H188,'Fund Utilization Report'!$A$4:$U$1800,4,FALSE)</f>
        <v>CARP</v>
      </c>
      <c r="W188" s="319" t="str">
        <f>VLOOKUP(H188,'Fund Utilization Report'!$A$4:$U$1800,5,FALSE)</f>
        <v>01101101</v>
      </c>
      <c r="X188" s="319" t="str">
        <f>VLOOKUP(H188,'Fund Utilization Report'!$A$4:$U$1800,6,FALSE)</f>
        <v>GOP</v>
      </c>
      <c r="Y188" s="320">
        <f>VLOOKUP(H188,'Fund Utilization Report'!$A$4:$U$1800,7,FALSE)</f>
        <v>706</v>
      </c>
      <c r="Z188" s="321" t="str">
        <f>VLOOKUP(H188,'Fund Utilization Report'!$A$4:$U$1800,8,FALSE)</f>
        <v>50101020 00</v>
      </c>
      <c r="AA188" s="319" t="str">
        <f>VLOOKUP(H188,'Fund Utilization Report'!$A$4:$U$1800,14,FALSE)</f>
        <v>330100100003000</v>
      </c>
      <c r="AB188" s="349" t="str">
        <f>VLOOKUP(H188,'Fund Utilization Report'!$A$4:$U$1800,15,FALSE)</f>
        <v>MSME Development Program : Program Beneficiaries Development Component of the Comprehensive Agrarian Reform Program</v>
      </c>
      <c r="AC188" s="39" t="s">
        <v>0</v>
      </c>
      <c r="AD188" s="34">
        <v>1</v>
      </c>
      <c r="AE188" s="39">
        <v>734</v>
      </c>
      <c r="AF188" s="51" t="str">
        <f>VLOOKUP(AE188,'[2]Chart of accounts'!A:H,2,FALSE)</f>
        <v>50103040 01</v>
      </c>
      <c r="AG188" s="53" t="s">
        <v>4</v>
      </c>
      <c r="AH188" s="40" t="s">
        <v>862</v>
      </c>
    </row>
    <row r="189" spans="1:34" s="32" customFormat="1">
      <c r="A189" s="338" t="s">
        <v>942</v>
      </c>
      <c r="B189" s="338" t="s">
        <v>945</v>
      </c>
      <c r="C189" s="358">
        <v>44229</v>
      </c>
      <c r="D189" s="351" t="s">
        <v>1028</v>
      </c>
      <c r="E189" s="352" t="s">
        <v>1029</v>
      </c>
      <c r="F189" s="338">
        <v>0.59722222222222221</v>
      </c>
      <c r="G189" s="338">
        <v>0.60138888888888886</v>
      </c>
      <c r="H189" s="338" t="s">
        <v>960</v>
      </c>
      <c r="I189" s="353">
        <v>713</v>
      </c>
      <c r="J189" s="338" t="str">
        <f>IFERROR(VLOOKUP(I189,'Chart of accounts'!A:H,2,FALSE),"")</f>
        <v>50102020 00</v>
      </c>
      <c r="K189" s="338" t="str">
        <f>IFERROR(VLOOKUP(I189,'Chart of accounts'!A:H,3,FALSE),"")</f>
        <v>Representation Allowance</v>
      </c>
      <c r="L189" s="338" t="str">
        <f>IFERROR(VLOOKUP(I189,'Chart of accounts'!A:H,4,FALSE),"")</f>
        <v>50102020 00 - Representation Allowance (713)</v>
      </c>
      <c r="M189" s="360">
        <v>1</v>
      </c>
      <c r="N189" s="355" t="s">
        <v>1030</v>
      </c>
      <c r="O189" s="355" t="s">
        <v>1031</v>
      </c>
      <c r="P189" s="355"/>
      <c r="Q189" s="363">
        <f>9000+8500+5000+7500+7500+7500</f>
        <v>45000</v>
      </c>
      <c r="R189" s="319">
        <f t="shared" si="2"/>
        <v>-45000</v>
      </c>
      <c r="S189" s="319" t="str">
        <f>VLOOKUP(H189,'Fund Utilization Report'!$A$4:$U$1800,13,FALSE)</f>
        <v>PS</v>
      </c>
      <c r="T189" s="319" t="str">
        <f>VLOOKUP(H189,'Fund Utilization Report'!$A$4:$U$1800,2,FALSE)</f>
        <v>GAA</v>
      </c>
      <c r="U189" s="319" t="str">
        <f>VLOOKUP(H189,'Fund Utilization Report'!$A$4:$U$1800,3,FALSE)</f>
        <v>FY2021, RA11518</v>
      </c>
      <c r="V189" s="319" t="str">
        <f>VLOOKUP(H189,'Fund Utilization Report'!$A$4:$U$1800,4,FALSE)</f>
        <v>GAS(GMS)</v>
      </c>
      <c r="W189" s="319" t="str">
        <f>VLOOKUP(H189,'Fund Utilization Report'!$A$4:$U$1800,5,FALSE)</f>
        <v>01101101</v>
      </c>
      <c r="X189" s="319" t="str">
        <f>VLOOKUP(H189,'Fund Utilization Report'!$A$4:$U$1800,6,FALSE)</f>
        <v>GOP</v>
      </c>
      <c r="Y189" s="320" t="str">
        <f>VLOOKUP(H189,'Fund Utilization Report'!$A$4:$U$1800,7,FALSE)</f>
        <v>PS</v>
      </c>
      <c r="Z189" s="321">
        <f>VLOOKUP(H189,'Fund Utilization Report'!$A$4:$U$1800,8,FALSE)</f>
        <v>5010000000</v>
      </c>
      <c r="AA189" s="319" t="str">
        <f>VLOOKUP(H189,'Fund Utilization Report'!$A$4:$U$1800,14,FALSE)</f>
        <v>100000100001000</v>
      </c>
      <c r="AB189" s="349" t="str">
        <f>VLOOKUP(H189,'Fund Utilization Report'!$A$4:$U$1800,15,FALSE)</f>
        <v>General Administration and Supervision - General Management and Supervision</v>
      </c>
      <c r="AC189" s="39"/>
      <c r="AD189" s="34"/>
      <c r="AE189" s="39"/>
      <c r="AF189" s="51" t="e">
        <f>VLOOKUP(AE189,'[2]Chart of accounts'!A:H,2,FALSE)</f>
        <v>#N/A</v>
      </c>
      <c r="AG189" s="40"/>
      <c r="AH189" s="40"/>
    </row>
    <row r="190" spans="1:34" s="32" customFormat="1">
      <c r="A190" s="338" t="s">
        <v>942</v>
      </c>
      <c r="B190" s="338" t="s">
        <v>945</v>
      </c>
      <c r="C190" s="358">
        <v>44229</v>
      </c>
      <c r="D190" s="351" t="s">
        <v>1028</v>
      </c>
      <c r="E190" s="352" t="s">
        <v>1029</v>
      </c>
      <c r="F190" s="338">
        <v>0.59722222222222221</v>
      </c>
      <c r="G190" s="338">
        <v>0.60138888888888886</v>
      </c>
      <c r="H190" s="338" t="s">
        <v>960</v>
      </c>
      <c r="I190" s="353">
        <v>714</v>
      </c>
      <c r="J190" s="338" t="str">
        <f>IFERROR(VLOOKUP(I190,'Chart of accounts'!A:H,2,FALSE),"")</f>
        <v>50102030 01</v>
      </c>
      <c r="K190" s="338" t="str">
        <f>IFERROR(VLOOKUP(I190,'Chart of accounts'!A:H,3,FALSE),"")</f>
        <v xml:space="preserve">Transportation Allowance  </v>
      </c>
      <c r="L190" s="338" t="str">
        <f>IFERROR(VLOOKUP(I190,'Chart of accounts'!A:H,4,FALSE),"")</f>
        <v>50102030 01 - Transportation Allowance   (714)</v>
      </c>
      <c r="M190" s="360">
        <v>1</v>
      </c>
      <c r="N190" s="355" t="s">
        <v>1030</v>
      </c>
      <c r="O190" s="355" t="s">
        <v>1031</v>
      </c>
      <c r="P190" s="355"/>
      <c r="Q190" s="363">
        <f>9000+8500+5000+7500+7500+7500</f>
        <v>45000</v>
      </c>
      <c r="R190" s="319">
        <f t="shared" si="2"/>
        <v>-45000</v>
      </c>
      <c r="S190" s="319" t="str">
        <f>VLOOKUP(H190,'Fund Utilization Report'!$A$4:$U$1800,13,FALSE)</f>
        <v>PS</v>
      </c>
      <c r="T190" s="319" t="str">
        <f>VLOOKUP(H190,'Fund Utilization Report'!$A$4:$U$1800,2,FALSE)</f>
        <v>GAA</v>
      </c>
      <c r="U190" s="319" t="str">
        <f>VLOOKUP(H190,'Fund Utilization Report'!$A$4:$U$1800,3,FALSE)</f>
        <v>FY2021, RA11518</v>
      </c>
      <c r="V190" s="319" t="str">
        <f>VLOOKUP(H190,'Fund Utilization Report'!$A$4:$U$1800,4,FALSE)</f>
        <v>GAS(GMS)</v>
      </c>
      <c r="W190" s="319" t="str">
        <f>VLOOKUP(H190,'Fund Utilization Report'!$A$4:$U$1800,5,FALSE)</f>
        <v>01101101</v>
      </c>
      <c r="X190" s="319" t="str">
        <f>VLOOKUP(H190,'Fund Utilization Report'!$A$4:$U$1800,6,FALSE)</f>
        <v>GOP</v>
      </c>
      <c r="Y190" s="320" t="str">
        <f>VLOOKUP(H190,'Fund Utilization Report'!$A$4:$U$1800,7,FALSE)</f>
        <v>PS</v>
      </c>
      <c r="Z190" s="321">
        <f>VLOOKUP(H190,'Fund Utilization Report'!$A$4:$U$1800,8,FALSE)</f>
        <v>5010000000</v>
      </c>
      <c r="AA190" s="319" t="str">
        <f>VLOOKUP(H190,'Fund Utilization Report'!$A$4:$U$1800,14,FALSE)</f>
        <v>100000100001000</v>
      </c>
      <c r="AB190" s="349" t="str">
        <f>VLOOKUP(H190,'Fund Utilization Report'!$A$4:$U$1800,15,FALSE)</f>
        <v>General Administration and Supervision - General Management and Supervision</v>
      </c>
      <c r="AC190" s="39"/>
      <c r="AD190" s="34"/>
      <c r="AE190" s="39"/>
      <c r="AF190" s="51" t="e">
        <f>VLOOKUP(AE190,'[2]Chart of accounts'!A:H,2,FALSE)</f>
        <v>#N/A</v>
      </c>
      <c r="AG190" s="40"/>
      <c r="AH190" s="40"/>
    </row>
    <row r="191" spans="1:34" s="32" customFormat="1">
      <c r="A191" s="338" t="s">
        <v>942</v>
      </c>
      <c r="B191" s="338" t="s">
        <v>945</v>
      </c>
      <c r="C191" s="358">
        <v>44229</v>
      </c>
      <c r="D191" s="351" t="s">
        <v>1028</v>
      </c>
      <c r="E191" s="352" t="s">
        <v>1029</v>
      </c>
      <c r="F191" s="338">
        <v>0.59722222222222221</v>
      </c>
      <c r="G191" s="338">
        <v>0.60138888888888886</v>
      </c>
      <c r="H191" s="338" t="s">
        <v>964</v>
      </c>
      <c r="I191" s="353">
        <v>713</v>
      </c>
      <c r="J191" s="338" t="str">
        <f>IFERROR(VLOOKUP(I191,'Chart of accounts'!A:H,2,FALSE),"")</f>
        <v>50102020 00</v>
      </c>
      <c r="K191" s="338" t="str">
        <f>IFERROR(VLOOKUP(I191,'Chart of accounts'!A:H,3,FALSE),"")</f>
        <v>Representation Allowance</v>
      </c>
      <c r="L191" s="338" t="str">
        <f>IFERROR(VLOOKUP(I191,'Chart of accounts'!A:H,4,FALSE),"")</f>
        <v>50102020 00 - Representation Allowance (713)</v>
      </c>
      <c r="M191" s="360">
        <v>1</v>
      </c>
      <c r="N191" s="355" t="s">
        <v>1030</v>
      </c>
      <c r="O191" s="355" t="s">
        <v>1031</v>
      </c>
      <c r="P191" s="355"/>
      <c r="Q191" s="363">
        <v>5000</v>
      </c>
      <c r="R191" s="319">
        <f t="shared" si="2"/>
        <v>-5000</v>
      </c>
      <c r="S191" s="319" t="str">
        <f>VLOOKUP(H191,'Fund Utilization Report'!$A$4:$U$1800,13,FALSE)</f>
        <v>PS</v>
      </c>
      <c r="T191" s="319" t="str">
        <f>VLOOKUP(H191,'Fund Utilization Report'!$A$4:$U$1800,2,FALSE)</f>
        <v>GAA</v>
      </c>
      <c r="U191" s="319" t="str">
        <f>VLOOKUP(H191,'Fund Utilization Report'!$A$4:$U$1800,3,FALSE)</f>
        <v>FY2021, RA11518</v>
      </c>
      <c r="V191" s="319" t="str">
        <f>VLOOKUP(H191,'Fund Utilization Report'!$A$4:$U$1800,4,FALSE)</f>
        <v>OO1</v>
      </c>
      <c r="W191" s="319" t="str">
        <f>VLOOKUP(H191,'Fund Utilization Report'!$A$4:$U$1800,5,FALSE)</f>
        <v>01101101</v>
      </c>
      <c r="X191" s="319" t="str">
        <f>VLOOKUP(H191,'Fund Utilization Report'!$A$4:$U$1800,6,FALSE)</f>
        <v>GOP</v>
      </c>
      <c r="Y191" s="320" t="str">
        <f>VLOOKUP(H191,'Fund Utilization Report'!$A$4:$U$1800,7,FALSE)</f>
        <v>PS</v>
      </c>
      <c r="Z191" s="321">
        <f>VLOOKUP(H191,'Fund Utilization Report'!$A$4:$U$1800,8,FALSE)</f>
        <v>5010000000</v>
      </c>
      <c r="AA191" s="319" t="str">
        <f>VLOOKUP(H191,'Fund Utilization Report'!$A$4:$U$1800,14,FALSE)</f>
        <v>310100100002000</v>
      </c>
      <c r="AB191" s="349" t="str">
        <f>VLOOKUP(H191,'Fund Utilization Report'!$A$4:$U$1800,15,FALSE)</f>
        <v>Development,Facilitation, and promotion of exports and investment, domestic and foreign</v>
      </c>
      <c r="AC191" s="39"/>
      <c r="AD191" s="34"/>
      <c r="AE191" s="39"/>
      <c r="AF191" s="51"/>
      <c r="AG191" s="40"/>
      <c r="AH191" s="40"/>
    </row>
    <row r="192" spans="1:34" s="32" customFormat="1">
      <c r="A192" s="338" t="s">
        <v>942</v>
      </c>
      <c r="B192" s="338" t="s">
        <v>945</v>
      </c>
      <c r="C192" s="358">
        <v>44229</v>
      </c>
      <c r="D192" s="351" t="s">
        <v>1028</v>
      </c>
      <c r="E192" s="352" t="s">
        <v>1029</v>
      </c>
      <c r="F192" s="338">
        <v>0.59722222222222221</v>
      </c>
      <c r="G192" s="338">
        <v>0.60138888888888886</v>
      </c>
      <c r="H192" s="338" t="s">
        <v>964</v>
      </c>
      <c r="I192" s="353">
        <v>714</v>
      </c>
      <c r="J192" s="338" t="str">
        <f>IFERROR(VLOOKUP(I192,'Chart of accounts'!A:H,2,FALSE),"")</f>
        <v>50102030 01</v>
      </c>
      <c r="K192" s="338" t="str">
        <f>IFERROR(VLOOKUP(I192,'Chart of accounts'!A:H,3,FALSE),"")</f>
        <v xml:space="preserve">Transportation Allowance  </v>
      </c>
      <c r="L192" s="338" t="str">
        <f>IFERROR(VLOOKUP(I192,'Chart of accounts'!A:H,4,FALSE),"")</f>
        <v>50102030 01 - Transportation Allowance   (714)</v>
      </c>
      <c r="M192" s="360">
        <v>1</v>
      </c>
      <c r="N192" s="355" t="s">
        <v>1030</v>
      </c>
      <c r="O192" s="355" t="s">
        <v>1031</v>
      </c>
      <c r="P192" s="355"/>
      <c r="Q192" s="363">
        <v>5000</v>
      </c>
      <c r="R192" s="319">
        <f t="shared" si="2"/>
        <v>-5000</v>
      </c>
      <c r="S192" s="319" t="str">
        <f>VLOOKUP(H192,'Fund Utilization Report'!$A$4:$U$1800,13,FALSE)</f>
        <v>PS</v>
      </c>
      <c r="T192" s="319" t="str">
        <f>VLOOKUP(H192,'Fund Utilization Report'!$A$4:$U$1800,2,FALSE)</f>
        <v>GAA</v>
      </c>
      <c r="U192" s="319" t="str">
        <f>VLOOKUP(H192,'Fund Utilization Report'!$A$4:$U$1800,3,FALSE)</f>
        <v>FY2021, RA11518</v>
      </c>
      <c r="V192" s="319" t="str">
        <f>VLOOKUP(H192,'Fund Utilization Report'!$A$4:$U$1800,4,FALSE)</f>
        <v>OO1</v>
      </c>
      <c r="W192" s="319" t="str">
        <f>VLOOKUP(H192,'Fund Utilization Report'!$A$4:$U$1800,5,FALSE)</f>
        <v>01101101</v>
      </c>
      <c r="X192" s="319" t="str">
        <f>VLOOKUP(H192,'Fund Utilization Report'!$A$4:$U$1800,6,FALSE)</f>
        <v>GOP</v>
      </c>
      <c r="Y192" s="320" t="str">
        <f>VLOOKUP(H192,'Fund Utilization Report'!$A$4:$U$1800,7,FALSE)</f>
        <v>PS</v>
      </c>
      <c r="Z192" s="321">
        <f>VLOOKUP(H192,'Fund Utilization Report'!$A$4:$U$1800,8,FALSE)</f>
        <v>5010000000</v>
      </c>
      <c r="AA192" s="319" t="str">
        <f>VLOOKUP(H192,'Fund Utilization Report'!$A$4:$U$1800,14,FALSE)</f>
        <v>310100100002000</v>
      </c>
      <c r="AB192" s="349" t="str">
        <f>VLOOKUP(H192,'Fund Utilization Report'!$A$4:$U$1800,15,FALSE)</f>
        <v>Development,Facilitation, and promotion of exports and investment, domestic and foreign</v>
      </c>
      <c r="AC192" s="39"/>
      <c r="AD192" s="34"/>
      <c r="AE192" s="39"/>
      <c r="AF192" s="51"/>
      <c r="AG192" s="40"/>
      <c r="AH192" s="40"/>
    </row>
    <row r="193" spans="1:34" s="32" customFormat="1">
      <c r="A193" s="338" t="s">
        <v>942</v>
      </c>
      <c r="B193" s="338" t="s">
        <v>945</v>
      </c>
      <c r="C193" s="358">
        <v>44229</v>
      </c>
      <c r="D193" s="351" t="s">
        <v>1028</v>
      </c>
      <c r="E193" s="352" t="s">
        <v>1029</v>
      </c>
      <c r="F193" s="338">
        <v>0.59722222222222221</v>
      </c>
      <c r="G193" s="338">
        <v>0.60138888888888886</v>
      </c>
      <c r="H193" s="338" t="s">
        <v>967</v>
      </c>
      <c r="I193" s="353">
        <v>713</v>
      </c>
      <c r="J193" s="338" t="str">
        <f>IFERROR(VLOOKUP(I193,'Chart of accounts'!A:H,2,FALSE),"")</f>
        <v>50102020 00</v>
      </c>
      <c r="K193" s="338" t="str">
        <f>IFERROR(VLOOKUP(I193,'Chart of accounts'!A:H,3,FALSE),"")</f>
        <v>Representation Allowance</v>
      </c>
      <c r="L193" s="338" t="str">
        <f>IFERROR(VLOOKUP(I193,'Chart of accounts'!A:H,4,FALSE),"")</f>
        <v>50102020 00 - Representation Allowance (713)</v>
      </c>
      <c r="M193" s="360">
        <v>1</v>
      </c>
      <c r="N193" s="355" t="s">
        <v>1030</v>
      </c>
      <c r="O193" s="355" t="s">
        <v>1031</v>
      </c>
      <c r="P193" s="355"/>
      <c r="Q193" s="363">
        <f>5000+5000</f>
        <v>10000</v>
      </c>
      <c r="R193" s="319">
        <f t="shared" si="2"/>
        <v>-10000</v>
      </c>
      <c r="S193" s="319" t="str">
        <f>VLOOKUP(H193,'Fund Utilization Report'!$A$4:$U$1800,13,FALSE)</f>
        <v>PS</v>
      </c>
      <c r="T193" s="319" t="str">
        <f>VLOOKUP(H193,'Fund Utilization Report'!$A$4:$U$1800,2,FALSE)</f>
        <v>GAA</v>
      </c>
      <c r="U193" s="319" t="str">
        <f>VLOOKUP(H193,'Fund Utilization Report'!$A$4:$U$1800,3,FALSE)</f>
        <v>FY2021, RA11518</v>
      </c>
      <c r="V193" s="319" t="str">
        <f>VLOOKUP(H193,'Fund Utilization Report'!$A$4:$U$1800,4,FALSE)</f>
        <v>OO2</v>
      </c>
      <c r="W193" s="319" t="str">
        <f>VLOOKUP(H193,'Fund Utilization Report'!$A$4:$U$1800,5,FALSE)</f>
        <v>01101101</v>
      </c>
      <c r="X193" s="319" t="str">
        <f>VLOOKUP(H193,'Fund Utilization Report'!$A$4:$U$1800,6,FALSE)</f>
        <v>GOP</v>
      </c>
      <c r="Y193" s="320" t="str">
        <f>VLOOKUP(H193,'Fund Utilization Report'!$A$4:$U$1800,7,FALSE)</f>
        <v>PS</v>
      </c>
      <c r="Z193" s="321">
        <f>VLOOKUP(H193,'Fund Utilization Report'!$A$4:$U$1800,8,FALSE)</f>
        <v>5010000000</v>
      </c>
      <c r="AA193" s="319" t="str">
        <f>VLOOKUP(H193,'Fund Utilization Report'!$A$4:$U$1800,14,FALSE)</f>
        <v>320100100001000</v>
      </c>
      <c r="AB193" s="349" t="str">
        <f>VLOOKUP(H193,'Fund Utilization Report'!$A$4:$U$1800,15,FALSE)</f>
        <v>Formulation of Strategic plans,programs, and policies to develop competitve industries</v>
      </c>
      <c r="AC193" s="39"/>
      <c r="AD193" s="34"/>
      <c r="AE193" s="39"/>
      <c r="AF193" s="51"/>
      <c r="AG193" s="40"/>
      <c r="AH193" s="40"/>
    </row>
    <row r="194" spans="1:34" s="32" customFormat="1">
      <c r="A194" s="338" t="s">
        <v>942</v>
      </c>
      <c r="B194" s="338" t="s">
        <v>945</v>
      </c>
      <c r="C194" s="358">
        <v>44229</v>
      </c>
      <c r="D194" s="351" t="s">
        <v>1028</v>
      </c>
      <c r="E194" s="352" t="s">
        <v>1029</v>
      </c>
      <c r="F194" s="338">
        <v>0.59722222222222221</v>
      </c>
      <c r="G194" s="338">
        <v>0.60138888888888886</v>
      </c>
      <c r="H194" s="338" t="s">
        <v>967</v>
      </c>
      <c r="I194" s="353">
        <v>714</v>
      </c>
      <c r="J194" s="338" t="str">
        <f>IFERROR(VLOOKUP(I194,'Chart of accounts'!A:H,2,FALSE),"")</f>
        <v>50102030 01</v>
      </c>
      <c r="K194" s="338" t="str">
        <f>IFERROR(VLOOKUP(I194,'Chart of accounts'!A:H,3,FALSE),"")</f>
        <v xml:space="preserve">Transportation Allowance  </v>
      </c>
      <c r="L194" s="338" t="str">
        <f>IFERROR(VLOOKUP(I194,'Chart of accounts'!A:H,4,FALSE),"")</f>
        <v>50102030 01 - Transportation Allowance   (714)</v>
      </c>
      <c r="M194" s="360">
        <v>1</v>
      </c>
      <c r="N194" s="355" t="s">
        <v>1030</v>
      </c>
      <c r="O194" s="355" t="s">
        <v>1031</v>
      </c>
      <c r="P194" s="355"/>
      <c r="Q194" s="363">
        <f>5000+5000</f>
        <v>10000</v>
      </c>
      <c r="R194" s="319">
        <f t="shared" si="2"/>
        <v>-10000</v>
      </c>
      <c r="S194" s="319" t="str">
        <f>VLOOKUP(H194,'Fund Utilization Report'!$A$4:$U$1800,13,FALSE)</f>
        <v>PS</v>
      </c>
      <c r="T194" s="319" t="str">
        <f>VLOOKUP(H194,'Fund Utilization Report'!$A$4:$U$1800,2,FALSE)</f>
        <v>GAA</v>
      </c>
      <c r="U194" s="319" t="str">
        <f>VLOOKUP(H194,'Fund Utilization Report'!$A$4:$U$1800,3,FALSE)</f>
        <v>FY2021, RA11518</v>
      </c>
      <c r="V194" s="319" t="str">
        <f>VLOOKUP(H194,'Fund Utilization Report'!$A$4:$U$1800,4,FALSE)</f>
        <v>OO2</v>
      </c>
      <c r="W194" s="319" t="str">
        <f>VLOOKUP(H194,'Fund Utilization Report'!$A$4:$U$1800,5,FALSE)</f>
        <v>01101101</v>
      </c>
      <c r="X194" s="319" t="str">
        <f>VLOOKUP(H194,'Fund Utilization Report'!$A$4:$U$1800,6,FALSE)</f>
        <v>GOP</v>
      </c>
      <c r="Y194" s="320" t="str">
        <f>VLOOKUP(H194,'Fund Utilization Report'!$A$4:$U$1800,7,FALSE)</f>
        <v>PS</v>
      </c>
      <c r="Z194" s="321">
        <f>VLOOKUP(H194,'Fund Utilization Report'!$A$4:$U$1800,8,FALSE)</f>
        <v>5010000000</v>
      </c>
      <c r="AA194" s="319" t="str">
        <f>VLOOKUP(H194,'Fund Utilization Report'!$A$4:$U$1800,14,FALSE)</f>
        <v>320100100001000</v>
      </c>
      <c r="AB194" s="349" t="str">
        <f>VLOOKUP(H194,'Fund Utilization Report'!$A$4:$U$1800,15,FALSE)</f>
        <v>Formulation of Strategic plans,programs, and policies to develop competitve industries</v>
      </c>
      <c r="AC194" s="39"/>
      <c r="AD194" s="34"/>
      <c r="AE194" s="39"/>
      <c r="AF194" s="51"/>
      <c r="AG194" s="40"/>
      <c r="AH194" s="40"/>
    </row>
    <row r="195" spans="1:34" s="32" customFormat="1">
      <c r="A195" s="338" t="s">
        <v>942</v>
      </c>
      <c r="B195" s="338" t="s">
        <v>945</v>
      </c>
      <c r="C195" s="358">
        <v>44229</v>
      </c>
      <c r="D195" s="351" t="s">
        <v>1028</v>
      </c>
      <c r="E195" s="352" t="s">
        <v>1029</v>
      </c>
      <c r="F195" s="338">
        <v>0.59722222222222221</v>
      </c>
      <c r="G195" s="338">
        <v>0.60138888888888886</v>
      </c>
      <c r="H195" s="338" t="s">
        <v>970</v>
      </c>
      <c r="I195" s="353">
        <v>713</v>
      </c>
      <c r="J195" s="338" t="str">
        <f>IFERROR(VLOOKUP(I195,'Chart of accounts'!A:H,2,FALSE),"")</f>
        <v>50102020 00</v>
      </c>
      <c r="K195" s="338" t="str">
        <f>IFERROR(VLOOKUP(I195,'Chart of accounts'!A:H,3,FALSE),"")</f>
        <v>Representation Allowance</v>
      </c>
      <c r="L195" s="338" t="str">
        <f>IFERROR(VLOOKUP(I195,'Chart of accounts'!A:H,4,FALSE),"")</f>
        <v>50102020 00 - Representation Allowance (713)</v>
      </c>
      <c r="M195" s="360">
        <v>1</v>
      </c>
      <c r="N195" s="355" t="s">
        <v>1030</v>
      </c>
      <c r="O195" s="355" t="s">
        <v>1031</v>
      </c>
      <c r="P195" s="355"/>
      <c r="Q195" s="363">
        <f>5000+5000</f>
        <v>10000</v>
      </c>
      <c r="R195" s="319">
        <f t="shared" si="2"/>
        <v>-10000</v>
      </c>
      <c r="S195" s="319" t="str">
        <f>VLOOKUP(H195,'Fund Utilization Report'!$A$4:$U$1800,13,FALSE)</f>
        <v>PS</v>
      </c>
      <c r="T195" s="319" t="str">
        <f>VLOOKUP(H195,'Fund Utilization Report'!$A$4:$U$1800,2,FALSE)</f>
        <v>GAA</v>
      </c>
      <c r="U195" s="319" t="str">
        <f>VLOOKUP(H195,'Fund Utilization Report'!$A$4:$U$1800,3,FALSE)</f>
        <v>FY2021, RA11518</v>
      </c>
      <c r="V195" s="319" t="str">
        <f>VLOOKUP(H195,'Fund Utilization Report'!$A$4:$U$1800,4,FALSE)</f>
        <v>OO3</v>
      </c>
      <c r="W195" s="319" t="str">
        <f>VLOOKUP(H195,'Fund Utilization Report'!$A$4:$U$1800,5,FALSE)</f>
        <v>01101101</v>
      </c>
      <c r="X195" s="319" t="str">
        <f>VLOOKUP(H195,'Fund Utilization Report'!$A$4:$U$1800,6,FALSE)</f>
        <v>GOP</v>
      </c>
      <c r="Y195" s="320" t="str">
        <f>VLOOKUP(H195,'Fund Utilization Report'!$A$4:$U$1800,7,FALSE)</f>
        <v>PS</v>
      </c>
      <c r="Z195" s="321">
        <f>VLOOKUP(H195,'Fund Utilization Report'!$A$4:$U$1800,8,FALSE)</f>
        <v>5010000000</v>
      </c>
      <c r="AA195" s="319" t="str">
        <f>VLOOKUP(H195,'Fund Utilization Report'!$A$4:$U$1800,14,FALSE)</f>
        <v>330100100002000</v>
      </c>
      <c r="AB195" s="349" t="str">
        <f>VLOOKUP(H195,'Fund Utilization Report'!$A$4:$U$1800,15,FALSE)</f>
        <v>Implementation of the MSME Development Plan and other initiatives to promote the growth of Micro, Small and Medium Enterprises</v>
      </c>
      <c r="AC195" s="39"/>
      <c r="AD195" s="34"/>
      <c r="AE195" s="39"/>
      <c r="AF195" s="51"/>
      <c r="AG195" s="40"/>
      <c r="AH195" s="40"/>
    </row>
    <row r="196" spans="1:34" s="32" customFormat="1">
      <c r="A196" s="338" t="s">
        <v>942</v>
      </c>
      <c r="B196" s="338" t="s">
        <v>945</v>
      </c>
      <c r="C196" s="358">
        <v>44229</v>
      </c>
      <c r="D196" s="351" t="s">
        <v>1028</v>
      </c>
      <c r="E196" s="352" t="s">
        <v>1029</v>
      </c>
      <c r="F196" s="338">
        <v>0.59722222222222221</v>
      </c>
      <c r="G196" s="338">
        <v>0.60138888888888886</v>
      </c>
      <c r="H196" s="338" t="s">
        <v>970</v>
      </c>
      <c r="I196" s="353">
        <v>714</v>
      </c>
      <c r="J196" s="338" t="str">
        <f>IFERROR(VLOOKUP(I196,'Chart of accounts'!A:H,2,FALSE),"")</f>
        <v>50102030 01</v>
      </c>
      <c r="K196" s="338" t="str">
        <f>IFERROR(VLOOKUP(I196,'Chart of accounts'!A:H,3,FALSE),"")</f>
        <v xml:space="preserve">Transportation Allowance  </v>
      </c>
      <c r="L196" s="338" t="str">
        <f>IFERROR(VLOOKUP(I196,'Chart of accounts'!A:H,4,FALSE),"")</f>
        <v>50102030 01 - Transportation Allowance   (714)</v>
      </c>
      <c r="M196" s="360">
        <v>1</v>
      </c>
      <c r="N196" s="355" t="s">
        <v>1030</v>
      </c>
      <c r="O196" s="355" t="s">
        <v>1031</v>
      </c>
      <c r="P196" s="355"/>
      <c r="Q196" s="363">
        <f>5000+5000</f>
        <v>10000</v>
      </c>
      <c r="R196" s="319">
        <f t="shared" si="2"/>
        <v>-10000</v>
      </c>
      <c r="S196" s="319" t="str">
        <f>VLOOKUP(H196,'Fund Utilization Report'!$A$4:$U$1800,13,FALSE)</f>
        <v>PS</v>
      </c>
      <c r="T196" s="319" t="str">
        <f>VLOOKUP(H196,'Fund Utilization Report'!$A$4:$U$1800,2,FALSE)</f>
        <v>GAA</v>
      </c>
      <c r="U196" s="319" t="str">
        <f>VLOOKUP(H196,'Fund Utilization Report'!$A$4:$U$1800,3,FALSE)</f>
        <v>FY2021, RA11518</v>
      </c>
      <c r="V196" s="319" t="str">
        <f>VLOOKUP(H196,'Fund Utilization Report'!$A$4:$U$1800,4,FALSE)</f>
        <v>OO3</v>
      </c>
      <c r="W196" s="319" t="str">
        <f>VLOOKUP(H196,'Fund Utilization Report'!$A$4:$U$1800,5,FALSE)</f>
        <v>01101101</v>
      </c>
      <c r="X196" s="319" t="str">
        <f>VLOOKUP(H196,'Fund Utilization Report'!$A$4:$U$1800,6,FALSE)</f>
        <v>GOP</v>
      </c>
      <c r="Y196" s="320" t="str">
        <f>VLOOKUP(H196,'Fund Utilization Report'!$A$4:$U$1800,7,FALSE)</f>
        <v>PS</v>
      </c>
      <c r="Z196" s="321">
        <f>VLOOKUP(H196,'Fund Utilization Report'!$A$4:$U$1800,8,FALSE)</f>
        <v>5010000000</v>
      </c>
      <c r="AA196" s="319" t="str">
        <f>VLOOKUP(H196,'Fund Utilization Report'!$A$4:$U$1800,14,FALSE)</f>
        <v>330100100002000</v>
      </c>
      <c r="AB196" s="349" t="str">
        <f>VLOOKUP(H196,'Fund Utilization Report'!$A$4:$U$1800,15,FALSE)</f>
        <v>Implementation of the MSME Development Plan and other initiatives to promote the growth of Micro, Small and Medium Enterprises</v>
      </c>
      <c r="AC196" s="39"/>
      <c r="AD196" s="34"/>
      <c r="AE196" s="39"/>
      <c r="AF196" s="51"/>
      <c r="AG196" s="40"/>
      <c r="AH196" s="40"/>
    </row>
    <row r="197" spans="1:34" s="32" customFormat="1">
      <c r="A197" s="338" t="s">
        <v>942</v>
      </c>
      <c r="B197" s="338" t="s">
        <v>945</v>
      </c>
      <c r="C197" s="358">
        <v>44229</v>
      </c>
      <c r="D197" s="351" t="s">
        <v>1028</v>
      </c>
      <c r="E197" s="352" t="s">
        <v>1029</v>
      </c>
      <c r="F197" s="338">
        <v>0.59722222222222221</v>
      </c>
      <c r="G197" s="338">
        <v>0.60138888888888886</v>
      </c>
      <c r="H197" s="338" t="s">
        <v>973</v>
      </c>
      <c r="I197" s="353">
        <v>713</v>
      </c>
      <c r="J197" s="338" t="str">
        <f>IFERROR(VLOOKUP(I197,'Chart of accounts'!A:H,2,FALSE),"")</f>
        <v>50102020 00</v>
      </c>
      <c r="K197" s="338" t="str">
        <f>IFERROR(VLOOKUP(I197,'Chart of accounts'!A:H,3,FALSE),"")</f>
        <v>Representation Allowance</v>
      </c>
      <c r="L197" s="338" t="str">
        <f>IFERROR(VLOOKUP(I197,'Chart of accounts'!A:H,4,FALSE),"")</f>
        <v>50102020 00 - Representation Allowance (713)</v>
      </c>
      <c r="M197" s="360">
        <v>1</v>
      </c>
      <c r="N197" s="355" t="s">
        <v>1030</v>
      </c>
      <c r="O197" s="355" t="s">
        <v>1031</v>
      </c>
      <c r="P197" s="355"/>
      <c r="Q197" s="363">
        <v>5000</v>
      </c>
      <c r="R197" s="319">
        <f t="shared" si="2"/>
        <v>-5000</v>
      </c>
      <c r="S197" s="319" t="str">
        <f>VLOOKUP(H197,'Fund Utilization Report'!$A$4:$U$1800,13,FALSE)</f>
        <v>PS</v>
      </c>
      <c r="T197" s="319" t="str">
        <f>VLOOKUP(H197,'Fund Utilization Report'!$A$4:$U$1800,2,FALSE)</f>
        <v>GAA</v>
      </c>
      <c r="U197" s="319" t="str">
        <f>VLOOKUP(H197,'Fund Utilization Report'!$A$4:$U$1800,3,FALSE)</f>
        <v>FY2021, RA11518</v>
      </c>
      <c r="V197" s="319" t="str">
        <f>VLOOKUP(H197,'Fund Utilization Report'!$A$4:$U$1800,4,FALSE)</f>
        <v>OO4.1(FTL)</v>
      </c>
      <c r="W197" s="319" t="str">
        <f>VLOOKUP(H197,'Fund Utilization Report'!$A$4:$U$1800,5,FALSE)</f>
        <v>01101101</v>
      </c>
      <c r="X197" s="319" t="str">
        <f>VLOOKUP(H197,'Fund Utilization Report'!$A$4:$U$1800,6,FALSE)</f>
        <v>GOP</v>
      </c>
      <c r="Y197" s="320" t="str">
        <f>VLOOKUP(H197,'Fund Utilization Report'!$A$4:$U$1800,7,FALSE)</f>
        <v>PS</v>
      </c>
      <c r="Z197" s="321">
        <f>VLOOKUP(H197,'Fund Utilization Report'!$A$4:$U$1800,8,FALSE)</f>
        <v>5010000000</v>
      </c>
      <c r="AA197" s="319" t="str">
        <f>VLOOKUP(H197,'Fund Utilization Report'!$A$4:$U$1800,14,FALSE)</f>
        <v>340100100002000</v>
      </c>
      <c r="AB197" s="349" t="str">
        <f>VLOOKUP(H197,'Fund Utilization Report'!$A$4:$U$1800,15,FALSE)</f>
        <v>Monitoring and Enforcement of FTL including consumer complaints handling</v>
      </c>
      <c r="AC197" s="39"/>
      <c r="AD197" s="34"/>
      <c r="AE197" s="39"/>
      <c r="AF197" s="51"/>
      <c r="AG197" s="40"/>
      <c r="AH197" s="40"/>
    </row>
    <row r="198" spans="1:34" s="32" customFormat="1">
      <c r="A198" s="338" t="s">
        <v>942</v>
      </c>
      <c r="B198" s="338" t="s">
        <v>945</v>
      </c>
      <c r="C198" s="358">
        <v>44229</v>
      </c>
      <c r="D198" s="351" t="s">
        <v>1028</v>
      </c>
      <c r="E198" s="352" t="s">
        <v>1029</v>
      </c>
      <c r="F198" s="338">
        <v>0.59722222222222221</v>
      </c>
      <c r="G198" s="338">
        <v>0.60138888888888886</v>
      </c>
      <c r="H198" s="338" t="s">
        <v>973</v>
      </c>
      <c r="I198" s="353">
        <v>714</v>
      </c>
      <c r="J198" s="338" t="str">
        <f>IFERROR(VLOOKUP(I198,'Chart of accounts'!A:H,2,FALSE),"")</f>
        <v>50102030 01</v>
      </c>
      <c r="K198" s="338" t="str">
        <f>IFERROR(VLOOKUP(I198,'Chart of accounts'!A:H,3,FALSE),"")</f>
        <v xml:space="preserve">Transportation Allowance  </v>
      </c>
      <c r="L198" s="338" t="str">
        <f>IFERROR(VLOOKUP(I198,'Chart of accounts'!A:H,4,FALSE),"")</f>
        <v>50102030 01 - Transportation Allowance   (714)</v>
      </c>
      <c r="M198" s="360">
        <v>1</v>
      </c>
      <c r="N198" s="355" t="s">
        <v>1030</v>
      </c>
      <c r="O198" s="355" t="s">
        <v>1031</v>
      </c>
      <c r="P198" s="355"/>
      <c r="Q198" s="363">
        <v>5000</v>
      </c>
      <c r="R198" s="319">
        <f t="shared" si="2"/>
        <v>-5000</v>
      </c>
      <c r="S198" s="319" t="str">
        <f>VLOOKUP(H198,'Fund Utilization Report'!$A$4:$U$1800,13,FALSE)</f>
        <v>PS</v>
      </c>
      <c r="T198" s="319" t="str">
        <f>VLOOKUP(H198,'Fund Utilization Report'!$A$4:$U$1800,2,FALSE)</f>
        <v>GAA</v>
      </c>
      <c r="U198" s="319" t="str">
        <f>VLOOKUP(H198,'Fund Utilization Report'!$A$4:$U$1800,3,FALSE)</f>
        <v>FY2021, RA11518</v>
      </c>
      <c r="V198" s="319" t="str">
        <f>VLOOKUP(H198,'Fund Utilization Report'!$A$4:$U$1800,4,FALSE)</f>
        <v>OO4.1(FTL)</v>
      </c>
      <c r="W198" s="319" t="str">
        <f>VLOOKUP(H198,'Fund Utilization Report'!$A$4:$U$1800,5,FALSE)</f>
        <v>01101101</v>
      </c>
      <c r="X198" s="319" t="str">
        <f>VLOOKUP(H198,'Fund Utilization Report'!$A$4:$U$1800,6,FALSE)</f>
        <v>GOP</v>
      </c>
      <c r="Y198" s="320" t="str">
        <f>VLOOKUP(H198,'Fund Utilization Report'!$A$4:$U$1800,7,FALSE)</f>
        <v>PS</v>
      </c>
      <c r="Z198" s="321">
        <f>VLOOKUP(H198,'Fund Utilization Report'!$A$4:$U$1800,8,FALSE)</f>
        <v>5010000000</v>
      </c>
      <c r="AA198" s="319" t="str">
        <f>VLOOKUP(H198,'Fund Utilization Report'!$A$4:$U$1800,14,FALSE)</f>
        <v>340100100002000</v>
      </c>
      <c r="AB198" s="349" t="str">
        <f>VLOOKUP(H198,'Fund Utilization Report'!$A$4:$U$1800,15,FALSE)</f>
        <v>Monitoring and Enforcement of FTL including consumer complaints handling</v>
      </c>
      <c r="AC198" s="39"/>
      <c r="AD198" s="34"/>
      <c r="AE198" s="39"/>
      <c r="AF198" s="51"/>
      <c r="AG198" s="40"/>
      <c r="AH198" s="40"/>
    </row>
    <row r="199" spans="1:34" s="32" customFormat="1">
      <c r="A199" s="338" t="s">
        <v>942</v>
      </c>
      <c r="B199" s="338" t="s">
        <v>945</v>
      </c>
      <c r="C199" s="358">
        <v>44229</v>
      </c>
      <c r="D199" s="351" t="s">
        <v>1028</v>
      </c>
      <c r="E199" s="352" t="s">
        <v>1032</v>
      </c>
      <c r="F199" s="338">
        <v>0.61319444444444449</v>
      </c>
      <c r="G199" s="338">
        <v>0.61388888888888882</v>
      </c>
      <c r="H199" s="338" t="s">
        <v>961</v>
      </c>
      <c r="I199" s="353">
        <v>883</v>
      </c>
      <c r="J199" s="338" t="str">
        <f>IFERROR(VLOOKUP(I199,'Chart of accounts'!A:H,2,FALSE),"")</f>
        <v>50210030 00</v>
      </c>
      <c r="K199" s="338" t="str">
        <f>IFERROR(VLOOKUP(I199,'Chart of accounts'!A:H,3,FALSE),"")</f>
        <v>Extraordinary and Miscellaneous Expense</v>
      </c>
      <c r="L199" s="338" t="str">
        <f>IFERROR(VLOOKUP(I199,'Chart of accounts'!A:H,4,FALSE),"")</f>
        <v>50210030 00 - Extraordinary and Miscellaneous Expense (883)</v>
      </c>
      <c r="M199" s="360">
        <v>1</v>
      </c>
      <c r="N199" s="355" t="s">
        <v>6</v>
      </c>
      <c r="O199" s="355" t="s">
        <v>1033</v>
      </c>
      <c r="P199" s="355"/>
      <c r="Q199" s="363">
        <v>10000</v>
      </c>
      <c r="R199" s="319">
        <f t="shared" si="2"/>
        <v>-10000</v>
      </c>
      <c r="S199" s="319" t="str">
        <f>VLOOKUP(H199,'Fund Utilization Report'!$A$4:$U$1800,13,FALSE)</f>
        <v>MOOE</v>
      </c>
      <c r="T199" s="319" t="str">
        <f>VLOOKUP(H199,'Fund Utilization Report'!$A$4:$U$1800,2,FALSE)</f>
        <v>GAA</v>
      </c>
      <c r="U199" s="319" t="str">
        <f>VLOOKUP(H199,'Fund Utilization Report'!$A$4:$U$1800,3,FALSE)</f>
        <v>FY2021, RA11518</v>
      </c>
      <c r="V199" s="319" t="str">
        <f>VLOOKUP(H199,'Fund Utilization Report'!$A$4:$U$1800,4,FALSE)</f>
        <v>GAS(GMS)</v>
      </c>
      <c r="W199" s="319" t="str">
        <f>VLOOKUP(H199,'Fund Utilization Report'!$A$4:$U$1800,5,FALSE)</f>
        <v>01101101</v>
      </c>
      <c r="X199" s="319" t="str">
        <f>VLOOKUP(H199,'Fund Utilization Report'!$A$4:$U$1800,6,FALSE)</f>
        <v>GOP</v>
      </c>
      <c r="Y199" s="320" t="str">
        <f>VLOOKUP(H199,'Fund Utilization Report'!$A$4:$U$1800,7,FALSE)</f>
        <v>MOOE</v>
      </c>
      <c r="Z199" s="321">
        <f>VLOOKUP(H199,'Fund Utilization Report'!$A$4:$U$1800,8,FALSE)</f>
        <v>5020000000</v>
      </c>
      <c r="AA199" s="319" t="str">
        <f>VLOOKUP(H199,'Fund Utilization Report'!$A$4:$U$1800,14,FALSE)</f>
        <v>100000100001000</v>
      </c>
      <c r="AB199" s="349" t="str">
        <f>VLOOKUP(H199,'Fund Utilization Report'!$A$4:$U$1800,15,FALSE)</f>
        <v>General Administration and Supervision - General Management and Supervision</v>
      </c>
      <c r="AC199" s="39"/>
      <c r="AD199" s="34"/>
      <c r="AE199" s="39"/>
      <c r="AF199" s="51"/>
      <c r="AG199" s="40"/>
      <c r="AH199" s="40"/>
    </row>
    <row r="200" spans="1:34" s="32" customFormat="1">
      <c r="A200" s="338" t="s">
        <v>942</v>
      </c>
      <c r="B200" s="338" t="s">
        <v>945</v>
      </c>
      <c r="C200" s="358">
        <v>44229</v>
      </c>
      <c r="D200" s="351" t="s">
        <v>1028</v>
      </c>
      <c r="E200" s="352" t="s">
        <v>1034</v>
      </c>
      <c r="F200" s="338">
        <v>0.61388888888888882</v>
      </c>
      <c r="G200" s="338">
        <v>0.61597222222222225</v>
      </c>
      <c r="H200" s="338" t="s">
        <v>960</v>
      </c>
      <c r="I200" s="353">
        <v>713</v>
      </c>
      <c r="J200" s="338" t="str">
        <f>IFERROR(VLOOKUP(I200,'Chart of accounts'!A:H,2,FALSE),"")</f>
        <v>50102020 00</v>
      </c>
      <c r="K200" s="338" t="str">
        <f>IFERROR(VLOOKUP(I200,'Chart of accounts'!A:H,3,FALSE),"")</f>
        <v>Representation Allowance</v>
      </c>
      <c r="L200" s="338" t="str">
        <f>IFERROR(VLOOKUP(I200,'Chart of accounts'!A:H,4,FALSE),"")</f>
        <v>50102020 00 - Representation Allowance (713)</v>
      </c>
      <c r="M200" s="360">
        <v>1</v>
      </c>
      <c r="N200" s="355" t="s">
        <v>1030</v>
      </c>
      <c r="O200" s="355" t="s">
        <v>1035</v>
      </c>
      <c r="P200" s="355"/>
      <c r="Q200" s="363">
        <v>15000</v>
      </c>
      <c r="R200" s="319">
        <f t="shared" si="2"/>
        <v>-15000</v>
      </c>
      <c r="S200" s="319" t="str">
        <f>VLOOKUP(H200,'Fund Utilization Report'!$A$4:$U$1800,13,FALSE)</f>
        <v>PS</v>
      </c>
      <c r="T200" s="319" t="str">
        <f>VLOOKUP(H200,'Fund Utilization Report'!$A$4:$U$1800,2,FALSE)</f>
        <v>GAA</v>
      </c>
      <c r="U200" s="319" t="str">
        <f>VLOOKUP(H200,'Fund Utilization Report'!$A$4:$U$1800,3,FALSE)</f>
        <v>FY2021, RA11518</v>
      </c>
      <c r="V200" s="319" t="str">
        <f>VLOOKUP(H200,'Fund Utilization Report'!$A$4:$U$1800,4,FALSE)</f>
        <v>GAS(GMS)</v>
      </c>
      <c r="W200" s="319" t="str">
        <f>VLOOKUP(H200,'Fund Utilization Report'!$A$4:$U$1800,5,FALSE)</f>
        <v>01101101</v>
      </c>
      <c r="X200" s="319" t="str">
        <f>VLOOKUP(H200,'Fund Utilization Report'!$A$4:$U$1800,6,FALSE)</f>
        <v>GOP</v>
      </c>
      <c r="Y200" s="320" t="str">
        <f>VLOOKUP(H200,'Fund Utilization Report'!$A$4:$U$1800,7,FALSE)</f>
        <v>PS</v>
      </c>
      <c r="Z200" s="321">
        <f>VLOOKUP(H200,'Fund Utilization Report'!$A$4:$U$1800,8,FALSE)</f>
        <v>5010000000</v>
      </c>
      <c r="AA200" s="319" t="str">
        <f>VLOOKUP(H200,'Fund Utilization Report'!$A$4:$U$1800,14,FALSE)</f>
        <v>100000100001000</v>
      </c>
      <c r="AB200" s="349" t="str">
        <f>VLOOKUP(H200,'Fund Utilization Report'!$A$4:$U$1800,15,FALSE)</f>
        <v>General Administration and Supervision - General Management and Supervision</v>
      </c>
      <c r="AC200" s="39"/>
      <c r="AD200" s="34"/>
      <c r="AE200" s="39"/>
      <c r="AF200" s="51"/>
      <c r="AG200" s="40"/>
      <c r="AH200" s="40"/>
    </row>
    <row r="201" spans="1:34" s="32" customFormat="1">
      <c r="A201" s="338" t="s">
        <v>942</v>
      </c>
      <c r="B201" s="338" t="s">
        <v>945</v>
      </c>
      <c r="C201" s="358">
        <v>44229</v>
      </c>
      <c r="D201" s="351" t="s">
        <v>1028</v>
      </c>
      <c r="E201" s="352" t="s">
        <v>1034</v>
      </c>
      <c r="F201" s="338">
        <v>0.61388888888888882</v>
      </c>
      <c r="G201" s="338">
        <v>0.61597222222222225</v>
      </c>
      <c r="H201" s="338" t="s">
        <v>960</v>
      </c>
      <c r="I201" s="353">
        <v>714</v>
      </c>
      <c r="J201" s="338" t="str">
        <f>IFERROR(VLOOKUP(I201,'Chart of accounts'!A:H,2,FALSE),"")</f>
        <v>50102030 01</v>
      </c>
      <c r="K201" s="338" t="str">
        <f>IFERROR(VLOOKUP(I201,'Chart of accounts'!A:H,3,FALSE),"")</f>
        <v xml:space="preserve">Transportation Allowance  </v>
      </c>
      <c r="L201" s="338" t="str">
        <f>IFERROR(VLOOKUP(I201,'Chart of accounts'!A:H,4,FALSE),"")</f>
        <v>50102030 01 - Transportation Allowance   (714)</v>
      </c>
      <c r="M201" s="360">
        <v>1</v>
      </c>
      <c r="N201" s="355" t="s">
        <v>1030</v>
      </c>
      <c r="O201" s="355" t="s">
        <v>1035</v>
      </c>
      <c r="P201" s="355"/>
      <c r="Q201" s="363">
        <f>7500+6136.36</f>
        <v>13636.36</v>
      </c>
      <c r="R201" s="319">
        <f t="shared" si="2"/>
        <v>-13636.36</v>
      </c>
      <c r="S201" s="319" t="str">
        <f>VLOOKUP(H201,'Fund Utilization Report'!$A$4:$U$1800,13,FALSE)</f>
        <v>PS</v>
      </c>
      <c r="T201" s="319" t="str">
        <f>VLOOKUP(H201,'Fund Utilization Report'!$A$4:$U$1800,2,FALSE)</f>
        <v>GAA</v>
      </c>
      <c r="U201" s="319" t="str">
        <f>VLOOKUP(H201,'Fund Utilization Report'!$A$4:$U$1800,3,FALSE)</f>
        <v>FY2021, RA11518</v>
      </c>
      <c r="V201" s="319" t="str">
        <f>VLOOKUP(H201,'Fund Utilization Report'!$A$4:$U$1800,4,FALSE)</f>
        <v>GAS(GMS)</v>
      </c>
      <c r="W201" s="319" t="str">
        <f>VLOOKUP(H201,'Fund Utilization Report'!$A$4:$U$1800,5,FALSE)</f>
        <v>01101101</v>
      </c>
      <c r="X201" s="319" t="str">
        <f>VLOOKUP(H201,'Fund Utilization Report'!$A$4:$U$1800,6,FALSE)</f>
        <v>GOP</v>
      </c>
      <c r="Y201" s="320" t="str">
        <f>VLOOKUP(H201,'Fund Utilization Report'!$A$4:$U$1800,7,FALSE)</f>
        <v>PS</v>
      </c>
      <c r="Z201" s="321">
        <f>VLOOKUP(H201,'Fund Utilization Report'!$A$4:$U$1800,8,FALSE)</f>
        <v>5010000000</v>
      </c>
      <c r="AA201" s="319" t="str">
        <f>VLOOKUP(H201,'Fund Utilization Report'!$A$4:$U$1800,14,FALSE)</f>
        <v>100000100001000</v>
      </c>
      <c r="AB201" s="349" t="str">
        <f>VLOOKUP(H201,'Fund Utilization Report'!$A$4:$U$1800,15,FALSE)</f>
        <v>General Administration and Supervision - General Management and Supervision</v>
      </c>
      <c r="AC201" s="39"/>
      <c r="AD201" s="34"/>
      <c r="AE201" s="39"/>
      <c r="AF201" s="51"/>
      <c r="AG201" s="40"/>
      <c r="AH201" s="40"/>
    </row>
    <row r="202" spans="1:34" s="32" customFormat="1" ht="27.6">
      <c r="A202" s="338" t="s">
        <v>942</v>
      </c>
      <c r="B202" s="338" t="s">
        <v>945</v>
      </c>
      <c r="C202" s="358">
        <v>44230</v>
      </c>
      <c r="D202" s="351" t="s">
        <v>1028</v>
      </c>
      <c r="E202" s="352" t="s">
        <v>1046</v>
      </c>
      <c r="F202" s="338">
        <v>0.41250000000000003</v>
      </c>
      <c r="G202" s="338">
        <v>0.4145833333333333</v>
      </c>
      <c r="H202" s="338" t="s">
        <v>968</v>
      </c>
      <c r="I202" s="353">
        <v>755</v>
      </c>
      <c r="J202" s="338" t="str">
        <f>IFERROR(VLOOKUP(I202,'Chart of accounts'!A:H,2,FALSE),"")</f>
        <v>50203010 00</v>
      </c>
      <c r="K202" s="338" t="str">
        <f>IFERROR(VLOOKUP(I202,'Chart of accounts'!A:H,3,FALSE),"")</f>
        <v>Office Supplies Expenses</v>
      </c>
      <c r="L202" s="338" t="str">
        <f>IFERROR(VLOOKUP(I202,'Chart of accounts'!A:H,4,FALSE),"")</f>
        <v>50203010 00 - Office Supplies Expenses (755)</v>
      </c>
      <c r="M202" s="360" t="s">
        <v>814</v>
      </c>
      <c r="N202" s="355" t="s">
        <v>1036</v>
      </c>
      <c r="O202" s="355" t="s">
        <v>1037</v>
      </c>
      <c r="P202" s="355"/>
      <c r="Q202" s="355">
        <v>2073.09</v>
      </c>
      <c r="R202" s="319">
        <f t="shared" si="2"/>
        <v>-2073.09</v>
      </c>
      <c r="S202" s="319" t="str">
        <f>VLOOKUP(H202,'Fund Utilization Report'!$A$4:$U$1800,13,FALSE)</f>
        <v>MOOE</v>
      </c>
      <c r="T202" s="319" t="str">
        <f>VLOOKUP(H202,'Fund Utilization Report'!$A$4:$U$1800,2,FALSE)</f>
        <v>GAA</v>
      </c>
      <c r="U202" s="319" t="str">
        <f>VLOOKUP(H202,'Fund Utilization Report'!$A$4:$U$1800,3,FALSE)</f>
        <v>FY2021, RA11518</v>
      </c>
      <c r="V202" s="319" t="str">
        <f>VLOOKUP(H202,'Fund Utilization Report'!$A$4:$U$1800,4,FALSE)</f>
        <v>OO2</v>
      </c>
      <c r="W202" s="319" t="str">
        <f>VLOOKUP(H202,'Fund Utilization Report'!$A$4:$U$1800,5,FALSE)</f>
        <v>01101101</v>
      </c>
      <c r="X202" s="319" t="str">
        <f>VLOOKUP(H202,'Fund Utilization Report'!$A$4:$U$1800,6,FALSE)</f>
        <v>GOP</v>
      </c>
      <c r="Y202" s="320" t="str">
        <f>VLOOKUP(H202,'Fund Utilization Report'!$A$4:$U$1800,7,FALSE)</f>
        <v>MOOE</v>
      </c>
      <c r="Z202" s="321">
        <f>VLOOKUP(H202,'Fund Utilization Report'!$A$4:$U$1800,8,FALSE)</f>
        <v>5020000000</v>
      </c>
      <c r="AA202" s="319" t="str">
        <f>VLOOKUP(H202,'Fund Utilization Report'!$A$4:$U$1800,14,FALSE)</f>
        <v>320100100001000</v>
      </c>
      <c r="AB202" s="349" t="str">
        <f>VLOOKUP(H202,'Fund Utilization Report'!$A$4:$U$1800,15,FALSE)</f>
        <v>Formulation of Strategic plans,programs, and policies to develop competitve industries</v>
      </c>
      <c r="AC202" s="39"/>
      <c r="AD202" s="34"/>
      <c r="AE202" s="39"/>
      <c r="AF202" s="51"/>
      <c r="AG202" s="40"/>
      <c r="AH202" s="40"/>
    </row>
    <row r="203" spans="1:34" s="411" customFormat="1" ht="27.6">
      <c r="A203" s="405" t="s">
        <v>942</v>
      </c>
      <c r="B203" s="405" t="s">
        <v>945</v>
      </c>
      <c r="C203" s="402">
        <v>44230</v>
      </c>
      <c r="D203" s="403" t="s">
        <v>1028</v>
      </c>
      <c r="E203" s="404" t="s">
        <v>1047</v>
      </c>
      <c r="F203" s="405">
        <v>0.4145833333333333</v>
      </c>
      <c r="G203" s="405">
        <v>0.41805555555555557</v>
      </c>
      <c r="H203" s="405" t="s">
        <v>968</v>
      </c>
      <c r="I203" s="416">
        <v>755</v>
      </c>
      <c r="J203" s="405" t="str">
        <f>IFERROR(VLOOKUP(I203,'Chart of accounts'!A:H,2,FALSE),"")</f>
        <v>50203010 00</v>
      </c>
      <c r="K203" s="405" t="str">
        <f>IFERROR(VLOOKUP(I203,'Chart of accounts'!A:H,3,FALSE),"")</f>
        <v>Office Supplies Expenses</v>
      </c>
      <c r="L203" s="405" t="str">
        <f>IFERROR(VLOOKUP(I203,'Chart of accounts'!A:H,4,FALSE),"")</f>
        <v>50203010 00 - Office Supplies Expenses (755)</v>
      </c>
      <c r="M203" s="414" t="s">
        <v>814</v>
      </c>
      <c r="N203" s="409" t="s">
        <v>1038</v>
      </c>
      <c r="O203" s="409" t="s">
        <v>1039</v>
      </c>
      <c r="P203" s="409"/>
      <c r="Q203" s="409">
        <f>3075-3075</f>
        <v>0</v>
      </c>
      <c r="R203" s="319">
        <f t="shared" si="2"/>
        <v>0</v>
      </c>
      <c r="S203" s="63" t="str">
        <f>VLOOKUP(H203,'Fund Utilization Report'!$A$4:$U$1800,13,FALSE)</f>
        <v>MOOE</v>
      </c>
      <c r="T203" s="63" t="str">
        <f>VLOOKUP(H203,'Fund Utilization Report'!$A$4:$U$1800,2,FALSE)</f>
        <v>GAA</v>
      </c>
      <c r="U203" s="63" t="str">
        <f>VLOOKUP(H203,'Fund Utilization Report'!$A$4:$U$1800,3,FALSE)</f>
        <v>FY2021, RA11518</v>
      </c>
      <c r="V203" s="63" t="str">
        <f>VLOOKUP(H203,'Fund Utilization Report'!$A$4:$U$1800,4,FALSE)</f>
        <v>OO2</v>
      </c>
      <c r="W203" s="63" t="str">
        <f>VLOOKUP(H203,'Fund Utilization Report'!$A$4:$U$1800,5,FALSE)</f>
        <v>01101101</v>
      </c>
      <c r="X203" s="63" t="str">
        <f>VLOOKUP(H203,'Fund Utilization Report'!$A$4:$U$1800,6,FALSE)</f>
        <v>GOP</v>
      </c>
      <c r="Y203" s="417" t="str">
        <f>VLOOKUP(H203,'Fund Utilization Report'!$A$4:$U$1800,7,FALSE)</f>
        <v>MOOE</v>
      </c>
      <c r="Z203" s="418">
        <f>VLOOKUP(H203,'Fund Utilization Report'!$A$4:$U$1800,8,FALSE)</f>
        <v>5020000000</v>
      </c>
      <c r="AA203" s="63" t="str">
        <f>VLOOKUP(H203,'Fund Utilization Report'!$A$4:$U$1800,14,FALSE)</f>
        <v>320100100001000</v>
      </c>
      <c r="AB203" s="419" t="str">
        <f>VLOOKUP(H203,'Fund Utilization Report'!$A$4:$U$1800,15,FALSE)</f>
        <v>Formulation of Strategic plans,programs, and policies to develop competitve industries</v>
      </c>
      <c r="AC203" s="406"/>
      <c r="AD203" s="403"/>
      <c r="AE203" s="406"/>
      <c r="AF203" s="406"/>
      <c r="AG203" s="407"/>
      <c r="AH203" s="407"/>
    </row>
    <row r="204" spans="1:34" s="443" customFormat="1" ht="27.6">
      <c r="A204" s="434" t="s">
        <v>942</v>
      </c>
      <c r="B204" s="434" t="s">
        <v>945</v>
      </c>
      <c r="C204" s="233">
        <v>44230</v>
      </c>
      <c r="D204" s="435" t="s">
        <v>1028</v>
      </c>
      <c r="E204" s="436" t="s">
        <v>1264</v>
      </c>
      <c r="F204" s="434">
        <v>0.42222222222222222</v>
      </c>
      <c r="G204" s="434">
        <v>0.42222222222222222</v>
      </c>
      <c r="H204" s="434" t="s">
        <v>961</v>
      </c>
      <c r="I204" s="437">
        <v>782</v>
      </c>
      <c r="J204" s="434" t="str">
        <f>IFERROR(VLOOKUP(I204,'Chart of accounts'!A:H,2,FALSE),"")</f>
        <v>50299050 01</v>
      </c>
      <c r="K204" s="434" t="str">
        <f>IFERROR(VLOOKUP(I204,'Chart of accounts'!A:H,3,FALSE),"")</f>
        <v>Rent - Buildings and Structures</v>
      </c>
      <c r="L204" s="434" t="str">
        <f>IFERROR(VLOOKUP(I204,'Chart of accounts'!A:H,4,FALSE),"")</f>
        <v>50299050 01 - Rent - Buildings and Structures (782)</v>
      </c>
      <c r="M204" s="438" t="s">
        <v>2</v>
      </c>
      <c r="N204" s="439" t="s">
        <v>852</v>
      </c>
      <c r="O204" s="439" t="s">
        <v>853</v>
      </c>
      <c r="P204" s="439"/>
      <c r="Q204" s="50">
        <v>17600</v>
      </c>
      <c r="R204" s="239">
        <f t="shared" si="2"/>
        <v>-17600</v>
      </c>
      <c r="S204" s="239" t="str">
        <f>VLOOKUP(H204,'Fund Utilization Report'!$A$4:$U$1800,13,FALSE)</f>
        <v>MOOE</v>
      </c>
      <c r="T204" s="239" t="str">
        <f>VLOOKUP(H204,'Fund Utilization Report'!$A$4:$U$1800,2,FALSE)</f>
        <v>GAA</v>
      </c>
      <c r="U204" s="239" t="str">
        <f>VLOOKUP(H204,'Fund Utilization Report'!$A$4:$U$1800,3,FALSE)</f>
        <v>FY2021, RA11518</v>
      </c>
      <c r="V204" s="239" t="str">
        <f>VLOOKUP(H204,'Fund Utilization Report'!$A$4:$U$1800,4,FALSE)</f>
        <v>GAS(GMS)</v>
      </c>
      <c r="W204" s="239" t="str">
        <f>VLOOKUP(H204,'Fund Utilization Report'!$A$4:$U$1800,5,FALSE)</f>
        <v>01101101</v>
      </c>
      <c r="X204" s="239" t="str">
        <f>VLOOKUP(H204,'Fund Utilization Report'!$A$4:$U$1800,6,FALSE)</f>
        <v>GOP</v>
      </c>
      <c r="Y204" s="440" t="str">
        <f>VLOOKUP(H204,'Fund Utilization Report'!$A$4:$U$1800,7,FALSE)</f>
        <v>MOOE</v>
      </c>
      <c r="Z204" s="441">
        <f>VLOOKUP(H204,'Fund Utilization Report'!$A$4:$U$1800,8,FALSE)</f>
        <v>5020000000</v>
      </c>
      <c r="AA204" s="239" t="str">
        <f>VLOOKUP(H204,'Fund Utilization Report'!$A$4:$U$1800,14,FALSE)</f>
        <v>100000100001000</v>
      </c>
      <c r="AB204" s="242" t="str">
        <f>VLOOKUP(H204,'Fund Utilization Report'!$A$4:$U$1800,15,FALSE)</f>
        <v>General Administration and Supervision - General Management and Supervision</v>
      </c>
      <c r="AC204" s="51"/>
      <c r="AD204" s="435"/>
      <c r="AE204" s="51"/>
      <c r="AF204" s="51"/>
      <c r="AG204" s="442"/>
      <c r="AH204" s="442"/>
    </row>
    <row r="205" spans="1:34" s="32" customFormat="1" ht="27.6">
      <c r="A205" s="338" t="s">
        <v>942</v>
      </c>
      <c r="B205" s="338" t="s">
        <v>945</v>
      </c>
      <c r="C205" s="358">
        <v>44230</v>
      </c>
      <c r="D205" s="351" t="s">
        <v>1028</v>
      </c>
      <c r="E205" s="352" t="s">
        <v>1048</v>
      </c>
      <c r="F205" s="338">
        <v>0.41805555555555557</v>
      </c>
      <c r="G205" s="338">
        <v>0.42291666666666666</v>
      </c>
      <c r="H205" s="338" t="s">
        <v>983</v>
      </c>
      <c r="I205" s="353">
        <v>840</v>
      </c>
      <c r="J205" s="338" t="str">
        <f>IFERROR(VLOOKUP(I205,'Chart of accounts'!A:H,2,FALSE),"")</f>
        <v>50213050 99</v>
      </c>
      <c r="K205" s="338" t="str">
        <f>IFERROR(VLOOKUP(I205,'Chart of accounts'!A:H,3,FALSE),"")</f>
        <v>Other Machinery and Equipment</v>
      </c>
      <c r="L205" s="338" t="str">
        <f>IFERROR(VLOOKUP(I205,'Chart of accounts'!A:H,4,FALSE),"")</f>
        <v>50213050 99 - Other Machinery and Equipment (840)</v>
      </c>
      <c r="M205" s="360">
        <v>2</v>
      </c>
      <c r="N205" s="355" t="s">
        <v>818</v>
      </c>
      <c r="O205" s="355" t="s">
        <v>1040</v>
      </c>
      <c r="P205" s="355"/>
      <c r="Q205" s="355">
        <v>50000</v>
      </c>
      <c r="R205" s="319">
        <f t="shared" si="2"/>
        <v>-50000</v>
      </c>
      <c r="S205" s="319" t="str">
        <f>VLOOKUP(H205,'Fund Utilization Report'!$A$4:$U$1800,13,FALSE)</f>
        <v>MOOE</v>
      </c>
      <c r="T205" s="319" t="str">
        <f>VLOOKUP(H205,'Fund Utilization Report'!$A$4:$U$1800,2,FALSE)</f>
        <v>GAA</v>
      </c>
      <c r="U205" s="319" t="str">
        <f>VLOOKUP(H205,'Fund Utilization Report'!$A$4:$U$1800,3,FALSE)</f>
        <v>FY2021, RA11518</v>
      </c>
      <c r="V205" s="319" t="str">
        <f>VLOOKUP(H205,'Fund Utilization Report'!$A$4:$U$1800,4,FALSE)</f>
        <v>SSF</v>
      </c>
      <c r="W205" s="319" t="str">
        <f>VLOOKUP(H205,'Fund Utilization Report'!$A$4:$U$1800,5,FALSE)</f>
        <v>01101101</v>
      </c>
      <c r="X205" s="319" t="str">
        <f>VLOOKUP(H205,'Fund Utilization Report'!$A$4:$U$1800,6,FALSE)</f>
        <v>GOP</v>
      </c>
      <c r="Y205" s="320" t="str">
        <f>VLOOKUP(H205,'Fund Utilization Report'!$A$4:$U$1800,7,FALSE)</f>
        <v>MOOE</v>
      </c>
      <c r="Z205" s="321">
        <f>VLOOKUP(H205,'Fund Utilization Report'!$A$4:$U$1800,8,FALSE)</f>
        <v>5020000000</v>
      </c>
      <c r="AA205" s="319" t="str">
        <f>VLOOKUP(H205,'Fund Utilization Report'!$A$4:$U$1800,14,FALSE)</f>
        <v>330100200003000</v>
      </c>
      <c r="AB205" s="349" t="str">
        <f>VLOOKUP(H205,'Fund Utilization Report'!$A$4:$U$1800,15,FALSE)</f>
        <v>Shared Service Facilities Project</v>
      </c>
      <c r="AC205" s="39"/>
      <c r="AD205" s="34"/>
      <c r="AE205" s="39"/>
      <c r="AF205" s="51"/>
      <c r="AG205" s="40"/>
      <c r="AH205" s="40"/>
    </row>
    <row r="206" spans="1:34" s="32" customFormat="1" ht="27.6">
      <c r="A206" s="338" t="s">
        <v>942</v>
      </c>
      <c r="B206" s="338" t="s">
        <v>945</v>
      </c>
      <c r="C206" s="358">
        <v>44230</v>
      </c>
      <c r="D206" s="351" t="s">
        <v>1028</v>
      </c>
      <c r="E206" s="352" t="s">
        <v>1048</v>
      </c>
      <c r="F206" s="338">
        <v>0.41805555555555557</v>
      </c>
      <c r="G206" s="338">
        <v>0.42291666666666666</v>
      </c>
      <c r="H206" s="338" t="s">
        <v>983</v>
      </c>
      <c r="I206" s="353">
        <v>784</v>
      </c>
      <c r="J206" s="338" t="str">
        <f>IFERROR(VLOOKUP(I206,'Chart of accounts'!A:H,2,FALSE),"")</f>
        <v>50299040 00</v>
      </c>
      <c r="K206" s="338" t="str">
        <f>IFERROR(VLOOKUP(I206,'Chart of accounts'!A:H,3,FALSE),"")</f>
        <v>Transportation and Delivery Expenses</v>
      </c>
      <c r="L206" s="338" t="str">
        <f>IFERROR(VLOOKUP(I206,'Chart of accounts'!A:H,4,FALSE),"")</f>
        <v>50299040 00 - Transportation and Delivery Expenses (784)</v>
      </c>
      <c r="M206" s="360">
        <v>2</v>
      </c>
      <c r="N206" s="355" t="s">
        <v>818</v>
      </c>
      <c r="O206" s="355" t="s">
        <v>1040</v>
      </c>
      <c r="P206" s="355"/>
      <c r="Q206" s="355">
        <v>30000</v>
      </c>
      <c r="R206" s="319">
        <f t="shared" si="2"/>
        <v>-30000</v>
      </c>
      <c r="S206" s="319" t="str">
        <f>VLOOKUP(H206,'Fund Utilization Report'!$A$4:$U$1800,13,FALSE)</f>
        <v>MOOE</v>
      </c>
      <c r="T206" s="319" t="str">
        <f>VLOOKUP(H206,'Fund Utilization Report'!$A$4:$U$1800,2,FALSE)</f>
        <v>GAA</v>
      </c>
      <c r="U206" s="319" t="str">
        <f>VLOOKUP(H206,'Fund Utilization Report'!$A$4:$U$1800,3,FALSE)</f>
        <v>FY2021, RA11518</v>
      </c>
      <c r="V206" s="319" t="str">
        <f>VLOOKUP(H206,'Fund Utilization Report'!$A$4:$U$1800,4,FALSE)</f>
        <v>SSF</v>
      </c>
      <c r="W206" s="319" t="str">
        <f>VLOOKUP(H206,'Fund Utilization Report'!$A$4:$U$1800,5,FALSE)</f>
        <v>01101101</v>
      </c>
      <c r="X206" s="319" t="str">
        <f>VLOOKUP(H206,'Fund Utilization Report'!$A$4:$U$1800,6,FALSE)</f>
        <v>GOP</v>
      </c>
      <c r="Y206" s="320" t="str">
        <f>VLOOKUP(H206,'Fund Utilization Report'!$A$4:$U$1800,7,FALSE)</f>
        <v>MOOE</v>
      </c>
      <c r="Z206" s="321">
        <f>VLOOKUP(H206,'Fund Utilization Report'!$A$4:$U$1800,8,FALSE)</f>
        <v>5020000000</v>
      </c>
      <c r="AA206" s="319" t="str">
        <f>VLOOKUP(H206,'Fund Utilization Report'!$A$4:$U$1800,14,FALSE)</f>
        <v>330100200003000</v>
      </c>
      <c r="AB206" s="349" t="str">
        <f>VLOOKUP(H206,'Fund Utilization Report'!$A$4:$U$1800,15,FALSE)</f>
        <v>Shared Service Facilities Project</v>
      </c>
      <c r="AC206" s="39"/>
      <c r="AD206" s="34"/>
      <c r="AE206" s="39"/>
      <c r="AF206" s="51"/>
      <c r="AG206" s="40"/>
      <c r="AH206" s="40"/>
    </row>
    <row r="207" spans="1:34" s="32" customFormat="1" ht="41.4">
      <c r="A207" s="338" t="s">
        <v>942</v>
      </c>
      <c r="B207" s="338" t="s">
        <v>945</v>
      </c>
      <c r="C207" s="358">
        <v>44230</v>
      </c>
      <c r="D207" s="351" t="s">
        <v>1028</v>
      </c>
      <c r="E207" s="352" t="s">
        <v>1049</v>
      </c>
      <c r="F207" s="338">
        <v>0.42291666666666666</v>
      </c>
      <c r="G207" s="338">
        <v>0.42708333333333331</v>
      </c>
      <c r="H207" s="338" t="s">
        <v>983</v>
      </c>
      <c r="I207" s="353">
        <v>751</v>
      </c>
      <c r="J207" s="338" t="str">
        <f>IFERROR(VLOOKUP(I207,'Chart of accounts'!A:H,2,FALSE),"")</f>
        <v>50201010 00</v>
      </c>
      <c r="K207" s="338" t="str">
        <f>IFERROR(VLOOKUP(I207,'Chart of accounts'!A:H,3,FALSE),"")</f>
        <v>Traveling Expenses - Local</v>
      </c>
      <c r="L207" s="338" t="str">
        <f>IFERROR(VLOOKUP(I207,'Chart of accounts'!A:H,4,FALSE),"")</f>
        <v>50201010 00 - Traveling Expenses - Local (751)</v>
      </c>
      <c r="M207" s="360">
        <v>1</v>
      </c>
      <c r="N207" s="355" t="s">
        <v>1062</v>
      </c>
      <c r="O207" s="355" t="s">
        <v>1041</v>
      </c>
      <c r="P207" s="355"/>
      <c r="Q207" s="355">
        <v>750</v>
      </c>
      <c r="R207" s="319">
        <f t="shared" si="2"/>
        <v>-750</v>
      </c>
      <c r="S207" s="319" t="str">
        <f>VLOOKUP(H207,'Fund Utilization Report'!$A$4:$U$1800,13,FALSE)</f>
        <v>MOOE</v>
      </c>
      <c r="T207" s="319" t="str">
        <f>VLOOKUP(H207,'Fund Utilization Report'!$A$4:$U$1800,2,FALSE)</f>
        <v>GAA</v>
      </c>
      <c r="U207" s="319" t="str">
        <f>VLOOKUP(H207,'Fund Utilization Report'!$A$4:$U$1800,3,FALSE)</f>
        <v>FY2021, RA11518</v>
      </c>
      <c r="V207" s="319" t="str">
        <f>VLOOKUP(H207,'Fund Utilization Report'!$A$4:$U$1800,4,FALSE)</f>
        <v>SSF</v>
      </c>
      <c r="W207" s="319" t="str">
        <f>VLOOKUP(H207,'Fund Utilization Report'!$A$4:$U$1800,5,FALSE)</f>
        <v>01101101</v>
      </c>
      <c r="X207" s="319" t="str">
        <f>VLOOKUP(H207,'Fund Utilization Report'!$A$4:$U$1800,6,FALSE)</f>
        <v>GOP</v>
      </c>
      <c r="Y207" s="320" t="str">
        <f>VLOOKUP(H207,'Fund Utilization Report'!$A$4:$U$1800,7,FALSE)</f>
        <v>MOOE</v>
      </c>
      <c r="Z207" s="321">
        <f>VLOOKUP(H207,'Fund Utilization Report'!$A$4:$U$1800,8,FALSE)</f>
        <v>5020000000</v>
      </c>
      <c r="AA207" s="319" t="str">
        <f>VLOOKUP(H207,'Fund Utilization Report'!$A$4:$U$1800,14,FALSE)</f>
        <v>330100200003000</v>
      </c>
      <c r="AB207" s="349" t="str">
        <f>VLOOKUP(H207,'Fund Utilization Report'!$A$4:$U$1800,15,FALSE)</f>
        <v>Shared Service Facilities Project</v>
      </c>
      <c r="AC207" s="39"/>
      <c r="AD207" s="34"/>
      <c r="AE207" s="39"/>
      <c r="AF207" s="51"/>
      <c r="AG207" s="40"/>
      <c r="AH207" s="40"/>
    </row>
    <row r="208" spans="1:34" s="32" customFormat="1" ht="41.4">
      <c r="A208" s="338" t="s">
        <v>942</v>
      </c>
      <c r="B208" s="338" t="s">
        <v>945</v>
      </c>
      <c r="C208" s="358">
        <v>44230</v>
      </c>
      <c r="D208" s="351" t="s">
        <v>1028</v>
      </c>
      <c r="E208" s="352" t="s">
        <v>1050</v>
      </c>
      <c r="F208" s="338">
        <v>0.42708333333333331</v>
      </c>
      <c r="G208" s="338">
        <v>0.4291666666666667</v>
      </c>
      <c r="H208" s="338" t="s">
        <v>983</v>
      </c>
      <c r="I208" s="353">
        <v>751</v>
      </c>
      <c r="J208" s="338" t="str">
        <f>IFERROR(VLOOKUP(I208,'Chart of accounts'!A:H,2,FALSE),"")</f>
        <v>50201010 00</v>
      </c>
      <c r="K208" s="338" t="str">
        <f>IFERROR(VLOOKUP(I208,'Chart of accounts'!A:H,3,FALSE),"")</f>
        <v>Traveling Expenses - Local</v>
      </c>
      <c r="L208" s="338" t="str">
        <f>IFERROR(VLOOKUP(I208,'Chart of accounts'!A:H,4,FALSE),"")</f>
        <v>50201010 00 - Traveling Expenses - Local (751)</v>
      </c>
      <c r="M208" s="360">
        <v>1</v>
      </c>
      <c r="N208" s="355" t="s">
        <v>1042</v>
      </c>
      <c r="O208" s="355" t="s">
        <v>1041</v>
      </c>
      <c r="P208" s="355"/>
      <c r="Q208" s="355">
        <v>750</v>
      </c>
      <c r="R208" s="319">
        <f t="shared" si="2"/>
        <v>-750</v>
      </c>
      <c r="S208" s="319" t="str">
        <f>VLOOKUP(H208,'Fund Utilization Report'!$A$4:$U$1800,13,FALSE)</f>
        <v>MOOE</v>
      </c>
      <c r="T208" s="319" t="str">
        <f>VLOOKUP(H208,'Fund Utilization Report'!$A$4:$U$1800,2,FALSE)</f>
        <v>GAA</v>
      </c>
      <c r="U208" s="319" t="str">
        <f>VLOOKUP(H208,'Fund Utilization Report'!$A$4:$U$1800,3,FALSE)</f>
        <v>FY2021, RA11518</v>
      </c>
      <c r="V208" s="319" t="str">
        <f>VLOOKUP(H208,'Fund Utilization Report'!$A$4:$U$1800,4,FALSE)</f>
        <v>SSF</v>
      </c>
      <c r="W208" s="319" t="str">
        <f>VLOOKUP(H208,'Fund Utilization Report'!$A$4:$U$1800,5,FALSE)</f>
        <v>01101101</v>
      </c>
      <c r="X208" s="319" t="str">
        <f>VLOOKUP(H208,'Fund Utilization Report'!$A$4:$U$1800,6,FALSE)</f>
        <v>GOP</v>
      </c>
      <c r="Y208" s="320" t="str">
        <f>VLOOKUP(H208,'Fund Utilization Report'!$A$4:$U$1800,7,FALSE)</f>
        <v>MOOE</v>
      </c>
      <c r="Z208" s="321">
        <f>VLOOKUP(H208,'Fund Utilization Report'!$A$4:$U$1800,8,FALSE)</f>
        <v>5020000000</v>
      </c>
      <c r="AA208" s="319" t="str">
        <f>VLOOKUP(H208,'Fund Utilization Report'!$A$4:$U$1800,14,FALSE)</f>
        <v>330100200003000</v>
      </c>
      <c r="AB208" s="349" t="str">
        <f>VLOOKUP(H208,'Fund Utilization Report'!$A$4:$U$1800,15,FALSE)</f>
        <v>Shared Service Facilities Project</v>
      </c>
      <c r="AC208" s="39"/>
      <c r="AD208" s="34"/>
      <c r="AE208" s="39"/>
      <c r="AF208" s="51"/>
      <c r="AG208" s="40"/>
      <c r="AH208" s="40"/>
    </row>
    <row r="209" spans="1:34" s="32" customFormat="1" ht="41.4">
      <c r="A209" s="338" t="s">
        <v>942</v>
      </c>
      <c r="B209" s="338" t="s">
        <v>945</v>
      </c>
      <c r="C209" s="358">
        <v>44230</v>
      </c>
      <c r="D209" s="351" t="s">
        <v>1028</v>
      </c>
      <c r="E209" s="352" t="s">
        <v>1051</v>
      </c>
      <c r="F209" s="338">
        <v>0.4291666666666667</v>
      </c>
      <c r="G209" s="338">
        <v>0.42986111111111108</v>
      </c>
      <c r="H209" s="338" t="s">
        <v>983</v>
      </c>
      <c r="I209" s="353">
        <v>751</v>
      </c>
      <c r="J209" s="338" t="str">
        <f>IFERROR(VLOOKUP(I209,'Chart of accounts'!A:H,2,FALSE),"")</f>
        <v>50201010 00</v>
      </c>
      <c r="K209" s="338" t="str">
        <f>IFERROR(VLOOKUP(I209,'Chart of accounts'!A:H,3,FALSE),"")</f>
        <v>Traveling Expenses - Local</v>
      </c>
      <c r="L209" s="338" t="str">
        <f>IFERROR(VLOOKUP(I209,'Chart of accounts'!A:H,4,FALSE),"")</f>
        <v>50201010 00 - Traveling Expenses - Local (751)</v>
      </c>
      <c r="M209" s="360">
        <v>1</v>
      </c>
      <c r="N209" s="355" t="s">
        <v>1043</v>
      </c>
      <c r="O209" s="355" t="s">
        <v>1041</v>
      </c>
      <c r="P209" s="355"/>
      <c r="Q209" s="355">
        <v>750</v>
      </c>
      <c r="R209" s="319">
        <f t="shared" si="2"/>
        <v>-750</v>
      </c>
      <c r="S209" s="319" t="str">
        <f>VLOOKUP(H209,'Fund Utilization Report'!$A$4:$U$1800,13,FALSE)</f>
        <v>MOOE</v>
      </c>
      <c r="T209" s="319" t="str">
        <f>VLOOKUP(H209,'Fund Utilization Report'!$A$4:$U$1800,2,FALSE)</f>
        <v>GAA</v>
      </c>
      <c r="U209" s="319" t="str">
        <f>VLOOKUP(H209,'Fund Utilization Report'!$A$4:$U$1800,3,FALSE)</f>
        <v>FY2021, RA11518</v>
      </c>
      <c r="V209" s="319" t="str">
        <f>VLOOKUP(H209,'Fund Utilization Report'!$A$4:$U$1800,4,FALSE)</f>
        <v>SSF</v>
      </c>
      <c r="W209" s="319" t="str">
        <f>VLOOKUP(H209,'Fund Utilization Report'!$A$4:$U$1800,5,FALSE)</f>
        <v>01101101</v>
      </c>
      <c r="X209" s="319" t="str">
        <f>VLOOKUP(H209,'Fund Utilization Report'!$A$4:$U$1800,6,FALSE)</f>
        <v>GOP</v>
      </c>
      <c r="Y209" s="320" t="str">
        <f>VLOOKUP(H209,'Fund Utilization Report'!$A$4:$U$1800,7,FALSE)</f>
        <v>MOOE</v>
      </c>
      <c r="Z209" s="321">
        <f>VLOOKUP(H209,'Fund Utilization Report'!$A$4:$U$1800,8,FALSE)</f>
        <v>5020000000</v>
      </c>
      <c r="AA209" s="319" t="str">
        <f>VLOOKUP(H209,'Fund Utilization Report'!$A$4:$U$1800,14,FALSE)</f>
        <v>330100200003000</v>
      </c>
      <c r="AB209" s="349" t="str">
        <f>VLOOKUP(H209,'Fund Utilization Report'!$A$4:$U$1800,15,FALSE)</f>
        <v>Shared Service Facilities Project</v>
      </c>
      <c r="AC209" s="39"/>
      <c r="AD209" s="34"/>
      <c r="AE209" s="39"/>
      <c r="AF209" s="51"/>
      <c r="AG209" s="40"/>
      <c r="AH209" s="40"/>
    </row>
    <row r="210" spans="1:34" s="32" customFormat="1" ht="27.6">
      <c r="A210" s="338" t="s">
        <v>942</v>
      </c>
      <c r="B210" s="338" t="s">
        <v>945</v>
      </c>
      <c r="C210" s="358">
        <v>44230</v>
      </c>
      <c r="D210" s="351" t="s">
        <v>1028</v>
      </c>
      <c r="E210" s="352" t="s">
        <v>1052</v>
      </c>
      <c r="F210" s="338">
        <v>0.42986111111111108</v>
      </c>
      <c r="G210" s="338">
        <v>0.43402777777777773</v>
      </c>
      <c r="H210" s="338" t="s">
        <v>968</v>
      </c>
      <c r="I210" s="353">
        <v>751</v>
      </c>
      <c r="J210" s="338" t="str">
        <f>IFERROR(VLOOKUP(I210,'Chart of accounts'!A:H,2,FALSE),"")</f>
        <v>50201010 00</v>
      </c>
      <c r="K210" s="338" t="str">
        <f>IFERROR(VLOOKUP(I210,'Chart of accounts'!A:H,3,FALSE),"")</f>
        <v>Traveling Expenses - Local</v>
      </c>
      <c r="L210" s="338" t="str">
        <f>IFERROR(VLOOKUP(I210,'Chart of accounts'!A:H,4,FALSE),"")</f>
        <v>50201010 00 - Traveling Expenses - Local (751)</v>
      </c>
      <c r="M210" s="360">
        <v>2</v>
      </c>
      <c r="N210" s="355" t="s">
        <v>818</v>
      </c>
      <c r="O210" s="355" t="s">
        <v>1044</v>
      </c>
      <c r="P210" s="355"/>
      <c r="Q210" s="355">
        <v>15000</v>
      </c>
      <c r="R210" s="319">
        <f t="shared" si="2"/>
        <v>-15000</v>
      </c>
      <c r="S210" s="319" t="str">
        <f>VLOOKUP(H210,'Fund Utilization Report'!$A$4:$U$1800,13,FALSE)</f>
        <v>MOOE</v>
      </c>
      <c r="T210" s="319" t="str">
        <f>VLOOKUP(H210,'Fund Utilization Report'!$A$4:$U$1800,2,FALSE)</f>
        <v>GAA</v>
      </c>
      <c r="U210" s="319" t="str">
        <f>VLOOKUP(H210,'Fund Utilization Report'!$A$4:$U$1800,3,FALSE)</f>
        <v>FY2021, RA11518</v>
      </c>
      <c r="V210" s="319" t="str">
        <f>VLOOKUP(H210,'Fund Utilization Report'!$A$4:$U$1800,4,FALSE)</f>
        <v>OO2</v>
      </c>
      <c r="W210" s="319" t="str">
        <f>VLOOKUP(H210,'Fund Utilization Report'!$A$4:$U$1800,5,FALSE)</f>
        <v>01101101</v>
      </c>
      <c r="X210" s="319" t="str">
        <f>VLOOKUP(H210,'Fund Utilization Report'!$A$4:$U$1800,6,FALSE)</f>
        <v>GOP</v>
      </c>
      <c r="Y210" s="320" t="str">
        <f>VLOOKUP(H210,'Fund Utilization Report'!$A$4:$U$1800,7,FALSE)</f>
        <v>MOOE</v>
      </c>
      <c r="Z210" s="321">
        <f>VLOOKUP(H210,'Fund Utilization Report'!$A$4:$U$1800,8,FALSE)</f>
        <v>5020000000</v>
      </c>
      <c r="AA210" s="319" t="str">
        <f>VLOOKUP(H210,'Fund Utilization Report'!$A$4:$U$1800,14,FALSE)</f>
        <v>320100100001000</v>
      </c>
      <c r="AB210" s="349" t="str">
        <f>VLOOKUP(H210,'Fund Utilization Report'!$A$4:$U$1800,15,FALSE)</f>
        <v>Formulation of Strategic plans,programs, and policies to develop competitve industries</v>
      </c>
      <c r="AC210" s="39"/>
      <c r="AD210" s="34"/>
      <c r="AE210" s="39"/>
      <c r="AF210" s="51"/>
      <c r="AG210" s="40"/>
      <c r="AH210" s="40"/>
    </row>
    <row r="211" spans="1:34" s="32" customFormat="1" ht="27.6">
      <c r="A211" s="338" t="s">
        <v>942</v>
      </c>
      <c r="B211" s="338" t="s">
        <v>945</v>
      </c>
      <c r="C211" s="358">
        <v>44230</v>
      </c>
      <c r="D211" s="351" t="s">
        <v>1028</v>
      </c>
      <c r="E211" s="352" t="s">
        <v>1052</v>
      </c>
      <c r="F211" s="338">
        <v>0.42986111111111108</v>
      </c>
      <c r="G211" s="338">
        <v>0.43402777777777773</v>
      </c>
      <c r="H211" s="338" t="s">
        <v>968</v>
      </c>
      <c r="I211" s="353">
        <v>755</v>
      </c>
      <c r="J211" s="338" t="str">
        <f>IFERROR(VLOOKUP(I211,'Chart of accounts'!A:H,2,FALSE),"")</f>
        <v>50203010 00</v>
      </c>
      <c r="K211" s="338" t="str">
        <f>IFERROR(VLOOKUP(I211,'Chart of accounts'!A:H,3,FALSE),"")</f>
        <v>Office Supplies Expenses</v>
      </c>
      <c r="L211" s="338" t="str">
        <f>IFERROR(VLOOKUP(I211,'Chart of accounts'!A:H,4,FALSE),"")</f>
        <v>50203010 00 - Office Supplies Expenses (755)</v>
      </c>
      <c r="M211" s="360">
        <v>2</v>
      </c>
      <c r="N211" s="355" t="s">
        <v>818</v>
      </c>
      <c r="O211" s="355" t="s">
        <v>1044</v>
      </c>
      <c r="P211" s="355"/>
      <c r="Q211" s="355">
        <v>13000</v>
      </c>
      <c r="R211" s="319">
        <f t="shared" si="2"/>
        <v>-13000</v>
      </c>
      <c r="S211" s="319" t="str">
        <f>VLOOKUP(H211,'Fund Utilization Report'!$A$4:$U$1800,13,FALSE)</f>
        <v>MOOE</v>
      </c>
      <c r="T211" s="319" t="str">
        <f>VLOOKUP(H211,'Fund Utilization Report'!$A$4:$U$1800,2,FALSE)</f>
        <v>GAA</v>
      </c>
      <c r="U211" s="319" t="str">
        <f>VLOOKUP(H211,'Fund Utilization Report'!$A$4:$U$1800,3,FALSE)</f>
        <v>FY2021, RA11518</v>
      </c>
      <c r="V211" s="319" t="str">
        <f>VLOOKUP(H211,'Fund Utilization Report'!$A$4:$U$1800,4,FALSE)</f>
        <v>OO2</v>
      </c>
      <c r="W211" s="319" t="str">
        <f>VLOOKUP(H211,'Fund Utilization Report'!$A$4:$U$1800,5,FALSE)</f>
        <v>01101101</v>
      </c>
      <c r="X211" s="319" t="str">
        <f>VLOOKUP(H211,'Fund Utilization Report'!$A$4:$U$1800,6,FALSE)</f>
        <v>GOP</v>
      </c>
      <c r="Y211" s="320" t="str">
        <f>VLOOKUP(H211,'Fund Utilization Report'!$A$4:$U$1800,7,FALSE)</f>
        <v>MOOE</v>
      </c>
      <c r="Z211" s="321">
        <f>VLOOKUP(H211,'Fund Utilization Report'!$A$4:$U$1800,8,FALSE)</f>
        <v>5020000000</v>
      </c>
      <c r="AA211" s="319" t="str">
        <f>VLOOKUP(H211,'Fund Utilization Report'!$A$4:$U$1800,14,FALSE)</f>
        <v>320100100001000</v>
      </c>
      <c r="AB211" s="349" t="str">
        <f>VLOOKUP(H211,'Fund Utilization Report'!$A$4:$U$1800,15,FALSE)</f>
        <v>Formulation of Strategic plans,programs, and policies to develop competitve industries</v>
      </c>
      <c r="AC211" s="39"/>
      <c r="AD211" s="34"/>
      <c r="AE211" s="39"/>
      <c r="AF211" s="51"/>
      <c r="AG211" s="40"/>
      <c r="AH211" s="40"/>
    </row>
    <row r="212" spans="1:34" s="32" customFormat="1" ht="27.6">
      <c r="A212" s="338" t="s">
        <v>942</v>
      </c>
      <c r="B212" s="338" t="s">
        <v>945</v>
      </c>
      <c r="C212" s="358">
        <v>44230</v>
      </c>
      <c r="D212" s="351" t="s">
        <v>1028</v>
      </c>
      <c r="E212" s="352" t="s">
        <v>1052</v>
      </c>
      <c r="F212" s="338">
        <v>0.42986111111111108</v>
      </c>
      <c r="G212" s="338">
        <v>0.43402777777777773</v>
      </c>
      <c r="H212" s="338" t="s">
        <v>968</v>
      </c>
      <c r="I212" s="353">
        <v>783</v>
      </c>
      <c r="J212" s="338" t="str">
        <f>IFERROR(VLOOKUP(I212,'Chart of accounts'!A:H,2,FALSE),"")</f>
        <v>50299030 00</v>
      </c>
      <c r="K212" s="338" t="str">
        <f>IFERROR(VLOOKUP(I212,'Chart of accounts'!A:H,3,FALSE),"")</f>
        <v>Representation Expenses</v>
      </c>
      <c r="L212" s="338" t="str">
        <f>IFERROR(VLOOKUP(I212,'Chart of accounts'!A:H,4,FALSE),"")</f>
        <v>50299030 00 - Representation Expenses (783)</v>
      </c>
      <c r="M212" s="360">
        <v>2</v>
      </c>
      <c r="N212" s="355" t="s">
        <v>818</v>
      </c>
      <c r="O212" s="355" t="s">
        <v>1044</v>
      </c>
      <c r="P212" s="355"/>
      <c r="Q212" s="355">
        <v>69200</v>
      </c>
      <c r="R212" s="319">
        <f t="shared" si="2"/>
        <v>-69200</v>
      </c>
      <c r="S212" s="319" t="str">
        <f>VLOOKUP(H212,'Fund Utilization Report'!$A$4:$U$1800,13,FALSE)</f>
        <v>MOOE</v>
      </c>
      <c r="T212" s="319" t="str">
        <f>VLOOKUP(H212,'Fund Utilization Report'!$A$4:$U$1800,2,FALSE)</f>
        <v>GAA</v>
      </c>
      <c r="U212" s="319" t="str">
        <f>VLOOKUP(H212,'Fund Utilization Report'!$A$4:$U$1800,3,FALSE)</f>
        <v>FY2021, RA11518</v>
      </c>
      <c r="V212" s="319" t="str">
        <f>VLOOKUP(H212,'Fund Utilization Report'!$A$4:$U$1800,4,FALSE)</f>
        <v>OO2</v>
      </c>
      <c r="W212" s="319" t="str">
        <f>VLOOKUP(H212,'Fund Utilization Report'!$A$4:$U$1800,5,FALSE)</f>
        <v>01101101</v>
      </c>
      <c r="X212" s="319" t="str">
        <f>VLOOKUP(H212,'Fund Utilization Report'!$A$4:$U$1800,6,FALSE)</f>
        <v>GOP</v>
      </c>
      <c r="Y212" s="320" t="str">
        <f>VLOOKUP(H212,'Fund Utilization Report'!$A$4:$U$1800,7,FALSE)</f>
        <v>MOOE</v>
      </c>
      <c r="Z212" s="321">
        <f>VLOOKUP(H212,'Fund Utilization Report'!$A$4:$U$1800,8,FALSE)</f>
        <v>5020000000</v>
      </c>
      <c r="AA212" s="319" t="str">
        <f>VLOOKUP(H212,'Fund Utilization Report'!$A$4:$U$1800,14,FALSE)</f>
        <v>320100100001000</v>
      </c>
      <c r="AB212" s="349" t="str">
        <f>VLOOKUP(H212,'Fund Utilization Report'!$A$4:$U$1800,15,FALSE)</f>
        <v>Formulation of Strategic plans,programs, and policies to develop competitve industries</v>
      </c>
      <c r="AC212" s="39"/>
      <c r="AD212" s="34"/>
      <c r="AE212" s="39"/>
      <c r="AF212" s="51"/>
      <c r="AG212" s="40"/>
      <c r="AH212" s="40"/>
    </row>
    <row r="213" spans="1:34" s="32" customFormat="1" ht="27.6">
      <c r="A213" s="338" t="s">
        <v>942</v>
      </c>
      <c r="B213" s="338" t="s">
        <v>945</v>
      </c>
      <c r="C213" s="358">
        <v>44230</v>
      </c>
      <c r="D213" s="351" t="s">
        <v>1028</v>
      </c>
      <c r="E213" s="352" t="s">
        <v>1053</v>
      </c>
      <c r="F213" s="338">
        <v>0.43402777777777773</v>
      </c>
      <c r="G213" s="338">
        <v>0.44097222222222227</v>
      </c>
      <c r="H213" s="338" t="s">
        <v>968</v>
      </c>
      <c r="I213" s="353">
        <v>751</v>
      </c>
      <c r="J213" s="338" t="str">
        <f>IFERROR(VLOOKUP(I213,'Chart of accounts'!A:H,2,FALSE),"")</f>
        <v>50201010 00</v>
      </c>
      <c r="K213" s="338" t="str">
        <f>IFERROR(VLOOKUP(I213,'Chart of accounts'!A:H,3,FALSE),"")</f>
        <v>Traveling Expenses - Local</v>
      </c>
      <c r="L213" s="338" t="str">
        <f>IFERROR(VLOOKUP(I213,'Chart of accounts'!A:H,4,FALSE),"")</f>
        <v>50201010 00 - Traveling Expenses - Local (751)</v>
      </c>
      <c r="M213" s="360">
        <v>3</v>
      </c>
      <c r="N213" s="355" t="s">
        <v>820</v>
      </c>
      <c r="O213" s="355" t="s">
        <v>1044</v>
      </c>
      <c r="P213" s="355"/>
      <c r="Q213" s="355">
        <v>15000</v>
      </c>
      <c r="R213" s="319">
        <f t="shared" si="2"/>
        <v>-15000</v>
      </c>
      <c r="S213" s="319" t="str">
        <f>VLOOKUP(H213,'Fund Utilization Report'!$A$4:$U$1800,13,FALSE)</f>
        <v>MOOE</v>
      </c>
      <c r="T213" s="319" t="str">
        <f>VLOOKUP(H213,'Fund Utilization Report'!$A$4:$U$1800,2,FALSE)</f>
        <v>GAA</v>
      </c>
      <c r="U213" s="319" t="str">
        <f>VLOOKUP(H213,'Fund Utilization Report'!$A$4:$U$1800,3,FALSE)</f>
        <v>FY2021, RA11518</v>
      </c>
      <c r="V213" s="319" t="str">
        <f>VLOOKUP(H213,'Fund Utilization Report'!$A$4:$U$1800,4,FALSE)</f>
        <v>OO2</v>
      </c>
      <c r="W213" s="319" t="str">
        <f>VLOOKUP(H213,'Fund Utilization Report'!$A$4:$U$1800,5,FALSE)</f>
        <v>01101101</v>
      </c>
      <c r="X213" s="319" t="str">
        <f>VLOOKUP(H213,'Fund Utilization Report'!$A$4:$U$1800,6,FALSE)</f>
        <v>GOP</v>
      </c>
      <c r="Y213" s="320" t="str">
        <f>VLOOKUP(H213,'Fund Utilization Report'!$A$4:$U$1800,7,FALSE)</f>
        <v>MOOE</v>
      </c>
      <c r="Z213" s="321">
        <f>VLOOKUP(H213,'Fund Utilization Report'!$A$4:$U$1800,8,FALSE)</f>
        <v>5020000000</v>
      </c>
      <c r="AA213" s="319" t="str">
        <f>VLOOKUP(H213,'Fund Utilization Report'!$A$4:$U$1800,14,FALSE)</f>
        <v>320100100001000</v>
      </c>
      <c r="AB213" s="349" t="str">
        <f>VLOOKUP(H213,'Fund Utilization Report'!$A$4:$U$1800,15,FALSE)</f>
        <v>Formulation of Strategic plans,programs, and policies to develop competitve industries</v>
      </c>
      <c r="AC213" s="39"/>
      <c r="AD213" s="34"/>
      <c r="AE213" s="39"/>
      <c r="AF213" s="51"/>
      <c r="AG213" s="40"/>
      <c r="AH213" s="40"/>
    </row>
    <row r="214" spans="1:34" s="32" customFormat="1" ht="27.6">
      <c r="A214" s="338" t="s">
        <v>942</v>
      </c>
      <c r="B214" s="338" t="s">
        <v>945</v>
      </c>
      <c r="C214" s="358">
        <v>44230</v>
      </c>
      <c r="D214" s="351" t="s">
        <v>1028</v>
      </c>
      <c r="E214" s="352" t="s">
        <v>1053</v>
      </c>
      <c r="F214" s="338">
        <v>0.43402777777777773</v>
      </c>
      <c r="G214" s="338">
        <v>0.44097222222222227</v>
      </c>
      <c r="H214" s="338" t="s">
        <v>968</v>
      </c>
      <c r="I214" s="353">
        <v>755</v>
      </c>
      <c r="J214" s="338" t="str">
        <f>IFERROR(VLOOKUP(I214,'Chart of accounts'!A:H,2,FALSE),"")</f>
        <v>50203010 00</v>
      </c>
      <c r="K214" s="338" t="str">
        <f>IFERROR(VLOOKUP(I214,'Chart of accounts'!A:H,3,FALSE),"")</f>
        <v>Office Supplies Expenses</v>
      </c>
      <c r="L214" s="338" t="str">
        <f>IFERROR(VLOOKUP(I214,'Chart of accounts'!A:H,4,FALSE),"")</f>
        <v>50203010 00 - Office Supplies Expenses (755)</v>
      </c>
      <c r="M214" s="360">
        <v>3</v>
      </c>
      <c r="N214" s="355" t="s">
        <v>820</v>
      </c>
      <c r="O214" s="355" t="s">
        <v>1044</v>
      </c>
      <c r="P214" s="355"/>
      <c r="Q214" s="355">
        <v>13000</v>
      </c>
      <c r="R214" s="319">
        <f t="shared" si="2"/>
        <v>-13000</v>
      </c>
      <c r="S214" s="319" t="str">
        <f>VLOOKUP(H214,'Fund Utilization Report'!$A$4:$U$1800,13,FALSE)</f>
        <v>MOOE</v>
      </c>
      <c r="T214" s="319" t="str">
        <f>VLOOKUP(H214,'Fund Utilization Report'!$A$4:$U$1800,2,FALSE)</f>
        <v>GAA</v>
      </c>
      <c r="U214" s="319" t="str">
        <f>VLOOKUP(H214,'Fund Utilization Report'!$A$4:$U$1800,3,FALSE)</f>
        <v>FY2021, RA11518</v>
      </c>
      <c r="V214" s="319" t="str">
        <f>VLOOKUP(H214,'Fund Utilization Report'!$A$4:$U$1800,4,FALSE)</f>
        <v>OO2</v>
      </c>
      <c r="W214" s="319" t="str">
        <f>VLOOKUP(H214,'Fund Utilization Report'!$A$4:$U$1800,5,FALSE)</f>
        <v>01101101</v>
      </c>
      <c r="X214" s="319" t="str">
        <f>VLOOKUP(H214,'Fund Utilization Report'!$A$4:$U$1800,6,FALSE)</f>
        <v>GOP</v>
      </c>
      <c r="Y214" s="320" t="str">
        <f>VLOOKUP(H214,'Fund Utilization Report'!$A$4:$U$1800,7,FALSE)</f>
        <v>MOOE</v>
      </c>
      <c r="Z214" s="321">
        <f>VLOOKUP(H214,'Fund Utilization Report'!$A$4:$U$1800,8,FALSE)</f>
        <v>5020000000</v>
      </c>
      <c r="AA214" s="319" t="str">
        <f>VLOOKUP(H214,'Fund Utilization Report'!$A$4:$U$1800,14,FALSE)</f>
        <v>320100100001000</v>
      </c>
      <c r="AB214" s="349" t="str">
        <f>VLOOKUP(H214,'Fund Utilization Report'!$A$4:$U$1800,15,FALSE)</f>
        <v>Formulation of Strategic plans,programs, and policies to develop competitve industries</v>
      </c>
      <c r="AC214" s="39"/>
      <c r="AD214" s="34"/>
      <c r="AE214" s="39"/>
      <c r="AF214" s="51"/>
      <c r="AG214" s="40"/>
      <c r="AH214" s="40"/>
    </row>
    <row r="215" spans="1:34" s="32" customFormat="1" ht="27.6">
      <c r="A215" s="338" t="s">
        <v>942</v>
      </c>
      <c r="B215" s="338" t="s">
        <v>945</v>
      </c>
      <c r="C215" s="358">
        <v>44230</v>
      </c>
      <c r="D215" s="351" t="s">
        <v>1028</v>
      </c>
      <c r="E215" s="352" t="s">
        <v>1053</v>
      </c>
      <c r="F215" s="338">
        <v>0.43402777777777773</v>
      </c>
      <c r="G215" s="338">
        <v>0.44097222222222227</v>
      </c>
      <c r="H215" s="338" t="s">
        <v>968</v>
      </c>
      <c r="I215" s="353">
        <v>783</v>
      </c>
      <c r="J215" s="338" t="str">
        <f>IFERROR(VLOOKUP(I215,'Chart of accounts'!A:H,2,FALSE),"")</f>
        <v>50299030 00</v>
      </c>
      <c r="K215" s="338" t="str">
        <f>IFERROR(VLOOKUP(I215,'Chart of accounts'!A:H,3,FALSE),"")</f>
        <v>Representation Expenses</v>
      </c>
      <c r="L215" s="338" t="str">
        <f>IFERROR(VLOOKUP(I215,'Chart of accounts'!A:H,4,FALSE),"")</f>
        <v>50299030 00 - Representation Expenses (783)</v>
      </c>
      <c r="M215" s="360">
        <v>3</v>
      </c>
      <c r="N215" s="355" t="s">
        <v>820</v>
      </c>
      <c r="O215" s="355" t="s">
        <v>1044</v>
      </c>
      <c r="P215" s="355"/>
      <c r="Q215" s="355">
        <v>69200</v>
      </c>
      <c r="R215" s="319">
        <f t="shared" si="2"/>
        <v>-69200</v>
      </c>
      <c r="S215" s="319" t="str">
        <f>VLOOKUP(H215,'Fund Utilization Report'!$A$4:$U$1800,13,FALSE)</f>
        <v>MOOE</v>
      </c>
      <c r="T215" s="319" t="str">
        <f>VLOOKUP(H215,'Fund Utilization Report'!$A$4:$U$1800,2,FALSE)</f>
        <v>GAA</v>
      </c>
      <c r="U215" s="319" t="str">
        <f>VLOOKUP(H215,'Fund Utilization Report'!$A$4:$U$1800,3,FALSE)</f>
        <v>FY2021, RA11518</v>
      </c>
      <c r="V215" s="319" t="str">
        <f>VLOOKUP(H215,'Fund Utilization Report'!$A$4:$U$1800,4,FALSE)</f>
        <v>OO2</v>
      </c>
      <c r="W215" s="319" t="str">
        <f>VLOOKUP(H215,'Fund Utilization Report'!$A$4:$U$1800,5,FALSE)</f>
        <v>01101101</v>
      </c>
      <c r="X215" s="319" t="str">
        <f>VLOOKUP(H215,'Fund Utilization Report'!$A$4:$U$1800,6,FALSE)</f>
        <v>GOP</v>
      </c>
      <c r="Y215" s="320" t="str">
        <f>VLOOKUP(H215,'Fund Utilization Report'!$A$4:$U$1800,7,FALSE)</f>
        <v>MOOE</v>
      </c>
      <c r="Z215" s="321">
        <f>VLOOKUP(H215,'Fund Utilization Report'!$A$4:$U$1800,8,FALSE)</f>
        <v>5020000000</v>
      </c>
      <c r="AA215" s="319" t="str">
        <f>VLOOKUP(H215,'Fund Utilization Report'!$A$4:$U$1800,14,FALSE)</f>
        <v>320100100001000</v>
      </c>
      <c r="AB215" s="349" t="str">
        <f>VLOOKUP(H215,'Fund Utilization Report'!$A$4:$U$1800,15,FALSE)</f>
        <v>Formulation of Strategic plans,programs, and policies to develop competitve industries</v>
      </c>
      <c r="AC215" s="39"/>
      <c r="AD215" s="34"/>
      <c r="AE215" s="39"/>
      <c r="AF215" s="51"/>
      <c r="AG215" s="40"/>
      <c r="AH215" s="40"/>
    </row>
    <row r="216" spans="1:34" s="32" customFormat="1" ht="27.6">
      <c r="A216" s="338" t="s">
        <v>942</v>
      </c>
      <c r="B216" s="338" t="s">
        <v>945</v>
      </c>
      <c r="C216" s="358">
        <v>44230</v>
      </c>
      <c r="D216" s="351" t="s">
        <v>1028</v>
      </c>
      <c r="E216" s="352" t="s">
        <v>1054</v>
      </c>
      <c r="F216" s="338">
        <v>0.44097222222222227</v>
      </c>
      <c r="G216" s="338">
        <v>0.44236111111111115</v>
      </c>
      <c r="H216" s="338" t="s">
        <v>968</v>
      </c>
      <c r="I216" s="353">
        <v>751</v>
      </c>
      <c r="J216" s="338" t="str">
        <f>IFERROR(VLOOKUP(I216,'Chart of accounts'!A:H,2,FALSE),"")</f>
        <v>50201010 00</v>
      </c>
      <c r="K216" s="338" t="str">
        <f>IFERROR(VLOOKUP(I216,'Chart of accounts'!A:H,3,FALSE),"")</f>
        <v>Traveling Expenses - Local</v>
      </c>
      <c r="L216" s="338" t="str">
        <f>IFERROR(VLOOKUP(I216,'Chart of accounts'!A:H,4,FALSE),"")</f>
        <v>50201010 00 - Traveling Expenses - Local (751)</v>
      </c>
      <c r="M216" s="360">
        <v>68</v>
      </c>
      <c r="N216" s="355" t="s">
        <v>821</v>
      </c>
      <c r="O216" s="355" t="s">
        <v>1044</v>
      </c>
      <c r="P216" s="355"/>
      <c r="Q216" s="355">
        <v>15000</v>
      </c>
      <c r="R216" s="319">
        <f t="shared" si="2"/>
        <v>-15000</v>
      </c>
      <c r="S216" s="319" t="str">
        <f>VLOOKUP(H216,'Fund Utilization Report'!$A$4:$U$1800,13,FALSE)</f>
        <v>MOOE</v>
      </c>
      <c r="T216" s="319" t="str">
        <f>VLOOKUP(H216,'Fund Utilization Report'!$A$4:$U$1800,2,FALSE)</f>
        <v>GAA</v>
      </c>
      <c r="U216" s="319" t="str">
        <f>VLOOKUP(H216,'Fund Utilization Report'!$A$4:$U$1800,3,FALSE)</f>
        <v>FY2021, RA11518</v>
      </c>
      <c r="V216" s="319" t="str">
        <f>VLOOKUP(H216,'Fund Utilization Report'!$A$4:$U$1800,4,FALSE)</f>
        <v>OO2</v>
      </c>
      <c r="W216" s="319" t="str">
        <f>VLOOKUP(H216,'Fund Utilization Report'!$A$4:$U$1800,5,FALSE)</f>
        <v>01101101</v>
      </c>
      <c r="X216" s="319" t="str">
        <f>VLOOKUP(H216,'Fund Utilization Report'!$A$4:$U$1800,6,FALSE)</f>
        <v>GOP</v>
      </c>
      <c r="Y216" s="320" t="str">
        <f>VLOOKUP(H216,'Fund Utilization Report'!$A$4:$U$1800,7,FALSE)</f>
        <v>MOOE</v>
      </c>
      <c r="Z216" s="321">
        <f>VLOOKUP(H216,'Fund Utilization Report'!$A$4:$U$1800,8,FALSE)</f>
        <v>5020000000</v>
      </c>
      <c r="AA216" s="319" t="str">
        <f>VLOOKUP(H216,'Fund Utilization Report'!$A$4:$U$1800,14,FALSE)</f>
        <v>320100100001000</v>
      </c>
      <c r="AB216" s="349" t="str">
        <f>VLOOKUP(H216,'Fund Utilization Report'!$A$4:$U$1800,15,FALSE)</f>
        <v>Formulation of Strategic plans,programs, and policies to develop competitve industries</v>
      </c>
      <c r="AC216" s="39"/>
      <c r="AD216" s="34"/>
      <c r="AE216" s="39"/>
      <c r="AF216" s="51"/>
      <c r="AG216" s="40"/>
      <c r="AH216" s="40"/>
    </row>
    <row r="217" spans="1:34" s="32" customFormat="1" ht="27.6">
      <c r="A217" s="338" t="s">
        <v>942</v>
      </c>
      <c r="B217" s="338" t="s">
        <v>945</v>
      </c>
      <c r="C217" s="358">
        <v>44230</v>
      </c>
      <c r="D217" s="351" t="s">
        <v>1028</v>
      </c>
      <c r="E217" s="352" t="s">
        <v>1054</v>
      </c>
      <c r="F217" s="338">
        <v>0.44097222222222227</v>
      </c>
      <c r="G217" s="338">
        <v>0.44236111111111115</v>
      </c>
      <c r="H217" s="338" t="s">
        <v>968</v>
      </c>
      <c r="I217" s="353">
        <v>755</v>
      </c>
      <c r="J217" s="338" t="str">
        <f>IFERROR(VLOOKUP(I217,'Chart of accounts'!A:H,2,FALSE),"")</f>
        <v>50203010 00</v>
      </c>
      <c r="K217" s="338" t="str">
        <f>IFERROR(VLOOKUP(I217,'Chart of accounts'!A:H,3,FALSE),"")</f>
        <v>Office Supplies Expenses</v>
      </c>
      <c r="L217" s="338" t="str">
        <f>IFERROR(VLOOKUP(I217,'Chart of accounts'!A:H,4,FALSE),"")</f>
        <v>50203010 00 - Office Supplies Expenses (755)</v>
      </c>
      <c r="M217" s="360">
        <v>68</v>
      </c>
      <c r="N217" s="355" t="s">
        <v>821</v>
      </c>
      <c r="O217" s="355" t="s">
        <v>1044</v>
      </c>
      <c r="P217" s="355"/>
      <c r="Q217" s="355">
        <v>13000</v>
      </c>
      <c r="R217" s="319">
        <f t="shared" si="2"/>
        <v>-13000</v>
      </c>
      <c r="S217" s="319" t="str">
        <f>VLOOKUP(H217,'Fund Utilization Report'!$A$4:$U$1800,13,FALSE)</f>
        <v>MOOE</v>
      </c>
      <c r="T217" s="319" t="str">
        <f>VLOOKUP(H217,'Fund Utilization Report'!$A$4:$U$1800,2,FALSE)</f>
        <v>GAA</v>
      </c>
      <c r="U217" s="319" t="str">
        <f>VLOOKUP(H217,'Fund Utilization Report'!$A$4:$U$1800,3,FALSE)</f>
        <v>FY2021, RA11518</v>
      </c>
      <c r="V217" s="319" t="str">
        <f>VLOOKUP(H217,'Fund Utilization Report'!$A$4:$U$1800,4,FALSE)</f>
        <v>OO2</v>
      </c>
      <c r="W217" s="319" t="str">
        <f>VLOOKUP(H217,'Fund Utilization Report'!$A$4:$U$1800,5,FALSE)</f>
        <v>01101101</v>
      </c>
      <c r="X217" s="319" t="str">
        <f>VLOOKUP(H217,'Fund Utilization Report'!$A$4:$U$1800,6,FALSE)</f>
        <v>GOP</v>
      </c>
      <c r="Y217" s="320" t="str">
        <f>VLOOKUP(H217,'Fund Utilization Report'!$A$4:$U$1800,7,FALSE)</f>
        <v>MOOE</v>
      </c>
      <c r="Z217" s="321">
        <f>VLOOKUP(H217,'Fund Utilization Report'!$A$4:$U$1800,8,FALSE)</f>
        <v>5020000000</v>
      </c>
      <c r="AA217" s="319" t="str">
        <f>VLOOKUP(H217,'Fund Utilization Report'!$A$4:$U$1800,14,FALSE)</f>
        <v>320100100001000</v>
      </c>
      <c r="AB217" s="349" t="str">
        <f>VLOOKUP(H217,'Fund Utilization Report'!$A$4:$U$1800,15,FALSE)</f>
        <v>Formulation of Strategic plans,programs, and policies to develop competitve industries</v>
      </c>
      <c r="AC217" s="39"/>
      <c r="AD217" s="34"/>
      <c r="AE217" s="39"/>
      <c r="AF217" s="51"/>
      <c r="AG217" s="40"/>
      <c r="AH217" s="40"/>
    </row>
    <row r="218" spans="1:34" s="32" customFormat="1" ht="27.6">
      <c r="A218" s="338" t="s">
        <v>942</v>
      </c>
      <c r="B218" s="338" t="s">
        <v>945</v>
      </c>
      <c r="C218" s="358">
        <v>44230</v>
      </c>
      <c r="D218" s="351" t="s">
        <v>1028</v>
      </c>
      <c r="E218" s="352" t="s">
        <v>1054</v>
      </c>
      <c r="F218" s="338">
        <v>0.44097222222222227</v>
      </c>
      <c r="G218" s="338">
        <v>0.44236111111111115</v>
      </c>
      <c r="H218" s="338" t="s">
        <v>968</v>
      </c>
      <c r="I218" s="353">
        <v>783</v>
      </c>
      <c r="J218" s="338" t="str">
        <f>IFERROR(VLOOKUP(I218,'Chart of accounts'!A:H,2,FALSE),"")</f>
        <v>50299030 00</v>
      </c>
      <c r="K218" s="338" t="str">
        <f>IFERROR(VLOOKUP(I218,'Chart of accounts'!A:H,3,FALSE),"")</f>
        <v>Representation Expenses</v>
      </c>
      <c r="L218" s="338" t="str">
        <f>IFERROR(VLOOKUP(I218,'Chart of accounts'!A:H,4,FALSE),"")</f>
        <v>50299030 00 - Representation Expenses (783)</v>
      </c>
      <c r="M218" s="360">
        <v>68</v>
      </c>
      <c r="N218" s="355" t="s">
        <v>821</v>
      </c>
      <c r="O218" s="355" t="s">
        <v>1044</v>
      </c>
      <c r="P218" s="355"/>
      <c r="Q218" s="355">
        <v>69200</v>
      </c>
      <c r="R218" s="319">
        <f t="shared" si="2"/>
        <v>-69200</v>
      </c>
      <c r="S218" s="319" t="str">
        <f>VLOOKUP(H218,'Fund Utilization Report'!$A$4:$U$1800,13,FALSE)</f>
        <v>MOOE</v>
      </c>
      <c r="T218" s="319" t="str">
        <f>VLOOKUP(H218,'Fund Utilization Report'!$A$4:$U$1800,2,FALSE)</f>
        <v>GAA</v>
      </c>
      <c r="U218" s="319" t="str">
        <f>VLOOKUP(H218,'Fund Utilization Report'!$A$4:$U$1800,3,FALSE)</f>
        <v>FY2021, RA11518</v>
      </c>
      <c r="V218" s="319" t="str">
        <f>VLOOKUP(H218,'Fund Utilization Report'!$A$4:$U$1800,4,FALSE)</f>
        <v>OO2</v>
      </c>
      <c r="W218" s="319" t="str">
        <f>VLOOKUP(H218,'Fund Utilization Report'!$A$4:$U$1800,5,FALSE)</f>
        <v>01101101</v>
      </c>
      <c r="X218" s="319" t="str">
        <f>VLOOKUP(H218,'Fund Utilization Report'!$A$4:$U$1800,6,FALSE)</f>
        <v>GOP</v>
      </c>
      <c r="Y218" s="320" t="str">
        <f>VLOOKUP(H218,'Fund Utilization Report'!$A$4:$U$1800,7,FALSE)</f>
        <v>MOOE</v>
      </c>
      <c r="Z218" s="321">
        <f>VLOOKUP(H218,'Fund Utilization Report'!$A$4:$U$1800,8,FALSE)</f>
        <v>5020000000</v>
      </c>
      <c r="AA218" s="319" t="str">
        <f>VLOOKUP(H218,'Fund Utilization Report'!$A$4:$U$1800,14,FALSE)</f>
        <v>320100100001000</v>
      </c>
      <c r="AB218" s="349" t="str">
        <f>VLOOKUP(H218,'Fund Utilization Report'!$A$4:$U$1800,15,FALSE)</f>
        <v>Formulation of Strategic plans,programs, and policies to develop competitve industries</v>
      </c>
      <c r="AC218" s="39"/>
      <c r="AD218" s="34"/>
      <c r="AE218" s="39"/>
      <c r="AF218" s="51"/>
      <c r="AG218" s="40"/>
      <c r="AH218" s="40"/>
    </row>
    <row r="219" spans="1:34" s="32" customFormat="1" ht="27.6">
      <c r="A219" s="338" t="s">
        <v>942</v>
      </c>
      <c r="B219" s="338" t="s">
        <v>945</v>
      </c>
      <c r="C219" s="358">
        <v>44230</v>
      </c>
      <c r="D219" s="351" t="s">
        <v>1028</v>
      </c>
      <c r="E219" s="352" t="s">
        <v>1055</v>
      </c>
      <c r="F219" s="338">
        <v>0.44236111111111115</v>
      </c>
      <c r="G219" s="338">
        <v>0.44375000000000003</v>
      </c>
      <c r="H219" s="338" t="s">
        <v>968</v>
      </c>
      <c r="I219" s="353">
        <v>751</v>
      </c>
      <c r="J219" s="338" t="str">
        <f>IFERROR(VLOOKUP(I219,'Chart of accounts'!A:H,2,FALSE),"")</f>
        <v>50201010 00</v>
      </c>
      <c r="K219" s="338" t="str">
        <f>IFERROR(VLOOKUP(I219,'Chart of accounts'!A:H,3,FALSE),"")</f>
        <v>Traveling Expenses - Local</v>
      </c>
      <c r="L219" s="338" t="str">
        <f>IFERROR(VLOOKUP(I219,'Chart of accounts'!A:H,4,FALSE),"")</f>
        <v>50201010 00 - Traveling Expenses - Local (751)</v>
      </c>
      <c r="M219" s="360">
        <v>67</v>
      </c>
      <c r="N219" s="355" t="s">
        <v>822</v>
      </c>
      <c r="O219" s="355" t="s">
        <v>1044</v>
      </c>
      <c r="P219" s="355"/>
      <c r="Q219" s="355">
        <v>15000</v>
      </c>
      <c r="R219" s="319">
        <f t="shared" si="2"/>
        <v>-15000</v>
      </c>
      <c r="S219" s="319" t="str">
        <f>VLOOKUP(H219,'Fund Utilization Report'!$A$4:$U$1800,13,FALSE)</f>
        <v>MOOE</v>
      </c>
      <c r="T219" s="319" t="str">
        <f>VLOOKUP(H219,'Fund Utilization Report'!$A$4:$U$1800,2,FALSE)</f>
        <v>GAA</v>
      </c>
      <c r="U219" s="319" t="str">
        <f>VLOOKUP(H219,'Fund Utilization Report'!$A$4:$U$1800,3,FALSE)</f>
        <v>FY2021, RA11518</v>
      </c>
      <c r="V219" s="319" t="str">
        <f>VLOOKUP(H219,'Fund Utilization Report'!$A$4:$U$1800,4,FALSE)</f>
        <v>OO2</v>
      </c>
      <c r="W219" s="319" t="str">
        <f>VLOOKUP(H219,'Fund Utilization Report'!$A$4:$U$1800,5,FALSE)</f>
        <v>01101101</v>
      </c>
      <c r="X219" s="319" t="str">
        <f>VLOOKUP(H219,'Fund Utilization Report'!$A$4:$U$1800,6,FALSE)</f>
        <v>GOP</v>
      </c>
      <c r="Y219" s="320" t="str">
        <f>VLOOKUP(H219,'Fund Utilization Report'!$A$4:$U$1800,7,FALSE)</f>
        <v>MOOE</v>
      </c>
      <c r="Z219" s="321">
        <f>VLOOKUP(H219,'Fund Utilization Report'!$A$4:$U$1800,8,FALSE)</f>
        <v>5020000000</v>
      </c>
      <c r="AA219" s="319" t="str">
        <f>VLOOKUP(H219,'Fund Utilization Report'!$A$4:$U$1800,14,FALSE)</f>
        <v>320100100001000</v>
      </c>
      <c r="AB219" s="349" t="str">
        <f>VLOOKUP(H219,'Fund Utilization Report'!$A$4:$U$1800,15,FALSE)</f>
        <v>Formulation of Strategic plans,programs, and policies to develop competitve industries</v>
      </c>
      <c r="AC219" s="39"/>
      <c r="AD219" s="34"/>
      <c r="AE219" s="39"/>
      <c r="AF219" s="51"/>
      <c r="AG219" s="40"/>
      <c r="AH219" s="40"/>
    </row>
    <row r="220" spans="1:34" s="32" customFormat="1" ht="27.6">
      <c r="A220" s="338" t="s">
        <v>942</v>
      </c>
      <c r="B220" s="338" t="s">
        <v>945</v>
      </c>
      <c r="C220" s="358">
        <v>44230</v>
      </c>
      <c r="D220" s="351" t="s">
        <v>1028</v>
      </c>
      <c r="E220" s="352" t="s">
        <v>1055</v>
      </c>
      <c r="F220" s="338">
        <v>0.44236111111111115</v>
      </c>
      <c r="G220" s="338">
        <v>0.44375000000000003</v>
      </c>
      <c r="H220" s="338" t="s">
        <v>968</v>
      </c>
      <c r="I220" s="353">
        <v>755</v>
      </c>
      <c r="J220" s="338" t="str">
        <f>IFERROR(VLOOKUP(I220,'Chart of accounts'!A:H,2,FALSE),"")</f>
        <v>50203010 00</v>
      </c>
      <c r="K220" s="338" t="str">
        <f>IFERROR(VLOOKUP(I220,'Chart of accounts'!A:H,3,FALSE),"")</f>
        <v>Office Supplies Expenses</v>
      </c>
      <c r="L220" s="338" t="str">
        <f>IFERROR(VLOOKUP(I220,'Chart of accounts'!A:H,4,FALSE),"")</f>
        <v>50203010 00 - Office Supplies Expenses (755)</v>
      </c>
      <c r="M220" s="360">
        <v>67</v>
      </c>
      <c r="N220" s="355" t="s">
        <v>822</v>
      </c>
      <c r="O220" s="355" t="s">
        <v>1044</v>
      </c>
      <c r="P220" s="355"/>
      <c r="Q220" s="355">
        <v>13000</v>
      </c>
      <c r="R220" s="319">
        <f t="shared" si="2"/>
        <v>-13000</v>
      </c>
      <c r="S220" s="319" t="str">
        <f>VLOOKUP(H220,'Fund Utilization Report'!$A$4:$U$1800,13,FALSE)</f>
        <v>MOOE</v>
      </c>
      <c r="T220" s="319" t="str">
        <f>VLOOKUP(H220,'Fund Utilization Report'!$A$4:$U$1800,2,FALSE)</f>
        <v>GAA</v>
      </c>
      <c r="U220" s="319" t="str">
        <f>VLOOKUP(H220,'Fund Utilization Report'!$A$4:$U$1800,3,FALSE)</f>
        <v>FY2021, RA11518</v>
      </c>
      <c r="V220" s="319" t="str">
        <f>VLOOKUP(H220,'Fund Utilization Report'!$A$4:$U$1800,4,FALSE)</f>
        <v>OO2</v>
      </c>
      <c r="W220" s="319" t="str">
        <f>VLOOKUP(H220,'Fund Utilization Report'!$A$4:$U$1800,5,FALSE)</f>
        <v>01101101</v>
      </c>
      <c r="X220" s="319" t="str">
        <f>VLOOKUP(H220,'Fund Utilization Report'!$A$4:$U$1800,6,FALSE)</f>
        <v>GOP</v>
      </c>
      <c r="Y220" s="320" t="str">
        <f>VLOOKUP(H220,'Fund Utilization Report'!$A$4:$U$1800,7,FALSE)</f>
        <v>MOOE</v>
      </c>
      <c r="Z220" s="321">
        <f>VLOOKUP(H220,'Fund Utilization Report'!$A$4:$U$1800,8,FALSE)</f>
        <v>5020000000</v>
      </c>
      <c r="AA220" s="319" t="str">
        <f>VLOOKUP(H220,'Fund Utilization Report'!$A$4:$U$1800,14,FALSE)</f>
        <v>320100100001000</v>
      </c>
      <c r="AB220" s="349" t="str">
        <f>VLOOKUP(H220,'Fund Utilization Report'!$A$4:$U$1800,15,FALSE)</f>
        <v>Formulation of Strategic plans,programs, and policies to develop competitve industries</v>
      </c>
      <c r="AC220" s="39"/>
      <c r="AD220" s="34"/>
      <c r="AE220" s="39"/>
      <c r="AF220" s="51"/>
      <c r="AG220" s="40"/>
      <c r="AH220" s="40"/>
    </row>
    <row r="221" spans="1:34" s="32" customFormat="1" ht="27.6">
      <c r="A221" s="338" t="s">
        <v>942</v>
      </c>
      <c r="B221" s="338" t="s">
        <v>945</v>
      </c>
      <c r="C221" s="358">
        <v>44230</v>
      </c>
      <c r="D221" s="351" t="s">
        <v>1028</v>
      </c>
      <c r="E221" s="352" t="s">
        <v>1055</v>
      </c>
      <c r="F221" s="338">
        <v>0.44236111111111115</v>
      </c>
      <c r="G221" s="338">
        <v>0.44375000000000003</v>
      </c>
      <c r="H221" s="338" t="s">
        <v>968</v>
      </c>
      <c r="I221" s="353">
        <v>783</v>
      </c>
      <c r="J221" s="338" t="str">
        <f>IFERROR(VLOOKUP(I221,'Chart of accounts'!A:H,2,FALSE),"")</f>
        <v>50299030 00</v>
      </c>
      <c r="K221" s="338" t="str">
        <f>IFERROR(VLOOKUP(I221,'Chart of accounts'!A:H,3,FALSE),"")</f>
        <v>Representation Expenses</v>
      </c>
      <c r="L221" s="338" t="str">
        <f>IFERROR(VLOOKUP(I221,'Chart of accounts'!A:H,4,FALSE),"")</f>
        <v>50299030 00 - Representation Expenses (783)</v>
      </c>
      <c r="M221" s="360">
        <v>67</v>
      </c>
      <c r="N221" s="355" t="s">
        <v>822</v>
      </c>
      <c r="O221" s="355" t="s">
        <v>1044</v>
      </c>
      <c r="P221" s="355"/>
      <c r="Q221" s="355">
        <v>69200</v>
      </c>
      <c r="R221" s="319">
        <f t="shared" si="2"/>
        <v>-69200</v>
      </c>
      <c r="S221" s="319" t="str">
        <f>VLOOKUP(H221,'Fund Utilization Report'!$A$4:$U$1800,13,FALSE)</f>
        <v>MOOE</v>
      </c>
      <c r="T221" s="319" t="str">
        <f>VLOOKUP(H221,'Fund Utilization Report'!$A$4:$U$1800,2,FALSE)</f>
        <v>GAA</v>
      </c>
      <c r="U221" s="319" t="str">
        <f>VLOOKUP(H221,'Fund Utilization Report'!$A$4:$U$1800,3,FALSE)</f>
        <v>FY2021, RA11518</v>
      </c>
      <c r="V221" s="319" t="str">
        <f>VLOOKUP(H221,'Fund Utilization Report'!$A$4:$U$1800,4,FALSE)</f>
        <v>OO2</v>
      </c>
      <c r="W221" s="319" t="str">
        <f>VLOOKUP(H221,'Fund Utilization Report'!$A$4:$U$1800,5,FALSE)</f>
        <v>01101101</v>
      </c>
      <c r="X221" s="319" t="str">
        <f>VLOOKUP(H221,'Fund Utilization Report'!$A$4:$U$1800,6,FALSE)</f>
        <v>GOP</v>
      </c>
      <c r="Y221" s="320" t="str">
        <f>VLOOKUP(H221,'Fund Utilization Report'!$A$4:$U$1800,7,FALSE)</f>
        <v>MOOE</v>
      </c>
      <c r="Z221" s="321">
        <f>VLOOKUP(H221,'Fund Utilization Report'!$A$4:$U$1800,8,FALSE)</f>
        <v>5020000000</v>
      </c>
      <c r="AA221" s="319" t="str">
        <f>VLOOKUP(H221,'Fund Utilization Report'!$A$4:$U$1800,14,FALSE)</f>
        <v>320100100001000</v>
      </c>
      <c r="AB221" s="349" t="str">
        <f>VLOOKUP(H221,'Fund Utilization Report'!$A$4:$U$1800,15,FALSE)</f>
        <v>Formulation of Strategic plans,programs, and policies to develop competitve industries</v>
      </c>
      <c r="AC221" s="39"/>
      <c r="AD221" s="34"/>
      <c r="AE221" s="39"/>
      <c r="AF221" s="51"/>
      <c r="AG221" s="40"/>
      <c r="AH221" s="40"/>
    </row>
    <row r="222" spans="1:34" s="32" customFormat="1" ht="27.6">
      <c r="A222" s="338" t="s">
        <v>942</v>
      </c>
      <c r="B222" s="338" t="s">
        <v>945</v>
      </c>
      <c r="C222" s="358">
        <v>44230</v>
      </c>
      <c r="D222" s="351" t="s">
        <v>1028</v>
      </c>
      <c r="E222" s="352" t="s">
        <v>1056</v>
      </c>
      <c r="F222" s="338">
        <v>0.44375000000000003</v>
      </c>
      <c r="G222" s="338">
        <v>0.4458333333333333</v>
      </c>
      <c r="H222" s="338" t="s">
        <v>968</v>
      </c>
      <c r="I222" s="353">
        <v>751</v>
      </c>
      <c r="J222" s="338" t="str">
        <f>IFERROR(VLOOKUP(I222,'Chart of accounts'!A:H,2,FALSE),"")</f>
        <v>50201010 00</v>
      </c>
      <c r="K222" s="338" t="str">
        <f>IFERROR(VLOOKUP(I222,'Chart of accounts'!A:H,3,FALSE),"")</f>
        <v>Traveling Expenses - Local</v>
      </c>
      <c r="L222" s="338" t="str">
        <f>IFERROR(VLOOKUP(I222,'Chart of accounts'!A:H,4,FALSE),"")</f>
        <v>50201010 00 - Traveling Expenses - Local (751)</v>
      </c>
      <c r="M222" s="360">
        <v>85</v>
      </c>
      <c r="N222" s="355" t="s">
        <v>823</v>
      </c>
      <c r="O222" s="355" t="s">
        <v>1044</v>
      </c>
      <c r="P222" s="355"/>
      <c r="Q222" s="355">
        <v>15000</v>
      </c>
      <c r="R222" s="319">
        <f t="shared" si="2"/>
        <v>-15000</v>
      </c>
      <c r="S222" s="319" t="str">
        <f>VLOOKUP(H222,'Fund Utilization Report'!$A$4:$U$1800,13,FALSE)</f>
        <v>MOOE</v>
      </c>
      <c r="T222" s="319" t="str">
        <f>VLOOKUP(H222,'Fund Utilization Report'!$A$4:$U$1800,2,FALSE)</f>
        <v>GAA</v>
      </c>
      <c r="U222" s="319" t="str">
        <f>VLOOKUP(H222,'Fund Utilization Report'!$A$4:$U$1800,3,FALSE)</f>
        <v>FY2021, RA11518</v>
      </c>
      <c r="V222" s="319" t="str">
        <f>VLOOKUP(H222,'Fund Utilization Report'!$A$4:$U$1800,4,FALSE)</f>
        <v>OO2</v>
      </c>
      <c r="W222" s="319" t="str">
        <f>VLOOKUP(H222,'Fund Utilization Report'!$A$4:$U$1800,5,FALSE)</f>
        <v>01101101</v>
      </c>
      <c r="X222" s="319" t="str">
        <f>VLOOKUP(H222,'Fund Utilization Report'!$A$4:$U$1800,6,FALSE)</f>
        <v>GOP</v>
      </c>
      <c r="Y222" s="320" t="str">
        <f>VLOOKUP(H222,'Fund Utilization Report'!$A$4:$U$1800,7,FALSE)</f>
        <v>MOOE</v>
      </c>
      <c r="Z222" s="321">
        <f>VLOOKUP(H222,'Fund Utilization Report'!$A$4:$U$1800,8,FALSE)</f>
        <v>5020000000</v>
      </c>
      <c r="AA222" s="319" t="str">
        <f>VLOOKUP(H222,'Fund Utilization Report'!$A$4:$U$1800,14,FALSE)</f>
        <v>320100100001000</v>
      </c>
      <c r="AB222" s="349" t="str">
        <f>VLOOKUP(H222,'Fund Utilization Report'!$A$4:$U$1800,15,FALSE)</f>
        <v>Formulation of Strategic plans,programs, and policies to develop competitve industries</v>
      </c>
      <c r="AC222" s="39"/>
      <c r="AD222" s="34"/>
      <c r="AE222" s="39"/>
      <c r="AF222" s="51"/>
      <c r="AG222" s="40"/>
      <c r="AH222" s="40"/>
    </row>
    <row r="223" spans="1:34" s="32" customFormat="1" ht="27.6">
      <c r="A223" s="338" t="s">
        <v>942</v>
      </c>
      <c r="B223" s="338" t="s">
        <v>945</v>
      </c>
      <c r="C223" s="358">
        <v>44230</v>
      </c>
      <c r="D223" s="351" t="s">
        <v>1028</v>
      </c>
      <c r="E223" s="352" t="s">
        <v>1056</v>
      </c>
      <c r="F223" s="338">
        <v>0.44375000000000003</v>
      </c>
      <c r="G223" s="338">
        <v>0.4458333333333333</v>
      </c>
      <c r="H223" s="338" t="s">
        <v>968</v>
      </c>
      <c r="I223" s="353">
        <v>755</v>
      </c>
      <c r="J223" s="338" t="str">
        <f>IFERROR(VLOOKUP(I223,'Chart of accounts'!A:H,2,FALSE),"")</f>
        <v>50203010 00</v>
      </c>
      <c r="K223" s="338" t="str">
        <f>IFERROR(VLOOKUP(I223,'Chart of accounts'!A:H,3,FALSE),"")</f>
        <v>Office Supplies Expenses</v>
      </c>
      <c r="L223" s="338" t="str">
        <f>IFERROR(VLOOKUP(I223,'Chart of accounts'!A:H,4,FALSE),"")</f>
        <v>50203010 00 - Office Supplies Expenses (755)</v>
      </c>
      <c r="M223" s="360">
        <v>85</v>
      </c>
      <c r="N223" s="355" t="s">
        <v>823</v>
      </c>
      <c r="O223" s="355" t="s">
        <v>1044</v>
      </c>
      <c r="P223" s="355"/>
      <c r="Q223" s="355">
        <v>13000</v>
      </c>
      <c r="R223" s="319">
        <f t="shared" si="2"/>
        <v>-13000</v>
      </c>
      <c r="S223" s="319" t="str">
        <f>VLOOKUP(H223,'Fund Utilization Report'!$A$4:$U$1800,13,FALSE)</f>
        <v>MOOE</v>
      </c>
      <c r="T223" s="319" t="str">
        <f>VLOOKUP(H223,'Fund Utilization Report'!$A$4:$U$1800,2,FALSE)</f>
        <v>GAA</v>
      </c>
      <c r="U223" s="319" t="str">
        <f>VLOOKUP(H223,'Fund Utilization Report'!$A$4:$U$1800,3,FALSE)</f>
        <v>FY2021, RA11518</v>
      </c>
      <c r="V223" s="319" t="str">
        <f>VLOOKUP(H223,'Fund Utilization Report'!$A$4:$U$1800,4,FALSE)</f>
        <v>OO2</v>
      </c>
      <c r="W223" s="319" t="str">
        <f>VLOOKUP(H223,'Fund Utilization Report'!$A$4:$U$1800,5,FALSE)</f>
        <v>01101101</v>
      </c>
      <c r="X223" s="319" t="str">
        <f>VLOOKUP(H223,'Fund Utilization Report'!$A$4:$U$1800,6,FALSE)</f>
        <v>GOP</v>
      </c>
      <c r="Y223" s="320" t="str">
        <f>VLOOKUP(H223,'Fund Utilization Report'!$A$4:$U$1800,7,FALSE)</f>
        <v>MOOE</v>
      </c>
      <c r="Z223" s="321">
        <f>VLOOKUP(H223,'Fund Utilization Report'!$A$4:$U$1800,8,FALSE)</f>
        <v>5020000000</v>
      </c>
      <c r="AA223" s="319" t="str">
        <f>VLOOKUP(H223,'Fund Utilization Report'!$A$4:$U$1800,14,FALSE)</f>
        <v>320100100001000</v>
      </c>
      <c r="AB223" s="349" t="str">
        <f>VLOOKUP(H223,'Fund Utilization Report'!$A$4:$U$1800,15,FALSE)</f>
        <v>Formulation of Strategic plans,programs, and policies to develop competitve industries</v>
      </c>
      <c r="AC223" s="39"/>
      <c r="AD223" s="34"/>
      <c r="AE223" s="39"/>
      <c r="AF223" s="51"/>
      <c r="AG223" s="40"/>
      <c r="AH223" s="40"/>
    </row>
    <row r="224" spans="1:34" s="32" customFormat="1" ht="27.6">
      <c r="A224" s="338" t="s">
        <v>942</v>
      </c>
      <c r="B224" s="338" t="s">
        <v>945</v>
      </c>
      <c r="C224" s="358">
        <v>44230</v>
      </c>
      <c r="D224" s="351" t="s">
        <v>1028</v>
      </c>
      <c r="E224" s="352" t="s">
        <v>1056</v>
      </c>
      <c r="F224" s="338">
        <v>0.44375000000000003</v>
      </c>
      <c r="G224" s="338">
        <v>0.4458333333333333</v>
      </c>
      <c r="H224" s="338" t="s">
        <v>968</v>
      </c>
      <c r="I224" s="353">
        <v>783</v>
      </c>
      <c r="J224" s="338" t="str">
        <f>IFERROR(VLOOKUP(I224,'Chart of accounts'!A:H,2,FALSE),"")</f>
        <v>50299030 00</v>
      </c>
      <c r="K224" s="338" t="str">
        <f>IFERROR(VLOOKUP(I224,'Chart of accounts'!A:H,3,FALSE),"")</f>
        <v>Representation Expenses</v>
      </c>
      <c r="L224" s="338" t="str">
        <f>IFERROR(VLOOKUP(I224,'Chart of accounts'!A:H,4,FALSE),"")</f>
        <v>50299030 00 - Representation Expenses (783)</v>
      </c>
      <c r="M224" s="360">
        <v>85</v>
      </c>
      <c r="N224" s="355" t="s">
        <v>823</v>
      </c>
      <c r="O224" s="355" t="s">
        <v>1044</v>
      </c>
      <c r="P224" s="355"/>
      <c r="Q224" s="355">
        <v>69200</v>
      </c>
      <c r="R224" s="319">
        <f t="shared" si="2"/>
        <v>-69200</v>
      </c>
      <c r="S224" s="319" t="str">
        <f>VLOOKUP(H224,'Fund Utilization Report'!$A$4:$U$1800,13,FALSE)</f>
        <v>MOOE</v>
      </c>
      <c r="T224" s="319" t="str">
        <f>VLOOKUP(H224,'Fund Utilization Report'!$A$4:$U$1800,2,FALSE)</f>
        <v>GAA</v>
      </c>
      <c r="U224" s="319" t="str">
        <f>VLOOKUP(H224,'Fund Utilization Report'!$A$4:$U$1800,3,FALSE)</f>
        <v>FY2021, RA11518</v>
      </c>
      <c r="V224" s="319" t="str">
        <f>VLOOKUP(H224,'Fund Utilization Report'!$A$4:$U$1800,4,FALSE)</f>
        <v>OO2</v>
      </c>
      <c r="W224" s="319" t="str">
        <f>VLOOKUP(H224,'Fund Utilization Report'!$A$4:$U$1800,5,FALSE)</f>
        <v>01101101</v>
      </c>
      <c r="X224" s="319" t="str">
        <f>VLOOKUP(H224,'Fund Utilization Report'!$A$4:$U$1800,6,FALSE)</f>
        <v>GOP</v>
      </c>
      <c r="Y224" s="320" t="str">
        <f>VLOOKUP(H224,'Fund Utilization Report'!$A$4:$U$1800,7,FALSE)</f>
        <v>MOOE</v>
      </c>
      <c r="Z224" s="321">
        <f>VLOOKUP(H224,'Fund Utilization Report'!$A$4:$U$1800,8,FALSE)</f>
        <v>5020000000</v>
      </c>
      <c r="AA224" s="319" t="str">
        <f>VLOOKUP(H224,'Fund Utilization Report'!$A$4:$U$1800,14,FALSE)</f>
        <v>320100100001000</v>
      </c>
      <c r="AB224" s="349" t="str">
        <f>VLOOKUP(H224,'Fund Utilization Report'!$A$4:$U$1800,15,FALSE)</f>
        <v>Formulation of Strategic plans,programs, and policies to develop competitve industries</v>
      </c>
      <c r="AC224" s="39"/>
      <c r="AD224" s="34"/>
      <c r="AE224" s="39"/>
      <c r="AF224" s="51"/>
      <c r="AG224" s="40"/>
      <c r="AH224" s="40"/>
    </row>
    <row r="225" spans="1:34" s="32" customFormat="1" ht="27.6">
      <c r="A225" s="338" t="s">
        <v>942</v>
      </c>
      <c r="B225" s="338" t="s">
        <v>945</v>
      </c>
      <c r="C225" s="358">
        <v>44230</v>
      </c>
      <c r="D225" s="351" t="s">
        <v>1028</v>
      </c>
      <c r="E225" s="352" t="s">
        <v>1057</v>
      </c>
      <c r="F225" s="338">
        <v>0.4458333333333333</v>
      </c>
      <c r="G225" s="338">
        <v>0.44722222222222219</v>
      </c>
      <c r="H225" s="338" t="s">
        <v>965</v>
      </c>
      <c r="I225" s="353">
        <v>751</v>
      </c>
      <c r="J225" s="338" t="str">
        <f>IFERROR(VLOOKUP(I225,'Chart of accounts'!A:H,2,FALSE),"")</f>
        <v>50201010 00</v>
      </c>
      <c r="K225" s="338" t="str">
        <f>IFERROR(VLOOKUP(I225,'Chart of accounts'!A:H,3,FALSE),"")</f>
        <v>Traveling Expenses - Local</v>
      </c>
      <c r="L225" s="338" t="str">
        <f>IFERROR(VLOOKUP(I225,'Chart of accounts'!A:H,4,FALSE),"")</f>
        <v>50201010 00 - Traveling Expenses - Local (751)</v>
      </c>
      <c r="M225" s="361">
        <v>2</v>
      </c>
      <c r="N225" s="355" t="s">
        <v>818</v>
      </c>
      <c r="O225" s="355" t="s">
        <v>1045</v>
      </c>
      <c r="P225" s="355"/>
      <c r="Q225" s="355">
        <v>20000</v>
      </c>
      <c r="R225" s="319">
        <f t="shared" si="2"/>
        <v>-20000</v>
      </c>
      <c r="S225" s="319" t="str">
        <f>VLOOKUP(H225,'Fund Utilization Report'!$A$4:$U$1800,13,FALSE)</f>
        <v>MOOE</v>
      </c>
      <c r="T225" s="319" t="str">
        <f>VLOOKUP(H225,'Fund Utilization Report'!$A$4:$U$1800,2,FALSE)</f>
        <v>GAA</v>
      </c>
      <c r="U225" s="319" t="str">
        <f>VLOOKUP(H225,'Fund Utilization Report'!$A$4:$U$1800,3,FALSE)</f>
        <v>FY2021, RA11518</v>
      </c>
      <c r="V225" s="319" t="str">
        <f>VLOOKUP(H225,'Fund Utilization Report'!$A$4:$U$1800,4,FALSE)</f>
        <v>OO1</v>
      </c>
      <c r="W225" s="319" t="str">
        <f>VLOOKUP(H225,'Fund Utilization Report'!$A$4:$U$1800,5,FALSE)</f>
        <v>01101101</v>
      </c>
      <c r="X225" s="319" t="str">
        <f>VLOOKUP(H225,'Fund Utilization Report'!$A$4:$U$1800,6,FALSE)</f>
        <v>GOP</v>
      </c>
      <c r="Y225" s="320" t="str">
        <f>VLOOKUP(H225,'Fund Utilization Report'!$A$4:$U$1800,7,FALSE)</f>
        <v>MOOE</v>
      </c>
      <c r="Z225" s="321">
        <f>VLOOKUP(H225,'Fund Utilization Report'!$A$4:$U$1800,8,FALSE)</f>
        <v>5020000000</v>
      </c>
      <c r="AA225" s="319" t="str">
        <f>VLOOKUP(H225,'Fund Utilization Report'!$A$4:$U$1800,14,FALSE)</f>
        <v>310100100002000</v>
      </c>
      <c r="AB225" s="349" t="str">
        <f>VLOOKUP(H225,'Fund Utilization Report'!$A$4:$U$1800,15,FALSE)</f>
        <v>Development,Facilitation, and promotion of exports and investment, domestic and foreign</v>
      </c>
      <c r="AC225" s="39"/>
      <c r="AD225" s="34"/>
      <c r="AE225" s="39"/>
      <c r="AF225" s="51"/>
      <c r="AG225" s="40"/>
      <c r="AH225" s="40"/>
    </row>
    <row r="226" spans="1:34" s="32" customFormat="1" ht="27.6">
      <c r="A226" s="338" t="s">
        <v>942</v>
      </c>
      <c r="B226" s="338" t="s">
        <v>945</v>
      </c>
      <c r="C226" s="358">
        <v>44230</v>
      </c>
      <c r="D226" s="351" t="s">
        <v>1028</v>
      </c>
      <c r="E226" s="352" t="s">
        <v>1057</v>
      </c>
      <c r="F226" s="338">
        <v>0.4458333333333333</v>
      </c>
      <c r="G226" s="338">
        <v>0.44722222222222219</v>
      </c>
      <c r="H226" s="338" t="s">
        <v>965</v>
      </c>
      <c r="I226" s="353">
        <v>799</v>
      </c>
      <c r="J226" s="338" t="str">
        <f>IFERROR(VLOOKUP(I226,'Chart of accounts'!A:H,2,FALSE),"")</f>
        <v>50211990 00</v>
      </c>
      <c r="K226" s="338" t="str">
        <f>IFERROR(VLOOKUP(I226,'Chart of accounts'!A:H,3,FALSE),"")</f>
        <v>Other Professional Services</v>
      </c>
      <c r="L226" s="338" t="str">
        <f>IFERROR(VLOOKUP(I226,'Chart of accounts'!A:H,4,FALSE),"")</f>
        <v>50211990 00 - Other Professional Services (799)</v>
      </c>
      <c r="M226" s="361">
        <v>2</v>
      </c>
      <c r="N226" s="355" t="s">
        <v>818</v>
      </c>
      <c r="O226" s="355" t="s">
        <v>1045</v>
      </c>
      <c r="P226" s="355"/>
      <c r="Q226" s="355">
        <v>5000</v>
      </c>
      <c r="R226" s="319">
        <f t="shared" si="2"/>
        <v>-5000</v>
      </c>
      <c r="S226" s="319" t="str">
        <f>VLOOKUP(H226,'Fund Utilization Report'!$A$4:$U$1800,13,FALSE)</f>
        <v>MOOE</v>
      </c>
      <c r="T226" s="319" t="str">
        <f>VLOOKUP(H226,'Fund Utilization Report'!$A$4:$U$1800,2,FALSE)</f>
        <v>GAA</v>
      </c>
      <c r="U226" s="319" t="str">
        <f>VLOOKUP(H226,'Fund Utilization Report'!$A$4:$U$1800,3,FALSE)</f>
        <v>FY2021, RA11518</v>
      </c>
      <c r="V226" s="319" t="str">
        <f>VLOOKUP(H226,'Fund Utilization Report'!$A$4:$U$1800,4,FALSE)</f>
        <v>OO1</v>
      </c>
      <c r="W226" s="319" t="str">
        <f>VLOOKUP(H226,'Fund Utilization Report'!$A$4:$U$1800,5,FALSE)</f>
        <v>01101101</v>
      </c>
      <c r="X226" s="319" t="str">
        <f>VLOOKUP(H226,'Fund Utilization Report'!$A$4:$U$1800,6,FALSE)</f>
        <v>GOP</v>
      </c>
      <c r="Y226" s="320" t="str">
        <f>VLOOKUP(H226,'Fund Utilization Report'!$A$4:$U$1800,7,FALSE)</f>
        <v>MOOE</v>
      </c>
      <c r="Z226" s="321">
        <f>VLOOKUP(H226,'Fund Utilization Report'!$A$4:$U$1800,8,FALSE)</f>
        <v>5020000000</v>
      </c>
      <c r="AA226" s="319" t="str">
        <f>VLOOKUP(H226,'Fund Utilization Report'!$A$4:$U$1800,14,FALSE)</f>
        <v>310100100002000</v>
      </c>
      <c r="AB226" s="349" t="str">
        <f>VLOOKUP(H226,'Fund Utilization Report'!$A$4:$U$1800,15,FALSE)</f>
        <v>Development,Facilitation, and promotion of exports and investment, domestic and foreign</v>
      </c>
      <c r="AC226" s="39"/>
      <c r="AD226" s="34"/>
      <c r="AE226" s="39"/>
      <c r="AF226" s="51"/>
      <c r="AG226" s="40"/>
      <c r="AH226" s="40"/>
    </row>
    <row r="227" spans="1:34" s="32" customFormat="1" ht="27.6">
      <c r="A227" s="338" t="s">
        <v>942</v>
      </c>
      <c r="B227" s="338" t="s">
        <v>945</v>
      </c>
      <c r="C227" s="358">
        <v>44230</v>
      </c>
      <c r="D227" s="351" t="s">
        <v>1028</v>
      </c>
      <c r="E227" s="352" t="s">
        <v>1057</v>
      </c>
      <c r="F227" s="338">
        <v>0.4458333333333333</v>
      </c>
      <c r="G227" s="338">
        <v>0.44722222222222219</v>
      </c>
      <c r="H227" s="338" t="s">
        <v>965</v>
      </c>
      <c r="I227" s="353">
        <v>783</v>
      </c>
      <c r="J227" s="338" t="str">
        <f>IFERROR(VLOOKUP(I227,'Chart of accounts'!A:H,2,FALSE),"")</f>
        <v>50299030 00</v>
      </c>
      <c r="K227" s="338" t="str">
        <f>IFERROR(VLOOKUP(I227,'Chart of accounts'!A:H,3,FALSE),"")</f>
        <v>Representation Expenses</v>
      </c>
      <c r="L227" s="338" t="str">
        <f>IFERROR(VLOOKUP(I227,'Chart of accounts'!A:H,4,FALSE),"")</f>
        <v>50299030 00 - Representation Expenses (783)</v>
      </c>
      <c r="M227" s="361">
        <v>2</v>
      </c>
      <c r="N227" s="355" t="s">
        <v>818</v>
      </c>
      <c r="O227" s="355" t="s">
        <v>1045</v>
      </c>
      <c r="P227" s="355"/>
      <c r="Q227" s="355">
        <v>32500</v>
      </c>
      <c r="R227" s="319">
        <f t="shared" si="2"/>
        <v>-32500</v>
      </c>
      <c r="S227" s="319" t="str">
        <f>VLOOKUP(H227,'Fund Utilization Report'!$A$4:$U$1800,13,FALSE)</f>
        <v>MOOE</v>
      </c>
      <c r="T227" s="319" t="str">
        <f>VLOOKUP(H227,'Fund Utilization Report'!$A$4:$U$1800,2,FALSE)</f>
        <v>GAA</v>
      </c>
      <c r="U227" s="319" t="str">
        <f>VLOOKUP(H227,'Fund Utilization Report'!$A$4:$U$1800,3,FALSE)</f>
        <v>FY2021, RA11518</v>
      </c>
      <c r="V227" s="319" t="str">
        <f>VLOOKUP(H227,'Fund Utilization Report'!$A$4:$U$1800,4,FALSE)</f>
        <v>OO1</v>
      </c>
      <c r="W227" s="319" t="str">
        <f>VLOOKUP(H227,'Fund Utilization Report'!$A$4:$U$1800,5,FALSE)</f>
        <v>01101101</v>
      </c>
      <c r="X227" s="319" t="str">
        <f>VLOOKUP(H227,'Fund Utilization Report'!$A$4:$U$1800,6,FALSE)</f>
        <v>GOP</v>
      </c>
      <c r="Y227" s="320" t="str">
        <f>VLOOKUP(H227,'Fund Utilization Report'!$A$4:$U$1800,7,FALSE)</f>
        <v>MOOE</v>
      </c>
      <c r="Z227" s="321">
        <f>VLOOKUP(H227,'Fund Utilization Report'!$A$4:$U$1800,8,FALSE)</f>
        <v>5020000000</v>
      </c>
      <c r="AA227" s="319" t="str">
        <f>VLOOKUP(H227,'Fund Utilization Report'!$A$4:$U$1800,14,FALSE)</f>
        <v>310100100002000</v>
      </c>
      <c r="AB227" s="349" t="str">
        <f>VLOOKUP(H227,'Fund Utilization Report'!$A$4:$U$1800,15,FALSE)</f>
        <v>Development,Facilitation, and promotion of exports and investment, domestic and foreign</v>
      </c>
      <c r="AC227" s="39"/>
      <c r="AD227" s="34"/>
      <c r="AE227" s="39"/>
      <c r="AF227" s="51"/>
      <c r="AG227" s="40"/>
      <c r="AH227" s="40"/>
    </row>
    <row r="228" spans="1:34" s="32" customFormat="1" ht="27.6">
      <c r="A228" s="338" t="s">
        <v>942</v>
      </c>
      <c r="B228" s="338" t="s">
        <v>945</v>
      </c>
      <c r="C228" s="358">
        <v>44230</v>
      </c>
      <c r="D228" s="351" t="s">
        <v>1028</v>
      </c>
      <c r="E228" s="352" t="s">
        <v>1057</v>
      </c>
      <c r="F228" s="338">
        <v>0.4458333333333333</v>
      </c>
      <c r="G228" s="338">
        <v>0.44722222222222219</v>
      </c>
      <c r="H228" s="338" t="s">
        <v>965</v>
      </c>
      <c r="I228" s="353">
        <v>969</v>
      </c>
      <c r="J228" s="338" t="str">
        <f>IFERROR(VLOOKUP(I228,'Chart of accounts'!A:H,2,FALSE),"")</f>
        <v>50299990 99</v>
      </c>
      <c r="K228" s="338" t="str">
        <f>IFERROR(VLOOKUP(I228,'Chart of accounts'!A:H,3,FALSE),"")</f>
        <v>Other Maintenance and Operating Expenses</v>
      </c>
      <c r="L228" s="338" t="str">
        <f>IFERROR(VLOOKUP(I228,'Chart of accounts'!A:H,4,FALSE),"")</f>
        <v>50299990 99 - Other Maintenance and Operating Expenses (969)</v>
      </c>
      <c r="M228" s="361">
        <v>2</v>
      </c>
      <c r="N228" s="355" t="s">
        <v>818</v>
      </c>
      <c r="O228" s="355" t="s">
        <v>1045</v>
      </c>
      <c r="P228" s="355"/>
      <c r="Q228" s="355">
        <v>5000</v>
      </c>
      <c r="R228" s="319">
        <f t="shared" si="2"/>
        <v>-5000</v>
      </c>
      <c r="S228" s="319" t="str">
        <f>VLOOKUP(H228,'Fund Utilization Report'!$A$4:$U$1800,13,FALSE)</f>
        <v>MOOE</v>
      </c>
      <c r="T228" s="319" t="str">
        <f>VLOOKUP(H228,'Fund Utilization Report'!$A$4:$U$1800,2,FALSE)</f>
        <v>GAA</v>
      </c>
      <c r="U228" s="319" t="str">
        <f>VLOOKUP(H228,'Fund Utilization Report'!$A$4:$U$1800,3,FALSE)</f>
        <v>FY2021, RA11518</v>
      </c>
      <c r="V228" s="319" t="str">
        <f>VLOOKUP(H228,'Fund Utilization Report'!$A$4:$U$1800,4,FALSE)</f>
        <v>OO1</v>
      </c>
      <c r="W228" s="319" t="str">
        <f>VLOOKUP(H228,'Fund Utilization Report'!$A$4:$U$1800,5,FALSE)</f>
        <v>01101101</v>
      </c>
      <c r="X228" s="319" t="str">
        <f>VLOOKUP(H228,'Fund Utilization Report'!$A$4:$U$1800,6,FALSE)</f>
        <v>GOP</v>
      </c>
      <c r="Y228" s="320" t="str">
        <f>VLOOKUP(H228,'Fund Utilization Report'!$A$4:$U$1800,7,FALSE)</f>
        <v>MOOE</v>
      </c>
      <c r="Z228" s="321">
        <f>VLOOKUP(H228,'Fund Utilization Report'!$A$4:$U$1800,8,FALSE)</f>
        <v>5020000000</v>
      </c>
      <c r="AA228" s="319" t="str">
        <f>VLOOKUP(H228,'Fund Utilization Report'!$A$4:$U$1800,14,FALSE)</f>
        <v>310100100002000</v>
      </c>
      <c r="AB228" s="349" t="str">
        <f>VLOOKUP(H228,'Fund Utilization Report'!$A$4:$U$1800,15,FALSE)</f>
        <v>Development,Facilitation, and promotion of exports and investment, domestic and foreign</v>
      </c>
      <c r="AC228" s="39"/>
      <c r="AD228" s="34"/>
      <c r="AE228" s="39"/>
      <c r="AF228" s="51"/>
      <c r="AG228" s="40"/>
      <c r="AH228" s="40"/>
    </row>
    <row r="229" spans="1:34" s="32" customFormat="1" ht="27.6">
      <c r="A229" s="338" t="s">
        <v>942</v>
      </c>
      <c r="B229" s="338" t="s">
        <v>945</v>
      </c>
      <c r="C229" s="358">
        <v>44230</v>
      </c>
      <c r="D229" s="351" t="s">
        <v>1028</v>
      </c>
      <c r="E229" s="352" t="s">
        <v>1058</v>
      </c>
      <c r="F229" s="338">
        <v>0.44722222222222219</v>
      </c>
      <c r="G229" s="338">
        <v>0.45277777777777778</v>
      </c>
      <c r="H229" s="338" t="s">
        <v>965</v>
      </c>
      <c r="I229" s="353">
        <v>751</v>
      </c>
      <c r="J229" s="338" t="str">
        <f>IFERROR(VLOOKUP(I229,'Chart of accounts'!A:H,2,FALSE),"")</f>
        <v>50201010 00</v>
      </c>
      <c r="K229" s="338" t="str">
        <f>IFERROR(VLOOKUP(I229,'Chart of accounts'!A:H,3,FALSE),"")</f>
        <v>Traveling Expenses - Local</v>
      </c>
      <c r="L229" s="338" t="str">
        <f>IFERROR(VLOOKUP(I229,'Chart of accounts'!A:H,4,FALSE),"")</f>
        <v>50201010 00 - Traveling Expenses - Local (751)</v>
      </c>
      <c r="M229" s="361">
        <v>3</v>
      </c>
      <c r="N229" s="355" t="s">
        <v>820</v>
      </c>
      <c r="O229" s="355" t="s">
        <v>1045</v>
      </c>
      <c r="P229" s="355"/>
      <c r="Q229" s="355">
        <v>20000</v>
      </c>
      <c r="R229" s="319">
        <f t="shared" si="2"/>
        <v>-20000</v>
      </c>
      <c r="S229" s="319" t="str">
        <f>VLOOKUP(H229,'Fund Utilization Report'!$A$4:$U$1800,13,FALSE)</f>
        <v>MOOE</v>
      </c>
      <c r="T229" s="319" t="str">
        <f>VLOOKUP(H229,'Fund Utilization Report'!$A$4:$U$1800,2,FALSE)</f>
        <v>GAA</v>
      </c>
      <c r="U229" s="319" t="str">
        <f>VLOOKUP(H229,'Fund Utilization Report'!$A$4:$U$1800,3,FALSE)</f>
        <v>FY2021, RA11518</v>
      </c>
      <c r="V229" s="319" t="str">
        <f>VLOOKUP(H229,'Fund Utilization Report'!$A$4:$U$1800,4,FALSE)</f>
        <v>OO1</v>
      </c>
      <c r="W229" s="319" t="str">
        <f>VLOOKUP(H229,'Fund Utilization Report'!$A$4:$U$1800,5,FALSE)</f>
        <v>01101101</v>
      </c>
      <c r="X229" s="319" t="str">
        <f>VLOOKUP(H229,'Fund Utilization Report'!$A$4:$U$1800,6,FALSE)</f>
        <v>GOP</v>
      </c>
      <c r="Y229" s="320" t="str">
        <f>VLOOKUP(H229,'Fund Utilization Report'!$A$4:$U$1800,7,FALSE)</f>
        <v>MOOE</v>
      </c>
      <c r="Z229" s="321">
        <f>VLOOKUP(H229,'Fund Utilization Report'!$A$4:$U$1800,8,FALSE)</f>
        <v>5020000000</v>
      </c>
      <c r="AA229" s="319" t="str">
        <f>VLOOKUP(H229,'Fund Utilization Report'!$A$4:$U$1800,14,FALSE)</f>
        <v>310100100002000</v>
      </c>
      <c r="AB229" s="349" t="str">
        <f>VLOOKUP(H229,'Fund Utilization Report'!$A$4:$U$1800,15,FALSE)</f>
        <v>Development,Facilitation, and promotion of exports and investment, domestic and foreign</v>
      </c>
      <c r="AC229" s="39"/>
      <c r="AD229" s="34"/>
      <c r="AE229" s="39"/>
      <c r="AF229" s="51"/>
      <c r="AG229" s="40"/>
      <c r="AH229" s="40"/>
    </row>
    <row r="230" spans="1:34" s="32" customFormat="1" ht="27.6">
      <c r="A230" s="338" t="s">
        <v>942</v>
      </c>
      <c r="B230" s="338" t="s">
        <v>945</v>
      </c>
      <c r="C230" s="358">
        <v>44230</v>
      </c>
      <c r="D230" s="351" t="s">
        <v>1028</v>
      </c>
      <c r="E230" s="352" t="s">
        <v>1058</v>
      </c>
      <c r="F230" s="338">
        <v>0.44722222222222219</v>
      </c>
      <c r="G230" s="338">
        <v>0.45277777777777778</v>
      </c>
      <c r="H230" s="338" t="s">
        <v>965</v>
      </c>
      <c r="I230" s="353">
        <v>799</v>
      </c>
      <c r="J230" s="338" t="str">
        <f>IFERROR(VLOOKUP(I230,'Chart of accounts'!A:H,2,FALSE),"")</f>
        <v>50211990 00</v>
      </c>
      <c r="K230" s="338" t="str">
        <f>IFERROR(VLOOKUP(I230,'Chart of accounts'!A:H,3,FALSE),"")</f>
        <v>Other Professional Services</v>
      </c>
      <c r="L230" s="338" t="str">
        <f>IFERROR(VLOOKUP(I230,'Chart of accounts'!A:H,4,FALSE),"")</f>
        <v>50211990 00 - Other Professional Services (799)</v>
      </c>
      <c r="M230" s="361">
        <v>3</v>
      </c>
      <c r="N230" s="355" t="s">
        <v>820</v>
      </c>
      <c r="O230" s="355" t="s">
        <v>1045</v>
      </c>
      <c r="P230" s="355"/>
      <c r="Q230" s="355">
        <v>5000</v>
      </c>
      <c r="R230" s="319">
        <f t="shared" si="2"/>
        <v>-5000</v>
      </c>
      <c r="S230" s="319" t="str">
        <f>VLOOKUP(H230,'Fund Utilization Report'!$A$4:$U$1800,13,FALSE)</f>
        <v>MOOE</v>
      </c>
      <c r="T230" s="319" t="str">
        <f>VLOOKUP(H230,'Fund Utilization Report'!$A$4:$U$1800,2,FALSE)</f>
        <v>GAA</v>
      </c>
      <c r="U230" s="319" t="str">
        <f>VLOOKUP(H230,'Fund Utilization Report'!$A$4:$U$1800,3,FALSE)</f>
        <v>FY2021, RA11518</v>
      </c>
      <c r="V230" s="319" t="str">
        <f>VLOOKUP(H230,'Fund Utilization Report'!$A$4:$U$1800,4,FALSE)</f>
        <v>OO1</v>
      </c>
      <c r="W230" s="319" t="str">
        <f>VLOOKUP(H230,'Fund Utilization Report'!$A$4:$U$1800,5,FALSE)</f>
        <v>01101101</v>
      </c>
      <c r="X230" s="319" t="str">
        <f>VLOOKUP(H230,'Fund Utilization Report'!$A$4:$U$1800,6,FALSE)</f>
        <v>GOP</v>
      </c>
      <c r="Y230" s="320" t="str">
        <f>VLOOKUP(H230,'Fund Utilization Report'!$A$4:$U$1800,7,FALSE)</f>
        <v>MOOE</v>
      </c>
      <c r="Z230" s="321">
        <f>VLOOKUP(H230,'Fund Utilization Report'!$A$4:$U$1800,8,FALSE)</f>
        <v>5020000000</v>
      </c>
      <c r="AA230" s="319" t="str">
        <f>VLOOKUP(H230,'Fund Utilization Report'!$A$4:$U$1800,14,FALSE)</f>
        <v>310100100002000</v>
      </c>
      <c r="AB230" s="349" t="str">
        <f>VLOOKUP(H230,'Fund Utilization Report'!$A$4:$U$1800,15,FALSE)</f>
        <v>Development,Facilitation, and promotion of exports and investment, domestic and foreign</v>
      </c>
      <c r="AC230" s="39"/>
      <c r="AD230" s="34"/>
      <c r="AE230" s="39"/>
      <c r="AF230" s="51"/>
      <c r="AG230" s="40"/>
      <c r="AH230" s="40"/>
    </row>
    <row r="231" spans="1:34" s="32" customFormat="1" ht="27.6">
      <c r="A231" s="338" t="s">
        <v>942</v>
      </c>
      <c r="B231" s="338" t="s">
        <v>945</v>
      </c>
      <c r="C231" s="358">
        <v>44230</v>
      </c>
      <c r="D231" s="351" t="s">
        <v>1028</v>
      </c>
      <c r="E231" s="352" t="s">
        <v>1058</v>
      </c>
      <c r="F231" s="338">
        <v>0.44722222222222219</v>
      </c>
      <c r="G231" s="338">
        <v>0.45277777777777778</v>
      </c>
      <c r="H231" s="338" t="s">
        <v>965</v>
      </c>
      <c r="I231" s="353">
        <v>783</v>
      </c>
      <c r="J231" s="338" t="str">
        <f>IFERROR(VLOOKUP(I231,'Chart of accounts'!A:H,2,FALSE),"")</f>
        <v>50299030 00</v>
      </c>
      <c r="K231" s="338" t="str">
        <f>IFERROR(VLOOKUP(I231,'Chart of accounts'!A:H,3,FALSE),"")</f>
        <v>Representation Expenses</v>
      </c>
      <c r="L231" s="338" t="str">
        <f>IFERROR(VLOOKUP(I231,'Chart of accounts'!A:H,4,FALSE),"")</f>
        <v>50299030 00 - Representation Expenses (783)</v>
      </c>
      <c r="M231" s="361">
        <v>3</v>
      </c>
      <c r="N231" s="355" t="s">
        <v>820</v>
      </c>
      <c r="O231" s="355" t="s">
        <v>1045</v>
      </c>
      <c r="P231" s="355"/>
      <c r="Q231" s="355">
        <v>20000</v>
      </c>
      <c r="R231" s="319">
        <f t="shared" si="2"/>
        <v>-20000</v>
      </c>
      <c r="S231" s="319" t="str">
        <f>VLOOKUP(H231,'Fund Utilization Report'!$A$4:$U$1800,13,FALSE)</f>
        <v>MOOE</v>
      </c>
      <c r="T231" s="319" t="str">
        <f>VLOOKUP(H231,'Fund Utilization Report'!$A$4:$U$1800,2,FALSE)</f>
        <v>GAA</v>
      </c>
      <c r="U231" s="319" t="str">
        <f>VLOOKUP(H231,'Fund Utilization Report'!$A$4:$U$1800,3,FALSE)</f>
        <v>FY2021, RA11518</v>
      </c>
      <c r="V231" s="319" t="str">
        <f>VLOOKUP(H231,'Fund Utilization Report'!$A$4:$U$1800,4,FALSE)</f>
        <v>OO1</v>
      </c>
      <c r="W231" s="319" t="str">
        <f>VLOOKUP(H231,'Fund Utilization Report'!$A$4:$U$1800,5,FALSE)</f>
        <v>01101101</v>
      </c>
      <c r="X231" s="319" t="str">
        <f>VLOOKUP(H231,'Fund Utilization Report'!$A$4:$U$1800,6,FALSE)</f>
        <v>GOP</v>
      </c>
      <c r="Y231" s="320" t="str">
        <f>VLOOKUP(H231,'Fund Utilization Report'!$A$4:$U$1800,7,FALSE)</f>
        <v>MOOE</v>
      </c>
      <c r="Z231" s="321">
        <f>VLOOKUP(H231,'Fund Utilization Report'!$A$4:$U$1800,8,FALSE)</f>
        <v>5020000000</v>
      </c>
      <c r="AA231" s="319" t="str">
        <f>VLOOKUP(H231,'Fund Utilization Report'!$A$4:$U$1800,14,FALSE)</f>
        <v>310100100002000</v>
      </c>
      <c r="AB231" s="349" t="str">
        <f>VLOOKUP(H231,'Fund Utilization Report'!$A$4:$U$1800,15,FALSE)</f>
        <v>Development,Facilitation, and promotion of exports and investment, domestic and foreign</v>
      </c>
      <c r="AC231" s="39"/>
      <c r="AD231" s="34"/>
      <c r="AE231" s="39"/>
      <c r="AF231" s="51"/>
      <c r="AG231" s="40"/>
      <c r="AH231" s="40"/>
    </row>
    <row r="232" spans="1:34" s="32" customFormat="1" ht="27.6">
      <c r="A232" s="338" t="s">
        <v>942</v>
      </c>
      <c r="B232" s="338" t="s">
        <v>945</v>
      </c>
      <c r="C232" s="358">
        <v>44230</v>
      </c>
      <c r="D232" s="351" t="s">
        <v>1028</v>
      </c>
      <c r="E232" s="352" t="s">
        <v>1058</v>
      </c>
      <c r="F232" s="338">
        <v>0.44722222222222219</v>
      </c>
      <c r="G232" s="338">
        <v>0.45277777777777778</v>
      </c>
      <c r="H232" s="338" t="s">
        <v>965</v>
      </c>
      <c r="I232" s="353">
        <v>969</v>
      </c>
      <c r="J232" s="338" t="str">
        <f>IFERROR(VLOOKUP(I232,'Chart of accounts'!A:H,2,FALSE),"")</f>
        <v>50299990 99</v>
      </c>
      <c r="K232" s="338" t="str">
        <f>IFERROR(VLOOKUP(I232,'Chart of accounts'!A:H,3,FALSE),"")</f>
        <v>Other Maintenance and Operating Expenses</v>
      </c>
      <c r="L232" s="338" t="str">
        <f>IFERROR(VLOOKUP(I232,'Chart of accounts'!A:H,4,FALSE),"")</f>
        <v>50299990 99 - Other Maintenance and Operating Expenses (969)</v>
      </c>
      <c r="M232" s="361">
        <v>3</v>
      </c>
      <c r="N232" s="355" t="s">
        <v>820</v>
      </c>
      <c r="O232" s="355" t="s">
        <v>1045</v>
      </c>
      <c r="P232" s="355"/>
      <c r="Q232" s="355">
        <v>5000</v>
      </c>
      <c r="R232" s="319">
        <f t="shared" si="2"/>
        <v>-5000</v>
      </c>
      <c r="S232" s="319" t="str">
        <f>VLOOKUP(H232,'Fund Utilization Report'!$A$4:$U$1800,13,FALSE)</f>
        <v>MOOE</v>
      </c>
      <c r="T232" s="319" t="str">
        <f>VLOOKUP(H232,'Fund Utilization Report'!$A$4:$U$1800,2,FALSE)</f>
        <v>GAA</v>
      </c>
      <c r="U232" s="319" t="str">
        <f>VLOOKUP(H232,'Fund Utilization Report'!$A$4:$U$1800,3,FALSE)</f>
        <v>FY2021, RA11518</v>
      </c>
      <c r="V232" s="319" t="str">
        <f>VLOOKUP(H232,'Fund Utilization Report'!$A$4:$U$1800,4,FALSE)</f>
        <v>OO1</v>
      </c>
      <c r="W232" s="319" t="str">
        <f>VLOOKUP(H232,'Fund Utilization Report'!$A$4:$U$1800,5,FALSE)</f>
        <v>01101101</v>
      </c>
      <c r="X232" s="319" t="str">
        <f>VLOOKUP(H232,'Fund Utilization Report'!$A$4:$U$1800,6,FALSE)</f>
        <v>GOP</v>
      </c>
      <c r="Y232" s="320" t="str">
        <f>VLOOKUP(H232,'Fund Utilization Report'!$A$4:$U$1800,7,FALSE)</f>
        <v>MOOE</v>
      </c>
      <c r="Z232" s="321">
        <f>VLOOKUP(H232,'Fund Utilization Report'!$A$4:$U$1800,8,FALSE)</f>
        <v>5020000000</v>
      </c>
      <c r="AA232" s="319" t="str">
        <f>VLOOKUP(H232,'Fund Utilization Report'!$A$4:$U$1800,14,FALSE)</f>
        <v>310100100002000</v>
      </c>
      <c r="AB232" s="349" t="str">
        <f>VLOOKUP(H232,'Fund Utilization Report'!$A$4:$U$1800,15,FALSE)</f>
        <v>Development,Facilitation, and promotion of exports and investment, domestic and foreign</v>
      </c>
      <c r="AC232" s="39"/>
      <c r="AD232" s="34"/>
      <c r="AE232" s="39"/>
      <c r="AF232" s="51"/>
      <c r="AG232" s="40"/>
      <c r="AH232" s="40"/>
    </row>
    <row r="233" spans="1:34" s="32" customFormat="1" ht="27.6">
      <c r="A233" s="338" t="s">
        <v>942</v>
      </c>
      <c r="B233" s="338" t="s">
        <v>945</v>
      </c>
      <c r="C233" s="358">
        <v>44230</v>
      </c>
      <c r="D233" s="351" t="s">
        <v>1028</v>
      </c>
      <c r="E233" s="352" t="s">
        <v>1059</v>
      </c>
      <c r="F233" s="338">
        <v>0.45277777777777778</v>
      </c>
      <c r="G233" s="338">
        <v>0.45555555555555555</v>
      </c>
      <c r="H233" s="338" t="s">
        <v>965</v>
      </c>
      <c r="I233" s="353">
        <v>751</v>
      </c>
      <c r="J233" s="338" t="str">
        <f>IFERROR(VLOOKUP(I233,'Chart of accounts'!A:H,2,FALSE),"")</f>
        <v>50201010 00</v>
      </c>
      <c r="K233" s="338" t="str">
        <f>IFERROR(VLOOKUP(I233,'Chart of accounts'!A:H,3,FALSE),"")</f>
        <v>Traveling Expenses - Local</v>
      </c>
      <c r="L233" s="338" t="str">
        <f>IFERROR(VLOOKUP(I233,'Chart of accounts'!A:H,4,FALSE),"")</f>
        <v>50201010 00 - Traveling Expenses - Local (751)</v>
      </c>
      <c r="M233" s="361">
        <v>68</v>
      </c>
      <c r="N233" s="355" t="s">
        <v>821</v>
      </c>
      <c r="O233" s="355" t="s">
        <v>1045</v>
      </c>
      <c r="P233" s="355"/>
      <c r="Q233" s="355">
        <v>20000</v>
      </c>
      <c r="R233" s="319">
        <f t="shared" si="2"/>
        <v>-20000</v>
      </c>
      <c r="S233" s="319" t="str">
        <f>VLOOKUP(H233,'Fund Utilization Report'!$A$4:$U$1800,13,FALSE)</f>
        <v>MOOE</v>
      </c>
      <c r="T233" s="319" t="str">
        <f>VLOOKUP(H233,'Fund Utilization Report'!$A$4:$U$1800,2,FALSE)</f>
        <v>GAA</v>
      </c>
      <c r="U233" s="319" t="str">
        <f>VLOOKUP(H233,'Fund Utilization Report'!$A$4:$U$1800,3,FALSE)</f>
        <v>FY2021, RA11518</v>
      </c>
      <c r="V233" s="319" t="str">
        <f>VLOOKUP(H233,'Fund Utilization Report'!$A$4:$U$1800,4,FALSE)</f>
        <v>OO1</v>
      </c>
      <c r="W233" s="319" t="str">
        <f>VLOOKUP(H233,'Fund Utilization Report'!$A$4:$U$1800,5,FALSE)</f>
        <v>01101101</v>
      </c>
      <c r="X233" s="319" t="str">
        <f>VLOOKUP(H233,'Fund Utilization Report'!$A$4:$U$1800,6,FALSE)</f>
        <v>GOP</v>
      </c>
      <c r="Y233" s="320" t="str">
        <f>VLOOKUP(H233,'Fund Utilization Report'!$A$4:$U$1800,7,FALSE)</f>
        <v>MOOE</v>
      </c>
      <c r="Z233" s="321">
        <f>VLOOKUP(H233,'Fund Utilization Report'!$A$4:$U$1800,8,FALSE)</f>
        <v>5020000000</v>
      </c>
      <c r="AA233" s="319" t="str">
        <f>VLOOKUP(H233,'Fund Utilization Report'!$A$4:$U$1800,14,FALSE)</f>
        <v>310100100002000</v>
      </c>
      <c r="AB233" s="349" t="str">
        <f>VLOOKUP(H233,'Fund Utilization Report'!$A$4:$U$1800,15,FALSE)</f>
        <v>Development,Facilitation, and promotion of exports and investment, domestic and foreign</v>
      </c>
      <c r="AC233" s="39"/>
      <c r="AD233" s="34"/>
      <c r="AE233" s="39"/>
      <c r="AF233" s="51"/>
      <c r="AG233" s="40"/>
      <c r="AH233" s="40"/>
    </row>
    <row r="234" spans="1:34" s="32" customFormat="1" ht="27.6">
      <c r="A234" s="338" t="s">
        <v>942</v>
      </c>
      <c r="B234" s="338" t="s">
        <v>945</v>
      </c>
      <c r="C234" s="358">
        <v>44230</v>
      </c>
      <c r="D234" s="351" t="s">
        <v>1028</v>
      </c>
      <c r="E234" s="352" t="s">
        <v>1059</v>
      </c>
      <c r="F234" s="338">
        <v>0.45277777777777778</v>
      </c>
      <c r="G234" s="338">
        <v>0.45555555555555555</v>
      </c>
      <c r="H234" s="338" t="s">
        <v>965</v>
      </c>
      <c r="I234" s="353">
        <v>799</v>
      </c>
      <c r="J234" s="338" t="str">
        <f>IFERROR(VLOOKUP(I234,'Chart of accounts'!A:H,2,FALSE),"")</f>
        <v>50211990 00</v>
      </c>
      <c r="K234" s="338" t="str">
        <f>IFERROR(VLOOKUP(I234,'Chart of accounts'!A:H,3,FALSE),"")</f>
        <v>Other Professional Services</v>
      </c>
      <c r="L234" s="338" t="str">
        <f>IFERROR(VLOOKUP(I234,'Chart of accounts'!A:H,4,FALSE),"")</f>
        <v>50211990 00 - Other Professional Services (799)</v>
      </c>
      <c r="M234" s="361">
        <v>68</v>
      </c>
      <c r="N234" s="355" t="s">
        <v>821</v>
      </c>
      <c r="O234" s="355" t="s">
        <v>1045</v>
      </c>
      <c r="P234" s="355"/>
      <c r="Q234" s="355">
        <v>5000</v>
      </c>
      <c r="R234" s="319">
        <f t="shared" si="2"/>
        <v>-5000</v>
      </c>
      <c r="S234" s="319" t="str">
        <f>VLOOKUP(H234,'Fund Utilization Report'!$A$4:$U$1800,13,FALSE)</f>
        <v>MOOE</v>
      </c>
      <c r="T234" s="319" t="str">
        <f>VLOOKUP(H234,'Fund Utilization Report'!$A$4:$U$1800,2,FALSE)</f>
        <v>GAA</v>
      </c>
      <c r="U234" s="319" t="str">
        <f>VLOOKUP(H234,'Fund Utilization Report'!$A$4:$U$1800,3,FALSE)</f>
        <v>FY2021, RA11518</v>
      </c>
      <c r="V234" s="319" t="str">
        <f>VLOOKUP(H234,'Fund Utilization Report'!$A$4:$U$1800,4,FALSE)</f>
        <v>OO1</v>
      </c>
      <c r="W234" s="319" t="str">
        <f>VLOOKUP(H234,'Fund Utilization Report'!$A$4:$U$1800,5,FALSE)</f>
        <v>01101101</v>
      </c>
      <c r="X234" s="319" t="str">
        <f>VLOOKUP(H234,'Fund Utilization Report'!$A$4:$U$1800,6,FALSE)</f>
        <v>GOP</v>
      </c>
      <c r="Y234" s="320" t="str">
        <f>VLOOKUP(H234,'Fund Utilization Report'!$A$4:$U$1800,7,FALSE)</f>
        <v>MOOE</v>
      </c>
      <c r="Z234" s="321">
        <f>VLOOKUP(H234,'Fund Utilization Report'!$A$4:$U$1800,8,FALSE)</f>
        <v>5020000000</v>
      </c>
      <c r="AA234" s="319" t="str">
        <f>VLOOKUP(H234,'Fund Utilization Report'!$A$4:$U$1800,14,FALSE)</f>
        <v>310100100002000</v>
      </c>
      <c r="AB234" s="349" t="str">
        <f>VLOOKUP(H234,'Fund Utilization Report'!$A$4:$U$1800,15,FALSE)</f>
        <v>Development,Facilitation, and promotion of exports and investment, domestic and foreign</v>
      </c>
      <c r="AC234" s="39"/>
      <c r="AD234" s="34"/>
      <c r="AE234" s="39"/>
      <c r="AF234" s="51"/>
      <c r="AG234" s="40"/>
      <c r="AH234" s="40"/>
    </row>
    <row r="235" spans="1:34" s="32" customFormat="1" ht="27.6">
      <c r="A235" s="338" t="s">
        <v>942</v>
      </c>
      <c r="B235" s="338" t="s">
        <v>945</v>
      </c>
      <c r="C235" s="358">
        <v>44230</v>
      </c>
      <c r="D235" s="351" t="s">
        <v>1028</v>
      </c>
      <c r="E235" s="352" t="s">
        <v>1059</v>
      </c>
      <c r="F235" s="338">
        <v>0.45277777777777778</v>
      </c>
      <c r="G235" s="338">
        <v>0.45555555555555555</v>
      </c>
      <c r="H235" s="338" t="s">
        <v>965</v>
      </c>
      <c r="I235" s="353">
        <v>783</v>
      </c>
      <c r="J235" s="338" t="str">
        <f>IFERROR(VLOOKUP(I235,'Chart of accounts'!A:H,2,FALSE),"")</f>
        <v>50299030 00</v>
      </c>
      <c r="K235" s="338" t="str">
        <f>IFERROR(VLOOKUP(I235,'Chart of accounts'!A:H,3,FALSE),"")</f>
        <v>Representation Expenses</v>
      </c>
      <c r="L235" s="338" t="str">
        <f>IFERROR(VLOOKUP(I235,'Chart of accounts'!A:H,4,FALSE),"")</f>
        <v>50299030 00 - Representation Expenses (783)</v>
      </c>
      <c r="M235" s="361">
        <v>68</v>
      </c>
      <c r="N235" s="355" t="s">
        <v>821</v>
      </c>
      <c r="O235" s="355" t="s">
        <v>1045</v>
      </c>
      <c r="P235" s="355"/>
      <c r="Q235" s="355">
        <v>20000</v>
      </c>
      <c r="R235" s="319">
        <f t="shared" si="2"/>
        <v>-20000</v>
      </c>
      <c r="S235" s="319" t="str">
        <f>VLOOKUP(H235,'Fund Utilization Report'!$A$4:$U$1800,13,FALSE)</f>
        <v>MOOE</v>
      </c>
      <c r="T235" s="319" t="str">
        <f>VLOOKUP(H235,'Fund Utilization Report'!$A$4:$U$1800,2,FALSE)</f>
        <v>GAA</v>
      </c>
      <c r="U235" s="319" t="str">
        <f>VLOOKUP(H235,'Fund Utilization Report'!$A$4:$U$1800,3,FALSE)</f>
        <v>FY2021, RA11518</v>
      </c>
      <c r="V235" s="319" t="str">
        <f>VLOOKUP(H235,'Fund Utilization Report'!$A$4:$U$1800,4,FALSE)</f>
        <v>OO1</v>
      </c>
      <c r="W235" s="319" t="str">
        <f>VLOOKUP(H235,'Fund Utilization Report'!$A$4:$U$1800,5,FALSE)</f>
        <v>01101101</v>
      </c>
      <c r="X235" s="319" t="str">
        <f>VLOOKUP(H235,'Fund Utilization Report'!$A$4:$U$1800,6,FALSE)</f>
        <v>GOP</v>
      </c>
      <c r="Y235" s="320" t="str">
        <f>VLOOKUP(H235,'Fund Utilization Report'!$A$4:$U$1800,7,FALSE)</f>
        <v>MOOE</v>
      </c>
      <c r="Z235" s="321">
        <f>VLOOKUP(H235,'Fund Utilization Report'!$A$4:$U$1800,8,FALSE)</f>
        <v>5020000000</v>
      </c>
      <c r="AA235" s="319" t="str">
        <f>VLOOKUP(H235,'Fund Utilization Report'!$A$4:$U$1800,14,FALSE)</f>
        <v>310100100002000</v>
      </c>
      <c r="AB235" s="349" t="str">
        <f>VLOOKUP(H235,'Fund Utilization Report'!$A$4:$U$1800,15,FALSE)</f>
        <v>Development,Facilitation, and promotion of exports and investment, domestic and foreign</v>
      </c>
      <c r="AC235" s="39"/>
      <c r="AD235" s="34"/>
      <c r="AE235" s="39"/>
      <c r="AF235" s="51"/>
      <c r="AG235" s="40"/>
      <c r="AH235" s="40"/>
    </row>
    <row r="236" spans="1:34" s="32" customFormat="1" ht="27.6">
      <c r="A236" s="338" t="s">
        <v>942</v>
      </c>
      <c r="B236" s="338" t="s">
        <v>945</v>
      </c>
      <c r="C236" s="358">
        <v>44230</v>
      </c>
      <c r="D236" s="351" t="s">
        <v>1028</v>
      </c>
      <c r="E236" s="352" t="s">
        <v>1059</v>
      </c>
      <c r="F236" s="338">
        <v>0.45277777777777778</v>
      </c>
      <c r="G236" s="338">
        <v>0.45555555555555555</v>
      </c>
      <c r="H236" s="338" t="s">
        <v>965</v>
      </c>
      <c r="I236" s="353">
        <v>969</v>
      </c>
      <c r="J236" s="338" t="str">
        <f>IFERROR(VLOOKUP(I236,'Chart of accounts'!A:H,2,FALSE),"")</f>
        <v>50299990 99</v>
      </c>
      <c r="K236" s="338" t="str">
        <f>IFERROR(VLOOKUP(I236,'Chart of accounts'!A:H,3,FALSE),"")</f>
        <v>Other Maintenance and Operating Expenses</v>
      </c>
      <c r="L236" s="338" t="str">
        <f>IFERROR(VLOOKUP(I236,'Chart of accounts'!A:H,4,FALSE),"")</f>
        <v>50299990 99 - Other Maintenance and Operating Expenses (969)</v>
      </c>
      <c r="M236" s="361">
        <v>68</v>
      </c>
      <c r="N236" s="355" t="s">
        <v>821</v>
      </c>
      <c r="O236" s="355" t="s">
        <v>1045</v>
      </c>
      <c r="P236" s="355"/>
      <c r="Q236" s="355">
        <v>5000</v>
      </c>
      <c r="R236" s="319">
        <f t="shared" si="2"/>
        <v>-5000</v>
      </c>
      <c r="S236" s="319" t="str">
        <f>VLOOKUP(H236,'Fund Utilization Report'!$A$4:$U$1800,13,FALSE)</f>
        <v>MOOE</v>
      </c>
      <c r="T236" s="319" t="str">
        <f>VLOOKUP(H236,'Fund Utilization Report'!$A$4:$U$1800,2,FALSE)</f>
        <v>GAA</v>
      </c>
      <c r="U236" s="319" t="str">
        <f>VLOOKUP(H236,'Fund Utilization Report'!$A$4:$U$1800,3,FALSE)</f>
        <v>FY2021, RA11518</v>
      </c>
      <c r="V236" s="319" t="str">
        <f>VLOOKUP(H236,'Fund Utilization Report'!$A$4:$U$1800,4,FALSE)</f>
        <v>OO1</v>
      </c>
      <c r="W236" s="319" t="str">
        <f>VLOOKUP(H236,'Fund Utilization Report'!$A$4:$U$1800,5,FALSE)</f>
        <v>01101101</v>
      </c>
      <c r="X236" s="319" t="str">
        <f>VLOOKUP(H236,'Fund Utilization Report'!$A$4:$U$1800,6,FALSE)</f>
        <v>GOP</v>
      </c>
      <c r="Y236" s="320" t="str">
        <f>VLOOKUP(H236,'Fund Utilization Report'!$A$4:$U$1800,7,FALSE)</f>
        <v>MOOE</v>
      </c>
      <c r="Z236" s="321">
        <f>VLOOKUP(H236,'Fund Utilization Report'!$A$4:$U$1800,8,FALSE)</f>
        <v>5020000000</v>
      </c>
      <c r="AA236" s="319" t="str">
        <f>VLOOKUP(H236,'Fund Utilization Report'!$A$4:$U$1800,14,FALSE)</f>
        <v>310100100002000</v>
      </c>
      <c r="AB236" s="349" t="str">
        <f>VLOOKUP(H236,'Fund Utilization Report'!$A$4:$U$1800,15,FALSE)</f>
        <v>Development,Facilitation, and promotion of exports and investment, domestic and foreign</v>
      </c>
      <c r="AC236" s="39"/>
      <c r="AD236" s="34"/>
      <c r="AE236" s="39"/>
      <c r="AF236" s="51"/>
      <c r="AG236" s="40"/>
      <c r="AH236" s="40"/>
    </row>
    <row r="237" spans="1:34" s="32" customFormat="1" ht="27.6">
      <c r="A237" s="338" t="s">
        <v>942</v>
      </c>
      <c r="B237" s="338" t="s">
        <v>945</v>
      </c>
      <c r="C237" s="358">
        <v>44230</v>
      </c>
      <c r="D237" s="351" t="s">
        <v>1028</v>
      </c>
      <c r="E237" s="352" t="s">
        <v>1060</v>
      </c>
      <c r="F237" s="338">
        <v>0.45555555555555555</v>
      </c>
      <c r="G237" s="338">
        <v>0.45694444444444443</v>
      </c>
      <c r="H237" s="338" t="s">
        <v>965</v>
      </c>
      <c r="I237" s="353">
        <v>751</v>
      </c>
      <c r="J237" s="338" t="str">
        <f>IFERROR(VLOOKUP(I237,'Chart of accounts'!A:H,2,FALSE),"")</f>
        <v>50201010 00</v>
      </c>
      <c r="K237" s="338" t="str">
        <f>IFERROR(VLOOKUP(I237,'Chart of accounts'!A:H,3,FALSE),"")</f>
        <v>Traveling Expenses - Local</v>
      </c>
      <c r="L237" s="338" t="str">
        <f>IFERROR(VLOOKUP(I237,'Chart of accounts'!A:H,4,FALSE),"")</f>
        <v>50201010 00 - Traveling Expenses - Local (751)</v>
      </c>
      <c r="M237" s="361">
        <v>67</v>
      </c>
      <c r="N237" s="355" t="s">
        <v>822</v>
      </c>
      <c r="O237" s="355" t="s">
        <v>1045</v>
      </c>
      <c r="P237" s="355"/>
      <c r="Q237" s="355">
        <v>20000</v>
      </c>
      <c r="R237" s="319">
        <f t="shared" si="2"/>
        <v>-20000</v>
      </c>
      <c r="S237" s="319" t="str">
        <f>VLOOKUP(H237,'Fund Utilization Report'!$A$4:$U$1800,13,FALSE)</f>
        <v>MOOE</v>
      </c>
      <c r="T237" s="319" t="str">
        <f>VLOOKUP(H237,'Fund Utilization Report'!$A$4:$U$1800,2,FALSE)</f>
        <v>GAA</v>
      </c>
      <c r="U237" s="319" t="str">
        <f>VLOOKUP(H237,'Fund Utilization Report'!$A$4:$U$1800,3,FALSE)</f>
        <v>FY2021, RA11518</v>
      </c>
      <c r="V237" s="319" t="str">
        <f>VLOOKUP(H237,'Fund Utilization Report'!$A$4:$U$1800,4,FALSE)</f>
        <v>OO1</v>
      </c>
      <c r="W237" s="319" t="str">
        <f>VLOOKUP(H237,'Fund Utilization Report'!$A$4:$U$1800,5,FALSE)</f>
        <v>01101101</v>
      </c>
      <c r="X237" s="319" t="str">
        <f>VLOOKUP(H237,'Fund Utilization Report'!$A$4:$U$1800,6,FALSE)</f>
        <v>GOP</v>
      </c>
      <c r="Y237" s="320" t="str">
        <f>VLOOKUP(H237,'Fund Utilization Report'!$A$4:$U$1800,7,FALSE)</f>
        <v>MOOE</v>
      </c>
      <c r="Z237" s="321">
        <f>VLOOKUP(H237,'Fund Utilization Report'!$A$4:$U$1800,8,FALSE)</f>
        <v>5020000000</v>
      </c>
      <c r="AA237" s="319" t="str">
        <f>VLOOKUP(H237,'Fund Utilization Report'!$A$4:$U$1800,14,FALSE)</f>
        <v>310100100002000</v>
      </c>
      <c r="AB237" s="349" t="str">
        <f>VLOOKUP(H237,'Fund Utilization Report'!$A$4:$U$1800,15,FALSE)</f>
        <v>Development,Facilitation, and promotion of exports and investment, domestic and foreign</v>
      </c>
      <c r="AC237" s="39"/>
      <c r="AD237" s="34"/>
      <c r="AE237" s="39"/>
      <c r="AF237" s="51"/>
      <c r="AG237" s="40"/>
      <c r="AH237" s="40"/>
    </row>
    <row r="238" spans="1:34" s="32" customFormat="1" ht="27.6">
      <c r="A238" s="338" t="s">
        <v>942</v>
      </c>
      <c r="B238" s="338" t="s">
        <v>945</v>
      </c>
      <c r="C238" s="358">
        <v>44230</v>
      </c>
      <c r="D238" s="351" t="s">
        <v>1028</v>
      </c>
      <c r="E238" s="352" t="s">
        <v>1060</v>
      </c>
      <c r="F238" s="338">
        <v>0.45555555555555555</v>
      </c>
      <c r="G238" s="338">
        <v>0.45694444444444443</v>
      </c>
      <c r="H238" s="338" t="s">
        <v>965</v>
      </c>
      <c r="I238" s="353">
        <v>799</v>
      </c>
      <c r="J238" s="338" t="str">
        <f>IFERROR(VLOOKUP(I238,'Chart of accounts'!A:H,2,FALSE),"")</f>
        <v>50211990 00</v>
      </c>
      <c r="K238" s="338" t="str">
        <f>IFERROR(VLOOKUP(I238,'Chart of accounts'!A:H,3,FALSE),"")</f>
        <v>Other Professional Services</v>
      </c>
      <c r="L238" s="338" t="str">
        <f>IFERROR(VLOOKUP(I238,'Chart of accounts'!A:H,4,FALSE),"")</f>
        <v>50211990 00 - Other Professional Services (799)</v>
      </c>
      <c r="M238" s="361">
        <v>67</v>
      </c>
      <c r="N238" s="355" t="s">
        <v>822</v>
      </c>
      <c r="O238" s="355" t="s">
        <v>1045</v>
      </c>
      <c r="P238" s="355"/>
      <c r="Q238" s="355">
        <v>5000</v>
      </c>
      <c r="R238" s="319">
        <f t="shared" si="2"/>
        <v>-5000</v>
      </c>
      <c r="S238" s="319" t="str">
        <f>VLOOKUP(H238,'Fund Utilization Report'!$A$4:$U$1800,13,FALSE)</f>
        <v>MOOE</v>
      </c>
      <c r="T238" s="319" t="str">
        <f>VLOOKUP(H238,'Fund Utilization Report'!$A$4:$U$1800,2,FALSE)</f>
        <v>GAA</v>
      </c>
      <c r="U238" s="319" t="str">
        <f>VLOOKUP(H238,'Fund Utilization Report'!$A$4:$U$1800,3,FALSE)</f>
        <v>FY2021, RA11518</v>
      </c>
      <c r="V238" s="319" t="str">
        <f>VLOOKUP(H238,'Fund Utilization Report'!$A$4:$U$1800,4,FALSE)</f>
        <v>OO1</v>
      </c>
      <c r="W238" s="319" t="str">
        <f>VLOOKUP(H238,'Fund Utilization Report'!$A$4:$U$1800,5,FALSE)</f>
        <v>01101101</v>
      </c>
      <c r="X238" s="319" t="str">
        <f>VLOOKUP(H238,'Fund Utilization Report'!$A$4:$U$1800,6,FALSE)</f>
        <v>GOP</v>
      </c>
      <c r="Y238" s="320" t="str">
        <f>VLOOKUP(H238,'Fund Utilization Report'!$A$4:$U$1800,7,FALSE)</f>
        <v>MOOE</v>
      </c>
      <c r="Z238" s="321">
        <f>VLOOKUP(H238,'Fund Utilization Report'!$A$4:$U$1800,8,FALSE)</f>
        <v>5020000000</v>
      </c>
      <c r="AA238" s="319" t="str">
        <f>VLOOKUP(H238,'Fund Utilization Report'!$A$4:$U$1800,14,FALSE)</f>
        <v>310100100002000</v>
      </c>
      <c r="AB238" s="349" t="str">
        <f>VLOOKUP(H238,'Fund Utilization Report'!$A$4:$U$1800,15,FALSE)</f>
        <v>Development,Facilitation, and promotion of exports and investment, domestic and foreign</v>
      </c>
      <c r="AC238" s="39"/>
      <c r="AD238" s="34"/>
      <c r="AE238" s="39"/>
      <c r="AF238" s="51"/>
      <c r="AG238" s="40"/>
      <c r="AH238" s="40"/>
    </row>
    <row r="239" spans="1:34" s="32" customFormat="1" ht="27.6">
      <c r="A239" s="338" t="s">
        <v>942</v>
      </c>
      <c r="B239" s="338" t="s">
        <v>945</v>
      </c>
      <c r="C239" s="358">
        <v>44230</v>
      </c>
      <c r="D239" s="351" t="s">
        <v>1028</v>
      </c>
      <c r="E239" s="352" t="s">
        <v>1060</v>
      </c>
      <c r="F239" s="338">
        <v>0.45555555555555555</v>
      </c>
      <c r="G239" s="338">
        <v>0.45694444444444443</v>
      </c>
      <c r="H239" s="338" t="s">
        <v>965</v>
      </c>
      <c r="I239" s="353">
        <v>783</v>
      </c>
      <c r="J239" s="338" t="str">
        <f>IFERROR(VLOOKUP(I239,'Chart of accounts'!A:H,2,FALSE),"")</f>
        <v>50299030 00</v>
      </c>
      <c r="K239" s="338" t="str">
        <f>IFERROR(VLOOKUP(I239,'Chart of accounts'!A:H,3,FALSE),"")</f>
        <v>Representation Expenses</v>
      </c>
      <c r="L239" s="338" t="str">
        <f>IFERROR(VLOOKUP(I239,'Chart of accounts'!A:H,4,FALSE),"")</f>
        <v>50299030 00 - Representation Expenses (783)</v>
      </c>
      <c r="M239" s="361">
        <v>67</v>
      </c>
      <c r="N239" s="355" t="s">
        <v>822</v>
      </c>
      <c r="O239" s="355" t="s">
        <v>1045</v>
      </c>
      <c r="P239" s="355"/>
      <c r="Q239" s="355">
        <v>20000</v>
      </c>
      <c r="R239" s="319">
        <f t="shared" ref="R239:R302" si="3">P239-Q239</f>
        <v>-20000</v>
      </c>
      <c r="S239" s="319" t="str">
        <f>VLOOKUP(H239,'Fund Utilization Report'!$A$4:$U$1800,13,FALSE)</f>
        <v>MOOE</v>
      </c>
      <c r="T239" s="319" t="str">
        <f>VLOOKUP(H239,'Fund Utilization Report'!$A$4:$U$1800,2,FALSE)</f>
        <v>GAA</v>
      </c>
      <c r="U239" s="319" t="str">
        <f>VLOOKUP(H239,'Fund Utilization Report'!$A$4:$U$1800,3,FALSE)</f>
        <v>FY2021, RA11518</v>
      </c>
      <c r="V239" s="319" t="str">
        <f>VLOOKUP(H239,'Fund Utilization Report'!$A$4:$U$1800,4,FALSE)</f>
        <v>OO1</v>
      </c>
      <c r="W239" s="319" t="str">
        <f>VLOOKUP(H239,'Fund Utilization Report'!$A$4:$U$1800,5,FALSE)</f>
        <v>01101101</v>
      </c>
      <c r="X239" s="319" t="str">
        <f>VLOOKUP(H239,'Fund Utilization Report'!$A$4:$U$1800,6,FALSE)</f>
        <v>GOP</v>
      </c>
      <c r="Y239" s="320" t="str">
        <f>VLOOKUP(H239,'Fund Utilization Report'!$A$4:$U$1800,7,FALSE)</f>
        <v>MOOE</v>
      </c>
      <c r="Z239" s="321">
        <f>VLOOKUP(H239,'Fund Utilization Report'!$A$4:$U$1800,8,FALSE)</f>
        <v>5020000000</v>
      </c>
      <c r="AA239" s="319" t="str">
        <f>VLOOKUP(H239,'Fund Utilization Report'!$A$4:$U$1800,14,FALSE)</f>
        <v>310100100002000</v>
      </c>
      <c r="AB239" s="349" t="str">
        <f>VLOOKUP(H239,'Fund Utilization Report'!$A$4:$U$1800,15,FALSE)</f>
        <v>Development,Facilitation, and promotion of exports and investment, domestic and foreign</v>
      </c>
      <c r="AC239" s="39"/>
      <c r="AD239" s="34"/>
      <c r="AE239" s="39"/>
      <c r="AF239" s="51"/>
      <c r="AG239" s="40"/>
      <c r="AH239" s="40"/>
    </row>
    <row r="240" spans="1:34" s="32" customFormat="1" ht="27.6">
      <c r="A240" s="338" t="s">
        <v>942</v>
      </c>
      <c r="B240" s="338" t="s">
        <v>945</v>
      </c>
      <c r="C240" s="358">
        <v>44230</v>
      </c>
      <c r="D240" s="351" t="s">
        <v>1028</v>
      </c>
      <c r="E240" s="352" t="s">
        <v>1060</v>
      </c>
      <c r="F240" s="338">
        <v>0.45555555555555555</v>
      </c>
      <c r="G240" s="338">
        <v>0.45694444444444443</v>
      </c>
      <c r="H240" s="338" t="s">
        <v>965</v>
      </c>
      <c r="I240" s="353">
        <v>969</v>
      </c>
      <c r="J240" s="338" t="str">
        <f>IFERROR(VLOOKUP(I240,'Chart of accounts'!A:H,2,FALSE),"")</f>
        <v>50299990 99</v>
      </c>
      <c r="K240" s="338" t="str">
        <f>IFERROR(VLOOKUP(I240,'Chart of accounts'!A:H,3,FALSE),"")</f>
        <v>Other Maintenance and Operating Expenses</v>
      </c>
      <c r="L240" s="338" t="str">
        <f>IFERROR(VLOOKUP(I240,'Chart of accounts'!A:H,4,FALSE),"")</f>
        <v>50299990 99 - Other Maintenance and Operating Expenses (969)</v>
      </c>
      <c r="M240" s="361">
        <v>67</v>
      </c>
      <c r="N240" s="355" t="s">
        <v>822</v>
      </c>
      <c r="O240" s="355" t="s">
        <v>1045</v>
      </c>
      <c r="P240" s="355"/>
      <c r="Q240" s="355">
        <v>5000</v>
      </c>
      <c r="R240" s="319">
        <f t="shared" si="3"/>
        <v>-5000</v>
      </c>
      <c r="S240" s="319" t="str">
        <f>VLOOKUP(H240,'Fund Utilization Report'!$A$4:$U$1800,13,FALSE)</f>
        <v>MOOE</v>
      </c>
      <c r="T240" s="319" t="str">
        <f>VLOOKUP(H240,'Fund Utilization Report'!$A$4:$U$1800,2,FALSE)</f>
        <v>GAA</v>
      </c>
      <c r="U240" s="319" t="str">
        <f>VLOOKUP(H240,'Fund Utilization Report'!$A$4:$U$1800,3,FALSE)</f>
        <v>FY2021, RA11518</v>
      </c>
      <c r="V240" s="319" t="str">
        <f>VLOOKUP(H240,'Fund Utilization Report'!$A$4:$U$1800,4,FALSE)</f>
        <v>OO1</v>
      </c>
      <c r="W240" s="319" t="str">
        <f>VLOOKUP(H240,'Fund Utilization Report'!$A$4:$U$1800,5,FALSE)</f>
        <v>01101101</v>
      </c>
      <c r="X240" s="319" t="str">
        <f>VLOOKUP(H240,'Fund Utilization Report'!$A$4:$U$1800,6,FALSE)</f>
        <v>GOP</v>
      </c>
      <c r="Y240" s="320" t="str">
        <f>VLOOKUP(H240,'Fund Utilization Report'!$A$4:$U$1800,7,FALSE)</f>
        <v>MOOE</v>
      </c>
      <c r="Z240" s="321">
        <f>VLOOKUP(H240,'Fund Utilization Report'!$A$4:$U$1800,8,FALSE)</f>
        <v>5020000000</v>
      </c>
      <c r="AA240" s="319" t="str">
        <f>VLOOKUP(H240,'Fund Utilization Report'!$A$4:$U$1800,14,FALSE)</f>
        <v>310100100002000</v>
      </c>
      <c r="AB240" s="349" t="str">
        <f>VLOOKUP(H240,'Fund Utilization Report'!$A$4:$U$1800,15,FALSE)</f>
        <v>Development,Facilitation, and promotion of exports and investment, domestic and foreign</v>
      </c>
      <c r="AC240" s="39"/>
      <c r="AD240" s="34"/>
      <c r="AE240" s="39"/>
      <c r="AF240" s="51"/>
      <c r="AG240" s="40"/>
      <c r="AH240" s="40"/>
    </row>
    <row r="241" spans="1:34" s="32" customFormat="1" ht="27.6">
      <c r="A241" s="338" t="s">
        <v>942</v>
      </c>
      <c r="B241" s="338" t="s">
        <v>945</v>
      </c>
      <c r="C241" s="358">
        <v>44230</v>
      </c>
      <c r="D241" s="351" t="s">
        <v>1028</v>
      </c>
      <c r="E241" s="352" t="s">
        <v>1061</v>
      </c>
      <c r="F241" s="338">
        <v>0.45694444444444443</v>
      </c>
      <c r="G241" s="338">
        <v>0.46111111111111108</v>
      </c>
      <c r="H241" s="338" t="s">
        <v>965</v>
      </c>
      <c r="I241" s="353">
        <v>751</v>
      </c>
      <c r="J241" s="338" t="str">
        <f>IFERROR(VLOOKUP(I241,'Chart of accounts'!A:H,2,FALSE),"")</f>
        <v>50201010 00</v>
      </c>
      <c r="K241" s="338" t="str">
        <f>IFERROR(VLOOKUP(I241,'Chart of accounts'!A:H,3,FALSE),"")</f>
        <v>Traveling Expenses - Local</v>
      </c>
      <c r="L241" s="338" t="str">
        <f>IFERROR(VLOOKUP(I241,'Chart of accounts'!A:H,4,FALSE),"")</f>
        <v>50201010 00 - Traveling Expenses - Local (751)</v>
      </c>
      <c r="M241" s="361">
        <v>85</v>
      </c>
      <c r="N241" s="355" t="s">
        <v>823</v>
      </c>
      <c r="O241" s="355" t="s">
        <v>1045</v>
      </c>
      <c r="P241" s="355"/>
      <c r="Q241" s="355">
        <v>20000</v>
      </c>
      <c r="R241" s="319">
        <f t="shared" si="3"/>
        <v>-20000</v>
      </c>
      <c r="S241" s="319" t="str">
        <f>VLOOKUP(H241,'Fund Utilization Report'!$A$4:$U$1800,13,FALSE)</f>
        <v>MOOE</v>
      </c>
      <c r="T241" s="319" t="str">
        <f>VLOOKUP(H241,'Fund Utilization Report'!$A$4:$U$1800,2,FALSE)</f>
        <v>GAA</v>
      </c>
      <c r="U241" s="319" t="str">
        <f>VLOOKUP(H241,'Fund Utilization Report'!$A$4:$U$1800,3,FALSE)</f>
        <v>FY2021, RA11518</v>
      </c>
      <c r="V241" s="319" t="str">
        <f>VLOOKUP(H241,'Fund Utilization Report'!$A$4:$U$1800,4,FALSE)</f>
        <v>OO1</v>
      </c>
      <c r="W241" s="319" t="str">
        <f>VLOOKUP(H241,'Fund Utilization Report'!$A$4:$U$1800,5,FALSE)</f>
        <v>01101101</v>
      </c>
      <c r="X241" s="319" t="str">
        <f>VLOOKUP(H241,'Fund Utilization Report'!$A$4:$U$1800,6,FALSE)</f>
        <v>GOP</v>
      </c>
      <c r="Y241" s="320" t="str">
        <f>VLOOKUP(H241,'Fund Utilization Report'!$A$4:$U$1800,7,FALSE)</f>
        <v>MOOE</v>
      </c>
      <c r="Z241" s="321">
        <f>VLOOKUP(H241,'Fund Utilization Report'!$A$4:$U$1800,8,FALSE)</f>
        <v>5020000000</v>
      </c>
      <c r="AA241" s="319" t="str">
        <f>VLOOKUP(H241,'Fund Utilization Report'!$A$4:$U$1800,14,FALSE)</f>
        <v>310100100002000</v>
      </c>
      <c r="AB241" s="349" t="str">
        <f>VLOOKUP(H241,'Fund Utilization Report'!$A$4:$U$1800,15,FALSE)</f>
        <v>Development,Facilitation, and promotion of exports and investment, domestic and foreign</v>
      </c>
      <c r="AC241" s="39"/>
      <c r="AD241" s="34"/>
      <c r="AE241" s="39"/>
      <c r="AF241" s="51"/>
      <c r="AG241" s="40"/>
      <c r="AH241" s="40"/>
    </row>
    <row r="242" spans="1:34" s="32" customFormat="1" ht="27.6">
      <c r="A242" s="338" t="s">
        <v>942</v>
      </c>
      <c r="B242" s="338" t="s">
        <v>945</v>
      </c>
      <c r="C242" s="358">
        <v>44230</v>
      </c>
      <c r="D242" s="351" t="s">
        <v>1028</v>
      </c>
      <c r="E242" s="352" t="s">
        <v>1061</v>
      </c>
      <c r="F242" s="338">
        <v>0.45694444444444443</v>
      </c>
      <c r="G242" s="338">
        <v>0.46111111111111108</v>
      </c>
      <c r="H242" s="338" t="s">
        <v>965</v>
      </c>
      <c r="I242" s="353">
        <v>799</v>
      </c>
      <c r="J242" s="338" t="str">
        <f>IFERROR(VLOOKUP(I242,'Chart of accounts'!A:H,2,FALSE),"")</f>
        <v>50211990 00</v>
      </c>
      <c r="K242" s="338" t="str">
        <f>IFERROR(VLOOKUP(I242,'Chart of accounts'!A:H,3,FALSE),"")</f>
        <v>Other Professional Services</v>
      </c>
      <c r="L242" s="338" t="str">
        <f>IFERROR(VLOOKUP(I242,'Chart of accounts'!A:H,4,FALSE),"")</f>
        <v>50211990 00 - Other Professional Services (799)</v>
      </c>
      <c r="M242" s="361">
        <v>85</v>
      </c>
      <c r="N242" s="355" t="s">
        <v>823</v>
      </c>
      <c r="O242" s="355" t="s">
        <v>1045</v>
      </c>
      <c r="P242" s="355"/>
      <c r="Q242" s="355">
        <v>5000</v>
      </c>
      <c r="R242" s="319">
        <f t="shared" si="3"/>
        <v>-5000</v>
      </c>
      <c r="S242" s="319" t="str">
        <f>VLOOKUP(H242,'Fund Utilization Report'!$A$4:$U$1800,13,FALSE)</f>
        <v>MOOE</v>
      </c>
      <c r="T242" s="319" t="str">
        <f>VLOOKUP(H242,'Fund Utilization Report'!$A$4:$U$1800,2,FALSE)</f>
        <v>GAA</v>
      </c>
      <c r="U242" s="319" t="str">
        <f>VLOOKUP(H242,'Fund Utilization Report'!$A$4:$U$1800,3,FALSE)</f>
        <v>FY2021, RA11518</v>
      </c>
      <c r="V242" s="319" t="str">
        <f>VLOOKUP(H242,'Fund Utilization Report'!$A$4:$U$1800,4,FALSE)</f>
        <v>OO1</v>
      </c>
      <c r="W242" s="319" t="str">
        <f>VLOOKUP(H242,'Fund Utilization Report'!$A$4:$U$1800,5,FALSE)</f>
        <v>01101101</v>
      </c>
      <c r="X242" s="319" t="str">
        <f>VLOOKUP(H242,'Fund Utilization Report'!$A$4:$U$1800,6,FALSE)</f>
        <v>GOP</v>
      </c>
      <c r="Y242" s="320" t="str">
        <f>VLOOKUP(H242,'Fund Utilization Report'!$A$4:$U$1800,7,FALSE)</f>
        <v>MOOE</v>
      </c>
      <c r="Z242" s="321">
        <f>VLOOKUP(H242,'Fund Utilization Report'!$A$4:$U$1800,8,FALSE)</f>
        <v>5020000000</v>
      </c>
      <c r="AA242" s="319" t="str">
        <f>VLOOKUP(H242,'Fund Utilization Report'!$A$4:$U$1800,14,FALSE)</f>
        <v>310100100002000</v>
      </c>
      <c r="AB242" s="349" t="str">
        <f>VLOOKUP(H242,'Fund Utilization Report'!$A$4:$U$1800,15,FALSE)</f>
        <v>Development,Facilitation, and promotion of exports and investment, domestic and foreign</v>
      </c>
      <c r="AC242" s="39"/>
      <c r="AD242" s="34"/>
      <c r="AE242" s="39"/>
      <c r="AF242" s="51"/>
      <c r="AG242" s="40"/>
      <c r="AH242" s="40"/>
    </row>
    <row r="243" spans="1:34" s="32" customFormat="1" ht="27.6">
      <c r="A243" s="338" t="s">
        <v>942</v>
      </c>
      <c r="B243" s="338" t="s">
        <v>945</v>
      </c>
      <c r="C243" s="358">
        <v>44230</v>
      </c>
      <c r="D243" s="351" t="s">
        <v>1028</v>
      </c>
      <c r="E243" s="352" t="s">
        <v>1061</v>
      </c>
      <c r="F243" s="338">
        <v>0.45694444444444443</v>
      </c>
      <c r="G243" s="338">
        <v>0.46111111111111108</v>
      </c>
      <c r="H243" s="338" t="s">
        <v>965</v>
      </c>
      <c r="I243" s="353">
        <v>783</v>
      </c>
      <c r="J243" s="338" t="str">
        <f>IFERROR(VLOOKUP(I243,'Chart of accounts'!A:H,2,FALSE),"")</f>
        <v>50299030 00</v>
      </c>
      <c r="K243" s="338" t="str">
        <f>IFERROR(VLOOKUP(I243,'Chart of accounts'!A:H,3,FALSE),"")</f>
        <v>Representation Expenses</v>
      </c>
      <c r="L243" s="338" t="str">
        <f>IFERROR(VLOOKUP(I243,'Chart of accounts'!A:H,4,FALSE),"")</f>
        <v>50299030 00 - Representation Expenses (783)</v>
      </c>
      <c r="M243" s="361">
        <v>85</v>
      </c>
      <c r="N243" s="355" t="s">
        <v>823</v>
      </c>
      <c r="O243" s="355" t="s">
        <v>1045</v>
      </c>
      <c r="P243" s="355"/>
      <c r="Q243" s="355">
        <v>20000</v>
      </c>
      <c r="R243" s="319">
        <f t="shared" si="3"/>
        <v>-20000</v>
      </c>
      <c r="S243" s="319" t="str">
        <f>VLOOKUP(H243,'Fund Utilization Report'!$A$4:$U$1800,13,FALSE)</f>
        <v>MOOE</v>
      </c>
      <c r="T243" s="319" t="str">
        <f>VLOOKUP(H243,'Fund Utilization Report'!$A$4:$U$1800,2,FALSE)</f>
        <v>GAA</v>
      </c>
      <c r="U243" s="319" t="str">
        <f>VLOOKUP(H243,'Fund Utilization Report'!$A$4:$U$1800,3,FALSE)</f>
        <v>FY2021, RA11518</v>
      </c>
      <c r="V243" s="319" t="str">
        <f>VLOOKUP(H243,'Fund Utilization Report'!$A$4:$U$1800,4,FALSE)</f>
        <v>OO1</v>
      </c>
      <c r="W243" s="319" t="str">
        <f>VLOOKUP(H243,'Fund Utilization Report'!$A$4:$U$1800,5,FALSE)</f>
        <v>01101101</v>
      </c>
      <c r="X243" s="319" t="str">
        <f>VLOOKUP(H243,'Fund Utilization Report'!$A$4:$U$1800,6,FALSE)</f>
        <v>GOP</v>
      </c>
      <c r="Y243" s="320" t="str">
        <f>VLOOKUP(H243,'Fund Utilization Report'!$A$4:$U$1800,7,FALSE)</f>
        <v>MOOE</v>
      </c>
      <c r="Z243" s="321">
        <f>VLOOKUP(H243,'Fund Utilization Report'!$A$4:$U$1800,8,FALSE)</f>
        <v>5020000000</v>
      </c>
      <c r="AA243" s="319" t="str">
        <f>VLOOKUP(H243,'Fund Utilization Report'!$A$4:$U$1800,14,FALSE)</f>
        <v>310100100002000</v>
      </c>
      <c r="AB243" s="349" t="str">
        <f>VLOOKUP(H243,'Fund Utilization Report'!$A$4:$U$1800,15,FALSE)</f>
        <v>Development,Facilitation, and promotion of exports and investment, domestic and foreign</v>
      </c>
      <c r="AC243" s="39"/>
      <c r="AD243" s="34"/>
      <c r="AE243" s="39"/>
      <c r="AF243" s="51"/>
      <c r="AG243" s="40"/>
      <c r="AH243" s="40"/>
    </row>
    <row r="244" spans="1:34" s="32" customFormat="1" ht="27.6">
      <c r="A244" s="338" t="s">
        <v>942</v>
      </c>
      <c r="B244" s="338" t="s">
        <v>945</v>
      </c>
      <c r="C244" s="358">
        <v>44230</v>
      </c>
      <c r="D244" s="351" t="s">
        <v>1028</v>
      </c>
      <c r="E244" s="352" t="s">
        <v>1061</v>
      </c>
      <c r="F244" s="338">
        <v>0.45694444444444443</v>
      </c>
      <c r="G244" s="338">
        <v>0.46111111111111108</v>
      </c>
      <c r="H244" s="338" t="s">
        <v>965</v>
      </c>
      <c r="I244" s="353">
        <v>969</v>
      </c>
      <c r="J244" s="338" t="str">
        <f>IFERROR(VLOOKUP(I244,'Chart of accounts'!A:H,2,FALSE),"")</f>
        <v>50299990 99</v>
      </c>
      <c r="K244" s="338" t="str">
        <f>IFERROR(VLOOKUP(I244,'Chart of accounts'!A:H,3,FALSE),"")</f>
        <v>Other Maintenance and Operating Expenses</v>
      </c>
      <c r="L244" s="338" t="str">
        <f>IFERROR(VLOOKUP(I244,'Chart of accounts'!A:H,4,FALSE),"")</f>
        <v>50299990 99 - Other Maintenance and Operating Expenses (969)</v>
      </c>
      <c r="M244" s="361">
        <v>85</v>
      </c>
      <c r="N244" s="355" t="s">
        <v>823</v>
      </c>
      <c r="O244" s="355" t="s">
        <v>1045</v>
      </c>
      <c r="P244" s="355"/>
      <c r="Q244" s="355">
        <v>5000</v>
      </c>
      <c r="R244" s="319">
        <f t="shared" si="3"/>
        <v>-5000</v>
      </c>
      <c r="S244" s="319" t="str">
        <f>VLOOKUP(H244,'Fund Utilization Report'!$A$4:$U$1800,13,FALSE)</f>
        <v>MOOE</v>
      </c>
      <c r="T244" s="319" t="str">
        <f>VLOOKUP(H244,'Fund Utilization Report'!$A$4:$U$1800,2,FALSE)</f>
        <v>GAA</v>
      </c>
      <c r="U244" s="319" t="str">
        <f>VLOOKUP(H244,'Fund Utilization Report'!$A$4:$U$1800,3,FALSE)</f>
        <v>FY2021, RA11518</v>
      </c>
      <c r="V244" s="319" t="str">
        <f>VLOOKUP(H244,'Fund Utilization Report'!$A$4:$U$1800,4,FALSE)</f>
        <v>OO1</v>
      </c>
      <c r="W244" s="319" t="str">
        <f>VLOOKUP(H244,'Fund Utilization Report'!$A$4:$U$1800,5,FALSE)</f>
        <v>01101101</v>
      </c>
      <c r="X244" s="319" t="str">
        <f>VLOOKUP(H244,'Fund Utilization Report'!$A$4:$U$1800,6,FALSE)</f>
        <v>GOP</v>
      </c>
      <c r="Y244" s="320" t="str">
        <f>VLOOKUP(H244,'Fund Utilization Report'!$A$4:$U$1800,7,FALSE)</f>
        <v>MOOE</v>
      </c>
      <c r="Z244" s="321">
        <f>VLOOKUP(H244,'Fund Utilization Report'!$A$4:$U$1800,8,FALSE)</f>
        <v>5020000000</v>
      </c>
      <c r="AA244" s="319" t="str">
        <f>VLOOKUP(H244,'Fund Utilization Report'!$A$4:$U$1800,14,FALSE)</f>
        <v>310100100002000</v>
      </c>
      <c r="AB244" s="349" t="str">
        <f>VLOOKUP(H244,'Fund Utilization Report'!$A$4:$U$1800,15,FALSE)</f>
        <v>Development,Facilitation, and promotion of exports and investment, domestic and foreign</v>
      </c>
      <c r="AC244" s="39"/>
      <c r="AD244" s="34"/>
      <c r="AE244" s="39"/>
      <c r="AF244" s="51"/>
      <c r="AG244" s="40"/>
      <c r="AH244" s="40"/>
    </row>
    <row r="245" spans="1:34" s="32" customFormat="1" ht="27.6">
      <c r="A245" s="338" t="s">
        <v>942</v>
      </c>
      <c r="B245" s="338" t="s">
        <v>945</v>
      </c>
      <c r="C245" s="358">
        <v>44230</v>
      </c>
      <c r="D245" s="351" t="s">
        <v>1028</v>
      </c>
      <c r="E245" s="352" t="s">
        <v>1063</v>
      </c>
      <c r="F245" s="338">
        <v>0.49791666666666662</v>
      </c>
      <c r="G245" s="338">
        <v>0.4993055555555555</v>
      </c>
      <c r="H245" s="338" t="s">
        <v>961</v>
      </c>
      <c r="I245" s="353">
        <v>755</v>
      </c>
      <c r="J245" s="338" t="str">
        <f>IFERROR(VLOOKUP(I245,'Chart of accounts'!A:H,2,FALSE),"")</f>
        <v>50203010 00</v>
      </c>
      <c r="K245" s="338" t="str">
        <f>IFERROR(VLOOKUP(I245,'Chart of accounts'!A:H,3,FALSE),"")</f>
        <v>Office Supplies Expenses</v>
      </c>
      <c r="L245" s="338" t="str">
        <f>IFERROR(VLOOKUP(I245,'Chart of accounts'!A:H,4,FALSE),"")</f>
        <v>50203010 00 - Office Supplies Expenses (755)</v>
      </c>
      <c r="M245" s="361">
        <v>1</v>
      </c>
      <c r="N245" s="355" t="s">
        <v>773</v>
      </c>
      <c r="O245" s="355" t="s">
        <v>1064</v>
      </c>
      <c r="P245" s="355"/>
      <c r="Q245" s="50">
        <v>1074.25</v>
      </c>
      <c r="R245" s="319">
        <f t="shared" si="3"/>
        <v>-1074.25</v>
      </c>
      <c r="S245" s="319" t="str">
        <f>VLOOKUP(H245,'Fund Utilization Report'!$A$4:$U$1800,13,FALSE)</f>
        <v>MOOE</v>
      </c>
      <c r="T245" s="319" t="str">
        <f>VLOOKUP(H245,'Fund Utilization Report'!$A$4:$U$1800,2,FALSE)</f>
        <v>GAA</v>
      </c>
      <c r="U245" s="319" t="str">
        <f>VLOOKUP(H245,'Fund Utilization Report'!$A$4:$U$1800,3,FALSE)</f>
        <v>FY2021, RA11518</v>
      </c>
      <c r="V245" s="319" t="str">
        <f>VLOOKUP(H245,'Fund Utilization Report'!$A$4:$U$1800,4,FALSE)</f>
        <v>GAS(GMS)</v>
      </c>
      <c r="W245" s="319" t="str">
        <f>VLOOKUP(H245,'Fund Utilization Report'!$A$4:$U$1800,5,FALSE)</f>
        <v>01101101</v>
      </c>
      <c r="X245" s="319" t="str">
        <f>VLOOKUP(H245,'Fund Utilization Report'!$A$4:$U$1800,6,FALSE)</f>
        <v>GOP</v>
      </c>
      <c r="Y245" s="320" t="str">
        <f>VLOOKUP(H245,'Fund Utilization Report'!$A$4:$U$1800,7,FALSE)</f>
        <v>MOOE</v>
      </c>
      <c r="Z245" s="321">
        <f>VLOOKUP(H245,'Fund Utilization Report'!$A$4:$U$1800,8,FALSE)</f>
        <v>5020000000</v>
      </c>
      <c r="AA245" s="319" t="str">
        <f>VLOOKUP(H245,'Fund Utilization Report'!$A$4:$U$1800,14,FALSE)</f>
        <v>100000100001000</v>
      </c>
      <c r="AB245" s="349" t="str">
        <f>VLOOKUP(H245,'Fund Utilization Report'!$A$4:$U$1800,15,FALSE)</f>
        <v>General Administration and Supervision - General Management and Supervision</v>
      </c>
      <c r="AC245" s="39"/>
      <c r="AD245" s="34"/>
      <c r="AE245" s="39"/>
      <c r="AF245" s="51"/>
      <c r="AG245" s="40"/>
      <c r="AH245" s="40"/>
    </row>
    <row r="246" spans="1:34" s="32" customFormat="1" ht="27.6">
      <c r="A246" s="338" t="s">
        <v>942</v>
      </c>
      <c r="B246" s="338" t="s">
        <v>945</v>
      </c>
      <c r="C246" s="358">
        <v>44230</v>
      </c>
      <c r="D246" s="351" t="s">
        <v>1028</v>
      </c>
      <c r="E246" s="352" t="s">
        <v>1063</v>
      </c>
      <c r="F246" s="338">
        <v>0.49791666666666662</v>
      </c>
      <c r="G246" s="338">
        <v>0.4993055555555555</v>
      </c>
      <c r="H246" s="338" t="s">
        <v>961</v>
      </c>
      <c r="I246" s="353">
        <v>795</v>
      </c>
      <c r="J246" s="338" t="str">
        <f>IFERROR(VLOOKUP(I246,'Chart of accounts'!A:H,2,FALSE),"")</f>
        <v>50212990 00</v>
      </c>
      <c r="K246" s="338" t="str">
        <f>IFERROR(VLOOKUP(I246,'Chart of accounts'!A:H,3,FALSE),"")</f>
        <v>Other General Services</v>
      </c>
      <c r="L246" s="338" t="str">
        <f>IFERROR(VLOOKUP(I246,'Chart of accounts'!A:H,4,FALSE),"")</f>
        <v>50212990 00 - Other General Services (795)</v>
      </c>
      <c r="M246" s="361">
        <v>1</v>
      </c>
      <c r="N246" s="355" t="s">
        <v>773</v>
      </c>
      <c r="O246" s="355" t="s">
        <v>1064</v>
      </c>
      <c r="P246" s="355"/>
      <c r="Q246" s="50">
        <v>960</v>
      </c>
      <c r="R246" s="319">
        <f t="shared" si="3"/>
        <v>-960</v>
      </c>
      <c r="S246" s="319" t="str">
        <f>VLOOKUP(H246,'Fund Utilization Report'!$A$4:$U$1800,13,FALSE)</f>
        <v>MOOE</v>
      </c>
      <c r="T246" s="319" t="str">
        <f>VLOOKUP(H246,'Fund Utilization Report'!$A$4:$U$1800,2,FALSE)</f>
        <v>GAA</v>
      </c>
      <c r="U246" s="319" t="str">
        <f>VLOOKUP(H246,'Fund Utilization Report'!$A$4:$U$1800,3,FALSE)</f>
        <v>FY2021, RA11518</v>
      </c>
      <c r="V246" s="319" t="str">
        <f>VLOOKUP(H246,'Fund Utilization Report'!$A$4:$U$1800,4,FALSE)</f>
        <v>GAS(GMS)</v>
      </c>
      <c r="W246" s="319" t="str">
        <f>VLOOKUP(H246,'Fund Utilization Report'!$A$4:$U$1800,5,FALSE)</f>
        <v>01101101</v>
      </c>
      <c r="X246" s="319" t="str">
        <f>VLOOKUP(H246,'Fund Utilization Report'!$A$4:$U$1800,6,FALSE)</f>
        <v>GOP</v>
      </c>
      <c r="Y246" s="320" t="str">
        <f>VLOOKUP(H246,'Fund Utilization Report'!$A$4:$U$1800,7,FALSE)</f>
        <v>MOOE</v>
      </c>
      <c r="Z246" s="321">
        <f>VLOOKUP(H246,'Fund Utilization Report'!$A$4:$U$1800,8,FALSE)</f>
        <v>5020000000</v>
      </c>
      <c r="AA246" s="319" t="str">
        <f>VLOOKUP(H246,'Fund Utilization Report'!$A$4:$U$1800,14,FALSE)</f>
        <v>100000100001000</v>
      </c>
      <c r="AB246" s="349" t="str">
        <f>VLOOKUP(H246,'Fund Utilization Report'!$A$4:$U$1800,15,FALSE)</f>
        <v>General Administration and Supervision - General Management and Supervision</v>
      </c>
      <c r="AC246" s="39"/>
      <c r="AD246" s="34"/>
      <c r="AE246" s="39"/>
      <c r="AF246" s="51"/>
      <c r="AG246" s="40"/>
      <c r="AH246" s="40"/>
    </row>
    <row r="247" spans="1:34" s="32" customFormat="1" ht="27.6">
      <c r="A247" s="338" t="s">
        <v>942</v>
      </c>
      <c r="B247" s="338" t="s">
        <v>945</v>
      </c>
      <c r="C247" s="358">
        <v>44230</v>
      </c>
      <c r="D247" s="351" t="s">
        <v>1028</v>
      </c>
      <c r="E247" s="352" t="s">
        <v>1063</v>
      </c>
      <c r="F247" s="338">
        <v>0.49791666666666662</v>
      </c>
      <c r="G247" s="338">
        <v>0.4993055555555555</v>
      </c>
      <c r="H247" s="338" t="s">
        <v>961</v>
      </c>
      <c r="I247" s="353">
        <v>799</v>
      </c>
      <c r="J247" s="338" t="str">
        <f>IFERROR(VLOOKUP(I247,'Chart of accounts'!A:H,2,FALSE),"")</f>
        <v>50211990 00</v>
      </c>
      <c r="K247" s="338" t="str">
        <f>IFERROR(VLOOKUP(I247,'Chart of accounts'!A:H,3,FALSE),"")</f>
        <v>Other Professional Services</v>
      </c>
      <c r="L247" s="338" t="str">
        <f>IFERROR(VLOOKUP(I247,'Chart of accounts'!A:H,4,FALSE),"")</f>
        <v>50211990 00 - Other Professional Services (799)</v>
      </c>
      <c r="M247" s="361">
        <v>1</v>
      </c>
      <c r="N247" s="355" t="s">
        <v>773</v>
      </c>
      <c r="O247" s="355" t="s">
        <v>1064</v>
      </c>
      <c r="P247" s="355"/>
      <c r="Q247" s="50">
        <v>2700</v>
      </c>
      <c r="R247" s="319">
        <f t="shared" si="3"/>
        <v>-2700</v>
      </c>
      <c r="S247" s="319" t="str">
        <f>VLOOKUP(H247,'Fund Utilization Report'!$A$4:$U$1800,13,FALSE)</f>
        <v>MOOE</v>
      </c>
      <c r="T247" s="319" t="str">
        <f>VLOOKUP(H247,'Fund Utilization Report'!$A$4:$U$1800,2,FALSE)</f>
        <v>GAA</v>
      </c>
      <c r="U247" s="319" t="str">
        <f>VLOOKUP(H247,'Fund Utilization Report'!$A$4:$U$1800,3,FALSE)</f>
        <v>FY2021, RA11518</v>
      </c>
      <c r="V247" s="319" t="str">
        <f>VLOOKUP(H247,'Fund Utilization Report'!$A$4:$U$1800,4,FALSE)</f>
        <v>GAS(GMS)</v>
      </c>
      <c r="W247" s="319" t="str">
        <f>VLOOKUP(H247,'Fund Utilization Report'!$A$4:$U$1800,5,FALSE)</f>
        <v>01101101</v>
      </c>
      <c r="X247" s="319" t="str">
        <f>VLOOKUP(H247,'Fund Utilization Report'!$A$4:$U$1800,6,FALSE)</f>
        <v>GOP</v>
      </c>
      <c r="Y247" s="320" t="str">
        <f>VLOOKUP(H247,'Fund Utilization Report'!$A$4:$U$1800,7,FALSE)</f>
        <v>MOOE</v>
      </c>
      <c r="Z247" s="321">
        <f>VLOOKUP(H247,'Fund Utilization Report'!$A$4:$U$1800,8,FALSE)</f>
        <v>5020000000</v>
      </c>
      <c r="AA247" s="319" t="str">
        <f>VLOOKUP(H247,'Fund Utilization Report'!$A$4:$U$1800,14,FALSE)</f>
        <v>100000100001000</v>
      </c>
      <c r="AB247" s="349" t="str">
        <f>VLOOKUP(H247,'Fund Utilization Report'!$A$4:$U$1800,15,FALSE)</f>
        <v>General Administration and Supervision - General Management and Supervision</v>
      </c>
      <c r="AC247" s="39"/>
      <c r="AD247" s="34"/>
      <c r="AE247" s="39"/>
      <c r="AF247" s="51"/>
      <c r="AG247" s="40"/>
      <c r="AH247" s="40"/>
    </row>
    <row r="248" spans="1:34" s="32" customFormat="1" ht="27.6">
      <c r="A248" s="338" t="s">
        <v>942</v>
      </c>
      <c r="B248" s="338" t="s">
        <v>945</v>
      </c>
      <c r="C248" s="358">
        <v>44230</v>
      </c>
      <c r="D248" s="351" t="s">
        <v>1028</v>
      </c>
      <c r="E248" s="352" t="s">
        <v>1077</v>
      </c>
      <c r="F248" s="338">
        <v>0.62777777777777777</v>
      </c>
      <c r="G248" s="338">
        <v>0.62847222222222221</v>
      </c>
      <c r="H248" s="338" t="s">
        <v>965</v>
      </c>
      <c r="I248" s="353">
        <v>786</v>
      </c>
      <c r="J248" s="338" t="str">
        <f>IFERROR(VLOOKUP(I248,'Chart of accounts'!A:H,2,FALSE),"")</f>
        <v>50299070 00</v>
      </c>
      <c r="K248" s="338" t="str">
        <f>IFERROR(VLOOKUP(I248,'Chart of accounts'!A:H,3,FALSE),"")</f>
        <v>Subscriptions Expenses</v>
      </c>
      <c r="L248" s="338" t="str">
        <f>IFERROR(VLOOKUP(I248,'Chart of accounts'!A:H,4,FALSE),"")</f>
        <v>50299070 00 - Subscriptions Expenses (786)</v>
      </c>
      <c r="M248" s="361">
        <v>1</v>
      </c>
      <c r="N248" s="355" t="s">
        <v>1072</v>
      </c>
      <c r="O248" s="355" t="s">
        <v>1073</v>
      </c>
      <c r="P248" s="355"/>
      <c r="Q248" s="355">
        <v>1350</v>
      </c>
      <c r="R248" s="319">
        <f t="shared" si="3"/>
        <v>-1350</v>
      </c>
      <c r="S248" s="319" t="str">
        <f>VLOOKUP(H248,'Fund Utilization Report'!$A$4:$U$1800,13,FALSE)</f>
        <v>MOOE</v>
      </c>
      <c r="T248" s="319" t="str">
        <f>VLOOKUP(H248,'Fund Utilization Report'!$A$4:$U$1800,2,FALSE)</f>
        <v>GAA</v>
      </c>
      <c r="U248" s="319" t="str">
        <f>VLOOKUP(H248,'Fund Utilization Report'!$A$4:$U$1800,3,FALSE)</f>
        <v>FY2021, RA11518</v>
      </c>
      <c r="V248" s="319" t="str">
        <f>VLOOKUP(H248,'Fund Utilization Report'!$A$4:$U$1800,4,FALSE)</f>
        <v>OO1</v>
      </c>
      <c r="W248" s="319" t="str">
        <f>VLOOKUP(H248,'Fund Utilization Report'!$A$4:$U$1800,5,FALSE)</f>
        <v>01101101</v>
      </c>
      <c r="X248" s="319" t="str">
        <f>VLOOKUP(H248,'Fund Utilization Report'!$A$4:$U$1800,6,FALSE)</f>
        <v>GOP</v>
      </c>
      <c r="Y248" s="320" t="str">
        <f>VLOOKUP(H248,'Fund Utilization Report'!$A$4:$U$1800,7,FALSE)</f>
        <v>MOOE</v>
      </c>
      <c r="Z248" s="321">
        <f>VLOOKUP(H248,'Fund Utilization Report'!$A$4:$U$1800,8,FALSE)</f>
        <v>5020000000</v>
      </c>
      <c r="AA248" s="319" t="str">
        <f>VLOOKUP(H248,'Fund Utilization Report'!$A$4:$U$1800,14,FALSE)</f>
        <v>310100100002000</v>
      </c>
      <c r="AB248" s="349" t="str">
        <f>VLOOKUP(H248,'Fund Utilization Report'!$A$4:$U$1800,15,FALSE)</f>
        <v>Development,Facilitation, and promotion of exports and investment, domestic and foreign</v>
      </c>
      <c r="AC248" s="39"/>
      <c r="AD248" s="34"/>
      <c r="AE248" s="39"/>
      <c r="AF248" s="51"/>
      <c r="AG248" s="40"/>
      <c r="AH248" s="40"/>
    </row>
    <row r="249" spans="1:34" s="32" customFormat="1">
      <c r="A249" s="338" t="s">
        <v>942</v>
      </c>
      <c r="B249" s="338" t="s">
        <v>945</v>
      </c>
      <c r="C249" s="358">
        <v>44230</v>
      </c>
      <c r="D249" s="351" t="s">
        <v>1028</v>
      </c>
      <c r="E249" s="352" t="s">
        <v>1078</v>
      </c>
      <c r="F249" s="338">
        <v>0.62847222222222221</v>
      </c>
      <c r="G249" s="338">
        <v>0.63194444444444442</v>
      </c>
      <c r="H249" s="338" t="s">
        <v>961</v>
      </c>
      <c r="I249" s="353">
        <v>756</v>
      </c>
      <c r="J249" s="338" t="str">
        <f>IFERROR(VLOOKUP(I249,'Chart of accounts'!A:H,2,FALSE),"")</f>
        <v>50203020 00</v>
      </c>
      <c r="K249" s="338" t="str">
        <f>IFERROR(VLOOKUP(I249,'Chart of accounts'!A:H,3,FALSE),"")</f>
        <v xml:space="preserve">Accountable Forms Expenses </v>
      </c>
      <c r="L249" s="338" t="str">
        <f>IFERROR(VLOOKUP(I249,'Chart of accounts'!A:H,4,FALSE),"")</f>
        <v>50203020 00 - Accountable Forms Expenses  (756)</v>
      </c>
      <c r="M249" s="361">
        <v>2</v>
      </c>
      <c r="N249" s="420" t="s">
        <v>818</v>
      </c>
      <c r="O249" s="420" t="s">
        <v>1074</v>
      </c>
      <c r="P249" s="420"/>
      <c r="Q249" s="420">
        <v>1660</v>
      </c>
      <c r="R249" s="319">
        <f t="shared" si="3"/>
        <v>-1660</v>
      </c>
      <c r="S249" s="319" t="str">
        <f>VLOOKUP(H249,'Fund Utilization Report'!$A$4:$U$1800,13,FALSE)</f>
        <v>MOOE</v>
      </c>
      <c r="T249" s="319" t="str">
        <f>VLOOKUP(H249,'Fund Utilization Report'!$A$4:$U$1800,2,FALSE)</f>
        <v>GAA</v>
      </c>
      <c r="U249" s="319" t="str">
        <f>VLOOKUP(H249,'Fund Utilization Report'!$A$4:$U$1800,3,FALSE)</f>
        <v>FY2021, RA11518</v>
      </c>
      <c r="V249" s="319" t="str">
        <f>VLOOKUP(H249,'Fund Utilization Report'!$A$4:$U$1800,4,FALSE)</f>
        <v>GAS(GMS)</v>
      </c>
      <c r="W249" s="319" t="str">
        <f>VLOOKUP(H249,'Fund Utilization Report'!$A$4:$U$1800,5,FALSE)</f>
        <v>01101101</v>
      </c>
      <c r="X249" s="319" t="str">
        <f>VLOOKUP(H249,'Fund Utilization Report'!$A$4:$U$1800,6,FALSE)</f>
        <v>GOP</v>
      </c>
      <c r="Y249" s="320" t="str">
        <f>VLOOKUP(H249,'Fund Utilization Report'!$A$4:$U$1800,7,FALSE)</f>
        <v>MOOE</v>
      </c>
      <c r="Z249" s="321">
        <f>VLOOKUP(H249,'Fund Utilization Report'!$A$4:$U$1800,8,FALSE)</f>
        <v>5020000000</v>
      </c>
      <c r="AA249" s="319" t="str">
        <f>VLOOKUP(H249,'Fund Utilization Report'!$A$4:$U$1800,14,FALSE)</f>
        <v>100000100001000</v>
      </c>
      <c r="AB249" s="349" t="str">
        <f>VLOOKUP(H249,'Fund Utilization Report'!$A$4:$U$1800,15,FALSE)</f>
        <v>General Administration and Supervision - General Management and Supervision</v>
      </c>
      <c r="AC249" s="39"/>
      <c r="AD249" s="34"/>
      <c r="AE249" s="39"/>
      <c r="AF249" s="51"/>
      <c r="AG249" s="40"/>
      <c r="AH249" s="40"/>
    </row>
    <row r="250" spans="1:34" s="32" customFormat="1">
      <c r="A250" s="338" t="s">
        <v>942</v>
      </c>
      <c r="B250" s="338" t="s">
        <v>945</v>
      </c>
      <c r="C250" s="358">
        <v>44230</v>
      </c>
      <c r="D250" s="351" t="s">
        <v>1028</v>
      </c>
      <c r="E250" s="352" t="s">
        <v>1078</v>
      </c>
      <c r="F250" s="338">
        <v>0.62847222222222221</v>
      </c>
      <c r="G250" s="338">
        <v>0.63194444444444442</v>
      </c>
      <c r="H250" s="338" t="s">
        <v>961</v>
      </c>
      <c r="I250" s="353">
        <v>753</v>
      </c>
      <c r="J250" s="338" t="str">
        <f>IFERROR(VLOOKUP(I250,'Chart of accounts'!A:H,2,FALSE),"")</f>
        <v>50202010 00</v>
      </c>
      <c r="K250" s="338" t="str">
        <f>IFERROR(VLOOKUP(I250,'Chart of accounts'!A:H,3,FALSE),"")</f>
        <v>Training Expenses</v>
      </c>
      <c r="L250" s="338" t="str">
        <f>IFERROR(VLOOKUP(I250,'Chart of accounts'!A:H,4,FALSE),"")</f>
        <v>50202010 00 - Training Expenses (753)</v>
      </c>
      <c r="M250" s="361">
        <v>2</v>
      </c>
      <c r="N250" s="420" t="s">
        <v>818</v>
      </c>
      <c r="O250" s="420" t="s">
        <v>1074</v>
      </c>
      <c r="P250" s="420"/>
      <c r="Q250" s="420">
        <v>10790</v>
      </c>
      <c r="R250" s="428">
        <f t="shared" si="3"/>
        <v>-10790</v>
      </c>
      <c r="S250" s="428" t="str">
        <f>VLOOKUP(H250,'Fund Utilization Report'!$A$4:$U$1800,13,FALSE)</f>
        <v>MOOE</v>
      </c>
      <c r="T250" s="428" t="str">
        <f>VLOOKUP(H250,'Fund Utilization Report'!$A$4:$U$1800,2,FALSE)</f>
        <v>GAA</v>
      </c>
      <c r="U250" s="428" t="str">
        <f>VLOOKUP(H250,'Fund Utilization Report'!$A$4:$U$1800,3,FALSE)</f>
        <v>FY2021, RA11518</v>
      </c>
      <c r="V250" s="428" t="str">
        <f>VLOOKUP(H250,'Fund Utilization Report'!$A$4:$U$1800,4,FALSE)</f>
        <v>GAS(GMS)</v>
      </c>
      <c r="W250" s="428" t="str">
        <f>VLOOKUP(H250,'Fund Utilization Report'!$A$4:$U$1800,5,FALSE)</f>
        <v>01101101</v>
      </c>
      <c r="X250" s="428" t="str">
        <f>VLOOKUP(H250,'Fund Utilization Report'!$A$4:$U$1800,6,FALSE)</f>
        <v>GOP</v>
      </c>
      <c r="Y250" s="320" t="str">
        <f>VLOOKUP(H250,'Fund Utilization Report'!$A$4:$U$1800,7,FALSE)</f>
        <v>MOOE</v>
      </c>
      <c r="Z250" s="425">
        <f>VLOOKUP(H250,'Fund Utilization Report'!$A$4:$U$1800,8,FALSE)</f>
        <v>5020000000</v>
      </c>
      <c r="AA250" s="428" t="str">
        <f>VLOOKUP(H250,'Fund Utilization Report'!$A$4:$U$1800,14,FALSE)</f>
        <v>100000100001000</v>
      </c>
      <c r="AB250" s="349" t="str">
        <f>VLOOKUP(H250,'Fund Utilization Report'!$A$4:$U$1800,15,FALSE)</f>
        <v>General Administration and Supervision - General Management and Supervision</v>
      </c>
      <c r="AC250" s="39"/>
      <c r="AD250" s="34"/>
      <c r="AE250" s="39"/>
      <c r="AF250" s="51"/>
      <c r="AG250" s="40"/>
      <c r="AH250" s="40"/>
    </row>
    <row r="251" spans="1:34" s="32" customFormat="1">
      <c r="A251" s="338" t="s">
        <v>942</v>
      </c>
      <c r="B251" s="338" t="s">
        <v>945</v>
      </c>
      <c r="C251" s="358">
        <v>44230</v>
      </c>
      <c r="D251" s="351" t="s">
        <v>1028</v>
      </c>
      <c r="E251" s="352" t="s">
        <v>1078</v>
      </c>
      <c r="F251" s="338">
        <v>0.62847222222222221</v>
      </c>
      <c r="G251" s="338">
        <v>0.63194444444444442</v>
      </c>
      <c r="H251" s="338" t="s">
        <v>961</v>
      </c>
      <c r="I251" s="353">
        <v>761</v>
      </c>
      <c r="J251" s="338" t="str">
        <f>IFERROR(VLOOKUP(I251,'Chart of accounts'!A:H,2,FALSE),"")</f>
        <v>50203090 00</v>
      </c>
      <c r="K251" s="338" t="str">
        <f>IFERROR(VLOOKUP(I251,'Chart of accounts'!A:H,3,FALSE),"")</f>
        <v>Fuel, Oil and Lubricants Expenses</v>
      </c>
      <c r="L251" s="338" t="str">
        <f>IFERROR(VLOOKUP(I251,'Chart of accounts'!A:H,4,FALSE),"")</f>
        <v>50203090 00 - Fuel, Oil and Lubricants Expenses (761)</v>
      </c>
      <c r="M251" s="361">
        <v>2</v>
      </c>
      <c r="N251" s="420" t="s">
        <v>818</v>
      </c>
      <c r="O251" s="420" t="s">
        <v>1074</v>
      </c>
      <c r="P251" s="420"/>
      <c r="Q251" s="420">
        <v>8509.99</v>
      </c>
      <c r="R251" s="428">
        <f t="shared" si="3"/>
        <v>-8509.99</v>
      </c>
      <c r="S251" s="428" t="str">
        <f>VLOOKUP(H251,'Fund Utilization Report'!$A$4:$U$1800,13,FALSE)</f>
        <v>MOOE</v>
      </c>
      <c r="T251" s="428" t="str">
        <f>VLOOKUP(H251,'Fund Utilization Report'!$A$4:$U$1800,2,FALSE)</f>
        <v>GAA</v>
      </c>
      <c r="U251" s="428" t="str">
        <f>VLOOKUP(H251,'Fund Utilization Report'!$A$4:$U$1800,3,FALSE)</f>
        <v>FY2021, RA11518</v>
      </c>
      <c r="V251" s="428" t="str">
        <f>VLOOKUP(H251,'Fund Utilization Report'!$A$4:$U$1800,4,FALSE)</f>
        <v>GAS(GMS)</v>
      </c>
      <c r="W251" s="428" t="str">
        <f>VLOOKUP(H251,'Fund Utilization Report'!$A$4:$U$1800,5,FALSE)</f>
        <v>01101101</v>
      </c>
      <c r="X251" s="428" t="str">
        <f>VLOOKUP(H251,'Fund Utilization Report'!$A$4:$U$1800,6,FALSE)</f>
        <v>GOP</v>
      </c>
      <c r="Y251" s="320" t="str">
        <f>VLOOKUP(H251,'Fund Utilization Report'!$A$4:$U$1800,7,FALSE)</f>
        <v>MOOE</v>
      </c>
      <c r="Z251" s="425">
        <f>VLOOKUP(H251,'Fund Utilization Report'!$A$4:$U$1800,8,FALSE)</f>
        <v>5020000000</v>
      </c>
      <c r="AA251" s="428" t="str">
        <f>VLOOKUP(H251,'Fund Utilization Report'!$A$4:$U$1800,14,FALSE)</f>
        <v>100000100001000</v>
      </c>
      <c r="AB251" s="349" t="str">
        <f>VLOOKUP(H251,'Fund Utilization Report'!$A$4:$U$1800,15,FALSE)</f>
        <v>General Administration and Supervision - General Management and Supervision</v>
      </c>
      <c r="AC251" s="39"/>
      <c r="AD251" s="34"/>
      <c r="AE251" s="39"/>
      <c r="AF251" s="51"/>
      <c r="AG251" s="40"/>
      <c r="AH251" s="40"/>
    </row>
    <row r="252" spans="1:34" s="32" customFormat="1">
      <c r="A252" s="338" t="s">
        <v>942</v>
      </c>
      <c r="B252" s="338" t="s">
        <v>945</v>
      </c>
      <c r="C252" s="358">
        <v>44230</v>
      </c>
      <c r="D252" s="351" t="s">
        <v>1028</v>
      </c>
      <c r="E252" s="352" t="s">
        <v>1078</v>
      </c>
      <c r="F252" s="338">
        <v>0.62847222222222221</v>
      </c>
      <c r="G252" s="338">
        <v>0.63194444444444442</v>
      </c>
      <c r="H252" s="338" t="s">
        <v>961</v>
      </c>
      <c r="I252" s="353">
        <v>766</v>
      </c>
      <c r="J252" s="338" t="str">
        <f>IFERROR(VLOOKUP(I252,'Chart of accounts'!A:H,2,FALSE),"")</f>
        <v>50204010 00</v>
      </c>
      <c r="K252" s="338" t="str">
        <f>IFERROR(VLOOKUP(I252,'Chart of accounts'!A:H,3,FALSE),"")</f>
        <v>Water Expenses</v>
      </c>
      <c r="L252" s="338" t="str">
        <f>IFERROR(VLOOKUP(I252,'Chart of accounts'!A:H,4,FALSE),"")</f>
        <v>50204010 00 - Water Expenses (766)</v>
      </c>
      <c r="M252" s="361">
        <v>2</v>
      </c>
      <c r="N252" s="420" t="s">
        <v>818</v>
      </c>
      <c r="O252" s="420" t="s">
        <v>1074</v>
      </c>
      <c r="P252" s="420"/>
      <c r="Q252" s="420">
        <v>4731</v>
      </c>
      <c r="R252" s="428">
        <f t="shared" si="3"/>
        <v>-4731</v>
      </c>
      <c r="S252" s="428" t="str">
        <f>VLOOKUP(H252,'Fund Utilization Report'!$A$4:$U$1800,13,FALSE)</f>
        <v>MOOE</v>
      </c>
      <c r="T252" s="428" t="str">
        <f>VLOOKUP(H252,'Fund Utilization Report'!$A$4:$U$1800,2,FALSE)</f>
        <v>GAA</v>
      </c>
      <c r="U252" s="428" t="str">
        <f>VLOOKUP(H252,'Fund Utilization Report'!$A$4:$U$1800,3,FALSE)</f>
        <v>FY2021, RA11518</v>
      </c>
      <c r="V252" s="428" t="str">
        <f>VLOOKUP(H252,'Fund Utilization Report'!$A$4:$U$1800,4,FALSE)</f>
        <v>GAS(GMS)</v>
      </c>
      <c r="W252" s="428" t="str">
        <f>VLOOKUP(H252,'Fund Utilization Report'!$A$4:$U$1800,5,FALSE)</f>
        <v>01101101</v>
      </c>
      <c r="X252" s="428" t="str">
        <f>VLOOKUP(H252,'Fund Utilization Report'!$A$4:$U$1800,6,FALSE)</f>
        <v>GOP</v>
      </c>
      <c r="Y252" s="320" t="str">
        <f>VLOOKUP(H252,'Fund Utilization Report'!$A$4:$U$1800,7,FALSE)</f>
        <v>MOOE</v>
      </c>
      <c r="Z252" s="425">
        <f>VLOOKUP(H252,'Fund Utilization Report'!$A$4:$U$1800,8,FALSE)</f>
        <v>5020000000</v>
      </c>
      <c r="AA252" s="428" t="str">
        <f>VLOOKUP(H252,'Fund Utilization Report'!$A$4:$U$1800,14,FALSE)</f>
        <v>100000100001000</v>
      </c>
      <c r="AB252" s="349" t="str">
        <f>VLOOKUP(H252,'Fund Utilization Report'!$A$4:$U$1800,15,FALSE)</f>
        <v>General Administration and Supervision - General Management and Supervision</v>
      </c>
      <c r="AC252" s="39"/>
      <c r="AD252" s="34"/>
      <c r="AE252" s="39"/>
      <c r="AF252" s="51"/>
      <c r="AG252" s="40"/>
      <c r="AH252" s="40"/>
    </row>
    <row r="253" spans="1:34" s="32" customFormat="1">
      <c r="A253" s="338" t="s">
        <v>942</v>
      </c>
      <c r="B253" s="338" t="s">
        <v>945</v>
      </c>
      <c r="C253" s="358">
        <v>44230</v>
      </c>
      <c r="D253" s="351" t="s">
        <v>1028</v>
      </c>
      <c r="E253" s="352" t="s">
        <v>1078</v>
      </c>
      <c r="F253" s="338">
        <v>0.62847222222222221</v>
      </c>
      <c r="G253" s="338">
        <v>0.63194444444444442</v>
      </c>
      <c r="H253" s="338" t="s">
        <v>961</v>
      </c>
      <c r="I253" s="353">
        <v>767</v>
      </c>
      <c r="J253" s="338" t="str">
        <f>IFERROR(VLOOKUP(I253,'Chart of accounts'!A:H,2,FALSE),"")</f>
        <v>50204020 00</v>
      </c>
      <c r="K253" s="338" t="str">
        <f>IFERROR(VLOOKUP(I253,'Chart of accounts'!A:H,3,FALSE),"")</f>
        <v>Electricity Expense</v>
      </c>
      <c r="L253" s="338" t="str">
        <f>IFERROR(VLOOKUP(I253,'Chart of accounts'!A:H,4,FALSE),"")</f>
        <v>50204020 00 - Electricity Expense (767)</v>
      </c>
      <c r="M253" s="361">
        <v>2</v>
      </c>
      <c r="N253" s="420" t="s">
        <v>818</v>
      </c>
      <c r="O253" s="420" t="s">
        <v>1074</v>
      </c>
      <c r="P253" s="420"/>
      <c r="Q253" s="420">
        <v>42745</v>
      </c>
      <c r="R253" s="428">
        <f t="shared" si="3"/>
        <v>-42745</v>
      </c>
      <c r="S253" s="428" t="str">
        <f>VLOOKUP(H253,'Fund Utilization Report'!$A$4:$U$1800,13,FALSE)</f>
        <v>MOOE</v>
      </c>
      <c r="T253" s="428" t="str">
        <f>VLOOKUP(H253,'Fund Utilization Report'!$A$4:$U$1800,2,FALSE)</f>
        <v>GAA</v>
      </c>
      <c r="U253" s="428" t="str">
        <f>VLOOKUP(H253,'Fund Utilization Report'!$A$4:$U$1800,3,FALSE)</f>
        <v>FY2021, RA11518</v>
      </c>
      <c r="V253" s="428" t="str">
        <f>VLOOKUP(H253,'Fund Utilization Report'!$A$4:$U$1800,4,FALSE)</f>
        <v>GAS(GMS)</v>
      </c>
      <c r="W253" s="428" t="str">
        <f>VLOOKUP(H253,'Fund Utilization Report'!$A$4:$U$1800,5,FALSE)</f>
        <v>01101101</v>
      </c>
      <c r="X253" s="428" t="str">
        <f>VLOOKUP(H253,'Fund Utilization Report'!$A$4:$U$1800,6,FALSE)</f>
        <v>GOP</v>
      </c>
      <c r="Y253" s="320" t="str">
        <f>VLOOKUP(H253,'Fund Utilization Report'!$A$4:$U$1800,7,FALSE)</f>
        <v>MOOE</v>
      </c>
      <c r="Z253" s="425">
        <f>VLOOKUP(H253,'Fund Utilization Report'!$A$4:$U$1800,8,FALSE)</f>
        <v>5020000000</v>
      </c>
      <c r="AA253" s="428" t="str">
        <f>VLOOKUP(H253,'Fund Utilization Report'!$A$4:$U$1800,14,FALSE)</f>
        <v>100000100001000</v>
      </c>
      <c r="AB253" s="349" t="str">
        <f>VLOOKUP(H253,'Fund Utilization Report'!$A$4:$U$1800,15,FALSE)</f>
        <v>General Administration and Supervision - General Management and Supervision</v>
      </c>
      <c r="AC253" s="39"/>
      <c r="AD253" s="34"/>
      <c r="AE253" s="39"/>
      <c r="AF253" s="51"/>
      <c r="AG253" s="40"/>
      <c r="AH253" s="40"/>
    </row>
    <row r="254" spans="1:34" s="32" customFormat="1">
      <c r="A254" s="338" t="s">
        <v>942</v>
      </c>
      <c r="B254" s="338" t="s">
        <v>945</v>
      </c>
      <c r="C254" s="358">
        <v>44230</v>
      </c>
      <c r="D254" s="351" t="s">
        <v>1028</v>
      </c>
      <c r="E254" s="352" t="s">
        <v>1078</v>
      </c>
      <c r="F254" s="338">
        <v>0.62847222222222221</v>
      </c>
      <c r="G254" s="338">
        <v>0.63194444444444442</v>
      </c>
      <c r="H254" s="338" t="s">
        <v>961</v>
      </c>
      <c r="I254" s="353">
        <v>771</v>
      </c>
      <c r="J254" s="338" t="str">
        <f>IFERROR(VLOOKUP(I254,'Chart of accounts'!A:H,2,FALSE),"")</f>
        <v>50205010 00</v>
      </c>
      <c r="K254" s="338" t="str">
        <f>IFERROR(VLOOKUP(I254,'Chart of accounts'!A:H,3,FALSE),"")</f>
        <v>Postage and Courier Services</v>
      </c>
      <c r="L254" s="338" t="str">
        <f>IFERROR(VLOOKUP(I254,'Chart of accounts'!A:H,4,FALSE),"")</f>
        <v>50205010 00 - Postage and Courier Services (771)</v>
      </c>
      <c r="M254" s="361">
        <v>2</v>
      </c>
      <c r="N254" s="420" t="s">
        <v>818</v>
      </c>
      <c r="O254" s="420" t="s">
        <v>1074</v>
      </c>
      <c r="P254" s="420"/>
      <c r="Q254" s="420">
        <v>2075</v>
      </c>
      <c r="R254" s="428">
        <f t="shared" si="3"/>
        <v>-2075</v>
      </c>
      <c r="S254" s="428" t="str">
        <f>VLOOKUP(H254,'Fund Utilization Report'!$A$4:$U$1800,13,FALSE)</f>
        <v>MOOE</v>
      </c>
      <c r="T254" s="428" t="str">
        <f>VLOOKUP(H254,'Fund Utilization Report'!$A$4:$U$1800,2,FALSE)</f>
        <v>GAA</v>
      </c>
      <c r="U254" s="428" t="str">
        <f>VLOOKUP(H254,'Fund Utilization Report'!$A$4:$U$1800,3,FALSE)</f>
        <v>FY2021, RA11518</v>
      </c>
      <c r="V254" s="428" t="str">
        <f>VLOOKUP(H254,'Fund Utilization Report'!$A$4:$U$1800,4,FALSE)</f>
        <v>GAS(GMS)</v>
      </c>
      <c r="W254" s="428" t="str">
        <f>VLOOKUP(H254,'Fund Utilization Report'!$A$4:$U$1800,5,FALSE)</f>
        <v>01101101</v>
      </c>
      <c r="X254" s="428" t="str">
        <f>VLOOKUP(H254,'Fund Utilization Report'!$A$4:$U$1800,6,FALSE)</f>
        <v>GOP</v>
      </c>
      <c r="Y254" s="320" t="str">
        <f>VLOOKUP(H254,'Fund Utilization Report'!$A$4:$U$1800,7,FALSE)</f>
        <v>MOOE</v>
      </c>
      <c r="Z254" s="425">
        <f>VLOOKUP(H254,'Fund Utilization Report'!$A$4:$U$1800,8,FALSE)</f>
        <v>5020000000</v>
      </c>
      <c r="AA254" s="428" t="str">
        <f>VLOOKUP(H254,'Fund Utilization Report'!$A$4:$U$1800,14,FALSE)</f>
        <v>100000100001000</v>
      </c>
      <c r="AB254" s="349" t="str">
        <f>VLOOKUP(H254,'Fund Utilization Report'!$A$4:$U$1800,15,FALSE)</f>
        <v>General Administration and Supervision - General Management and Supervision</v>
      </c>
      <c r="AC254" s="39"/>
      <c r="AD254" s="34"/>
      <c r="AE254" s="39"/>
      <c r="AF254" s="51"/>
      <c r="AG254" s="40"/>
      <c r="AH254" s="40"/>
    </row>
    <row r="255" spans="1:34" s="32" customFormat="1">
      <c r="A255" s="338" t="s">
        <v>942</v>
      </c>
      <c r="B255" s="338" t="s">
        <v>945</v>
      </c>
      <c r="C255" s="358">
        <v>44230</v>
      </c>
      <c r="D255" s="351" t="s">
        <v>1028</v>
      </c>
      <c r="E255" s="352" t="s">
        <v>1078</v>
      </c>
      <c r="F255" s="338">
        <v>0.62847222222222221</v>
      </c>
      <c r="G255" s="338">
        <v>0.63194444444444442</v>
      </c>
      <c r="H255" s="338" t="s">
        <v>961</v>
      </c>
      <c r="I255" s="353">
        <v>772</v>
      </c>
      <c r="J255" s="338" t="str">
        <f>IFERROR(VLOOKUP(I255,'Chart of accounts'!A:H,2,FALSE),"")</f>
        <v>50205020 02</v>
      </c>
      <c r="K255" s="338" t="str">
        <f>IFERROR(VLOOKUP(I255,'Chart of accounts'!A:H,3,FALSE),"")</f>
        <v xml:space="preserve">Telephone Expenses - Landline </v>
      </c>
      <c r="L255" s="338" t="str">
        <f>IFERROR(VLOOKUP(I255,'Chart of accounts'!A:H,4,FALSE),"")</f>
        <v>50205020 02 - Telephone Expenses - Landline  (772)</v>
      </c>
      <c r="M255" s="361">
        <v>2</v>
      </c>
      <c r="N255" s="420" t="s">
        <v>818</v>
      </c>
      <c r="O255" s="420" t="s">
        <v>1074</v>
      </c>
      <c r="P255" s="420"/>
      <c r="Q255" s="420">
        <v>762.27</v>
      </c>
      <c r="R255" s="428">
        <f t="shared" si="3"/>
        <v>-762.27</v>
      </c>
      <c r="S255" s="428" t="str">
        <f>VLOOKUP(H255,'Fund Utilization Report'!$A$4:$U$1800,13,FALSE)</f>
        <v>MOOE</v>
      </c>
      <c r="T255" s="428" t="str">
        <f>VLOOKUP(H255,'Fund Utilization Report'!$A$4:$U$1800,2,FALSE)</f>
        <v>GAA</v>
      </c>
      <c r="U255" s="428" t="str">
        <f>VLOOKUP(H255,'Fund Utilization Report'!$A$4:$U$1800,3,FALSE)</f>
        <v>FY2021, RA11518</v>
      </c>
      <c r="V255" s="428" t="str">
        <f>VLOOKUP(H255,'Fund Utilization Report'!$A$4:$U$1800,4,FALSE)</f>
        <v>GAS(GMS)</v>
      </c>
      <c r="W255" s="428" t="str">
        <f>VLOOKUP(H255,'Fund Utilization Report'!$A$4:$U$1800,5,FALSE)</f>
        <v>01101101</v>
      </c>
      <c r="X255" s="428" t="str">
        <f>VLOOKUP(H255,'Fund Utilization Report'!$A$4:$U$1800,6,FALSE)</f>
        <v>GOP</v>
      </c>
      <c r="Y255" s="320" t="str">
        <f>VLOOKUP(H255,'Fund Utilization Report'!$A$4:$U$1800,7,FALSE)</f>
        <v>MOOE</v>
      </c>
      <c r="Z255" s="425">
        <f>VLOOKUP(H255,'Fund Utilization Report'!$A$4:$U$1800,8,FALSE)</f>
        <v>5020000000</v>
      </c>
      <c r="AA255" s="428" t="str">
        <f>VLOOKUP(H255,'Fund Utilization Report'!$A$4:$U$1800,14,FALSE)</f>
        <v>100000100001000</v>
      </c>
      <c r="AB255" s="349" t="str">
        <f>VLOOKUP(H255,'Fund Utilization Report'!$A$4:$U$1800,15,FALSE)</f>
        <v>General Administration and Supervision - General Management and Supervision</v>
      </c>
      <c r="AC255" s="39"/>
      <c r="AD255" s="34"/>
      <c r="AE255" s="39"/>
      <c r="AF255" s="51"/>
      <c r="AG255" s="40"/>
      <c r="AH255" s="40"/>
    </row>
    <row r="256" spans="1:34" s="32" customFormat="1">
      <c r="A256" s="338" t="s">
        <v>942</v>
      </c>
      <c r="B256" s="338" t="s">
        <v>945</v>
      </c>
      <c r="C256" s="358">
        <v>44230</v>
      </c>
      <c r="D256" s="351" t="s">
        <v>1028</v>
      </c>
      <c r="E256" s="352" t="s">
        <v>1078</v>
      </c>
      <c r="F256" s="338">
        <v>0.62847222222222221</v>
      </c>
      <c r="G256" s="338">
        <v>0.63194444444444442</v>
      </c>
      <c r="H256" s="338" t="s">
        <v>961</v>
      </c>
      <c r="I256" s="353">
        <v>773</v>
      </c>
      <c r="J256" s="338" t="str">
        <f>IFERROR(VLOOKUP(I256,'Chart of accounts'!A:H,2,FALSE),"")</f>
        <v>50205020 01</v>
      </c>
      <c r="K256" s="338" t="str">
        <f>IFERROR(VLOOKUP(I256,'Chart of accounts'!A:H,3,FALSE),"")</f>
        <v xml:space="preserve">Telephone Expenses - Mobile </v>
      </c>
      <c r="L256" s="338" t="str">
        <f>IFERROR(VLOOKUP(I256,'Chart of accounts'!A:H,4,FALSE),"")</f>
        <v>50205020 01 - Telephone Expenses - Mobile  (773)</v>
      </c>
      <c r="M256" s="361">
        <v>2</v>
      </c>
      <c r="N256" s="420" t="s">
        <v>818</v>
      </c>
      <c r="O256" s="420" t="s">
        <v>1074</v>
      </c>
      <c r="P256" s="420"/>
      <c r="Q256" s="420">
        <v>6972</v>
      </c>
      <c r="R256" s="428">
        <f t="shared" si="3"/>
        <v>-6972</v>
      </c>
      <c r="S256" s="428" t="str">
        <f>VLOOKUP(H256,'Fund Utilization Report'!$A$4:$U$1800,13,FALSE)</f>
        <v>MOOE</v>
      </c>
      <c r="T256" s="428" t="str">
        <f>VLOOKUP(H256,'Fund Utilization Report'!$A$4:$U$1800,2,FALSE)</f>
        <v>GAA</v>
      </c>
      <c r="U256" s="428" t="str">
        <f>VLOOKUP(H256,'Fund Utilization Report'!$A$4:$U$1800,3,FALSE)</f>
        <v>FY2021, RA11518</v>
      </c>
      <c r="V256" s="428" t="str">
        <f>VLOOKUP(H256,'Fund Utilization Report'!$A$4:$U$1800,4,FALSE)</f>
        <v>GAS(GMS)</v>
      </c>
      <c r="W256" s="428" t="str">
        <f>VLOOKUP(H256,'Fund Utilization Report'!$A$4:$U$1800,5,FALSE)</f>
        <v>01101101</v>
      </c>
      <c r="X256" s="428" t="str">
        <f>VLOOKUP(H256,'Fund Utilization Report'!$A$4:$U$1800,6,FALSE)</f>
        <v>GOP</v>
      </c>
      <c r="Y256" s="320" t="str">
        <f>VLOOKUP(H256,'Fund Utilization Report'!$A$4:$U$1800,7,FALSE)</f>
        <v>MOOE</v>
      </c>
      <c r="Z256" s="425">
        <f>VLOOKUP(H256,'Fund Utilization Report'!$A$4:$U$1800,8,FALSE)</f>
        <v>5020000000</v>
      </c>
      <c r="AA256" s="428" t="str">
        <f>VLOOKUP(H256,'Fund Utilization Report'!$A$4:$U$1800,14,FALSE)</f>
        <v>100000100001000</v>
      </c>
      <c r="AB256" s="349" t="str">
        <f>VLOOKUP(H256,'Fund Utilization Report'!$A$4:$U$1800,15,FALSE)</f>
        <v>General Administration and Supervision - General Management and Supervision</v>
      </c>
      <c r="AC256" s="39"/>
      <c r="AD256" s="34"/>
      <c r="AE256" s="39"/>
      <c r="AF256" s="51"/>
      <c r="AG256" s="40"/>
      <c r="AH256" s="40"/>
    </row>
    <row r="257" spans="1:34" s="32" customFormat="1">
      <c r="A257" s="338" t="s">
        <v>942</v>
      </c>
      <c r="B257" s="338" t="s">
        <v>945</v>
      </c>
      <c r="C257" s="358">
        <v>44230</v>
      </c>
      <c r="D257" s="351" t="s">
        <v>1028</v>
      </c>
      <c r="E257" s="352" t="s">
        <v>1078</v>
      </c>
      <c r="F257" s="338">
        <v>0.62847222222222221</v>
      </c>
      <c r="G257" s="338">
        <v>0.63194444444444442</v>
      </c>
      <c r="H257" s="338" t="s">
        <v>961</v>
      </c>
      <c r="I257" s="353">
        <v>775</v>
      </c>
      <c r="J257" s="338" t="str">
        <f>IFERROR(VLOOKUP(I257,'Chart of accounts'!A:H,2,FALSE),"")</f>
        <v>50205040 00</v>
      </c>
      <c r="K257" s="338" t="str">
        <f>IFERROR(VLOOKUP(I257,'Chart of accounts'!A:H,3,FALSE),"")</f>
        <v>Cable, Satellite, Telegraph, and Radio Expenses</v>
      </c>
      <c r="L257" s="338" t="str">
        <f>IFERROR(VLOOKUP(I257,'Chart of accounts'!A:H,4,FALSE),"")</f>
        <v>50205040 00 - Cable, Satellite, Telegraph, and Radio Expenses (775)</v>
      </c>
      <c r="M257" s="361">
        <v>2</v>
      </c>
      <c r="N257" s="420" t="s">
        <v>818</v>
      </c>
      <c r="O257" s="420" t="s">
        <v>1074</v>
      </c>
      <c r="P257" s="420"/>
      <c r="Q257" s="420">
        <v>539.5</v>
      </c>
      <c r="R257" s="428">
        <f t="shared" si="3"/>
        <v>-539.5</v>
      </c>
      <c r="S257" s="428" t="str">
        <f>VLOOKUP(H257,'Fund Utilization Report'!$A$4:$U$1800,13,FALSE)</f>
        <v>MOOE</v>
      </c>
      <c r="T257" s="428" t="str">
        <f>VLOOKUP(H257,'Fund Utilization Report'!$A$4:$U$1800,2,FALSE)</f>
        <v>GAA</v>
      </c>
      <c r="U257" s="428" t="str">
        <f>VLOOKUP(H257,'Fund Utilization Report'!$A$4:$U$1800,3,FALSE)</f>
        <v>FY2021, RA11518</v>
      </c>
      <c r="V257" s="428" t="str">
        <f>VLOOKUP(H257,'Fund Utilization Report'!$A$4:$U$1800,4,FALSE)</f>
        <v>GAS(GMS)</v>
      </c>
      <c r="W257" s="428" t="str">
        <f>VLOOKUP(H257,'Fund Utilization Report'!$A$4:$U$1800,5,FALSE)</f>
        <v>01101101</v>
      </c>
      <c r="X257" s="428" t="str">
        <f>VLOOKUP(H257,'Fund Utilization Report'!$A$4:$U$1800,6,FALSE)</f>
        <v>GOP</v>
      </c>
      <c r="Y257" s="320" t="str">
        <f>VLOOKUP(H257,'Fund Utilization Report'!$A$4:$U$1800,7,FALSE)</f>
        <v>MOOE</v>
      </c>
      <c r="Z257" s="425">
        <f>VLOOKUP(H257,'Fund Utilization Report'!$A$4:$U$1800,8,FALSE)</f>
        <v>5020000000</v>
      </c>
      <c r="AA257" s="428" t="str">
        <f>VLOOKUP(H257,'Fund Utilization Report'!$A$4:$U$1800,14,FALSE)</f>
        <v>100000100001000</v>
      </c>
      <c r="AB257" s="349" t="str">
        <f>VLOOKUP(H257,'Fund Utilization Report'!$A$4:$U$1800,15,FALSE)</f>
        <v>General Administration and Supervision - General Management and Supervision</v>
      </c>
      <c r="AC257" s="39"/>
      <c r="AD257" s="34"/>
      <c r="AE257" s="39"/>
      <c r="AF257" s="51"/>
      <c r="AG257" s="40"/>
      <c r="AH257" s="40"/>
    </row>
    <row r="258" spans="1:34" s="32" customFormat="1">
      <c r="A258" s="338" t="s">
        <v>942</v>
      </c>
      <c r="B258" s="338" t="s">
        <v>945</v>
      </c>
      <c r="C258" s="358">
        <v>44230</v>
      </c>
      <c r="D258" s="351" t="s">
        <v>1028</v>
      </c>
      <c r="E258" s="352" t="s">
        <v>1078</v>
      </c>
      <c r="F258" s="338">
        <v>0.62847222222222221</v>
      </c>
      <c r="G258" s="338">
        <v>0.63194444444444442</v>
      </c>
      <c r="H258" s="338" t="s">
        <v>961</v>
      </c>
      <c r="I258" s="353">
        <v>791</v>
      </c>
      <c r="J258" s="338" t="str">
        <f>IFERROR(VLOOKUP(I258,'Chart of accounts'!A:H,2,FALSE),"")</f>
        <v>50211010 00</v>
      </c>
      <c r="K258" s="338" t="str">
        <f>IFERROR(VLOOKUP(I258,'Chart of accounts'!A:H,3,FALSE),"")</f>
        <v>Legal Services</v>
      </c>
      <c r="L258" s="338" t="str">
        <f>IFERROR(VLOOKUP(I258,'Chart of accounts'!A:H,4,FALSE),"")</f>
        <v>50211010 00 - Legal Services (791)</v>
      </c>
      <c r="M258" s="361">
        <v>2</v>
      </c>
      <c r="N258" s="420" t="s">
        <v>818</v>
      </c>
      <c r="O258" s="420" t="s">
        <v>1074</v>
      </c>
      <c r="P258" s="420"/>
      <c r="Q258" s="420">
        <v>498</v>
      </c>
      <c r="R258" s="428">
        <f t="shared" si="3"/>
        <v>-498</v>
      </c>
      <c r="S258" s="428" t="str">
        <f>VLOOKUP(H258,'Fund Utilization Report'!$A$4:$U$1800,13,FALSE)</f>
        <v>MOOE</v>
      </c>
      <c r="T258" s="428" t="str">
        <f>VLOOKUP(H258,'Fund Utilization Report'!$A$4:$U$1800,2,FALSE)</f>
        <v>GAA</v>
      </c>
      <c r="U258" s="428" t="str">
        <f>VLOOKUP(H258,'Fund Utilization Report'!$A$4:$U$1800,3,FALSE)</f>
        <v>FY2021, RA11518</v>
      </c>
      <c r="V258" s="428" t="str">
        <f>VLOOKUP(H258,'Fund Utilization Report'!$A$4:$U$1800,4,FALSE)</f>
        <v>GAS(GMS)</v>
      </c>
      <c r="W258" s="428" t="str">
        <f>VLOOKUP(H258,'Fund Utilization Report'!$A$4:$U$1800,5,FALSE)</f>
        <v>01101101</v>
      </c>
      <c r="X258" s="428" t="str">
        <f>VLOOKUP(H258,'Fund Utilization Report'!$A$4:$U$1800,6,FALSE)</f>
        <v>GOP</v>
      </c>
      <c r="Y258" s="320" t="str">
        <f>VLOOKUP(H258,'Fund Utilization Report'!$A$4:$U$1800,7,FALSE)</f>
        <v>MOOE</v>
      </c>
      <c r="Z258" s="425">
        <f>VLOOKUP(H258,'Fund Utilization Report'!$A$4:$U$1800,8,FALSE)</f>
        <v>5020000000</v>
      </c>
      <c r="AA258" s="428" t="str">
        <f>VLOOKUP(H258,'Fund Utilization Report'!$A$4:$U$1800,14,FALSE)</f>
        <v>100000100001000</v>
      </c>
      <c r="AB258" s="349" t="str">
        <f>VLOOKUP(H258,'Fund Utilization Report'!$A$4:$U$1800,15,FALSE)</f>
        <v>General Administration and Supervision - General Management and Supervision</v>
      </c>
      <c r="AC258" s="39"/>
      <c r="AD258" s="34"/>
      <c r="AE258" s="39"/>
      <c r="AF258" s="51"/>
      <c r="AG258" s="40"/>
      <c r="AH258" s="40"/>
    </row>
    <row r="259" spans="1:34" s="32" customFormat="1">
      <c r="A259" s="338" t="s">
        <v>942</v>
      </c>
      <c r="B259" s="338" t="s">
        <v>945</v>
      </c>
      <c r="C259" s="358">
        <v>44230</v>
      </c>
      <c r="D259" s="351" t="s">
        <v>1028</v>
      </c>
      <c r="E259" s="352" t="s">
        <v>1078</v>
      </c>
      <c r="F259" s="338">
        <v>0.62847222222222221</v>
      </c>
      <c r="G259" s="338">
        <v>0.63194444444444442</v>
      </c>
      <c r="H259" s="338" t="s">
        <v>961</v>
      </c>
      <c r="I259" s="353">
        <v>795</v>
      </c>
      <c r="J259" s="338" t="str">
        <f>IFERROR(VLOOKUP(I259,'Chart of accounts'!A:H,2,FALSE),"")</f>
        <v>50212990 00</v>
      </c>
      <c r="K259" s="338" t="str">
        <f>IFERROR(VLOOKUP(I259,'Chart of accounts'!A:H,3,FALSE),"")</f>
        <v>Other General Services</v>
      </c>
      <c r="L259" s="338" t="str">
        <f>IFERROR(VLOOKUP(I259,'Chart of accounts'!A:H,4,FALSE),"")</f>
        <v>50212990 00 - Other General Services (795)</v>
      </c>
      <c r="M259" s="361">
        <v>2</v>
      </c>
      <c r="N259" s="420" t="s">
        <v>818</v>
      </c>
      <c r="O259" s="420" t="s">
        <v>1074</v>
      </c>
      <c r="P259" s="420"/>
      <c r="Q259" s="420">
        <f>24186.2+145312.53</f>
        <v>169498.73</v>
      </c>
      <c r="R259" s="428">
        <f t="shared" si="3"/>
        <v>-169498.73</v>
      </c>
      <c r="S259" s="428" t="str">
        <f>VLOOKUP(H259,'Fund Utilization Report'!$A$4:$U$1800,13,FALSE)</f>
        <v>MOOE</v>
      </c>
      <c r="T259" s="428" t="str">
        <f>VLOOKUP(H259,'Fund Utilization Report'!$A$4:$U$1800,2,FALSE)</f>
        <v>GAA</v>
      </c>
      <c r="U259" s="428" t="str">
        <f>VLOOKUP(H259,'Fund Utilization Report'!$A$4:$U$1800,3,FALSE)</f>
        <v>FY2021, RA11518</v>
      </c>
      <c r="V259" s="428" t="str">
        <f>VLOOKUP(H259,'Fund Utilization Report'!$A$4:$U$1800,4,FALSE)</f>
        <v>GAS(GMS)</v>
      </c>
      <c r="W259" s="428" t="str">
        <f>VLOOKUP(H259,'Fund Utilization Report'!$A$4:$U$1800,5,FALSE)</f>
        <v>01101101</v>
      </c>
      <c r="X259" s="428" t="str">
        <f>VLOOKUP(H259,'Fund Utilization Report'!$A$4:$U$1800,6,FALSE)</f>
        <v>GOP</v>
      </c>
      <c r="Y259" s="320" t="str">
        <f>VLOOKUP(H259,'Fund Utilization Report'!$A$4:$U$1800,7,FALSE)</f>
        <v>MOOE</v>
      </c>
      <c r="Z259" s="425">
        <f>VLOOKUP(H259,'Fund Utilization Report'!$A$4:$U$1800,8,FALSE)</f>
        <v>5020000000</v>
      </c>
      <c r="AA259" s="428" t="str">
        <f>VLOOKUP(H259,'Fund Utilization Report'!$A$4:$U$1800,14,FALSE)</f>
        <v>100000100001000</v>
      </c>
      <c r="AB259" s="349" t="str">
        <f>VLOOKUP(H259,'Fund Utilization Report'!$A$4:$U$1800,15,FALSE)</f>
        <v>General Administration and Supervision - General Management and Supervision</v>
      </c>
      <c r="AC259" s="39"/>
      <c r="AD259" s="34"/>
      <c r="AE259" s="39"/>
      <c r="AF259" s="51"/>
      <c r="AG259" s="40"/>
      <c r="AH259" s="40"/>
    </row>
    <row r="260" spans="1:34" s="32" customFormat="1">
      <c r="A260" s="338" t="s">
        <v>942</v>
      </c>
      <c r="B260" s="338" t="s">
        <v>945</v>
      </c>
      <c r="C260" s="358">
        <v>44230</v>
      </c>
      <c r="D260" s="351" t="s">
        <v>1028</v>
      </c>
      <c r="E260" s="352" t="s">
        <v>1078</v>
      </c>
      <c r="F260" s="338">
        <v>0.62847222222222221</v>
      </c>
      <c r="G260" s="338">
        <v>0.63194444444444442</v>
      </c>
      <c r="H260" s="338" t="s">
        <v>971</v>
      </c>
      <c r="I260" s="353">
        <v>821</v>
      </c>
      <c r="J260" s="338" t="str">
        <f>IFERROR(VLOOKUP(I260,'Chart of accounts'!A:H,2,FALSE),"")</f>
        <v>50213050 02</v>
      </c>
      <c r="K260" s="338" t="str">
        <f>IFERROR(VLOOKUP(I260,'Chart of accounts'!A:H,3,FALSE),"")</f>
        <v>Office Equipment</v>
      </c>
      <c r="L260" s="338" t="str">
        <f>IFERROR(VLOOKUP(I260,'Chart of accounts'!A:H,4,FALSE),"")</f>
        <v>50213050 02 - Office Equipment (821)</v>
      </c>
      <c r="M260" s="361">
        <v>2</v>
      </c>
      <c r="N260" s="420" t="s">
        <v>818</v>
      </c>
      <c r="O260" s="420" t="s">
        <v>1074</v>
      </c>
      <c r="P260" s="420"/>
      <c r="Q260" s="420">
        <v>2766.67</v>
      </c>
      <c r="R260" s="428">
        <f t="shared" si="3"/>
        <v>-2766.67</v>
      </c>
      <c r="S260" s="428" t="str">
        <f>VLOOKUP(H260,'Fund Utilization Report'!$A$4:$U$1800,13,FALSE)</f>
        <v>MOOE</v>
      </c>
      <c r="T260" s="428" t="str">
        <f>VLOOKUP(H260,'Fund Utilization Report'!$A$4:$U$1800,2,FALSE)</f>
        <v>GAA</v>
      </c>
      <c r="U260" s="428" t="str">
        <f>VLOOKUP(H260,'Fund Utilization Report'!$A$4:$U$1800,3,FALSE)</f>
        <v>FY2021, RA11518</v>
      </c>
      <c r="V260" s="428" t="str">
        <f>VLOOKUP(H260,'Fund Utilization Report'!$A$4:$U$1800,4,FALSE)</f>
        <v>OO3</v>
      </c>
      <c r="W260" s="428" t="str">
        <f>VLOOKUP(H260,'Fund Utilization Report'!$A$4:$U$1800,5,FALSE)</f>
        <v>01101101</v>
      </c>
      <c r="X260" s="428" t="str">
        <f>VLOOKUP(H260,'Fund Utilization Report'!$A$4:$U$1800,6,FALSE)</f>
        <v>GOP</v>
      </c>
      <c r="Y260" s="320" t="str">
        <f>VLOOKUP(H260,'Fund Utilization Report'!$A$4:$U$1800,7,FALSE)</f>
        <v>MOOE</v>
      </c>
      <c r="Z260" s="425">
        <f>VLOOKUP(H260,'Fund Utilization Report'!$A$4:$U$1800,8,FALSE)</f>
        <v>5020000000</v>
      </c>
      <c r="AA260" s="428" t="str">
        <f>VLOOKUP(H260,'Fund Utilization Report'!$A$4:$U$1800,14,FALSE)</f>
        <v>330100100002000</v>
      </c>
      <c r="AB260" s="349" t="str">
        <f>VLOOKUP(H260,'Fund Utilization Report'!$A$4:$U$1800,15,FALSE)</f>
        <v>Implementation of the MSME Development Plan and other initiatives to promote the growth of Micro, Small and Medium Enterprises</v>
      </c>
      <c r="AC260" s="39"/>
      <c r="AD260" s="34"/>
      <c r="AE260" s="39"/>
      <c r="AF260" s="51"/>
      <c r="AG260" s="40"/>
      <c r="AH260" s="40"/>
    </row>
    <row r="261" spans="1:34" s="32" customFormat="1">
      <c r="A261" s="338" t="s">
        <v>942</v>
      </c>
      <c r="B261" s="338" t="s">
        <v>945</v>
      </c>
      <c r="C261" s="358">
        <v>44230</v>
      </c>
      <c r="D261" s="351" t="s">
        <v>1028</v>
      </c>
      <c r="E261" s="352" t="s">
        <v>1078</v>
      </c>
      <c r="F261" s="338">
        <v>0.62847222222222221</v>
      </c>
      <c r="G261" s="338">
        <v>0.63194444444444442</v>
      </c>
      <c r="H261" s="338" t="s">
        <v>968</v>
      </c>
      <c r="I261" s="353">
        <v>823</v>
      </c>
      <c r="J261" s="338" t="str">
        <f>IFERROR(VLOOKUP(I261,'Chart of accounts'!A:H,2,FALSE),"")</f>
        <v>50213050 03</v>
      </c>
      <c r="K261" s="338" t="str">
        <f>IFERROR(VLOOKUP(I261,'Chart of accounts'!A:H,3,FALSE),"")</f>
        <v>ICT Equipment</v>
      </c>
      <c r="L261" s="338" t="str">
        <f>IFERROR(VLOOKUP(I261,'Chart of accounts'!A:H,4,FALSE),"")</f>
        <v>50213050 03 - ICT Equipment (823)</v>
      </c>
      <c r="M261" s="361">
        <v>2</v>
      </c>
      <c r="N261" s="420" t="s">
        <v>818</v>
      </c>
      <c r="O261" s="420" t="s">
        <v>1074</v>
      </c>
      <c r="P261" s="420"/>
      <c r="Q261" s="420">
        <v>2766.67</v>
      </c>
      <c r="R261" s="428">
        <f t="shared" si="3"/>
        <v>-2766.67</v>
      </c>
      <c r="S261" s="428" t="str">
        <f>VLOOKUP(H261,'Fund Utilization Report'!$A$4:$U$1800,13,FALSE)</f>
        <v>MOOE</v>
      </c>
      <c r="T261" s="428" t="str">
        <f>VLOOKUP(H261,'Fund Utilization Report'!$A$4:$U$1800,2,FALSE)</f>
        <v>GAA</v>
      </c>
      <c r="U261" s="428" t="str">
        <f>VLOOKUP(H261,'Fund Utilization Report'!$A$4:$U$1800,3,FALSE)</f>
        <v>FY2021, RA11518</v>
      </c>
      <c r="V261" s="428" t="str">
        <f>VLOOKUP(H261,'Fund Utilization Report'!$A$4:$U$1800,4,FALSE)</f>
        <v>OO2</v>
      </c>
      <c r="W261" s="428" t="str">
        <f>VLOOKUP(H261,'Fund Utilization Report'!$A$4:$U$1800,5,FALSE)</f>
        <v>01101101</v>
      </c>
      <c r="X261" s="428" t="str">
        <f>VLOOKUP(H261,'Fund Utilization Report'!$A$4:$U$1800,6,FALSE)</f>
        <v>GOP</v>
      </c>
      <c r="Y261" s="320" t="str">
        <f>VLOOKUP(H261,'Fund Utilization Report'!$A$4:$U$1800,7,FALSE)</f>
        <v>MOOE</v>
      </c>
      <c r="Z261" s="425">
        <f>VLOOKUP(H261,'Fund Utilization Report'!$A$4:$U$1800,8,FALSE)</f>
        <v>5020000000</v>
      </c>
      <c r="AA261" s="428" t="str">
        <f>VLOOKUP(H261,'Fund Utilization Report'!$A$4:$U$1800,14,FALSE)</f>
        <v>320100100001000</v>
      </c>
      <c r="AB261" s="349" t="str">
        <f>VLOOKUP(H261,'Fund Utilization Report'!$A$4:$U$1800,15,FALSE)</f>
        <v>Formulation of Strategic plans,programs, and policies to develop competitve industries</v>
      </c>
      <c r="AC261" s="39"/>
      <c r="AD261" s="34"/>
      <c r="AE261" s="39"/>
      <c r="AF261" s="51"/>
      <c r="AG261" s="40"/>
      <c r="AH261" s="40"/>
    </row>
    <row r="262" spans="1:34" s="32" customFormat="1">
      <c r="A262" s="338" t="s">
        <v>942</v>
      </c>
      <c r="B262" s="338" t="s">
        <v>945</v>
      </c>
      <c r="C262" s="358">
        <v>44230</v>
      </c>
      <c r="D262" s="351" t="s">
        <v>1028</v>
      </c>
      <c r="E262" s="352" t="s">
        <v>1078</v>
      </c>
      <c r="F262" s="338">
        <v>0.62847222222222221</v>
      </c>
      <c r="G262" s="338">
        <v>0.63194444444444442</v>
      </c>
      <c r="H262" s="338" t="s">
        <v>968</v>
      </c>
      <c r="I262" s="353">
        <v>822</v>
      </c>
      <c r="J262" s="338" t="str">
        <f>IFERROR(VLOOKUP(I262,'Chart of accounts'!A:H,2,FALSE),"")</f>
        <v>50213070 00</v>
      </c>
      <c r="K262" s="338" t="str">
        <f>IFERROR(VLOOKUP(I262,'Chart of accounts'!A:H,3,FALSE),"")</f>
        <v>Furniture and Fixture</v>
      </c>
      <c r="L262" s="338" t="str">
        <f>IFERROR(VLOOKUP(I262,'Chart of accounts'!A:H,4,FALSE),"")</f>
        <v>50213070 00 - Furniture and Fixture (822)</v>
      </c>
      <c r="M262" s="361">
        <v>2</v>
      </c>
      <c r="N262" s="420" t="s">
        <v>818</v>
      </c>
      <c r="O262" s="420" t="s">
        <v>1074</v>
      </c>
      <c r="P262" s="420"/>
      <c r="Q262" s="420">
        <v>1383.33</v>
      </c>
      <c r="R262" s="428">
        <f t="shared" si="3"/>
        <v>-1383.33</v>
      </c>
      <c r="S262" s="428" t="str">
        <f>VLOOKUP(H262,'Fund Utilization Report'!$A$4:$U$1800,13,FALSE)</f>
        <v>MOOE</v>
      </c>
      <c r="T262" s="428" t="str">
        <f>VLOOKUP(H262,'Fund Utilization Report'!$A$4:$U$1800,2,FALSE)</f>
        <v>GAA</v>
      </c>
      <c r="U262" s="428" t="str">
        <f>VLOOKUP(H262,'Fund Utilization Report'!$A$4:$U$1800,3,FALSE)</f>
        <v>FY2021, RA11518</v>
      </c>
      <c r="V262" s="428" t="str">
        <f>VLOOKUP(H262,'Fund Utilization Report'!$A$4:$U$1800,4,FALSE)</f>
        <v>OO2</v>
      </c>
      <c r="W262" s="428" t="str">
        <f>VLOOKUP(H262,'Fund Utilization Report'!$A$4:$U$1800,5,FALSE)</f>
        <v>01101101</v>
      </c>
      <c r="X262" s="428" t="str">
        <f>VLOOKUP(H262,'Fund Utilization Report'!$A$4:$U$1800,6,FALSE)</f>
        <v>GOP</v>
      </c>
      <c r="Y262" s="320" t="str">
        <f>VLOOKUP(H262,'Fund Utilization Report'!$A$4:$U$1800,7,FALSE)</f>
        <v>MOOE</v>
      </c>
      <c r="Z262" s="425">
        <f>VLOOKUP(H262,'Fund Utilization Report'!$A$4:$U$1800,8,FALSE)</f>
        <v>5020000000</v>
      </c>
      <c r="AA262" s="428" t="str">
        <f>VLOOKUP(H262,'Fund Utilization Report'!$A$4:$U$1800,14,FALSE)</f>
        <v>320100100001000</v>
      </c>
      <c r="AB262" s="349" t="str">
        <f>VLOOKUP(H262,'Fund Utilization Report'!$A$4:$U$1800,15,FALSE)</f>
        <v>Formulation of Strategic plans,programs, and policies to develop competitve industries</v>
      </c>
      <c r="AC262" s="39"/>
      <c r="AD262" s="34"/>
      <c r="AE262" s="39"/>
      <c r="AF262" s="51"/>
      <c r="AG262" s="40"/>
      <c r="AH262" s="40"/>
    </row>
    <row r="263" spans="1:34" s="32" customFormat="1">
      <c r="A263" s="338" t="s">
        <v>942</v>
      </c>
      <c r="B263" s="338" t="s">
        <v>945</v>
      </c>
      <c r="C263" s="358">
        <v>44230</v>
      </c>
      <c r="D263" s="351" t="s">
        <v>1028</v>
      </c>
      <c r="E263" s="352" t="s">
        <v>1078</v>
      </c>
      <c r="F263" s="338">
        <v>0.62847222222222221</v>
      </c>
      <c r="G263" s="338">
        <v>0.63194444444444442</v>
      </c>
      <c r="H263" s="338" t="s">
        <v>961</v>
      </c>
      <c r="I263" s="353">
        <v>841</v>
      </c>
      <c r="J263" s="338" t="str">
        <f>IFERROR(VLOOKUP(I263,'Chart of accounts'!A:H,2,FALSE),"")</f>
        <v>50213060 01</v>
      </c>
      <c r="K263" s="338" t="str">
        <f>IFERROR(VLOOKUP(I263,'Chart of accounts'!A:H,3,FALSE),"")</f>
        <v>Motor Vehicles</v>
      </c>
      <c r="L263" s="338" t="str">
        <f>IFERROR(VLOOKUP(I263,'Chart of accounts'!A:H,4,FALSE),"")</f>
        <v>50213060 01 - Motor Vehicles (841)</v>
      </c>
      <c r="M263" s="361">
        <v>2</v>
      </c>
      <c r="N263" s="420" t="s">
        <v>818</v>
      </c>
      <c r="O263" s="420" t="s">
        <v>1074</v>
      </c>
      <c r="P263" s="420"/>
      <c r="Q263" s="420">
        <v>13833.33</v>
      </c>
      <c r="R263" s="428">
        <f t="shared" si="3"/>
        <v>-13833.33</v>
      </c>
      <c r="S263" s="428" t="str">
        <f>VLOOKUP(H263,'Fund Utilization Report'!$A$4:$U$1800,13,FALSE)</f>
        <v>MOOE</v>
      </c>
      <c r="T263" s="428" t="str">
        <f>VLOOKUP(H263,'Fund Utilization Report'!$A$4:$U$1800,2,FALSE)</f>
        <v>GAA</v>
      </c>
      <c r="U263" s="428" t="str">
        <f>VLOOKUP(H263,'Fund Utilization Report'!$A$4:$U$1800,3,FALSE)</f>
        <v>FY2021, RA11518</v>
      </c>
      <c r="V263" s="428" t="str">
        <f>VLOOKUP(H263,'Fund Utilization Report'!$A$4:$U$1800,4,FALSE)</f>
        <v>GAS(GMS)</v>
      </c>
      <c r="W263" s="428" t="str">
        <f>VLOOKUP(H263,'Fund Utilization Report'!$A$4:$U$1800,5,FALSE)</f>
        <v>01101101</v>
      </c>
      <c r="X263" s="428" t="str">
        <f>VLOOKUP(H263,'Fund Utilization Report'!$A$4:$U$1800,6,FALSE)</f>
        <v>GOP</v>
      </c>
      <c r="Y263" s="320" t="str">
        <f>VLOOKUP(H263,'Fund Utilization Report'!$A$4:$U$1800,7,FALSE)</f>
        <v>MOOE</v>
      </c>
      <c r="Z263" s="425">
        <f>VLOOKUP(H263,'Fund Utilization Report'!$A$4:$U$1800,8,FALSE)</f>
        <v>5020000000</v>
      </c>
      <c r="AA263" s="428" t="str">
        <f>VLOOKUP(H263,'Fund Utilization Report'!$A$4:$U$1800,14,FALSE)</f>
        <v>100000100001000</v>
      </c>
      <c r="AB263" s="349" t="str">
        <f>VLOOKUP(H263,'Fund Utilization Report'!$A$4:$U$1800,15,FALSE)</f>
        <v>General Administration and Supervision - General Management and Supervision</v>
      </c>
      <c r="AC263" s="39"/>
      <c r="AD263" s="34"/>
      <c r="AE263" s="39"/>
      <c r="AF263" s="51"/>
      <c r="AG263" s="40"/>
      <c r="AH263" s="40"/>
    </row>
    <row r="264" spans="1:34" s="32" customFormat="1">
      <c r="A264" s="338" t="s">
        <v>942</v>
      </c>
      <c r="B264" s="338" t="s">
        <v>945</v>
      </c>
      <c r="C264" s="358">
        <v>44230</v>
      </c>
      <c r="D264" s="351" t="s">
        <v>1028</v>
      </c>
      <c r="E264" s="352" t="s">
        <v>1078</v>
      </c>
      <c r="F264" s="338">
        <v>0.62847222222222221</v>
      </c>
      <c r="G264" s="338">
        <v>0.63194444444444442</v>
      </c>
      <c r="H264" s="338" t="s">
        <v>961</v>
      </c>
      <c r="I264" s="353">
        <v>891</v>
      </c>
      <c r="J264" s="338" t="str">
        <f>IFERROR(VLOOKUP(I264,'Chart of accounts'!A:H,2,FALSE),"")</f>
        <v>50215010 01</v>
      </c>
      <c r="K264" s="338" t="str">
        <f>IFERROR(VLOOKUP(I264,'Chart of accounts'!A:H,3,FALSE),"")</f>
        <v>Taxes, Duties and Licenses</v>
      </c>
      <c r="L264" s="338" t="str">
        <f>IFERROR(VLOOKUP(I264,'Chart of accounts'!A:H,4,FALSE),"")</f>
        <v>50215010 01 - Taxes, Duties and Licenses (891)</v>
      </c>
      <c r="M264" s="361">
        <v>2</v>
      </c>
      <c r="N264" s="420" t="s">
        <v>818</v>
      </c>
      <c r="O264" s="420" t="s">
        <v>1074</v>
      </c>
      <c r="P264" s="420"/>
      <c r="Q264" s="420">
        <v>691.67</v>
      </c>
      <c r="R264" s="428">
        <f t="shared" si="3"/>
        <v>-691.67</v>
      </c>
      <c r="S264" s="428" t="str">
        <f>VLOOKUP(H264,'Fund Utilization Report'!$A$4:$U$1800,13,FALSE)</f>
        <v>MOOE</v>
      </c>
      <c r="T264" s="428" t="str">
        <f>VLOOKUP(H264,'Fund Utilization Report'!$A$4:$U$1800,2,FALSE)</f>
        <v>GAA</v>
      </c>
      <c r="U264" s="428" t="str">
        <f>VLOOKUP(H264,'Fund Utilization Report'!$A$4:$U$1800,3,FALSE)</f>
        <v>FY2021, RA11518</v>
      </c>
      <c r="V264" s="428" t="str">
        <f>VLOOKUP(H264,'Fund Utilization Report'!$A$4:$U$1800,4,FALSE)</f>
        <v>GAS(GMS)</v>
      </c>
      <c r="W264" s="428" t="str">
        <f>VLOOKUP(H264,'Fund Utilization Report'!$A$4:$U$1800,5,FALSE)</f>
        <v>01101101</v>
      </c>
      <c r="X264" s="428" t="str">
        <f>VLOOKUP(H264,'Fund Utilization Report'!$A$4:$U$1800,6,FALSE)</f>
        <v>GOP</v>
      </c>
      <c r="Y264" s="320" t="str">
        <f>VLOOKUP(H264,'Fund Utilization Report'!$A$4:$U$1800,7,FALSE)</f>
        <v>MOOE</v>
      </c>
      <c r="Z264" s="425">
        <f>VLOOKUP(H264,'Fund Utilization Report'!$A$4:$U$1800,8,FALSE)</f>
        <v>5020000000</v>
      </c>
      <c r="AA264" s="428" t="str">
        <f>VLOOKUP(H264,'Fund Utilization Report'!$A$4:$U$1800,14,FALSE)</f>
        <v>100000100001000</v>
      </c>
      <c r="AB264" s="349" t="str">
        <f>VLOOKUP(H264,'Fund Utilization Report'!$A$4:$U$1800,15,FALSE)</f>
        <v>General Administration and Supervision - General Management and Supervision</v>
      </c>
      <c r="AC264" s="39"/>
      <c r="AD264" s="34"/>
      <c r="AE264" s="39"/>
      <c r="AF264" s="51"/>
      <c r="AG264" s="40"/>
      <c r="AH264" s="40"/>
    </row>
    <row r="265" spans="1:34" s="32" customFormat="1">
      <c r="A265" s="338" t="s">
        <v>942</v>
      </c>
      <c r="B265" s="338" t="s">
        <v>945</v>
      </c>
      <c r="C265" s="358">
        <v>44230</v>
      </c>
      <c r="D265" s="351" t="s">
        <v>1028</v>
      </c>
      <c r="E265" s="352" t="s">
        <v>1078</v>
      </c>
      <c r="F265" s="338">
        <v>0.62847222222222221</v>
      </c>
      <c r="G265" s="338">
        <v>0.63194444444444442</v>
      </c>
      <c r="H265" s="338" t="s">
        <v>961</v>
      </c>
      <c r="I265" s="353">
        <v>892</v>
      </c>
      <c r="J265" s="338" t="str">
        <f>IFERROR(VLOOKUP(I265,'Chart of accounts'!A:H,2,FALSE),"")</f>
        <v>50215020 00</v>
      </c>
      <c r="K265" s="338" t="str">
        <f>IFERROR(VLOOKUP(I265,'Chart of accounts'!A:H,3,FALSE),"")</f>
        <v>Fidelity Bond Premiums</v>
      </c>
      <c r="L265" s="338" t="str">
        <f>IFERROR(VLOOKUP(I265,'Chart of accounts'!A:H,4,FALSE),"")</f>
        <v>50215020 00 - Fidelity Bond Premiums (892)</v>
      </c>
      <c r="M265" s="361">
        <v>2</v>
      </c>
      <c r="N265" s="420" t="s">
        <v>818</v>
      </c>
      <c r="O265" s="420" t="s">
        <v>1074</v>
      </c>
      <c r="P265" s="420"/>
      <c r="Q265" s="420">
        <v>1909.52</v>
      </c>
      <c r="R265" s="428">
        <f t="shared" si="3"/>
        <v>-1909.52</v>
      </c>
      <c r="S265" s="428" t="str">
        <f>VLOOKUP(H265,'Fund Utilization Report'!$A$4:$U$1800,13,FALSE)</f>
        <v>MOOE</v>
      </c>
      <c r="T265" s="428" t="str">
        <f>VLOOKUP(H265,'Fund Utilization Report'!$A$4:$U$1800,2,FALSE)</f>
        <v>GAA</v>
      </c>
      <c r="U265" s="428" t="str">
        <f>VLOOKUP(H265,'Fund Utilization Report'!$A$4:$U$1800,3,FALSE)</f>
        <v>FY2021, RA11518</v>
      </c>
      <c r="V265" s="428" t="str">
        <f>VLOOKUP(H265,'Fund Utilization Report'!$A$4:$U$1800,4,FALSE)</f>
        <v>GAS(GMS)</v>
      </c>
      <c r="W265" s="428" t="str">
        <f>VLOOKUP(H265,'Fund Utilization Report'!$A$4:$U$1800,5,FALSE)</f>
        <v>01101101</v>
      </c>
      <c r="X265" s="428" t="str">
        <f>VLOOKUP(H265,'Fund Utilization Report'!$A$4:$U$1800,6,FALSE)</f>
        <v>GOP</v>
      </c>
      <c r="Y265" s="320" t="str">
        <f>VLOOKUP(H265,'Fund Utilization Report'!$A$4:$U$1800,7,FALSE)</f>
        <v>MOOE</v>
      </c>
      <c r="Z265" s="425">
        <f>VLOOKUP(H265,'Fund Utilization Report'!$A$4:$U$1800,8,FALSE)</f>
        <v>5020000000</v>
      </c>
      <c r="AA265" s="428" t="str">
        <f>VLOOKUP(H265,'Fund Utilization Report'!$A$4:$U$1800,14,FALSE)</f>
        <v>100000100001000</v>
      </c>
      <c r="AB265" s="349" t="str">
        <f>VLOOKUP(H265,'Fund Utilization Report'!$A$4:$U$1800,15,FALSE)</f>
        <v>General Administration and Supervision - General Management and Supervision</v>
      </c>
      <c r="AC265" s="39"/>
      <c r="AD265" s="34"/>
      <c r="AE265" s="39"/>
      <c r="AF265" s="51"/>
      <c r="AG265" s="40"/>
      <c r="AH265" s="40"/>
    </row>
    <row r="266" spans="1:34" s="32" customFormat="1">
      <c r="A266" s="338" t="s">
        <v>942</v>
      </c>
      <c r="B266" s="338" t="s">
        <v>945</v>
      </c>
      <c r="C266" s="358">
        <v>44230</v>
      </c>
      <c r="D266" s="351" t="s">
        <v>1028</v>
      </c>
      <c r="E266" s="352" t="s">
        <v>1078</v>
      </c>
      <c r="F266" s="338">
        <v>0.62847222222222221</v>
      </c>
      <c r="G266" s="338">
        <v>0.63194444444444442</v>
      </c>
      <c r="H266" s="338" t="s">
        <v>961</v>
      </c>
      <c r="I266" s="353">
        <v>893</v>
      </c>
      <c r="J266" s="338" t="str">
        <f>IFERROR(VLOOKUP(I266,'Chart of accounts'!A:H,2,FALSE),"")</f>
        <v>50215030 00</v>
      </c>
      <c r="K266" s="338" t="str">
        <f>IFERROR(VLOOKUP(I266,'Chart of accounts'!A:H,3,FALSE),"")</f>
        <v>Insurance Expense</v>
      </c>
      <c r="L266" s="338" t="str">
        <f>IFERROR(VLOOKUP(I266,'Chart of accounts'!A:H,4,FALSE),"")</f>
        <v>50215030 00 - Insurance Expense (893)</v>
      </c>
      <c r="M266" s="361">
        <v>2</v>
      </c>
      <c r="N266" s="420" t="s">
        <v>818</v>
      </c>
      <c r="O266" s="420" t="s">
        <v>1074</v>
      </c>
      <c r="P266" s="420"/>
      <c r="Q266" s="420">
        <v>4810.3100000000004</v>
      </c>
      <c r="R266" s="428">
        <f t="shared" si="3"/>
        <v>-4810.3100000000004</v>
      </c>
      <c r="S266" s="428" t="str">
        <f>VLOOKUP(H266,'Fund Utilization Report'!$A$4:$U$1800,13,FALSE)</f>
        <v>MOOE</v>
      </c>
      <c r="T266" s="428" t="str">
        <f>VLOOKUP(H266,'Fund Utilization Report'!$A$4:$U$1800,2,FALSE)</f>
        <v>GAA</v>
      </c>
      <c r="U266" s="428" t="str">
        <f>VLOOKUP(H266,'Fund Utilization Report'!$A$4:$U$1800,3,FALSE)</f>
        <v>FY2021, RA11518</v>
      </c>
      <c r="V266" s="428" t="str">
        <f>VLOOKUP(H266,'Fund Utilization Report'!$A$4:$U$1800,4,FALSE)</f>
        <v>GAS(GMS)</v>
      </c>
      <c r="W266" s="428" t="str">
        <f>VLOOKUP(H266,'Fund Utilization Report'!$A$4:$U$1800,5,FALSE)</f>
        <v>01101101</v>
      </c>
      <c r="X266" s="428" t="str">
        <f>VLOOKUP(H266,'Fund Utilization Report'!$A$4:$U$1800,6,FALSE)</f>
        <v>GOP</v>
      </c>
      <c r="Y266" s="320" t="str">
        <f>VLOOKUP(H266,'Fund Utilization Report'!$A$4:$U$1800,7,FALSE)</f>
        <v>MOOE</v>
      </c>
      <c r="Z266" s="425">
        <f>VLOOKUP(H266,'Fund Utilization Report'!$A$4:$U$1800,8,FALSE)</f>
        <v>5020000000</v>
      </c>
      <c r="AA266" s="428" t="str">
        <f>VLOOKUP(H266,'Fund Utilization Report'!$A$4:$U$1800,14,FALSE)</f>
        <v>100000100001000</v>
      </c>
      <c r="AB266" s="349" t="str">
        <f>VLOOKUP(H266,'Fund Utilization Report'!$A$4:$U$1800,15,FALSE)</f>
        <v>General Administration and Supervision - General Management and Supervision</v>
      </c>
      <c r="AC266" s="39"/>
      <c r="AD266" s="34"/>
      <c r="AE266" s="39"/>
      <c r="AF266" s="51"/>
      <c r="AG266" s="40"/>
      <c r="AH266" s="40"/>
    </row>
    <row r="267" spans="1:34" s="32" customFormat="1">
      <c r="A267" s="338" t="s">
        <v>942</v>
      </c>
      <c r="B267" s="338" t="s">
        <v>945</v>
      </c>
      <c r="C267" s="358">
        <v>44230</v>
      </c>
      <c r="D267" s="351" t="s">
        <v>1028</v>
      </c>
      <c r="E267" s="352" t="s">
        <v>1078</v>
      </c>
      <c r="F267" s="338">
        <v>0.62847222222222221</v>
      </c>
      <c r="G267" s="338">
        <v>0.63194444444444442</v>
      </c>
      <c r="H267" s="338" t="s">
        <v>961</v>
      </c>
      <c r="I267" s="353">
        <v>782</v>
      </c>
      <c r="J267" s="338" t="str">
        <f>IFERROR(VLOOKUP(I267,'Chart of accounts'!A:H,2,FALSE),"")</f>
        <v>50299050 01</v>
      </c>
      <c r="K267" s="338" t="str">
        <f>IFERROR(VLOOKUP(I267,'Chart of accounts'!A:H,3,FALSE),"")</f>
        <v>Rent - Buildings and Structures</v>
      </c>
      <c r="L267" s="338" t="str">
        <f>IFERROR(VLOOKUP(I267,'Chart of accounts'!A:H,4,FALSE),"")</f>
        <v>50299050 01 - Rent - Buildings and Structures (782)</v>
      </c>
      <c r="M267" s="361">
        <v>2</v>
      </c>
      <c r="N267" s="420" t="s">
        <v>818</v>
      </c>
      <c r="O267" s="420" t="s">
        <v>1074</v>
      </c>
      <c r="P267" s="420"/>
      <c r="Q267" s="420">
        <v>220858.58</v>
      </c>
      <c r="R267" s="428">
        <f t="shared" si="3"/>
        <v>-220858.58</v>
      </c>
      <c r="S267" s="428" t="str">
        <f>VLOOKUP(H267,'Fund Utilization Report'!$A$4:$U$1800,13,FALSE)</f>
        <v>MOOE</v>
      </c>
      <c r="T267" s="428" t="str">
        <f>VLOOKUP(H267,'Fund Utilization Report'!$A$4:$U$1800,2,FALSE)</f>
        <v>GAA</v>
      </c>
      <c r="U267" s="428" t="str">
        <f>VLOOKUP(H267,'Fund Utilization Report'!$A$4:$U$1800,3,FALSE)</f>
        <v>FY2021, RA11518</v>
      </c>
      <c r="V267" s="428" t="str">
        <f>VLOOKUP(H267,'Fund Utilization Report'!$A$4:$U$1800,4,FALSE)</f>
        <v>GAS(GMS)</v>
      </c>
      <c r="W267" s="428" t="str">
        <f>VLOOKUP(H267,'Fund Utilization Report'!$A$4:$U$1800,5,FALSE)</f>
        <v>01101101</v>
      </c>
      <c r="X267" s="428" t="str">
        <f>VLOOKUP(H267,'Fund Utilization Report'!$A$4:$U$1800,6,FALSE)</f>
        <v>GOP</v>
      </c>
      <c r="Y267" s="320" t="str">
        <f>VLOOKUP(H267,'Fund Utilization Report'!$A$4:$U$1800,7,FALSE)</f>
        <v>MOOE</v>
      </c>
      <c r="Z267" s="425">
        <f>VLOOKUP(H267,'Fund Utilization Report'!$A$4:$U$1800,8,FALSE)</f>
        <v>5020000000</v>
      </c>
      <c r="AA267" s="428" t="str">
        <f>VLOOKUP(H267,'Fund Utilization Report'!$A$4:$U$1800,14,FALSE)</f>
        <v>100000100001000</v>
      </c>
      <c r="AB267" s="349" t="str">
        <f>VLOOKUP(H267,'Fund Utilization Report'!$A$4:$U$1800,15,FALSE)</f>
        <v>General Administration and Supervision - General Management and Supervision</v>
      </c>
      <c r="AC267" s="39"/>
      <c r="AD267" s="34"/>
      <c r="AE267" s="39"/>
      <c r="AF267" s="51"/>
      <c r="AG267" s="40"/>
      <c r="AH267" s="40"/>
    </row>
    <row r="268" spans="1:34" s="32" customFormat="1">
      <c r="A268" s="338" t="s">
        <v>942</v>
      </c>
      <c r="B268" s="338" t="s">
        <v>945</v>
      </c>
      <c r="C268" s="358">
        <v>44230</v>
      </c>
      <c r="D268" s="351" t="s">
        <v>1028</v>
      </c>
      <c r="E268" s="352" t="s">
        <v>1078</v>
      </c>
      <c r="F268" s="338">
        <v>0.62847222222222221</v>
      </c>
      <c r="G268" s="338">
        <v>0.63194444444444442</v>
      </c>
      <c r="H268" s="338" t="s">
        <v>961</v>
      </c>
      <c r="I268" s="353">
        <v>786</v>
      </c>
      <c r="J268" s="338" t="str">
        <f>IFERROR(VLOOKUP(I268,'Chart of accounts'!A:H,2,FALSE),"")</f>
        <v>50299070 00</v>
      </c>
      <c r="K268" s="338" t="str">
        <f>IFERROR(VLOOKUP(I268,'Chart of accounts'!A:H,3,FALSE),"")</f>
        <v>Subscriptions Expenses</v>
      </c>
      <c r="L268" s="338" t="str">
        <f>IFERROR(VLOOKUP(I268,'Chart of accounts'!A:H,4,FALSE),"")</f>
        <v>50299070 00 - Subscriptions Expenses (786)</v>
      </c>
      <c r="M268" s="361">
        <v>2</v>
      </c>
      <c r="N268" s="420" t="s">
        <v>818</v>
      </c>
      <c r="O268" s="420" t="s">
        <v>1074</v>
      </c>
      <c r="P268" s="420"/>
      <c r="Q268" s="420">
        <v>1521.67</v>
      </c>
      <c r="R268" s="428">
        <f t="shared" si="3"/>
        <v>-1521.67</v>
      </c>
      <c r="S268" s="428" t="str">
        <f>VLOOKUP(H268,'Fund Utilization Report'!$A$4:$U$1800,13,FALSE)</f>
        <v>MOOE</v>
      </c>
      <c r="T268" s="428" t="str">
        <f>VLOOKUP(H268,'Fund Utilization Report'!$A$4:$U$1800,2,FALSE)</f>
        <v>GAA</v>
      </c>
      <c r="U268" s="428" t="str">
        <f>VLOOKUP(H268,'Fund Utilization Report'!$A$4:$U$1800,3,FALSE)</f>
        <v>FY2021, RA11518</v>
      </c>
      <c r="V268" s="428" t="str">
        <f>VLOOKUP(H268,'Fund Utilization Report'!$A$4:$U$1800,4,FALSE)</f>
        <v>GAS(GMS)</v>
      </c>
      <c r="W268" s="428" t="str">
        <f>VLOOKUP(H268,'Fund Utilization Report'!$A$4:$U$1800,5,FALSE)</f>
        <v>01101101</v>
      </c>
      <c r="X268" s="428" t="str">
        <f>VLOOKUP(H268,'Fund Utilization Report'!$A$4:$U$1800,6,FALSE)</f>
        <v>GOP</v>
      </c>
      <c r="Y268" s="320" t="str">
        <f>VLOOKUP(H268,'Fund Utilization Report'!$A$4:$U$1800,7,FALSE)</f>
        <v>MOOE</v>
      </c>
      <c r="Z268" s="425">
        <f>VLOOKUP(H268,'Fund Utilization Report'!$A$4:$U$1800,8,FALSE)</f>
        <v>5020000000</v>
      </c>
      <c r="AA268" s="428" t="str">
        <f>VLOOKUP(H268,'Fund Utilization Report'!$A$4:$U$1800,14,FALSE)</f>
        <v>100000100001000</v>
      </c>
      <c r="AB268" s="349" t="str">
        <f>VLOOKUP(H268,'Fund Utilization Report'!$A$4:$U$1800,15,FALSE)</f>
        <v>General Administration and Supervision - General Management and Supervision</v>
      </c>
      <c r="AC268" s="39"/>
      <c r="AD268" s="34"/>
      <c r="AE268" s="39"/>
      <c r="AF268" s="51"/>
      <c r="AG268" s="40"/>
      <c r="AH268" s="40"/>
    </row>
    <row r="269" spans="1:34" s="32" customFormat="1">
      <c r="A269" s="338" t="s">
        <v>942</v>
      </c>
      <c r="B269" s="338" t="s">
        <v>945</v>
      </c>
      <c r="C269" s="358">
        <v>44230</v>
      </c>
      <c r="D269" s="351" t="s">
        <v>1028</v>
      </c>
      <c r="E269" s="352" t="s">
        <v>1078</v>
      </c>
      <c r="F269" s="338">
        <v>0.62847222222222221</v>
      </c>
      <c r="G269" s="338">
        <v>0.63194444444444442</v>
      </c>
      <c r="H269" s="338" t="s">
        <v>961</v>
      </c>
      <c r="I269" s="353">
        <v>751</v>
      </c>
      <c r="J269" s="338" t="str">
        <f>IFERROR(VLOOKUP(I269,'Chart of accounts'!A:H,2,FALSE),"")</f>
        <v>50201010 00</v>
      </c>
      <c r="K269" s="338" t="str">
        <f>IFERROR(VLOOKUP(I269,'Chart of accounts'!A:H,3,FALSE),"")</f>
        <v>Traveling Expenses - Local</v>
      </c>
      <c r="L269" s="338" t="str">
        <f>IFERROR(VLOOKUP(I269,'Chart of accounts'!A:H,4,FALSE),"")</f>
        <v>50201010 00 - Traveling Expenses - Local (751)</v>
      </c>
      <c r="M269" s="361">
        <v>2</v>
      </c>
      <c r="N269" s="420" t="s">
        <v>818</v>
      </c>
      <c r="O269" s="420" t="s">
        <v>1074</v>
      </c>
      <c r="P269" s="420"/>
      <c r="Q269" s="420">
        <v>1383.33</v>
      </c>
      <c r="R269" s="428">
        <f t="shared" si="3"/>
        <v>-1383.33</v>
      </c>
      <c r="S269" s="428" t="str">
        <f>VLOOKUP(H269,'Fund Utilization Report'!$A$4:$U$1800,13,FALSE)</f>
        <v>MOOE</v>
      </c>
      <c r="T269" s="428" t="str">
        <f>VLOOKUP(H269,'Fund Utilization Report'!$A$4:$U$1800,2,FALSE)</f>
        <v>GAA</v>
      </c>
      <c r="U269" s="428" t="str">
        <f>VLOOKUP(H269,'Fund Utilization Report'!$A$4:$U$1800,3,FALSE)</f>
        <v>FY2021, RA11518</v>
      </c>
      <c r="V269" s="428" t="str">
        <f>VLOOKUP(H269,'Fund Utilization Report'!$A$4:$U$1800,4,FALSE)</f>
        <v>GAS(GMS)</v>
      </c>
      <c r="W269" s="428" t="str">
        <f>VLOOKUP(H269,'Fund Utilization Report'!$A$4:$U$1800,5,FALSE)</f>
        <v>01101101</v>
      </c>
      <c r="X269" s="428" t="str">
        <f>VLOOKUP(H269,'Fund Utilization Report'!$A$4:$U$1800,6,FALSE)</f>
        <v>GOP</v>
      </c>
      <c r="Y269" s="320" t="str">
        <f>VLOOKUP(H269,'Fund Utilization Report'!$A$4:$U$1800,7,FALSE)</f>
        <v>MOOE</v>
      </c>
      <c r="Z269" s="425">
        <f>VLOOKUP(H269,'Fund Utilization Report'!$A$4:$U$1800,8,FALSE)</f>
        <v>5020000000</v>
      </c>
      <c r="AA269" s="428" t="str">
        <f>VLOOKUP(H269,'Fund Utilization Report'!$A$4:$U$1800,14,FALSE)</f>
        <v>100000100001000</v>
      </c>
      <c r="AB269" s="349" t="str">
        <f>VLOOKUP(H269,'Fund Utilization Report'!$A$4:$U$1800,15,FALSE)</f>
        <v>General Administration and Supervision - General Management and Supervision</v>
      </c>
      <c r="AC269" s="39"/>
      <c r="AD269" s="34"/>
      <c r="AE269" s="39"/>
      <c r="AF269" s="51"/>
      <c r="AG269" s="40"/>
      <c r="AH269" s="40"/>
    </row>
    <row r="270" spans="1:34" s="32" customFormat="1">
      <c r="A270" s="338" t="s">
        <v>942</v>
      </c>
      <c r="B270" s="338" t="s">
        <v>945</v>
      </c>
      <c r="C270" s="358">
        <v>44230</v>
      </c>
      <c r="D270" s="351" t="s">
        <v>1028</v>
      </c>
      <c r="E270" s="352" t="s">
        <v>1078</v>
      </c>
      <c r="F270" s="338">
        <v>0.62847222222222221</v>
      </c>
      <c r="G270" s="338">
        <v>0.63194444444444442</v>
      </c>
      <c r="H270" s="338" t="s">
        <v>961</v>
      </c>
      <c r="I270" s="353">
        <v>755</v>
      </c>
      <c r="J270" s="338" t="str">
        <f>IFERROR(VLOOKUP(I270,'Chart of accounts'!A:H,2,FALSE),"")</f>
        <v>50203010 00</v>
      </c>
      <c r="K270" s="338" t="str">
        <f>IFERROR(VLOOKUP(I270,'Chart of accounts'!A:H,3,FALSE),"")</f>
        <v>Office Supplies Expenses</v>
      </c>
      <c r="L270" s="338" t="str">
        <f>IFERROR(VLOOKUP(I270,'Chart of accounts'!A:H,4,FALSE),"")</f>
        <v>50203010 00 - Office Supplies Expenses (755)</v>
      </c>
      <c r="M270" s="361">
        <v>2</v>
      </c>
      <c r="N270" s="420" t="s">
        <v>818</v>
      </c>
      <c r="O270" s="420" t="s">
        <v>1074</v>
      </c>
      <c r="P270" s="420"/>
      <c r="Q270" s="420">
        <v>6916.67</v>
      </c>
      <c r="R270" s="428">
        <f t="shared" si="3"/>
        <v>-6916.67</v>
      </c>
      <c r="S270" s="428" t="str">
        <f>VLOOKUP(H270,'Fund Utilization Report'!$A$4:$U$1800,13,FALSE)</f>
        <v>MOOE</v>
      </c>
      <c r="T270" s="428" t="str">
        <f>VLOOKUP(H270,'Fund Utilization Report'!$A$4:$U$1800,2,FALSE)</f>
        <v>GAA</v>
      </c>
      <c r="U270" s="428" t="str">
        <f>VLOOKUP(H270,'Fund Utilization Report'!$A$4:$U$1800,3,FALSE)</f>
        <v>FY2021, RA11518</v>
      </c>
      <c r="V270" s="428" t="str">
        <f>VLOOKUP(H270,'Fund Utilization Report'!$A$4:$U$1800,4,FALSE)</f>
        <v>GAS(GMS)</v>
      </c>
      <c r="W270" s="428" t="str">
        <f>VLOOKUP(H270,'Fund Utilization Report'!$A$4:$U$1800,5,FALSE)</f>
        <v>01101101</v>
      </c>
      <c r="X270" s="428" t="str">
        <f>VLOOKUP(H270,'Fund Utilization Report'!$A$4:$U$1800,6,FALSE)</f>
        <v>GOP</v>
      </c>
      <c r="Y270" s="320" t="str">
        <f>VLOOKUP(H270,'Fund Utilization Report'!$A$4:$U$1800,7,FALSE)</f>
        <v>MOOE</v>
      </c>
      <c r="Z270" s="425">
        <f>VLOOKUP(H270,'Fund Utilization Report'!$A$4:$U$1800,8,FALSE)</f>
        <v>5020000000</v>
      </c>
      <c r="AA270" s="428" t="str">
        <f>VLOOKUP(H270,'Fund Utilization Report'!$A$4:$U$1800,14,FALSE)</f>
        <v>100000100001000</v>
      </c>
      <c r="AB270" s="349" t="str">
        <f>VLOOKUP(H270,'Fund Utilization Report'!$A$4:$U$1800,15,FALSE)</f>
        <v>General Administration and Supervision - General Management and Supervision</v>
      </c>
      <c r="AC270" s="39"/>
      <c r="AD270" s="34"/>
      <c r="AE270" s="39"/>
      <c r="AF270" s="51"/>
      <c r="AG270" s="40"/>
      <c r="AH270" s="40"/>
    </row>
    <row r="271" spans="1:34" s="32" customFormat="1">
      <c r="A271" s="338" t="s">
        <v>942</v>
      </c>
      <c r="B271" s="338" t="s">
        <v>945</v>
      </c>
      <c r="C271" s="358">
        <v>44230</v>
      </c>
      <c r="D271" s="351" t="s">
        <v>1028</v>
      </c>
      <c r="E271" s="352" t="s">
        <v>1078</v>
      </c>
      <c r="F271" s="338">
        <v>0.62847222222222221</v>
      </c>
      <c r="G271" s="338">
        <v>0.63194444444444442</v>
      </c>
      <c r="H271" s="338" t="s">
        <v>961</v>
      </c>
      <c r="I271" s="353">
        <v>781</v>
      </c>
      <c r="J271" s="338" t="str">
        <f>IFERROR(VLOOKUP(I271,'Chart of accounts'!A:H,2,FALSE),"")</f>
        <v>50299020 00</v>
      </c>
      <c r="K271" s="338" t="str">
        <f>IFERROR(VLOOKUP(I271,'Chart of accounts'!A:H,3,FALSE),"")</f>
        <v>Printing and Binding Expenses</v>
      </c>
      <c r="L271" s="338" t="str">
        <f>IFERROR(VLOOKUP(I271,'Chart of accounts'!A:H,4,FALSE),"")</f>
        <v>50299020 00 - Printing and Binding Expenses (781)</v>
      </c>
      <c r="M271" s="361">
        <v>2</v>
      </c>
      <c r="N271" s="420" t="s">
        <v>818</v>
      </c>
      <c r="O271" s="420" t="s">
        <v>1074</v>
      </c>
      <c r="P271" s="420"/>
      <c r="Q271" s="420">
        <v>4980</v>
      </c>
      <c r="R271" s="428">
        <f t="shared" si="3"/>
        <v>-4980</v>
      </c>
      <c r="S271" s="428" t="str">
        <f>VLOOKUP(H271,'Fund Utilization Report'!$A$4:$U$1800,13,FALSE)</f>
        <v>MOOE</v>
      </c>
      <c r="T271" s="428" t="str">
        <f>VLOOKUP(H271,'Fund Utilization Report'!$A$4:$U$1800,2,FALSE)</f>
        <v>GAA</v>
      </c>
      <c r="U271" s="428" t="str">
        <f>VLOOKUP(H271,'Fund Utilization Report'!$A$4:$U$1800,3,FALSE)</f>
        <v>FY2021, RA11518</v>
      </c>
      <c r="V271" s="428" t="str">
        <f>VLOOKUP(H271,'Fund Utilization Report'!$A$4:$U$1800,4,FALSE)</f>
        <v>GAS(GMS)</v>
      </c>
      <c r="W271" s="428" t="str">
        <f>VLOOKUP(H271,'Fund Utilization Report'!$A$4:$U$1800,5,FALSE)</f>
        <v>01101101</v>
      </c>
      <c r="X271" s="428" t="str">
        <f>VLOOKUP(H271,'Fund Utilization Report'!$A$4:$U$1800,6,FALSE)</f>
        <v>GOP</v>
      </c>
      <c r="Y271" s="320" t="str">
        <f>VLOOKUP(H271,'Fund Utilization Report'!$A$4:$U$1800,7,FALSE)</f>
        <v>MOOE</v>
      </c>
      <c r="Z271" s="425">
        <f>VLOOKUP(H271,'Fund Utilization Report'!$A$4:$U$1800,8,FALSE)</f>
        <v>5020000000</v>
      </c>
      <c r="AA271" s="428" t="str">
        <f>VLOOKUP(H271,'Fund Utilization Report'!$A$4:$U$1800,14,FALSE)</f>
        <v>100000100001000</v>
      </c>
      <c r="AB271" s="349" t="str">
        <f>VLOOKUP(H271,'Fund Utilization Report'!$A$4:$U$1800,15,FALSE)</f>
        <v>General Administration and Supervision - General Management and Supervision</v>
      </c>
      <c r="AC271" s="39"/>
      <c r="AD271" s="34"/>
      <c r="AE271" s="39"/>
      <c r="AF271" s="51"/>
      <c r="AG271" s="40"/>
      <c r="AH271" s="40"/>
    </row>
    <row r="272" spans="1:34" s="32" customFormat="1">
      <c r="A272" s="338" t="s">
        <v>942</v>
      </c>
      <c r="B272" s="338" t="s">
        <v>945</v>
      </c>
      <c r="C272" s="358">
        <v>44230</v>
      </c>
      <c r="D272" s="351" t="s">
        <v>1028</v>
      </c>
      <c r="E272" s="352" t="s">
        <v>1078</v>
      </c>
      <c r="F272" s="338">
        <v>0.62847222222222221</v>
      </c>
      <c r="G272" s="338">
        <v>0.63194444444444442</v>
      </c>
      <c r="H272" s="338" t="s">
        <v>961</v>
      </c>
      <c r="I272" s="353">
        <v>783</v>
      </c>
      <c r="J272" s="338" t="str">
        <f>IFERROR(VLOOKUP(I272,'Chart of accounts'!A:H,2,FALSE),"")</f>
        <v>50299030 00</v>
      </c>
      <c r="K272" s="338" t="str">
        <f>IFERROR(VLOOKUP(I272,'Chart of accounts'!A:H,3,FALSE),"")</f>
        <v>Representation Expenses</v>
      </c>
      <c r="L272" s="338" t="str">
        <f>IFERROR(VLOOKUP(I272,'Chart of accounts'!A:H,4,FALSE),"")</f>
        <v>50299030 00 - Representation Expenses (783)</v>
      </c>
      <c r="M272" s="361">
        <v>2</v>
      </c>
      <c r="N272" s="420" t="s">
        <v>818</v>
      </c>
      <c r="O272" s="420" t="s">
        <v>1074</v>
      </c>
      <c r="P272" s="420"/>
      <c r="Q272" s="420">
        <v>3541.33</v>
      </c>
      <c r="R272" s="428">
        <f t="shared" si="3"/>
        <v>-3541.33</v>
      </c>
      <c r="S272" s="428" t="str">
        <f>VLOOKUP(H272,'Fund Utilization Report'!$A$4:$U$1800,13,FALSE)</f>
        <v>MOOE</v>
      </c>
      <c r="T272" s="428" t="str">
        <f>VLOOKUP(H272,'Fund Utilization Report'!$A$4:$U$1800,2,FALSE)</f>
        <v>GAA</v>
      </c>
      <c r="U272" s="428" t="str">
        <f>VLOOKUP(H272,'Fund Utilization Report'!$A$4:$U$1800,3,FALSE)</f>
        <v>FY2021, RA11518</v>
      </c>
      <c r="V272" s="428" t="str">
        <f>VLOOKUP(H272,'Fund Utilization Report'!$A$4:$U$1800,4,FALSE)</f>
        <v>GAS(GMS)</v>
      </c>
      <c r="W272" s="428" t="str">
        <f>VLOOKUP(H272,'Fund Utilization Report'!$A$4:$U$1800,5,FALSE)</f>
        <v>01101101</v>
      </c>
      <c r="X272" s="428" t="str">
        <f>VLOOKUP(H272,'Fund Utilization Report'!$A$4:$U$1800,6,FALSE)</f>
        <v>GOP</v>
      </c>
      <c r="Y272" s="320" t="str">
        <f>VLOOKUP(H272,'Fund Utilization Report'!$A$4:$U$1800,7,FALSE)</f>
        <v>MOOE</v>
      </c>
      <c r="Z272" s="425">
        <f>VLOOKUP(H272,'Fund Utilization Report'!$A$4:$U$1800,8,FALSE)</f>
        <v>5020000000</v>
      </c>
      <c r="AA272" s="428" t="str">
        <f>VLOOKUP(H272,'Fund Utilization Report'!$A$4:$U$1800,14,FALSE)</f>
        <v>100000100001000</v>
      </c>
      <c r="AB272" s="349" t="str">
        <f>VLOOKUP(H272,'Fund Utilization Report'!$A$4:$U$1800,15,FALSE)</f>
        <v>General Administration and Supervision - General Management and Supervision</v>
      </c>
      <c r="AC272" s="39"/>
      <c r="AD272" s="34"/>
      <c r="AE272" s="39"/>
      <c r="AF272" s="51"/>
      <c r="AG272" s="40"/>
      <c r="AH272" s="40"/>
    </row>
    <row r="273" spans="1:34" s="32" customFormat="1">
      <c r="A273" s="338" t="s">
        <v>942</v>
      </c>
      <c r="B273" s="338" t="s">
        <v>945</v>
      </c>
      <c r="C273" s="358">
        <v>44230</v>
      </c>
      <c r="D273" s="351" t="s">
        <v>1028</v>
      </c>
      <c r="E273" s="352" t="s">
        <v>1078</v>
      </c>
      <c r="F273" s="338">
        <v>0.62847222222222221</v>
      </c>
      <c r="G273" s="338">
        <v>0.63194444444444442</v>
      </c>
      <c r="H273" s="338" t="s">
        <v>968</v>
      </c>
      <c r="I273" s="353">
        <v>784</v>
      </c>
      <c r="J273" s="338" t="str">
        <f>IFERROR(VLOOKUP(I273,'Chart of accounts'!A:H,2,FALSE),"")</f>
        <v>50299040 00</v>
      </c>
      <c r="K273" s="338" t="str">
        <f>IFERROR(VLOOKUP(I273,'Chart of accounts'!A:H,3,FALSE),"")</f>
        <v>Transportation and Delivery Expenses</v>
      </c>
      <c r="L273" s="338" t="str">
        <f>IFERROR(VLOOKUP(I273,'Chart of accounts'!A:H,4,FALSE),"")</f>
        <v>50299040 00 - Transportation and Delivery Expenses (784)</v>
      </c>
      <c r="M273" s="361">
        <v>2</v>
      </c>
      <c r="N273" s="420" t="s">
        <v>818</v>
      </c>
      <c r="O273" s="420" t="s">
        <v>1074</v>
      </c>
      <c r="P273" s="420"/>
      <c r="Q273" s="420">
        <v>3320</v>
      </c>
      <c r="R273" s="428">
        <f t="shared" si="3"/>
        <v>-3320</v>
      </c>
      <c r="S273" s="428" t="str">
        <f>VLOOKUP(H273,'Fund Utilization Report'!$A$4:$U$1800,13,FALSE)</f>
        <v>MOOE</v>
      </c>
      <c r="T273" s="428" t="str">
        <f>VLOOKUP(H273,'Fund Utilization Report'!$A$4:$U$1800,2,FALSE)</f>
        <v>GAA</v>
      </c>
      <c r="U273" s="428" t="str">
        <f>VLOOKUP(H273,'Fund Utilization Report'!$A$4:$U$1800,3,FALSE)</f>
        <v>FY2021, RA11518</v>
      </c>
      <c r="V273" s="428" t="str">
        <f>VLOOKUP(H273,'Fund Utilization Report'!$A$4:$U$1800,4,FALSE)</f>
        <v>OO2</v>
      </c>
      <c r="W273" s="428" t="str">
        <f>VLOOKUP(H273,'Fund Utilization Report'!$A$4:$U$1800,5,FALSE)</f>
        <v>01101101</v>
      </c>
      <c r="X273" s="428" t="str">
        <f>VLOOKUP(H273,'Fund Utilization Report'!$A$4:$U$1800,6,FALSE)</f>
        <v>GOP</v>
      </c>
      <c r="Y273" s="320" t="str">
        <f>VLOOKUP(H273,'Fund Utilization Report'!$A$4:$U$1800,7,FALSE)</f>
        <v>MOOE</v>
      </c>
      <c r="Z273" s="425">
        <f>VLOOKUP(H273,'Fund Utilization Report'!$A$4:$U$1800,8,FALSE)</f>
        <v>5020000000</v>
      </c>
      <c r="AA273" s="428" t="str">
        <f>VLOOKUP(H273,'Fund Utilization Report'!$A$4:$U$1800,14,FALSE)</f>
        <v>320100100001000</v>
      </c>
      <c r="AB273" s="349" t="str">
        <f>VLOOKUP(H273,'Fund Utilization Report'!$A$4:$U$1800,15,FALSE)</f>
        <v>Formulation of Strategic plans,programs, and policies to develop competitve industries</v>
      </c>
      <c r="AC273" s="39"/>
      <c r="AD273" s="34"/>
      <c r="AE273" s="39"/>
      <c r="AF273" s="51"/>
      <c r="AG273" s="40"/>
      <c r="AH273" s="40"/>
    </row>
    <row r="274" spans="1:34" s="32" customFormat="1">
      <c r="A274" s="338" t="s">
        <v>942</v>
      </c>
      <c r="B274" s="338" t="s">
        <v>945</v>
      </c>
      <c r="C274" s="358">
        <v>44230</v>
      </c>
      <c r="D274" s="351" t="s">
        <v>1028</v>
      </c>
      <c r="E274" s="352" t="s">
        <v>1078</v>
      </c>
      <c r="F274" s="338">
        <v>0.62847222222222221</v>
      </c>
      <c r="G274" s="338">
        <v>0.63194444444444442</v>
      </c>
      <c r="H274" s="338" t="s">
        <v>961</v>
      </c>
      <c r="I274" s="353">
        <v>969</v>
      </c>
      <c r="J274" s="338" t="str">
        <f>IFERROR(VLOOKUP(I274,'Chart of accounts'!A:H,2,FALSE),"")</f>
        <v>50299990 99</v>
      </c>
      <c r="K274" s="338" t="str">
        <f>IFERROR(VLOOKUP(I274,'Chart of accounts'!A:H,3,FALSE),"")</f>
        <v>Other Maintenance and Operating Expenses</v>
      </c>
      <c r="L274" s="338" t="str">
        <f>IFERROR(VLOOKUP(I274,'Chart of accounts'!A:H,4,FALSE),"")</f>
        <v>50299990 99 - Other Maintenance and Operating Expenses (969)</v>
      </c>
      <c r="M274" s="361">
        <v>2</v>
      </c>
      <c r="N274" s="420" t="s">
        <v>818</v>
      </c>
      <c r="O274" s="420" t="s">
        <v>1074</v>
      </c>
      <c r="P274" s="420"/>
      <c r="Q274" s="420">
        <v>9376.91</v>
      </c>
      <c r="R274" s="428">
        <f t="shared" si="3"/>
        <v>-9376.91</v>
      </c>
      <c r="S274" s="428" t="str">
        <f>VLOOKUP(H274,'Fund Utilization Report'!$A$4:$U$1800,13,FALSE)</f>
        <v>MOOE</v>
      </c>
      <c r="T274" s="428" t="str">
        <f>VLOOKUP(H274,'Fund Utilization Report'!$A$4:$U$1800,2,FALSE)</f>
        <v>GAA</v>
      </c>
      <c r="U274" s="428" t="str">
        <f>VLOOKUP(H274,'Fund Utilization Report'!$A$4:$U$1800,3,FALSE)</f>
        <v>FY2021, RA11518</v>
      </c>
      <c r="V274" s="428" t="str">
        <f>VLOOKUP(H274,'Fund Utilization Report'!$A$4:$U$1800,4,FALSE)</f>
        <v>GAS(GMS)</v>
      </c>
      <c r="W274" s="428" t="str">
        <f>VLOOKUP(H274,'Fund Utilization Report'!$A$4:$U$1800,5,FALSE)</f>
        <v>01101101</v>
      </c>
      <c r="X274" s="428" t="str">
        <f>VLOOKUP(H274,'Fund Utilization Report'!$A$4:$U$1800,6,FALSE)</f>
        <v>GOP</v>
      </c>
      <c r="Y274" s="320" t="str">
        <f>VLOOKUP(H274,'Fund Utilization Report'!$A$4:$U$1800,7,FALSE)</f>
        <v>MOOE</v>
      </c>
      <c r="Z274" s="425">
        <f>VLOOKUP(H274,'Fund Utilization Report'!$A$4:$U$1800,8,FALSE)</f>
        <v>5020000000</v>
      </c>
      <c r="AA274" s="428" t="str">
        <f>VLOOKUP(H274,'Fund Utilization Report'!$A$4:$U$1800,14,FALSE)</f>
        <v>100000100001000</v>
      </c>
      <c r="AB274" s="349" t="str">
        <f>VLOOKUP(H274,'Fund Utilization Report'!$A$4:$U$1800,15,FALSE)</f>
        <v>General Administration and Supervision - General Management and Supervision</v>
      </c>
      <c r="AC274" s="39"/>
      <c r="AD274" s="34"/>
      <c r="AE274" s="39"/>
      <c r="AF274" s="51"/>
      <c r="AG274" s="40"/>
      <c r="AH274" s="40"/>
    </row>
    <row r="275" spans="1:34" s="32" customFormat="1">
      <c r="A275" s="338" t="s">
        <v>942</v>
      </c>
      <c r="B275" s="338" t="s">
        <v>945</v>
      </c>
      <c r="C275" s="358">
        <v>44230</v>
      </c>
      <c r="D275" s="351" t="s">
        <v>1028</v>
      </c>
      <c r="E275" s="352" t="s">
        <v>1079</v>
      </c>
      <c r="F275" s="338">
        <v>0.63194444444444442</v>
      </c>
      <c r="G275" s="338">
        <v>0.63750000000000007</v>
      </c>
      <c r="H275" s="338" t="s">
        <v>961</v>
      </c>
      <c r="I275" s="353">
        <v>756</v>
      </c>
      <c r="J275" s="338" t="str">
        <f>IFERROR(VLOOKUP(I275,'Chart of accounts'!A:H,2,FALSE),"")</f>
        <v>50203020 00</v>
      </c>
      <c r="K275" s="338" t="str">
        <f>IFERROR(VLOOKUP(I275,'Chart of accounts'!A:H,3,FALSE),"")</f>
        <v xml:space="preserve">Accountable Forms Expenses </v>
      </c>
      <c r="L275" s="338" t="str">
        <f>IFERROR(VLOOKUP(I275,'Chart of accounts'!A:H,4,FALSE),"")</f>
        <v>50203020 00 - Accountable Forms Expenses  (756)</v>
      </c>
      <c r="M275" s="361">
        <v>3</v>
      </c>
      <c r="N275" s="420" t="s">
        <v>820</v>
      </c>
      <c r="O275" s="420" t="s">
        <v>1074</v>
      </c>
      <c r="P275" s="420"/>
      <c r="Q275" s="420">
        <v>1660</v>
      </c>
      <c r="R275" s="319">
        <f t="shared" si="3"/>
        <v>-1660</v>
      </c>
      <c r="S275" s="428" t="str">
        <f>VLOOKUP(H275,'Fund Utilization Report'!$A$4:$U$1800,13,FALSE)</f>
        <v>MOOE</v>
      </c>
      <c r="T275" s="428" t="str">
        <f>VLOOKUP(H275,'Fund Utilization Report'!$A$4:$U$1800,2,FALSE)</f>
        <v>GAA</v>
      </c>
      <c r="U275" s="428" t="str">
        <f>VLOOKUP(H275,'Fund Utilization Report'!$A$4:$U$1800,3,FALSE)</f>
        <v>FY2021, RA11518</v>
      </c>
      <c r="V275" s="428" t="str">
        <f>VLOOKUP(H275,'Fund Utilization Report'!$A$4:$U$1800,4,FALSE)</f>
        <v>GAS(GMS)</v>
      </c>
      <c r="W275" s="428" t="str">
        <f>VLOOKUP(H275,'Fund Utilization Report'!$A$4:$U$1800,5,FALSE)</f>
        <v>01101101</v>
      </c>
      <c r="X275" s="428" t="str">
        <f>VLOOKUP(H275,'Fund Utilization Report'!$A$4:$U$1800,6,FALSE)</f>
        <v>GOP</v>
      </c>
      <c r="Y275" s="320" t="str">
        <f>VLOOKUP(H275,'Fund Utilization Report'!$A$4:$U$1800,7,FALSE)</f>
        <v>MOOE</v>
      </c>
      <c r="Z275" s="425">
        <f>VLOOKUP(H275,'Fund Utilization Report'!$A$4:$U$1800,8,FALSE)</f>
        <v>5020000000</v>
      </c>
      <c r="AA275" s="428" t="str">
        <f>VLOOKUP(H275,'Fund Utilization Report'!$A$4:$U$1800,14,FALSE)</f>
        <v>100000100001000</v>
      </c>
      <c r="AB275" s="349" t="str">
        <f>VLOOKUP(H275,'Fund Utilization Report'!$A$4:$U$1800,15,FALSE)</f>
        <v>General Administration and Supervision - General Management and Supervision</v>
      </c>
      <c r="AC275" s="39"/>
      <c r="AD275" s="34"/>
      <c r="AE275" s="39"/>
      <c r="AF275" s="51"/>
      <c r="AG275" s="40"/>
      <c r="AH275" s="40"/>
    </row>
    <row r="276" spans="1:34" s="32" customFormat="1">
      <c r="A276" s="338" t="s">
        <v>942</v>
      </c>
      <c r="B276" s="338" t="s">
        <v>945</v>
      </c>
      <c r="C276" s="358">
        <v>44230</v>
      </c>
      <c r="D276" s="351" t="s">
        <v>1028</v>
      </c>
      <c r="E276" s="352" t="s">
        <v>1079</v>
      </c>
      <c r="F276" s="338">
        <v>0.63194444444444442</v>
      </c>
      <c r="G276" s="338">
        <v>0.63750000000000007</v>
      </c>
      <c r="H276" s="338" t="s">
        <v>961</v>
      </c>
      <c r="I276" s="353">
        <v>753</v>
      </c>
      <c r="J276" s="338" t="str">
        <f>IFERROR(VLOOKUP(I276,'Chart of accounts'!A:H,2,FALSE),"")</f>
        <v>50202010 00</v>
      </c>
      <c r="K276" s="338" t="str">
        <f>IFERROR(VLOOKUP(I276,'Chart of accounts'!A:H,3,FALSE),"")</f>
        <v>Training Expenses</v>
      </c>
      <c r="L276" s="338" t="str">
        <f>IFERROR(VLOOKUP(I276,'Chart of accounts'!A:H,4,FALSE),"")</f>
        <v>50202010 00 - Training Expenses (753)</v>
      </c>
      <c r="M276" s="361">
        <v>3</v>
      </c>
      <c r="N276" s="420" t="s">
        <v>820</v>
      </c>
      <c r="O276" s="420" t="s">
        <v>1074</v>
      </c>
      <c r="P276" s="420"/>
      <c r="Q276" s="420">
        <v>9960</v>
      </c>
      <c r="R276" s="428">
        <f t="shared" si="3"/>
        <v>-9960</v>
      </c>
      <c r="S276" s="428" t="str">
        <f>VLOOKUP(H276,'Fund Utilization Report'!$A$4:$U$1800,13,FALSE)</f>
        <v>MOOE</v>
      </c>
      <c r="T276" s="428" t="str">
        <f>VLOOKUP(H276,'Fund Utilization Report'!$A$4:$U$1800,2,FALSE)</f>
        <v>GAA</v>
      </c>
      <c r="U276" s="428" t="str">
        <f>VLOOKUP(H276,'Fund Utilization Report'!$A$4:$U$1800,3,FALSE)</f>
        <v>FY2021, RA11518</v>
      </c>
      <c r="V276" s="428" t="str">
        <f>VLOOKUP(H276,'Fund Utilization Report'!$A$4:$U$1800,4,FALSE)</f>
        <v>GAS(GMS)</v>
      </c>
      <c r="W276" s="428" t="str">
        <f>VLOOKUP(H276,'Fund Utilization Report'!$A$4:$U$1800,5,FALSE)</f>
        <v>01101101</v>
      </c>
      <c r="X276" s="428" t="str">
        <f>VLOOKUP(H276,'Fund Utilization Report'!$A$4:$U$1800,6,FALSE)</f>
        <v>GOP</v>
      </c>
      <c r="Y276" s="320" t="str">
        <f>VLOOKUP(H276,'Fund Utilization Report'!$A$4:$U$1800,7,FALSE)</f>
        <v>MOOE</v>
      </c>
      <c r="Z276" s="425">
        <f>VLOOKUP(H276,'Fund Utilization Report'!$A$4:$U$1800,8,FALSE)</f>
        <v>5020000000</v>
      </c>
      <c r="AA276" s="428" t="str">
        <f>VLOOKUP(H276,'Fund Utilization Report'!$A$4:$U$1800,14,FALSE)</f>
        <v>100000100001000</v>
      </c>
      <c r="AB276" s="349" t="str">
        <f>VLOOKUP(H276,'Fund Utilization Report'!$A$4:$U$1800,15,FALSE)</f>
        <v>General Administration and Supervision - General Management and Supervision</v>
      </c>
      <c r="AC276" s="39"/>
      <c r="AD276" s="34"/>
      <c r="AE276" s="39"/>
      <c r="AF276" s="51"/>
      <c r="AG276" s="40"/>
      <c r="AH276" s="40"/>
    </row>
    <row r="277" spans="1:34" s="32" customFormat="1">
      <c r="A277" s="338" t="s">
        <v>942</v>
      </c>
      <c r="B277" s="338" t="s">
        <v>945</v>
      </c>
      <c r="C277" s="358">
        <v>44230</v>
      </c>
      <c r="D277" s="351" t="s">
        <v>1028</v>
      </c>
      <c r="E277" s="352" t="s">
        <v>1079</v>
      </c>
      <c r="F277" s="338">
        <v>0.63194444444444442</v>
      </c>
      <c r="G277" s="338">
        <v>0.63750000000000007</v>
      </c>
      <c r="H277" s="338" t="s">
        <v>961</v>
      </c>
      <c r="I277" s="353">
        <v>761</v>
      </c>
      <c r="J277" s="338" t="str">
        <f>IFERROR(VLOOKUP(I277,'Chart of accounts'!A:H,2,FALSE),"")</f>
        <v>50203090 00</v>
      </c>
      <c r="K277" s="338" t="str">
        <f>IFERROR(VLOOKUP(I277,'Chart of accounts'!A:H,3,FALSE),"")</f>
        <v>Fuel, Oil and Lubricants Expenses</v>
      </c>
      <c r="L277" s="338" t="str">
        <f>IFERROR(VLOOKUP(I277,'Chart of accounts'!A:H,4,FALSE),"")</f>
        <v>50203090 00 - Fuel, Oil and Lubricants Expenses (761)</v>
      </c>
      <c r="M277" s="361">
        <v>3</v>
      </c>
      <c r="N277" s="420" t="s">
        <v>820</v>
      </c>
      <c r="O277" s="420" t="s">
        <v>1074</v>
      </c>
      <c r="P277" s="420"/>
      <c r="Q277" s="420">
        <v>11066.67</v>
      </c>
      <c r="R277" s="428">
        <f t="shared" si="3"/>
        <v>-11066.67</v>
      </c>
      <c r="S277" s="428" t="str">
        <f>VLOOKUP(H277,'Fund Utilization Report'!$A$4:$U$1800,13,FALSE)</f>
        <v>MOOE</v>
      </c>
      <c r="T277" s="428" t="str">
        <f>VLOOKUP(H277,'Fund Utilization Report'!$A$4:$U$1800,2,FALSE)</f>
        <v>GAA</v>
      </c>
      <c r="U277" s="428" t="str">
        <f>VLOOKUP(H277,'Fund Utilization Report'!$A$4:$U$1800,3,FALSE)</f>
        <v>FY2021, RA11518</v>
      </c>
      <c r="V277" s="428" t="str">
        <f>VLOOKUP(H277,'Fund Utilization Report'!$A$4:$U$1800,4,FALSE)</f>
        <v>GAS(GMS)</v>
      </c>
      <c r="W277" s="428" t="str">
        <f>VLOOKUP(H277,'Fund Utilization Report'!$A$4:$U$1800,5,FALSE)</f>
        <v>01101101</v>
      </c>
      <c r="X277" s="428" t="str">
        <f>VLOOKUP(H277,'Fund Utilization Report'!$A$4:$U$1800,6,FALSE)</f>
        <v>GOP</v>
      </c>
      <c r="Y277" s="320" t="str">
        <f>VLOOKUP(H277,'Fund Utilization Report'!$A$4:$U$1800,7,FALSE)</f>
        <v>MOOE</v>
      </c>
      <c r="Z277" s="425">
        <f>VLOOKUP(H277,'Fund Utilization Report'!$A$4:$U$1800,8,FALSE)</f>
        <v>5020000000</v>
      </c>
      <c r="AA277" s="428" t="str">
        <f>VLOOKUP(H277,'Fund Utilization Report'!$A$4:$U$1800,14,FALSE)</f>
        <v>100000100001000</v>
      </c>
      <c r="AB277" s="349" t="str">
        <f>VLOOKUP(H277,'Fund Utilization Report'!$A$4:$U$1800,15,FALSE)</f>
        <v>General Administration and Supervision - General Management and Supervision</v>
      </c>
      <c r="AC277" s="39"/>
      <c r="AD277" s="34"/>
      <c r="AE277" s="39"/>
      <c r="AF277" s="51"/>
      <c r="AG277" s="40"/>
      <c r="AH277" s="40"/>
    </row>
    <row r="278" spans="1:34" s="32" customFormat="1">
      <c r="A278" s="338" t="s">
        <v>942</v>
      </c>
      <c r="B278" s="338" t="s">
        <v>945</v>
      </c>
      <c r="C278" s="358">
        <v>44230</v>
      </c>
      <c r="D278" s="351" t="s">
        <v>1028</v>
      </c>
      <c r="E278" s="352" t="s">
        <v>1079</v>
      </c>
      <c r="F278" s="338">
        <v>0.63194444444444442</v>
      </c>
      <c r="G278" s="338">
        <v>0.63750000000000007</v>
      </c>
      <c r="H278" s="338" t="s">
        <v>961</v>
      </c>
      <c r="I278" s="353">
        <v>766</v>
      </c>
      <c r="J278" s="338" t="str">
        <f>IFERROR(VLOOKUP(I278,'Chart of accounts'!A:H,2,FALSE),"")</f>
        <v>50204010 00</v>
      </c>
      <c r="K278" s="338" t="str">
        <f>IFERROR(VLOOKUP(I278,'Chart of accounts'!A:H,3,FALSE),"")</f>
        <v>Water Expenses</v>
      </c>
      <c r="L278" s="338" t="str">
        <f>IFERROR(VLOOKUP(I278,'Chart of accounts'!A:H,4,FALSE),"")</f>
        <v>50204010 00 - Water Expenses (766)</v>
      </c>
      <c r="M278" s="361">
        <v>3</v>
      </c>
      <c r="N278" s="420" t="s">
        <v>820</v>
      </c>
      <c r="O278" s="420" t="s">
        <v>1074</v>
      </c>
      <c r="P278" s="420"/>
      <c r="Q278" s="420">
        <v>2158</v>
      </c>
      <c r="R278" s="428">
        <f t="shared" si="3"/>
        <v>-2158</v>
      </c>
      <c r="S278" s="428" t="str">
        <f>VLOOKUP(H278,'Fund Utilization Report'!$A$4:$U$1800,13,FALSE)</f>
        <v>MOOE</v>
      </c>
      <c r="T278" s="428" t="str">
        <f>VLOOKUP(H278,'Fund Utilization Report'!$A$4:$U$1800,2,FALSE)</f>
        <v>GAA</v>
      </c>
      <c r="U278" s="428" t="str">
        <f>VLOOKUP(H278,'Fund Utilization Report'!$A$4:$U$1800,3,FALSE)</f>
        <v>FY2021, RA11518</v>
      </c>
      <c r="V278" s="428" t="str">
        <f>VLOOKUP(H278,'Fund Utilization Report'!$A$4:$U$1800,4,FALSE)</f>
        <v>GAS(GMS)</v>
      </c>
      <c r="W278" s="428" t="str">
        <f>VLOOKUP(H278,'Fund Utilization Report'!$A$4:$U$1800,5,FALSE)</f>
        <v>01101101</v>
      </c>
      <c r="X278" s="428" t="str">
        <f>VLOOKUP(H278,'Fund Utilization Report'!$A$4:$U$1800,6,FALSE)</f>
        <v>GOP</v>
      </c>
      <c r="Y278" s="320" t="str">
        <f>VLOOKUP(H278,'Fund Utilization Report'!$A$4:$U$1800,7,FALSE)</f>
        <v>MOOE</v>
      </c>
      <c r="Z278" s="425">
        <f>VLOOKUP(H278,'Fund Utilization Report'!$A$4:$U$1800,8,FALSE)</f>
        <v>5020000000</v>
      </c>
      <c r="AA278" s="428" t="str">
        <f>VLOOKUP(H278,'Fund Utilization Report'!$A$4:$U$1800,14,FALSE)</f>
        <v>100000100001000</v>
      </c>
      <c r="AB278" s="349" t="str">
        <f>VLOOKUP(H278,'Fund Utilization Report'!$A$4:$U$1800,15,FALSE)</f>
        <v>General Administration and Supervision - General Management and Supervision</v>
      </c>
      <c r="AC278" s="39"/>
      <c r="AD278" s="34"/>
      <c r="AE278" s="39"/>
      <c r="AF278" s="51"/>
      <c r="AG278" s="40"/>
      <c r="AH278" s="40"/>
    </row>
    <row r="279" spans="1:34" s="32" customFormat="1">
      <c r="A279" s="338" t="s">
        <v>942</v>
      </c>
      <c r="B279" s="338" t="s">
        <v>945</v>
      </c>
      <c r="C279" s="358">
        <v>44230</v>
      </c>
      <c r="D279" s="351" t="s">
        <v>1028</v>
      </c>
      <c r="E279" s="352" t="s">
        <v>1079</v>
      </c>
      <c r="F279" s="338">
        <v>0.63194444444444442</v>
      </c>
      <c r="G279" s="338">
        <v>0.63750000000000007</v>
      </c>
      <c r="H279" s="338" t="s">
        <v>961</v>
      </c>
      <c r="I279" s="353">
        <v>767</v>
      </c>
      <c r="J279" s="338" t="str">
        <f>IFERROR(VLOOKUP(I279,'Chart of accounts'!A:H,2,FALSE),"")</f>
        <v>50204020 00</v>
      </c>
      <c r="K279" s="338" t="str">
        <f>IFERROR(VLOOKUP(I279,'Chart of accounts'!A:H,3,FALSE),"")</f>
        <v>Electricity Expense</v>
      </c>
      <c r="L279" s="338" t="str">
        <f>IFERROR(VLOOKUP(I279,'Chart of accounts'!A:H,4,FALSE),"")</f>
        <v>50204020 00 - Electricity Expense (767)</v>
      </c>
      <c r="M279" s="361">
        <v>3</v>
      </c>
      <c r="N279" s="420" t="s">
        <v>820</v>
      </c>
      <c r="O279" s="420" t="s">
        <v>1074</v>
      </c>
      <c r="P279" s="420"/>
      <c r="Q279" s="420">
        <v>38180</v>
      </c>
      <c r="R279" s="428">
        <f t="shared" si="3"/>
        <v>-38180</v>
      </c>
      <c r="S279" s="428" t="str">
        <f>VLOOKUP(H279,'Fund Utilization Report'!$A$4:$U$1800,13,FALSE)</f>
        <v>MOOE</v>
      </c>
      <c r="T279" s="428" t="str">
        <f>VLOOKUP(H279,'Fund Utilization Report'!$A$4:$U$1800,2,FALSE)</f>
        <v>GAA</v>
      </c>
      <c r="U279" s="428" t="str">
        <f>VLOOKUP(H279,'Fund Utilization Report'!$A$4:$U$1800,3,FALSE)</f>
        <v>FY2021, RA11518</v>
      </c>
      <c r="V279" s="428" t="str">
        <f>VLOOKUP(H279,'Fund Utilization Report'!$A$4:$U$1800,4,FALSE)</f>
        <v>GAS(GMS)</v>
      </c>
      <c r="W279" s="428" t="str">
        <f>VLOOKUP(H279,'Fund Utilization Report'!$A$4:$U$1800,5,FALSE)</f>
        <v>01101101</v>
      </c>
      <c r="X279" s="428" t="str">
        <f>VLOOKUP(H279,'Fund Utilization Report'!$A$4:$U$1800,6,FALSE)</f>
        <v>GOP</v>
      </c>
      <c r="Y279" s="320" t="str">
        <f>VLOOKUP(H279,'Fund Utilization Report'!$A$4:$U$1800,7,FALSE)</f>
        <v>MOOE</v>
      </c>
      <c r="Z279" s="425">
        <f>VLOOKUP(H279,'Fund Utilization Report'!$A$4:$U$1800,8,FALSE)</f>
        <v>5020000000</v>
      </c>
      <c r="AA279" s="428" t="str">
        <f>VLOOKUP(H279,'Fund Utilization Report'!$A$4:$U$1800,14,FALSE)</f>
        <v>100000100001000</v>
      </c>
      <c r="AB279" s="349" t="str">
        <f>VLOOKUP(H279,'Fund Utilization Report'!$A$4:$U$1800,15,FALSE)</f>
        <v>General Administration and Supervision - General Management and Supervision</v>
      </c>
      <c r="AC279" s="39"/>
      <c r="AD279" s="34"/>
      <c r="AE279" s="39"/>
      <c r="AF279" s="51"/>
      <c r="AG279" s="40"/>
      <c r="AH279" s="40"/>
    </row>
    <row r="280" spans="1:34" s="32" customFormat="1">
      <c r="A280" s="338" t="s">
        <v>942</v>
      </c>
      <c r="B280" s="338" t="s">
        <v>945</v>
      </c>
      <c r="C280" s="358">
        <v>44230</v>
      </c>
      <c r="D280" s="351" t="s">
        <v>1028</v>
      </c>
      <c r="E280" s="352" t="s">
        <v>1079</v>
      </c>
      <c r="F280" s="338">
        <v>0.63194444444444442</v>
      </c>
      <c r="G280" s="338">
        <v>0.63750000000000007</v>
      </c>
      <c r="H280" s="338" t="s">
        <v>961</v>
      </c>
      <c r="I280" s="353">
        <v>771</v>
      </c>
      <c r="J280" s="338" t="str">
        <f>IFERROR(VLOOKUP(I280,'Chart of accounts'!A:H,2,FALSE),"")</f>
        <v>50205010 00</v>
      </c>
      <c r="K280" s="338" t="str">
        <f>IFERROR(VLOOKUP(I280,'Chart of accounts'!A:H,3,FALSE),"")</f>
        <v>Postage and Courier Services</v>
      </c>
      <c r="L280" s="338" t="str">
        <f>IFERROR(VLOOKUP(I280,'Chart of accounts'!A:H,4,FALSE),"")</f>
        <v>50205010 00 - Postage and Courier Services (771)</v>
      </c>
      <c r="M280" s="361">
        <v>3</v>
      </c>
      <c r="N280" s="420" t="s">
        <v>820</v>
      </c>
      <c r="O280" s="420" t="s">
        <v>1074</v>
      </c>
      <c r="P280" s="420"/>
      <c r="Q280" s="420">
        <v>4150</v>
      </c>
      <c r="R280" s="428">
        <f t="shared" si="3"/>
        <v>-4150</v>
      </c>
      <c r="S280" s="428" t="str">
        <f>VLOOKUP(H280,'Fund Utilization Report'!$A$4:$U$1800,13,FALSE)</f>
        <v>MOOE</v>
      </c>
      <c r="T280" s="428" t="str">
        <f>VLOOKUP(H280,'Fund Utilization Report'!$A$4:$U$1800,2,FALSE)</f>
        <v>GAA</v>
      </c>
      <c r="U280" s="428" t="str">
        <f>VLOOKUP(H280,'Fund Utilization Report'!$A$4:$U$1800,3,FALSE)</f>
        <v>FY2021, RA11518</v>
      </c>
      <c r="V280" s="428" t="str">
        <f>VLOOKUP(H280,'Fund Utilization Report'!$A$4:$U$1800,4,FALSE)</f>
        <v>GAS(GMS)</v>
      </c>
      <c r="W280" s="428" t="str">
        <f>VLOOKUP(H280,'Fund Utilization Report'!$A$4:$U$1800,5,FALSE)</f>
        <v>01101101</v>
      </c>
      <c r="X280" s="428" t="str">
        <f>VLOOKUP(H280,'Fund Utilization Report'!$A$4:$U$1800,6,FALSE)</f>
        <v>GOP</v>
      </c>
      <c r="Y280" s="320" t="str">
        <f>VLOOKUP(H280,'Fund Utilization Report'!$A$4:$U$1800,7,FALSE)</f>
        <v>MOOE</v>
      </c>
      <c r="Z280" s="425">
        <f>VLOOKUP(H280,'Fund Utilization Report'!$A$4:$U$1800,8,FALSE)</f>
        <v>5020000000</v>
      </c>
      <c r="AA280" s="428" t="str">
        <f>VLOOKUP(H280,'Fund Utilization Report'!$A$4:$U$1800,14,FALSE)</f>
        <v>100000100001000</v>
      </c>
      <c r="AB280" s="349" t="str">
        <f>VLOOKUP(H280,'Fund Utilization Report'!$A$4:$U$1800,15,FALSE)</f>
        <v>General Administration and Supervision - General Management and Supervision</v>
      </c>
      <c r="AC280" s="39"/>
      <c r="AD280" s="34"/>
      <c r="AE280" s="39"/>
      <c r="AF280" s="51"/>
      <c r="AG280" s="40"/>
      <c r="AH280" s="40"/>
    </row>
    <row r="281" spans="1:34" s="32" customFormat="1">
      <c r="A281" s="338" t="s">
        <v>942</v>
      </c>
      <c r="B281" s="338" t="s">
        <v>945</v>
      </c>
      <c r="C281" s="358">
        <v>44230</v>
      </c>
      <c r="D281" s="351" t="s">
        <v>1028</v>
      </c>
      <c r="E281" s="352" t="s">
        <v>1079</v>
      </c>
      <c r="F281" s="338">
        <v>0.63194444444444442</v>
      </c>
      <c r="G281" s="338">
        <v>0.63750000000000007</v>
      </c>
      <c r="H281" s="338" t="s">
        <v>961</v>
      </c>
      <c r="I281" s="353">
        <v>773</v>
      </c>
      <c r="J281" s="338" t="str">
        <f>IFERROR(VLOOKUP(I281,'Chart of accounts'!A:H,2,FALSE),"")</f>
        <v>50205020 01</v>
      </c>
      <c r="K281" s="338" t="str">
        <f>IFERROR(VLOOKUP(I281,'Chart of accounts'!A:H,3,FALSE),"")</f>
        <v xml:space="preserve">Telephone Expenses - Mobile </v>
      </c>
      <c r="L281" s="338" t="str">
        <f>IFERROR(VLOOKUP(I281,'Chart of accounts'!A:H,4,FALSE),"")</f>
        <v>50205020 01 - Telephone Expenses - Mobile  (773)</v>
      </c>
      <c r="M281" s="361">
        <v>3</v>
      </c>
      <c r="N281" s="420" t="s">
        <v>820</v>
      </c>
      <c r="O281" s="420" t="s">
        <v>1074</v>
      </c>
      <c r="P281" s="420"/>
      <c r="Q281" s="420">
        <v>2988</v>
      </c>
      <c r="R281" s="428">
        <f t="shared" si="3"/>
        <v>-2988</v>
      </c>
      <c r="S281" s="428" t="str">
        <f>VLOOKUP(H281,'Fund Utilization Report'!$A$4:$U$1800,13,FALSE)</f>
        <v>MOOE</v>
      </c>
      <c r="T281" s="428" t="str">
        <f>VLOOKUP(H281,'Fund Utilization Report'!$A$4:$U$1800,2,FALSE)</f>
        <v>GAA</v>
      </c>
      <c r="U281" s="428" t="str">
        <f>VLOOKUP(H281,'Fund Utilization Report'!$A$4:$U$1800,3,FALSE)</f>
        <v>FY2021, RA11518</v>
      </c>
      <c r="V281" s="428" t="str">
        <f>VLOOKUP(H281,'Fund Utilization Report'!$A$4:$U$1800,4,FALSE)</f>
        <v>GAS(GMS)</v>
      </c>
      <c r="W281" s="428" t="str">
        <f>VLOOKUP(H281,'Fund Utilization Report'!$A$4:$U$1800,5,FALSE)</f>
        <v>01101101</v>
      </c>
      <c r="X281" s="428" t="str">
        <f>VLOOKUP(H281,'Fund Utilization Report'!$A$4:$U$1800,6,FALSE)</f>
        <v>GOP</v>
      </c>
      <c r="Y281" s="320" t="str">
        <f>VLOOKUP(H281,'Fund Utilization Report'!$A$4:$U$1800,7,FALSE)</f>
        <v>MOOE</v>
      </c>
      <c r="Z281" s="425">
        <f>VLOOKUP(H281,'Fund Utilization Report'!$A$4:$U$1800,8,FALSE)</f>
        <v>5020000000</v>
      </c>
      <c r="AA281" s="428" t="str">
        <f>VLOOKUP(H281,'Fund Utilization Report'!$A$4:$U$1800,14,FALSE)</f>
        <v>100000100001000</v>
      </c>
      <c r="AB281" s="349" t="str">
        <f>VLOOKUP(H281,'Fund Utilization Report'!$A$4:$U$1800,15,FALSE)</f>
        <v>General Administration and Supervision - General Management and Supervision</v>
      </c>
      <c r="AC281" s="39"/>
      <c r="AD281" s="34"/>
      <c r="AE281" s="39"/>
      <c r="AF281" s="51"/>
      <c r="AG281" s="40"/>
      <c r="AH281" s="40"/>
    </row>
    <row r="282" spans="1:34" s="32" customFormat="1">
      <c r="A282" s="338" t="s">
        <v>942</v>
      </c>
      <c r="B282" s="338" t="s">
        <v>945</v>
      </c>
      <c r="C282" s="358">
        <v>44230</v>
      </c>
      <c r="D282" s="351" t="s">
        <v>1028</v>
      </c>
      <c r="E282" s="352" t="s">
        <v>1079</v>
      </c>
      <c r="F282" s="338">
        <v>0.63194444444444442</v>
      </c>
      <c r="G282" s="338">
        <v>0.63750000000000007</v>
      </c>
      <c r="H282" s="338" t="s">
        <v>961</v>
      </c>
      <c r="I282" s="353">
        <v>775</v>
      </c>
      <c r="J282" s="338" t="str">
        <f>IFERROR(VLOOKUP(I282,'Chart of accounts'!A:H,2,FALSE),"")</f>
        <v>50205040 00</v>
      </c>
      <c r="K282" s="338" t="str">
        <f>IFERROR(VLOOKUP(I282,'Chart of accounts'!A:H,3,FALSE),"")</f>
        <v>Cable, Satellite, Telegraph, and Radio Expenses</v>
      </c>
      <c r="L282" s="338" t="str">
        <f>IFERROR(VLOOKUP(I282,'Chart of accounts'!A:H,4,FALSE),"")</f>
        <v>50205040 00 - Cable, Satellite, Telegraph, and Radio Expenses (775)</v>
      </c>
      <c r="M282" s="361">
        <v>3</v>
      </c>
      <c r="N282" s="420" t="s">
        <v>820</v>
      </c>
      <c r="O282" s="420" t="s">
        <v>1074</v>
      </c>
      <c r="P282" s="420"/>
      <c r="Q282" s="420">
        <v>830</v>
      </c>
      <c r="R282" s="428">
        <f t="shared" si="3"/>
        <v>-830</v>
      </c>
      <c r="S282" s="428" t="str">
        <f>VLOOKUP(H282,'Fund Utilization Report'!$A$4:$U$1800,13,FALSE)</f>
        <v>MOOE</v>
      </c>
      <c r="T282" s="428" t="str">
        <f>VLOOKUP(H282,'Fund Utilization Report'!$A$4:$U$1800,2,FALSE)</f>
        <v>GAA</v>
      </c>
      <c r="U282" s="428" t="str">
        <f>VLOOKUP(H282,'Fund Utilization Report'!$A$4:$U$1800,3,FALSE)</f>
        <v>FY2021, RA11518</v>
      </c>
      <c r="V282" s="428" t="str">
        <f>VLOOKUP(H282,'Fund Utilization Report'!$A$4:$U$1800,4,FALSE)</f>
        <v>GAS(GMS)</v>
      </c>
      <c r="W282" s="428" t="str">
        <f>VLOOKUP(H282,'Fund Utilization Report'!$A$4:$U$1800,5,FALSE)</f>
        <v>01101101</v>
      </c>
      <c r="X282" s="428" t="str">
        <f>VLOOKUP(H282,'Fund Utilization Report'!$A$4:$U$1800,6,FALSE)</f>
        <v>GOP</v>
      </c>
      <c r="Y282" s="320" t="str">
        <f>VLOOKUP(H282,'Fund Utilization Report'!$A$4:$U$1800,7,FALSE)</f>
        <v>MOOE</v>
      </c>
      <c r="Z282" s="425">
        <f>VLOOKUP(H282,'Fund Utilization Report'!$A$4:$U$1800,8,FALSE)</f>
        <v>5020000000</v>
      </c>
      <c r="AA282" s="428" t="str">
        <f>VLOOKUP(H282,'Fund Utilization Report'!$A$4:$U$1800,14,FALSE)</f>
        <v>100000100001000</v>
      </c>
      <c r="AB282" s="349" t="str">
        <f>VLOOKUP(H282,'Fund Utilization Report'!$A$4:$U$1800,15,FALSE)</f>
        <v>General Administration and Supervision - General Management and Supervision</v>
      </c>
      <c r="AC282" s="39"/>
      <c r="AD282" s="34"/>
      <c r="AE282" s="39"/>
      <c r="AF282" s="51"/>
      <c r="AG282" s="40"/>
      <c r="AH282" s="40"/>
    </row>
    <row r="283" spans="1:34" s="32" customFormat="1">
      <c r="A283" s="338" t="s">
        <v>942</v>
      </c>
      <c r="B283" s="338" t="s">
        <v>945</v>
      </c>
      <c r="C283" s="358">
        <v>44230</v>
      </c>
      <c r="D283" s="351" t="s">
        <v>1028</v>
      </c>
      <c r="E283" s="352" t="s">
        <v>1079</v>
      </c>
      <c r="F283" s="338">
        <v>0.63194444444444442</v>
      </c>
      <c r="G283" s="338">
        <v>0.63750000000000007</v>
      </c>
      <c r="H283" s="338" t="s">
        <v>961</v>
      </c>
      <c r="I283" s="353">
        <v>791</v>
      </c>
      <c r="J283" s="338" t="str">
        <f>IFERROR(VLOOKUP(I283,'Chart of accounts'!A:H,2,FALSE),"")</f>
        <v>50211010 00</v>
      </c>
      <c r="K283" s="338" t="str">
        <f>IFERROR(VLOOKUP(I283,'Chart of accounts'!A:H,3,FALSE),"")</f>
        <v>Legal Services</v>
      </c>
      <c r="L283" s="338" t="str">
        <f>IFERROR(VLOOKUP(I283,'Chart of accounts'!A:H,4,FALSE),"")</f>
        <v>50211010 00 - Legal Services (791)</v>
      </c>
      <c r="M283" s="361">
        <v>3</v>
      </c>
      <c r="N283" s="420" t="s">
        <v>820</v>
      </c>
      <c r="O283" s="420" t="s">
        <v>1074</v>
      </c>
      <c r="P283" s="420"/>
      <c r="Q283" s="420">
        <v>498</v>
      </c>
      <c r="R283" s="428">
        <f t="shared" si="3"/>
        <v>-498</v>
      </c>
      <c r="S283" s="428" t="str">
        <f>VLOOKUP(H283,'Fund Utilization Report'!$A$4:$U$1800,13,FALSE)</f>
        <v>MOOE</v>
      </c>
      <c r="T283" s="428" t="str">
        <f>VLOOKUP(H283,'Fund Utilization Report'!$A$4:$U$1800,2,FALSE)</f>
        <v>GAA</v>
      </c>
      <c r="U283" s="428" t="str">
        <f>VLOOKUP(H283,'Fund Utilization Report'!$A$4:$U$1800,3,FALSE)</f>
        <v>FY2021, RA11518</v>
      </c>
      <c r="V283" s="428" t="str">
        <f>VLOOKUP(H283,'Fund Utilization Report'!$A$4:$U$1800,4,FALSE)</f>
        <v>GAS(GMS)</v>
      </c>
      <c r="W283" s="428" t="str">
        <f>VLOOKUP(H283,'Fund Utilization Report'!$A$4:$U$1800,5,FALSE)</f>
        <v>01101101</v>
      </c>
      <c r="X283" s="428" t="str">
        <f>VLOOKUP(H283,'Fund Utilization Report'!$A$4:$U$1800,6,FALSE)</f>
        <v>GOP</v>
      </c>
      <c r="Y283" s="320" t="str">
        <f>VLOOKUP(H283,'Fund Utilization Report'!$A$4:$U$1800,7,FALSE)</f>
        <v>MOOE</v>
      </c>
      <c r="Z283" s="425">
        <f>VLOOKUP(H283,'Fund Utilization Report'!$A$4:$U$1800,8,FALSE)</f>
        <v>5020000000</v>
      </c>
      <c r="AA283" s="428" t="str">
        <f>VLOOKUP(H283,'Fund Utilization Report'!$A$4:$U$1800,14,FALSE)</f>
        <v>100000100001000</v>
      </c>
      <c r="AB283" s="349" t="str">
        <f>VLOOKUP(H283,'Fund Utilization Report'!$A$4:$U$1800,15,FALSE)</f>
        <v>General Administration and Supervision - General Management and Supervision</v>
      </c>
      <c r="AC283" s="39"/>
      <c r="AD283" s="34"/>
      <c r="AE283" s="39"/>
      <c r="AF283" s="51"/>
      <c r="AG283" s="40"/>
      <c r="AH283" s="40"/>
    </row>
    <row r="284" spans="1:34" s="32" customFormat="1">
      <c r="A284" s="338" t="s">
        <v>942</v>
      </c>
      <c r="B284" s="338" t="s">
        <v>945</v>
      </c>
      <c r="C284" s="358">
        <v>44230</v>
      </c>
      <c r="D284" s="351" t="s">
        <v>1028</v>
      </c>
      <c r="E284" s="352" t="s">
        <v>1079</v>
      </c>
      <c r="F284" s="338">
        <v>0.63194444444444442</v>
      </c>
      <c r="G284" s="338">
        <v>0.63750000000000007</v>
      </c>
      <c r="H284" s="338" t="s">
        <v>961</v>
      </c>
      <c r="I284" s="353">
        <v>796</v>
      </c>
      <c r="J284" s="338" t="str">
        <f>IFERROR(VLOOKUP(I284,'Chart of accounts'!A:H,2,FALSE),"")</f>
        <v>50212020 00</v>
      </c>
      <c r="K284" s="338" t="str">
        <f>IFERROR(VLOOKUP(I284,'Chart of accounts'!A:H,3,FALSE),"")</f>
        <v>Janitorial Services</v>
      </c>
      <c r="L284" s="338" t="str">
        <f>IFERROR(VLOOKUP(I284,'Chart of accounts'!A:H,4,FALSE),"")</f>
        <v>50212020 00 - Janitorial Services (796)</v>
      </c>
      <c r="M284" s="361">
        <v>3</v>
      </c>
      <c r="N284" s="420" t="s">
        <v>820</v>
      </c>
      <c r="O284" s="420" t="s">
        <v>1074</v>
      </c>
      <c r="P284" s="420"/>
      <c r="Q284" s="420">
        <v>13847.17</v>
      </c>
      <c r="R284" s="428">
        <f t="shared" si="3"/>
        <v>-13847.17</v>
      </c>
      <c r="S284" s="428" t="str">
        <f>VLOOKUP(H284,'Fund Utilization Report'!$A$4:$U$1800,13,FALSE)</f>
        <v>MOOE</v>
      </c>
      <c r="T284" s="428" t="str">
        <f>VLOOKUP(H284,'Fund Utilization Report'!$A$4:$U$1800,2,FALSE)</f>
        <v>GAA</v>
      </c>
      <c r="U284" s="428" t="str">
        <f>VLOOKUP(H284,'Fund Utilization Report'!$A$4:$U$1800,3,FALSE)</f>
        <v>FY2021, RA11518</v>
      </c>
      <c r="V284" s="428" t="str">
        <f>VLOOKUP(H284,'Fund Utilization Report'!$A$4:$U$1800,4,FALSE)</f>
        <v>GAS(GMS)</v>
      </c>
      <c r="W284" s="428" t="str">
        <f>VLOOKUP(H284,'Fund Utilization Report'!$A$4:$U$1800,5,FALSE)</f>
        <v>01101101</v>
      </c>
      <c r="X284" s="428" t="str">
        <f>VLOOKUP(H284,'Fund Utilization Report'!$A$4:$U$1800,6,FALSE)</f>
        <v>GOP</v>
      </c>
      <c r="Y284" s="320" t="str">
        <f>VLOOKUP(H284,'Fund Utilization Report'!$A$4:$U$1800,7,FALSE)</f>
        <v>MOOE</v>
      </c>
      <c r="Z284" s="425">
        <f>VLOOKUP(H284,'Fund Utilization Report'!$A$4:$U$1800,8,FALSE)</f>
        <v>5020000000</v>
      </c>
      <c r="AA284" s="428" t="str">
        <f>VLOOKUP(H284,'Fund Utilization Report'!$A$4:$U$1800,14,FALSE)</f>
        <v>100000100001000</v>
      </c>
      <c r="AB284" s="349" t="str">
        <f>VLOOKUP(H284,'Fund Utilization Report'!$A$4:$U$1800,15,FALSE)</f>
        <v>General Administration and Supervision - General Management and Supervision</v>
      </c>
      <c r="AC284" s="39"/>
      <c r="AD284" s="34"/>
      <c r="AE284" s="39"/>
      <c r="AF284" s="51"/>
      <c r="AG284" s="40"/>
      <c r="AH284" s="40"/>
    </row>
    <row r="285" spans="1:34" s="32" customFormat="1">
      <c r="A285" s="338" t="s">
        <v>942</v>
      </c>
      <c r="B285" s="338" t="s">
        <v>945</v>
      </c>
      <c r="C285" s="358">
        <v>44230</v>
      </c>
      <c r="D285" s="351" t="s">
        <v>1028</v>
      </c>
      <c r="E285" s="352" t="s">
        <v>1079</v>
      </c>
      <c r="F285" s="338">
        <v>0.63194444444444442</v>
      </c>
      <c r="G285" s="338">
        <v>0.63750000000000007</v>
      </c>
      <c r="H285" s="338" t="s">
        <v>961</v>
      </c>
      <c r="I285" s="353">
        <v>795</v>
      </c>
      <c r="J285" s="338" t="str">
        <f>IFERROR(VLOOKUP(I285,'Chart of accounts'!A:H,2,FALSE),"")</f>
        <v>50212990 00</v>
      </c>
      <c r="K285" s="338" t="str">
        <f>IFERROR(VLOOKUP(I285,'Chart of accounts'!A:H,3,FALSE),"")</f>
        <v>Other General Services</v>
      </c>
      <c r="L285" s="338" t="str">
        <f>IFERROR(VLOOKUP(I285,'Chart of accounts'!A:H,4,FALSE),"")</f>
        <v>50212990 00 - Other General Services (795)</v>
      </c>
      <c r="M285" s="361">
        <v>3</v>
      </c>
      <c r="N285" s="420" t="s">
        <v>820</v>
      </c>
      <c r="O285" s="420" t="s">
        <v>1074</v>
      </c>
      <c r="P285" s="420"/>
      <c r="Q285" s="420">
        <v>66782.91</v>
      </c>
      <c r="R285" s="428">
        <f t="shared" si="3"/>
        <v>-66782.91</v>
      </c>
      <c r="S285" s="428" t="str">
        <f>VLOOKUP(H285,'Fund Utilization Report'!$A$4:$U$1800,13,FALSE)</f>
        <v>MOOE</v>
      </c>
      <c r="T285" s="428" t="str">
        <f>VLOOKUP(H285,'Fund Utilization Report'!$A$4:$U$1800,2,FALSE)</f>
        <v>GAA</v>
      </c>
      <c r="U285" s="428" t="str">
        <f>VLOOKUP(H285,'Fund Utilization Report'!$A$4:$U$1800,3,FALSE)</f>
        <v>FY2021, RA11518</v>
      </c>
      <c r="V285" s="428" t="str">
        <f>VLOOKUP(H285,'Fund Utilization Report'!$A$4:$U$1800,4,FALSE)</f>
        <v>GAS(GMS)</v>
      </c>
      <c r="W285" s="428" t="str">
        <f>VLOOKUP(H285,'Fund Utilization Report'!$A$4:$U$1800,5,FALSE)</f>
        <v>01101101</v>
      </c>
      <c r="X285" s="428" t="str">
        <f>VLOOKUP(H285,'Fund Utilization Report'!$A$4:$U$1800,6,FALSE)</f>
        <v>GOP</v>
      </c>
      <c r="Y285" s="320" t="str">
        <f>VLOOKUP(H285,'Fund Utilization Report'!$A$4:$U$1800,7,FALSE)</f>
        <v>MOOE</v>
      </c>
      <c r="Z285" s="425">
        <f>VLOOKUP(H285,'Fund Utilization Report'!$A$4:$U$1800,8,FALSE)</f>
        <v>5020000000</v>
      </c>
      <c r="AA285" s="428" t="str">
        <f>VLOOKUP(H285,'Fund Utilization Report'!$A$4:$U$1800,14,FALSE)</f>
        <v>100000100001000</v>
      </c>
      <c r="AB285" s="349" t="str">
        <f>VLOOKUP(H285,'Fund Utilization Report'!$A$4:$U$1800,15,FALSE)</f>
        <v>General Administration and Supervision - General Management and Supervision</v>
      </c>
      <c r="AC285" s="39"/>
      <c r="AD285" s="34"/>
      <c r="AE285" s="39"/>
      <c r="AF285" s="51"/>
      <c r="AG285" s="40"/>
      <c r="AH285" s="40"/>
    </row>
    <row r="286" spans="1:34" s="32" customFormat="1">
      <c r="A286" s="338" t="s">
        <v>942</v>
      </c>
      <c r="B286" s="338" t="s">
        <v>945</v>
      </c>
      <c r="C286" s="358">
        <v>44230</v>
      </c>
      <c r="D286" s="351" t="s">
        <v>1028</v>
      </c>
      <c r="E286" s="352" t="s">
        <v>1079</v>
      </c>
      <c r="F286" s="338">
        <v>0.63194444444444442</v>
      </c>
      <c r="G286" s="338">
        <v>0.63750000000000007</v>
      </c>
      <c r="H286" s="338" t="s">
        <v>968</v>
      </c>
      <c r="I286" s="353">
        <v>820</v>
      </c>
      <c r="J286" s="338" t="str">
        <f>IFERROR(VLOOKUP(I286,'Chart of accounts'!A:H,2,FALSE),"")</f>
        <v>50213040 01</v>
      </c>
      <c r="K286" s="338" t="str">
        <f>IFERROR(VLOOKUP(I286,'Chart of accounts'!A:H,3,FALSE),"")</f>
        <v>Buildings</v>
      </c>
      <c r="L286" s="338" t="str">
        <f>IFERROR(VLOOKUP(I286,'Chart of accounts'!A:H,4,FALSE),"")</f>
        <v>50213040 01 - Buildings (820)</v>
      </c>
      <c r="M286" s="361">
        <v>3</v>
      </c>
      <c r="N286" s="420" t="s">
        <v>820</v>
      </c>
      <c r="O286" s="420" t="s">
        <v>1074</v>
      </c>
      <c r="P286" s="420"/>
      <c r="Q286" s="420">
        <v>39807.910000000003</v>
      </c>
      <c r="R286" s="428">
        <f t="shared" si="3"/>
        <v>-39807.910000000003</v>
      </c>
      <c r="S286" s="428" t="str">
        <f>VLOOKUP(H286,'Fund Utilization Report'!$A$4:$U$1800,13,FALSE)</f>
        <v>MOOE</v>
      </c>
      <c r="T286" s="428" t="str">
        <f>VLOOKUP(H286,'Fund Utilization Report'!$A$4:$U$1800,2,FALSE)</f>
        <v>GAA</v>
      </c>
      <c r="U286" s="428" t="str">
        <f>VLOOKUP(H286,'Fund Utilization Report'!$A$4:$U$1800,3,FALSE)</f>
        <v>FY2021, RA11518</v>
      </c>
      <c r="V286" s="428" t="str">
        <f>VLOOKUP(H286,'Fund Utilization Report'!$A$4:$U$1800,4,FALSE)</f>
        <v>OO2</v>
      </c>
      <c r="W286" s="428" t="str">
        <f>VLOOKUP(H286,'Fund Utilization Report'!$A$4:$U$1800,5,FALSE)</f>
        <v>01101101</v>
      </c>
      <c r="X286" s="428" t="str">
        <f>VLOOKUP(H286,'Fund Utilization Report'!$A$4:$U$1800,6,FALSE)</f>
        <v>GOP</v>
      </c>
      <c r="Y286" s="320" t="str">
        <f>VLOOKUP(H286,'Fund Utilization Report'!$A$4:$U$1800,7,FALSE)</f>
        <v>MOOE</v>
      </c>
      <c r="Z286" s="425">
        <f>VLOOKUP(H286,'Fund Utilization Report'!$A$4:$U$1800,8,FALSE)</f>
        <v>5020000000</v>
      </c>
      <c r="AA286" s="428" t="str">
        <f>VLOOKUP(H286,'Fund Utilization Report'!$A$4:$U$1800,14,FALSE)</f>
        <v>320100100001000</v>
      </c>
      <c r="AB286" s="349" t="str">
        <f>VLOOKUP(H286,'Fund Utilization Report'!$A$4:$U$1800,15,FALSE)</f>
        <v>Formulation of Strategic plans,programs, and policies to develop competitve industries</v>
      </c>
      <c r="AC286" s="39"/>
      <c r="AD286" s="34"/>
      <c r="AE286" s="39"/>
      <c r="AF286" s="51"/>
      <c r="AG286" s="40"/>
      <c r="AH286" s="40"/>
    </row>
    <row r="287" spans="1:34" s="32" customFormat="1">
      <c r="A287" s="338" t="s">
        <v>942</v>
      </c>
      <c r="B287" s="338" t="s">
        <v>945</v>
      </c>
      <c r="C287" s="358">
        <v>44230</v>
      </c>
      <c r="D287" s="351" t="s">
        <v>1028</v>
      </c>
      <c r="E287" s="352" t="s">
        <v>1079</v>
      </c>
      <c r="F287" s="338">
        <v>0.63194444444444442</v>
      </c>
      <c r="G287" s="338">
        <v>0.63750000000000007</v>
      </c>
      <c r="H287" s="338" t="s">
        <v>971</v>
      </c>
      <c r="I287" s="353">
        <v>821</v>
      </c>
      <c r="J287" s="338" t="str">
        <f>IFERROR(VLOOKUP(I287,'Chart of accounts'!A:H,2,FALSE),"")</f>
        <v>50213050 02</v>
      </c>
      <c r="K287" s="338" t="str">
        <f>IFERROR(VLOOKUP(I287,'Chart of accounts'!A:H,3,FALSE),"")</f>
        <v>Office Equipment</v>
      </c>
      <c r="L287" s="338" t="str">
        <f>IFERROR(VLOOKUP(I287,'Chart of accounts'!A:H,4,FALSE),"")</f>
        <v>50213050 02 - Office Equipment (821)</v>
      </c>
      <c r="M287" s="361">
        <v>3</v>
      </c>
      <c r="N287" s="420" t="s">
        <v>820</v>
      </c>
      <c r="O287" s="420" t="s">
        <v>1074</v>
      </c>
      <c r="P287" s="420"/>
      <c r="Q287" s="420">
        <v>2766.67</v>
      </c>
      <c r="R287" s="428">
        <f t="shared" si="3"/>
        <v>-2766.67</v>
      </c>
      <c r="S287" s="428" t="str">
        <f>VLOOKUP(H287,'Fund Utilization Report'!$A$4:$U$1800,13,FALSE)</f>
        <v>MOOE</v>
      </c>
      <c r="T287" s="428" t="str">
        <f>VLOOKUP(H287,'Fund Utilization Report'!$A$4:$U$1800,2,FALSE)</f>
        <v>GAA</v>
      </c>
      <c r="U287" s="428" t="str">
        <f>VLOOKUP(H287,'Fund Utilization Report'!$A$4:$U$1800,3,FALSE)</f>
        <v>FY2021, RA11518</v>
      </c>
      <c r="V287" s="428" t="str">
        <f>VLOOKUP(H287,'Fund Utilization Report'!$A$4:$U$1800,4,FALSE)</f>
        <v>OO3</v>
      </c>
      <c r="W287" s="428" t="str">
        <f>VLOOKUP(H287,'Fund Utilization Report'!$A$4:$U$1800,5,FALSE)</f>
        <v>01101101</v>
      </c>
      <c r="X287" s="428" t="str">
        <f>VLOOKUP(H287,'Fund Utilization Report'!$A$4:$U$1800,6,FALSE)</f>
        <v>GOP</v>
      </c>
      <c r="Y287" s="320" t="str">
        <f>VLOOKUP(H287,'Fund Utilization Report'!$A$4:$U$1800,7,FALSE)</f>
        <v>MOOE</v>
      </c>
      <c r="Z287" s="425">
        <f>VLOOKUP(H287,'Fund Utilization Report'!$A$4:$U$1800,8,FALSE)</f>
        <v>5020000000</v>
      </c>
      <c r="AA287" s="428" t="str">
        <f>VLOOKUP(H287,'Fund Utilization Report'!$A$4:$U$1800,14,FALSE)</f>
        <v>330100100002000</v>
      </c>
      <c r="AB287" s="349" t="str">
        <f>VLOOKUP(H287,'Fund Utilization Report'!$A$4:$U$1800,15,FALSE)</f>
        <v>Implementation of the MSME Development Plan and other initiatives to promote the growth of Micro, Small and Medium Enterprises</v>
      </c>
      <c r="AC287" s="39"/>
      <c r="AD287" s="34"/>
      <c r="AE287" s="39"/>
      <c r="AF287" s="51"/>
      <c r="AG287" s="40"/>
      <c r="AH287" s="40"/>
    </row>
    <row r="288" spans="1:34" s="32" customFormat="1">
      <c r="A288" s="338" t="s">
        <v>942</v>
      </c>
      <c r="B288" s="338" t="s">
        <v>945</v>
      </c>
      <c r="C288" s="358">
        <v>44230</v>
      </c>
      <c r="D288" s="351" t="s">
        <v>1028</v>
      </c>
      <c r="E288" s="352" t="s">
        <v>1079</v>
      </c>
      <c r="F288" s="338">
        <v>0.63194444444444442</v>
      </c>
      <c r="G288" s="338">
        <v>0.63750000000000007</v>
      </c>
      <c r="H288" s="338" t="s">
        <v>968</v>
      </c>
      <c r="I288" s="353">
        <v>823</v>
      </c>
      <c r="J288" s="338" t="str">
        <f>IFERROR(VLOOKUP(I288,'Chart of accounts'!A:H,2,FALSE),"")</f>
        <v>50213050 03</v>
      </c>
      <c r="K288" s="338" t="str">
        <f>IFERROR(VLOOKUP(I288,'Chart of accounts'!A:H,3,FALSE),"")</f>
        <v>ICT Equipment</v>
      </c>
      <c r="L288" s="338" t="str">
        <f>IFERROR(VLOOKUP(I288,'Chart of accounts'!A:H,4,FALSE),"")</f>
        <v>50213050 03 - ICT Equipment (823)</v>
      </c>
      <c r="M288" s="361">
        <v>3</v>
      </c>
      <c r="N288" s="420" t="s">
        <v>820</v>
      </c>
      <c r="O288" s="420" t="s">
        <v>1074</v>
      </c>
      <c r="P288" s="420"/>
      <c r="Q288" s="420">
        <v>2766.67</v>
      </c>
      <c r="R288" s="428">
        <f t="shared" si="3"/>
        <v>-2766.67</v>
      </c>
      <c r="S288" s="428" t="str">
        <f>VLOOKUP(H288,'Fund Utilization Report'!$A$4:$U$1800,13,FALSE)</f>
        <v>MOOE</v>
      </c>
      <c r="T288" s="428" t="str">
        <f>VLOOKUP(H288,'Fund Utilization Report'!$A$4:$U$1800,2,FALSE)</f>
        <v>GAA</v>
      </c>
      <c r="U288" s="428" t="str">
        <f>VLOOKUP(H288,'Fund Utilization Report'!$A$4:$U$1800,3,FALSE)</f>
        <v>FY2021, RA11518</v>
      </c>
      <c r="V288" s="428" t="str">
        <f>VLOOKUP(H288,'Fund Utilization Report'!$A$4:$U$1800,4,FALSE)</f>
        <v>OO2</v>
      </c>
      <c r="W288" s="428" t="str">
        <f>VLOOKUP(H288,'Fund Utilization Report'!$A$4:$U$1800,5,FALSE)</f>
        <v>01101101</v>
      </c>
      <c r="X288" s="428" t="str">
        <f>VLOOKUP(H288,'Fund Utilization Report'!$A$4:$U$1800,6,FALSE)</f>
        <v>GOP</v>
      </c>
      <c r="Y288" s="320" t="str">
        <f>VLOOKUP(H288,'Fund Utilization Report'!$A$4:$U$1800,7,FALSE)</f>
        <v>MOOE</v>
      </c>
      <c r="Z288" s="425">
        <f>VLOOKUP(H288,'Fund Utilization Report'!$A$4:$U$1800,8,FALSE)</f>
        <v>5020000000</v>
      </c>
      <c r="AA288" s="428" t="str">
        <f>VLOOKUP(H288,'Fund Utilization Report'!$A$4:$U$1800,14,FALSE)</f>
        <v>320100100001000</v>
      </c>
      <c r="AB288" s="349" t="str">
        <f>VLOOKUP(H288,'Fund Utilization Report'!$A$4:$U$1800,15,FALSE)</f>
        <v>Formulation of Strategic plans,programs, and policies to develop competitve industries</v>
      </c>
      <c r="AC288" s="39"/>
      <c r="AD288" s="34"/>
      <c r="AE288" s="39"/>
      <c r="AF288" s="51"/>
      <c r="AG288" s="40"/>
      <c r="AH288" s="40"/>
    </row>
    <row r="289" spans="1:34" s="32" customFormat="1">
      <c r="A289" s="338" t="s">
        <v>942</v>
      </c>
      <c r="B289" s="338" t="s">
        <v>945</v>
      </c>
      <c r="C289" s="358">
        <v>44230</v>
      </c>
      <c r="D289" s="351" t="s">
        <v>1028</v>
      </c>
      <c r="E289" s="352" t="s">
        <v>1079</v>
      </c>
      <c r="F289" s="338">
        <v>0.63194444444444442</v>
      </c>
      <c r="G289" s="338">
        <v>0.63750000000000007</v>
      </c>
      <c r="H289" s="338" t="s">
        <v>968</v>
      </c>
      <c r="I289" s="353">
        <v>822</v>
      </c>
      <c r="J289" s="338" t="str">
        <f>IFERROR(VLOOKUP(I289,'Chart of accounts'!A:H,2,FALSE),"")</f>
        <v>50213070 00</v>
      </c>
      <c r="K289" s="338" t="str">
        <f>IFERROR(VLOOKUP(I289,'Chart of accounts'!A:H,3,FALSE),"")</f>
        <v>Furniture and Fixture</v>
      </c>
      <c r="L289" s="338" t="str">
        <f>IFERROR(VLOOKUP(I289,'Chart of accounts'!A:H,4,FALSE),"")</f>
        <v>50213070 00 - Furniture and Fixture (822)</v>
      </c>
      <c r="M289" s="361">
        <v>3</v>
      </c>
      <c r="N289" s="420" t="s">
        <v>820</v>
      </c>
      <c r="O289" s="420" t="s">
        <v>1074</v>
      </c>
      <c r="P289" s="420"/>
      <c r="Q289" s="420">
        <v>1383.33</v>
      </c>
      <c r="R289" s="428">
        <f t="shared" si="3"/>
        <v>-1383.33</v>
      </c>
      <c r="S289" s="428" t="str">
        <f>VLOOKUP(H289,'Fund Utilization Report'!$A$4:$U$1800,13,FALSE)</f>
        <v>MOOE</v>
      </c>
      <c r="T289" s="428" t="str">
        <f>VLOOKUP(H289,'Fund Utilization Report'!$A$4:$U$1800,2,FALSE)</f>
        <v>GAA</v>
      </c>
      <c r="U289" s="428" t="str">
        <f>VLOOKUP(H289,'Fund Utilization Report'!$A$4:$U$1800,3,FALSE)</f>
        <v>FY2021, RA11518</v>
      </c>
      <c r="V289" s="428" t="str">
        <f>VLOOKUP(H289,'Fund Utilization Report'!$A$4:$U$1800,4,FALSE)</f>
        <v>OO2</v>
      </c>
      <c r="W289" s="428" t="str">
        <f>VLOOKUP(H289,'Fund Utilization Report'!$A$4:$U$1800,5,FALSE)</f>
        <v>01101101</v>
      </c>
      <c r="X289" s="428" t="str">
        <f>VLOOKUP(H289,'Fund Utilization Report'!$A$4:$U$1800,6,FALSE)</f>
        <v>GOP</v>
      </c>
      <c r="Y289" s="320" t="str">
        <f>VLOOKUP(H289,'Fund Utilization Report'!$A$4:$U$1800,7,FALSE)</f>
        <v>MOOE</v>
      </c>
      <c r="Z289" s="425">
        <f>VLOOKUP(H289,'Fund Utilization Report'!$A$4:$U$1800,8,FALSE)</f>
        <v>5020000000</v>
      </c>
      <c r="AA289" s="428" t="str">
        <f>VLOOKUP(H289,'Fund Utilization Report'!$A$4:$U$1800,14,FALSE)</f>
        <v>320100100001000</v>
      </c>
      <c r="AB289" s="349" t="str">
        <f>VLOOKUP(H289,'Fund Utilization Report'!$A$4:$U$1800,15,FALSE)</f>
        <v>Formulation of Strategic plans,programs, and policies to develop competitve industries</v>
      </c>
      <c r="AC289" s="39"/>
      <c r="AD289" s="34"/>
      <c r="AE289" s="39"/>
      <c r="AF289" s="51"/>
      <c r="AG289" s="40"/>
      <c r="AH289" s="40"/>
    </row>
    <row r="290" spans="1:34" s="32" customFormat="1">
      <c r="A290" s="338" t="s">
        <v>942</v>
      </c>
      <c r="B290" s="338" t="s">
        <v>945</v>
      </c>
      <c r="C290" s="358">
        <v>44230</v>
      </c>
      <c r="D290" s="351" t="s">
        <v>1028</v>
      </c>
      <c r="E290" s="352" t="s">
        <v>1079</v>
      </c>
      <c r="F290" s="338">
        <v>0.63194444444444442</v>
      </c>
      <c r="G290" s="338">
        <v>0.63750000000000007</v>
      </c>
      <c r="H290" s="338" t="s">
        <v>961</v>
      </c>
      <c r="I290" s="353">
        <v>841</v>
      </c>
      <c r="J290" s="338" t="str">
        <f>IFERROR(VLOOKUP(I290,'Chart of accounts'!A:H,2,FALSE),"")</f>
        <v>50213060 01</v>
      </c>
      <c r="K290" s="338" t="str">
        <f>IFERROR(VLOOKUP(I290,'Chart of accounts'!A:H,3,FALSE),"")</f>
        <v>Motor Vehicles</v>
      </c>
      <c r="L290" s="338" t="str">
        <f>IFERROR(VLOOKUP(I290,'Chart of accounts'!A:H,4,FALSE),"")</f>
        <v>50213060 01 - Motor Vehicles (841)</v>
      </c>
      <c r="M290" s="361">
        <v>3</v>
      </c>
      <c r="N290" s="420" t="s">
        <v>820</v>
      </c>
      <c r="O290" s="420" t="s">
        <v>1074</v>
      </c>
      <c r="P290" s="420"/>
      <c r="Q290" s="420">
        <v>13833.33</v>
      </c>
      <c r="R290" s="428">
        <f t="shared" si="3"/>
        <v>-13833.33</v>
      </c>
      <c r="S290" s="428" t="str">
        <f>VLOOKUP(H290,'Fund Utilization Report'!$A$4:$U$1800,13,FALSE)</f>
        <v>MOOE</v>
      </c>
      <c r="T290" s="428" t="str">
        <f>VLOOKUP(H290,'Fund Utilization Report'!$A$4:$U$1800,2,FALSE)</f>
        <v>GAA</v>
      </c>
      <c r="U290" s="428" t="str">
        <f>VLOOKUP(H290,'Fund Utilization Report'!$A$4:$U$1800,3,FALSE)</f>
        <v>FY2021, RA11518</v>
      </c>
      <c r="V290" s="428" t="str">
        <f>VLOOKUP(H290,'Fund Utilization Report'!$A$4:$U$1800,4,FALSE)</f>
        <v>GAS(GMS)</v>
      </c>
      <c r="W290" s="428" t="str">
        <f>VLOOKUP(H290,'Fund Utilization Report'!$A$4:$U$1800,5,FALSE)</f>
        <v>01101101</v>
      </c>
      <c r="X290" s="428" t="str">
        <f>VLOOKUP(H290,'Fund Utilization Report'!$A$4:$U$1800,6,FALSE)</f>
        <v>GOP</v>
      </c>
      <c r="Y290" s="320" t="str">
        <f>VLOOKUP(H290,'Fund Utilization Report'!$A$4:$U$1800,7,FALSE)</f>
        <v>MOOE</v>
      </c>
      <c r="Z290" s="425">
        <f>VLOOKUP(H290,'Fund Utilization Report'!$A$4:$U$1800,8,FALSE)</f>
        <v>5020000000</v>
      </c>
      <c r="AA290" s="428" t="str">
        <f>VLOOKUP(H290,'Fund Utilization Report'!$A$4:$U$1800,14,FALSE)</f>
        <v>100000100001000</v>
      </c>
      <c r="AB290" s="349" t="str">
        <f>VLOOKUP(H290,'Fund Utilization Report'!$A$4:$U$1800,15,FALSE)</f>
        <v>General Administration and Supervision - General Management and Supervision</v>
      </c>
      <c r="AC290" s="39"/>
      <c r="AD290" s="34"/>
      <c r="AE290" s="39"/>
      <c r="AF290" s="51"/>
      <c r="AG290" s="40"/>
      <c r="AH290" s="40"/>
    </row>
    <row r="291" spans="1:34" s="32" customFormat="1">
      <c r="A291" s="338" t="s">
        <v>942</v>
      </c>
      <c r="B291" s="338" t="s">
        <v>945</v>
      </c>
      <c r="C291" s="358">
        <v>44230</v>
      </c>
      <c r="D291" s="351" t="s">
        <v>1028</v>
      </c>
      <c r="E291" s="352" t="s">
        <v>1079</v>
      </c>
      <c r="F291" s="338">
        <v>0.63194444444444442</v>
      </c>
      <c r="G291" s="338">
        <v>0.63750000000000007</v>
      </c>
      <c r="H291" s="338" t="s">
        <v>961</v>
      </c>
      <c r="I291" s="353">
        <v>891</v>
      </c>
      <c r="J291" s="338" t="str">
        <f>IFERROR(VLOOKUP(I291,'Chart of accounts'!A:H,2,FALSE),"")</f>
        <v>50215010 01</v>
      </c>
      <c r="K291" s="338" t="str">
        <f>IFERROR(VLOOKUP(I291,'Chart of accounts'!A:H,3,FALSE),"")</f>
        <v>Taxes, Duties and Licenses</v>
      </c>
      <c r="L291" s="338" t="str">
        <f>IFERROR(VLOOKUP(I291,'Chart of accounts'!A:H,4,FALSE),"")</f>
        <v>50215010 01 - Taxes, Duties and Licenses (891)</v>
      </c>
      <c r="M291" s="361">
        <v>3</v>
      </c>
      <c r="N291" s="420" t="s">
        <v>820</v>
      </c>
      <c r="O291" s="420" t="s">
        <v>1074</v>
      </c>
      <c r="P291" s="420"/>
      <c r="Q291" s="420">
        <v>691.67</v>
      </c>
      <c r="R291" s="428">
        <f t="shared" si="3"/>
        <v>-691.67</v>
      </c>
      <c r="S291" s="428" t="str">
        <f>VLOOKUP(H291,'Fund Utilization Report'!$A$4:$U$1800,13,FALSE)</f>
        <v>MOOE</v>
      </c>
      <c r="T291" s="428" t="str">
        <f>VLOOKUP(H291,'Fund Utilization Report'!$A$4:$U$1800,2,FALSE)</f>
        <v>GAA</v>
      </c>
      <c r="U291" s="428" t="str">
        <f>VLOOKUP(H291,'Fund Utilization Report'!$A$4:$U$1800,3,FALSE)</f>
        <v>FY2021, RA11518</v>
      </c>
      <c r="V291" s="428" t="str">
        <f>VLOOKUP(H291,'Fund Utilization Report'!$A$4:$U$1800,4,FALSE)</f>
        <v>GAS(GMS)</v>
      </c>
      <c r="W291" s="428" t="str">
        <f>VLOOKUP(H291,'Fund Utilization Report'!$A$4:$U$1800,5,FALSE)</f>
        <v>01101101</v>
      </c>
      <c r="X291" s="428" t="str">
        <f>VLOOKUP(H291,'Fund Utilization Report'!$A$4:$U$1800,6,FALSE)</f>
        <v>GOP</v>
      </c>
      <c r="Y291" s="320" t="str">
        <f>VLOOKUP(H291,'Fund Utilization Report'!$A$4:$U$1800,7,FALSE)</f>
        <v>MOOE</v>
      </c>
      <c r="Z291" s="425">
        <f>VLOOKUP(H291,'Fund Utilization Report'!$A$4:$U$1800,8,FALSE)</f>
        <v>5020000000</v>
      </c>
      <c r="AA291" s="428" t="str">
        <f>VLOOKUP(H291,'Fund Utilization Report'!$A$4:$U$1800,14,FALSE)</f>
        <v>100000100001000</v>
      </c>
      <c r="AB291" s="349" t="str">
        <f>VLOOKUP(H291,'Fund Utilization Report'!$A$4:$U$1800,15,FALSE)</f>
        <v>General Administration and Supervision - General Management and Supervision</v>
      </c>
      <c r="AC291" s="39"/>
      <c r="AD291" s="34"/>
      <c r="AE291" s="39"/>
      <c r="AF291" s="51"/>
      <c r="AG291" s="40"/>
      <c r="AH291" s="40"/>
    </row>
    <row r="292" spans="1:34" s="32" customFormat="1">
      <c r="A292" s="338" t="s">
        <v>942</v>
      </c>
      <c r="B292" s="338" t="s">
        <v>945</v>
      </c>
      <c r="C292" s="358">
        <v>44230</v>
      </c>
      <c r="D292" s="351" t="s">
        <v>1028</v>
      </c>
      <c r="E292" s="352" t="s">
        <v>1079</v>
      </c>
      <c r="F292" s="338">
        <v>0.63194444444444442</v>
      </c>
      <c r="G292" s="338">
        <v>0.63750000000000007</v>
      </c>
      <c r="H292" s="338" t="s">
        <v>961</v>
      </c>
      <c r="I292" s="353">
        <v>892</v>
      </c>
      <c r="J292" s="338" t="str">
        <f>IFERROR(VLOOKUP(I292,'Chart of accounts'!A:H,2,FALSE),"")</f>
        <v>50215020 00</v>
      </c>
      <c r="K292" s="338" t="str">
        <f>IFERROR(VLOOKUP(I292,'Chart of accounts'!A:H,3,FALSE),"")</f>
        <v>Fidelity Bond Premiums</v>
      </c>
      <c r="L292" s="338" t="str">
        <f>IFERROR(VLOOKUP(I292,'Chart of accounts'!A:H,4,FALSE),"")</f>
        <v>50215020 00 - Fidelity Bond Premiums (892)</v>
      </c>
      <c r="M292" s="361">
        <v>3</v>
      </c>
      <c r="N292" s="420" t="s">
        <v>820</v>
      </c>
      <c r="O292" s="420" t="s">
        <v>1074</v>
      </c>
      <c r="P292" s="420"/>
      <c r="Q292" s="420">
        <v>1798.33</v>
      </c>
      <c r="R292" s="428">
        <f t="shared" si="3"/>
        <v>-1798.33</v>
      </c>
      <c r="S292" s="428" t="str">
        <f>VLOOKUP(H292,'Fund Utilization Report'!$A$4:$U$1800,13,FALSE)</f>
        <v>MOOE</v>
      </c>
      <c r="T292" s="428" t="str">
        <f>VLOOKUP(H292,'Fund Utilization Report'!$A$4:$U$1800,2,FALSE)</f>
        <v>GAA</v>
      </c>
      <c r="U292" s="428" t="str">
        <f>VLOOKUP(H292,'Fund Utilization Report'!$A$4:$U$1800,3,FALSE)</f>
        <v>FY2021, RA11518</v>
      </c>
      <c r="V292" s="428" t="str">
        <f>VLOOKUP(H292,'Fund Utilization Report'!$A$4:$U$1800,4,FALSE)</f>
        <v>GAS(GMS)</v>
      </c>
      <c r="W292" s="428" t="str">
        <f>VLOOKUP(H292,'Fund Utilization Report'!$A$4:$U$1800,5,FALSE)</f>
        <v>01101101</v>
      </c>
      <c r="X292" s="428" t="str">
        <f>VLOOKUP(H292,'Fund Utilization Report'!$A$4:$U$1800,6,FALSE)</f>
        <v>GOP</v>
      </c>
      <c r="Y292" s="320" t="str">
        <f>VLOOKUP(H292,'Fund Utilization Report'!$A$4:$U$1800,7,FALSE)</f>
        <v>MOOE</v>
      </c>
      <c r="Z292" s="425">
        <f>VLOOKUP(H292,'Fund Utilization Report'!$A$4:$U$1800,8,FALSE)</f>
        <v>5020000000</v>
      </c>
      <c r="AA292" s="428" t="str">
        <f>VLOOKUP(H292,'Fund Utilization Report'!$A$4:$U$1800,14,FALSE)</f>
        <v>100000100001000</v>
      </c>
      <c r="AB292" s="349" t="str">
        <f>VLOOKUP(H292,'Fund Utilization Report'!$A$4:$U$1800,15,FALSE)</f>
        <v>General Administration and Supervision - General Management and Supervision</v>
      </c>
      <c r="AC292" s="39"/>
      <c r="AD292" s="34"/>
      <c r="AE292" s="39"/>
      <c r="AF292" s="51"/>
      <c r="AG292" s="40"/>
      <c r="AH292" s="40"/>
    </row>
    <row r="293" spans="1:34" s="32" customFormat="1">
      <c r="A293" s="338" t="s">
        <v>942</v>
      </c>
      <c r="B293" s="338" t="s">
        <v>945</v>
      </c>
      <c r="C293" s="358">
        <v>44230</v>
      </c>
      <c r="D293" s="351" t="s">
        <v>1028</v>
      </c>
      <c r="E293" s="352" t="s">
        <v>1079</v>
      </c>
      <c r="F293" s="338">
        <v>0.63194444444444442</v>
      </c>
      <c r="G293" s="338">
        <v>0.63750000000000007</v>
      </c>
      <c r="H293" s="338" t="s">
        <v>961</v>
      </c>
      <c r="I293" s="353">
        <v>893</v>
      </c>
      <c r="J293" s="338" t="str">
        <f>IFERROR(VLOOKUP(I293,'Chart of accounts'!A:H,2,FALSE),"")</f>
        <v>50215030 00</v>
      </c>
      <c r="K293" s="338" t="str">
        <f>IFERROR(VLOOKUP(I293,'Chart of accounts'!A:H,3,FALSE),"")</f>
        <v>Insurance Expense</v>
      </c>
      <c r="L293" s="338" t="str">
        <f>IFERROR(VLOOKUP(I293,'Chart of accounts'!A:H,4,FALSE),"")</f>
        <v>50215030 00 - Insurance Expense (893)</v>
      </c>
      <c r="M293" s="361">
        <v>3</v>
      </c>
      <c r="N293" s="420" t="s">
        <v>820</v>
      </c>
      <c r="O293" s="420" t="s">
        <v>1074</v>
      </c>
      <c r="P293" s="420"/>
      <c r="Q293" s="420">
        <v>3609.82</v>
      </c>
      <c r="R293" s="428">
        <f t="shared" si="3"/>
        <v>-3609.82</v>
      </c>
      <c r="S293" s="428" t="str">
        <f>VLOOKUP(H293,'Fund Utilization Report'!$A$4:$U$1800,13,FALSE)</f>
        <v>MOOE</v>
      </c>
      <c r="T293" s="428" t="str">
        <f>VLOOKUP(H293,'Fund Utilization Report'!$A$4:$U$1800,2,FALSE)</f>
        <v>GAA</v>
      </c>
      <c r="U293" s="428" t="str">
        <f>VLOOKUP(H293,'Fund Utilization Report'!$A$4:$U$1800,3,FALSE)</f>
        <v>FY2021, RA11518</v>
      </c>
      <c r="V293" s="428" t="str">
        <f>VLOOKUP(H293,'Fund Utilization Report'!$A$4:$U$1800,4,FALSE)</f>
        <v>GAS(GMS)</v>
      </c>
      <c r="W293" s="428" t="str">
        <f>VLOOKUP(H293,'Fund Utilization Report'!$A$4:$U$1800,5,FALSE)</f>
        <v>01101101</v>
      </c>
      <c r="X293" s="428" t="str">
        <f>VLOOKUP(H293,'Fund Utilization Report'!$A$4:$U$1800,6,FALSE)</f>
        <v>GOP</v>
      </c>
      <c r="Y293" s="320" t="str">
        <f>VLOOKUP(H293,'Fund Utilization Report'!$A$4:$U$1800,7,FALSE)</f>
        <v>MOOE</v>
      </c>
      <c r="Z293" s="425">
        <f>VLOOKUP(H293,'Fund Utilization Report'!$A$4:$U$1800,8,FALSE)</f>
        <v>5020000000</v>
      </c>
      <c r="AA293" s="428" t="str">
        <f>VLOOKUP(H293,'Fund Utilization Report'!$A$4:$U$1800,14,FALSE)</f>
        <v>100000100001000</v>
      </c>
      <c r="AB293" s="349" t="str">
        <f>VLOOKUP(H293,'Fund Utilization Report'!$A$4:$U$1800,15,FALSE)</f>
        <v>General Administration and Supervision - General Management and Supervision</v>
      </c>
      <c r="AC293" s="39"/>
      <c r="AD293" s="34"/>
      <c r="AE293" s="39"/>
      <c r="AF293" s="51"/>
      <c r="AG293" s="40"/>
      <c r="AH293" s="40"/>
    </row>
    <row r="294" spans="1:34" s="32" customFormat="1">
      <c r="A294" s="338" t="s">
        <v>942</v>
      </c>
      <c r="B294" s="338" t="s">
        <v>945</v>
      </c>
      <c r="C294" s="358">
        <v>44230</v>
      </c>
      <c r="D294" s="351" t="s">
        <v>1028</v>
      </c>
      <c r="E294" s="352" t="s">
        <v>1079</v>
      </c>
      <c r="F294" s="338">
        <v>0.63194444444444442</v>
      </c>
      <c r="G294" s="338">
        <v>0.63750000000000007</v>
      </c>
      <c r="H294" s="338" t="s">
        <v>961</v>
      </c>
      <c r="I294" s="353">
        <v>751</v>
      </c>
      <c r="J294" s="338" t="str">
        <f>IFERROR(VLOOKUP(I294,'Chart of accounts'!A:H,2,FALSE),"")</f>
        <v>50201010 00</v>
      </c>
      <c r="K294" s="338" t="str">
        <f>IFERROR(VLOOKUP(I294,'Chart of accounts'!A:H,3,FALSE),"")</f>
        <v>Traveling Expenses - Local</v>
      </c>
      <c r="L294" s="338" t="str">
        <f>IFERROR(VLOOKUP(I294,'Chart of accounts'!A:H,4,FALSE),"")</f>
        <v>50201010 00 - Traveling Expenses - Local (751)</v>
      </c>
      <c r="M294" s="361">
        <v>3</v>
      </c>
      <c r="N294" s="420" t="s">
        <v>820</v>
      </c>
      <c r="O294" s="420" t="s">
        <v>1074</v>
      </c>
      <c r="P294" s="420"/>
      <c r="Q294" s="420">
        <v>1383.33</v>
      </c>
      <c r="R294" s="428">
        <f t="shared" si="3"/>
        <v>-1383.33</v>
      </c>
      <c r="S294" s="428" t="str">
        <f>VLOOKUP(H294,'Fund Utilization Report'!$A$4:$U$1800,13,FALSE)</f>
        <v>MOOE</v>
      </c>
      <c r="T294" s="428" t="str">
        <f>VLOOKUP(H294,'Fund Utilization Report'!$A$4:$U$1800,2,FALSE)</f>
        <v>GAA</v>
      </c>
      <c r="U294" s="428" t="str">
        <f>VLOOKUP(H294,'Fund Utilization Report'!$A$4:$U$1800,3,FALSE)</f>
        <v>FY2021, RA11518</v>
      </c>
      <c r="V294" s="428" t="str">
        <f>VLOOKUP(H294,'Fund Utilization Report'!$A$4:$U$1800,4,FALSE)</f>
        <v>GAS(GMS)</v>
      </c>
      <c r="W294" s="428" t="str">
        <f>VLOOKUP(H294,'Fund Utilization Report'!$A$4:$U$1800,5,FALSE)</f>
        <v>01101101</v>
      </c>
      <c r="X294" s="428" t="str">
        <f>VLOOKUP(H294,'Fund Utilization Report'!$A$4:$U$1800,6,FALSE)</f>
        <v>GOP</v>
      </c>
      <c r="Y294" s="320" t="str">
        <f>VLOOKUP(H294,'Fund Utilization Report'!$A$4:$U$1800,7,FALSE)</f>
        <v>MOOE</v>
      </c>
      <c r="Z294" s="425">
        <f>VLOOKUP(H294,'Fund Utilization Report'!$A$4:$U$1800,8,FALSE)</f>
        <v>5020000000</v>
      </c>
      <c r="AA294" s="428" t="str">
        <f>VLOOKUP(H294,'Fund Utilization Report'!$A$4:$U$1800,14,FALSE)</f>
        <v>100000100001000</v>
      </c>
      <c r="AB294" s="349" t="str">
        <f>VLOOKUP(H294,'Fund Utilization Report'!$A$4:$U$1800,15,FALSE)</f>
        <v>General Administration and Supervision - General Management and Supervision</v>
      </c>
      <c r="AC294" s="39"/>
      <c r="AD294" s="34"/>
      <c r="AE294" s="39"/>
      <c r="AF294" s="51"/>
      <c r="AG294" s="40"/>
      <c r="AH294" s="40"/>
    </row>
    <row r="295" spans="1:34" s="32" customFormat="1">
      <c r="A295" s="338" t="s">
        <v>942</v>
      </c>
      <c r="B295" s="338" t="s">
        <v>945</v>
      </c>
      <c r="C295" s="358">
        <v>44230</v>
      </c>
      <c r="D295" s="351" t="s">
        <v>1028</v>
      </c>
      <c r="E295" s="352" t="s">
        <v>1079</v>
      </c>
      <c r="F295" s="338">
        <v>0.63194444444444442</v>
      </c>
      <c r="G295" s="338">
        <v>0.63750000000000007</v>
      </c>
      <c r="H295" s="338" t="s">
        <v>961</v>
      </c>
      <c r="I295" s="353">
        <v>755</v>
      </c>
      <c r="J295" s="338" t="str">
        <f>IFERROR(VLOOKUP(I295,'Chart of accounts'!A:H,2,FALSE),"")</f>
        <v>50203010 00</v>
      </c>
      <c r="K295" s="338" t="str">
        <f>IFERROR(VLOOKUP(I295,'Chart of accounts'!A:H,3,FALSE),"")</f>
        <v>Office Supplies Expenses</v>
      </c>
      <c r="L295" s="338" t="str">
        <f>IFERROR(VLOOKUP(I295,'Chart of accounts'!A:H,4,FALSE),"")</f>
        <v>50203010 00 - Office Supplies Expenses (755)</v>
      </c>
      <c r="M295" s="361">
        <v>3</v>
      </c>
      <c r="N295" s="420" t="s">
        <v>820</v>
      </c>
      <c r="O295" s="420" t="s">
        <v>1074</v>
      </c>
      <c r="P295" s="420"/>
      <c r="Q295" s="420">
        <v>6916.67</v>
      </c>
      <c r="R295" s="428">
        <f t="shared" si="3"/>
        <v>-6916.67</v>
      </c>
      <c r="S295" s="428" t="str">
        <f>VLOOKUP(H295,'Fund Utilization Report'!$A$4:$U$1800,13,FALSE)</f>
        <v>MOOE</v>
      </c>
      <c r="T295" s="428" t="str">
        <f>VLOOKUP(H295,'Fund Utilization Report'!$A$4:$U$1800,2,FALSE)</f>
        <v>GAA</v>
      </c>
      <c r="U295" s="428" t="str">
        <f>VLOOKUP(H295,'Fund Utilization Report'!$A$4:$U$1800,3,FALSE)</f>
        <v>FY2021, RA11518</v>
      </c>
      <c r="V295" s="428" t="str">
        <f>VLOOKUP(H295,'Fund Utilization Report'!$A$4:$U$1800,4,FALSE)</f>
        <v>GAS(GMS)</v>
      </c>
      <c r="W295" s="428" t="str">
        <f>VLOOKUP(H295,'Fund Utilization Report'!$A$4:$U$1800,5,FALSE)</f>
        <v>01101101</v>
      </c>
      <c r="X295" s="428" t="str">
        <f>VLOOKUP(H295,'Fund Utilization Report'!$A$4:$U$1800,6,FALSE)</f>
        <v>GOP</v>
      </c>
      <c r="Y295" s="320" t="str">
        <f>VLOOKUP(H295,'Fund Utilization Report'!$A$4:$U$1800,7,FALSE)</f>
        <v>MOOE</v>
      </c>
      <c r="Z295" s="425">
        <f>VLOOKUP(H295,'Fund Utilization Report'!$A$4:$U$1800,8,FALSE)</f>
        <v>5020000000</v>
      </c>
      <c r="AA295" s="428" t="str">
        <f>VLOOKUP(H295,'Fund Utilization Report'!$A$4:$U$1800,14,FALSE)</f>
        <v>100000100001000</v>
      </c>
      <c r="AB295" s="349" t="str">
        <f>VLOOKUP(H295,'Fund Utilization Report'!$A$4:$U$1800,15,FALSE)</f>
        <v>General Administration and Supervision - General Management and Supervision</v>
      </c>
      <c r="AC295" s="39"/>
      <c r="AD295" s="34"/>
      <c r="AE295" s="39"/>
      <c r="AF295" s="51"/>
      <c r="AG295" s="40"/>
      <c r="AH295" s="40"/>
    </row>
    <row r="296" spans="1:34" s="32" customFormat="1">
      <c r="A296" s="338" t="s">
        <v>942</v>
      </c>
      <c r="B296" s="338" t="s">
        <v>945</v>
      </c>
      <c r="C296" s="358">
        <v>44230</v>
      </c>
      <c r="D296" s="351" t="s">
        <v>1028</v>
      </c>
      <c r="E296" s="352" t="s">
        <v>1079</v>
      </c>
      <c r="F296" s="338">
        <v>0.63194444444444442</v>
      </c>
      <c r="G296" s="338">
        <v>0.63750000000000007</v>
      </c>
      <c r="H296" s="338" t="s">
        <v>961</v>
      </c>
      <c r="I296" s="353">
        <v>781</v>
      </c>
      <c r="J296" s="338" t="str">
        <f>IFERROR(VLOOKUP(I296,'Chart of accounts'!A:H,2,FALSE),"")</f>
        <v>50299020 00</v>
      </c>
      <c r="K296" s="338" t="str">
        <f>IFERROR(VLOOKUP(I296,'Chart of accounts'!A:H,3,FALSE),"")</f>
        <v>Printing and Binding Expenses</v>
      </c>
      <c r="L296" s="338" t="str">
        <f>IFERROR(VLOOKUP(I296,'Chart of accounts'!A:H,4,FALSE),"")</f>
        <v>50299020 00 - Printing and Binding Expenses (781)</v>
      </c>
      <c r="M296" s="361">
        <v>3</v>
      </c>
      <c r="N296" s="420" t="s">
        <v>820</v>
      </c>
      <c r="O296" s="420" t="s">
        <v>1074</v>
      </c>
      <c r="P296" s="420"/>
      <c r="Q296" s="420">
        <v>2075</v>
      </c>
      <c r="R296" s="428">
        <f t="shared" si="3"/>
        <v>-2075</v>
      </c>
      <c r="S296" s="428" t="str">
        <f>VLOOKUP(H296,'Fund Utilization Report'!$A$4:$U$1800,13,FALSE)</f>
        <v>MOOE</v>
      </c>
      <c r="T296" s="428" t="str">
        <f>VLOOKUP(H296,'Fund Utilization Report'!$A$4:$U$1800,2,FALSE)</f>
        <v>GAA</v>
      </c>
      <c r="U296" s="428" t="str">
        <f>VLOOKUP(H296,'Fund Utilization Report'!$A$4:$U$1800,3,FALSE)</f>
        <v>FY2021, RA11518</v>
      </c>
      <c r="V296" s="428" t="str">
        <f>VLOOKUP(H296,'Fund Utilization Report'!$A$4:$U$1800,4,FALSE)</f>
        <v>GAS(GMS)</v>
      </c>
      <c r="W296" s="428" t="str">
        <f>VLOOKUP(H296,'Fund Utilization Report'!$A$4:$U$1800,5,FALSE)</f>
        <v>01101101</v>
      </c>
      <c r="X296" s="428" t="str">
        <f>VLOOKUP(H296,'Fund Utilization Report'!$A$4:$U$1800,6,FALSE)</f>
        <v>GOP</v>
      </c>
      <c r="Y296" s="320" t="str">
        <f>VLOOKUP(H296,'Fund Utilization Report'!$A$4:$U$1800,7,FALSE)</f>
        <v>MOOE</v>
      </c>
      <c r="Z296" s="425">
        <f>VLOOKUP(H296,'Fund Utilization Report'!$A$4:$U$1800,8,FALSE)</f>
        <v>5020000000</v>
      </c>
      <c r="AA296" s="428" t="str">
        <f>VLOOKUP(H296,'Fund Utilization Report'!$A$4:$U$1800,14,FALSE)</f>
        <v>100000100001000</v>
      </c>
      <c r="AB296" s="349" t="str">
        <f>VLOOKUP(H296,'Fund Utilization Report'!$A$4:$U$1800,15,FALSE)</f>
        <v>General Administration and Supervision - General Management and Supervision</v>
      </c>
      <c r="AC296" s="39"/>
      <c r="AD296" s="34"/>
      <c r="AE296" s="39"/>
      <c r="AF296" s="51"/>
      <c r="AG296" s="40"/>
      <c r="AH296" s="40"/>
    </row>
    <row r="297" spans="1:34" s="32" customFormat="1">
      <c r="A297" s="338" t="s">
        <v>942</v>
      </c>
      <c r="B297" s="338" t="s">
        <v>945</v>
      </c>
      <c r="C297" s="358">
        <v>44230</v>
      </c>
      <c r="D297" s="351" t="s">
        <v>1028</v>
      </c>
      <c r="E297" s="352" t="s">
        <v>1079</v>
      </c>
      <c r="F297" s="338">
        <v>0.63194444444444442</v>
      </c>
      <c r="G297" s="338">
        <v>0.63750000000000007</v>
      </c>
      <c r="H297" s="338" t="s">
        <v>961</v>
      </c>
      <c r="I297" s="353">
        <v>783</v>
      </c>
      <c r="J297" s="338" t="str">
        <f>IFERROR(VLOOKUP(I297,'Chart of accounts'!A:H,2,FALSE),"")</f>
        <v>50299030 00</v>
      </c>
      <c r="K297" s="338" t="str">
        <f>IFERROR(VLOOKUP(I297,'Chart of accounts'!A:H,3,FALSE),"")</f>
        <v>Representation Expenses</v>
      </c>
      <c r="L297" s="338" t="str">
        <f>IFERROR(VLOOKUP(I297,'Chart of accounts'!A:H,4,FALSE),"")</f>
        <v>50299030 00 - Representation Expenses (783)</v>
      </c>
      <c r="M297" s="361">
        <v>3</v>
      </c>
      <c r="N297" s="420" t="s">
        <v>820</v>
      </c>
      <c r="O297" s="420" t="s">
        <v>1074</v>
      </c>
      <c r="P297" s="420"/>
      <c r="Q297" s="420">
        <v>3375.33</v>
      </c>
      <c r="R297" s="428">
        <f t="shared" si="3"/>
        <v>-3375.33</v>
      </c>
      <c r="S297" s="428" t="str">
        <f>VLOOKUP(H297,'Fund Utilization Report'!$A$4:$U$1800,13,FALSE)</f>
        <v>MOOE</v>
      </c>
      <c r="T297" s="428" t="str">
        <f>VLOOKUP(H297,'Fund Utilization Report'!$A$4:$U$1800,2,FALSE)</f>
        <v>GAA</v>
      </c>
      <c r="U297" s="428" t="str">
        <f>VLOOKUP(H297,'Fund Utilization Report'!$A$4:$U$1800,3,FALSE)</f>
        <v>FY2021, RA11518</v>
      </c>
      <c r="V297" s="428" t="str">
        <f>VLOOKUP(H297,'Fund Utilization Report'!$A$4:$U$1800,4,FALSE)</f>
        <v>GAS(GMS)</v>
      </c>
      <c r="W297" s="428" t="str">
        <f>VLOOKUP(H297,'Fund Utilization Report'!$A$4:$U$1800,5,FALSE)</f>
        <v>01101101</v>
      </c>
      <c r="X297" s="428" t="str">
        <f>VLOOKUP(H297,'Fund Utilization Report'!$A$4:$U$1800,6,FALSE)</f>
        <v>GOP</v>
      </c>
      <c r="Y297" s="320" t="str">
        <f>VLOOKUP(H297,'Fund Utilization Report'!$A$4:$U$1800,7,FALSE)</f>
        <v>MOOE</v>
      </c>
      <c r="Z297" s="425">
        <f>VLOOKUP(H297,'Fund Utilization Report'!$A$4:$U$1800,8,FALSE)</f>
        <v>5020000000</v>
      </c>
      <c r="AA297" s="428" t="str">
        <f>VLOOKUP(H297,'Fund Utilization Report'!$A$4:$U$1800,14,FALSE)</f>
        <v>100000100001000</v>
      </c>
      <c r="AB297" s="349" t="str">
        <f>VLOOKUP(H297,'Fund Utilization Report'!$A$4:$U$1800,15,FALSE)</f>
        <v>General Administration and Supervision - General Management and Supervision</v>
      </c>
      <c r="AC297" s="39"/>
      <c r="AD297" s="34"/>
      <c r="AE297" s="39"/>
      <c r="AF297" s="51"/>
      <c r="AG297" s="40"/>
      <c r="AH297" s="40"/>
    </row>
    <row r="298" spans="1:34" s="32" customFormat="1">
      <c r="A298" s="338" t="s">
        <v>942</v>
      </c>
      <c r="B298" s="338" t="s">
        <v>945</v>
      </c>
      <c r="C298" s="358">
        <v>44230</v>
      </c>
      <c r="D298" s="351" t="s">
        <v>1028</v>
      </c>
      <c r="E298" s="352" t="s">
        <v>1079</v>
      </c>
      <c r="F298" s="338">
        <v>0.63194444444444442</v>
      </c>
      <c r="G298" s="338">
        <v>0.63750000000000007</v>
      </c>
      <c r="H298" s="338" t="s">
        <v>968</v>
      </c>
      <c r="I298" s="353">
        <v>784</v>
      </c>
      <c r="J298" s="338" t="str">
        <f>IFERROR(VLOOKUP(I298,'Chart of accounts'!A:H,2,FALSE),"")</f>
        <v>50299040 00</v>
      </c>
      <c r="K298" s="338" t="str">
        <f>IFERROR(VLOOKUP(I298,'Chart of accounts'!A:H,3,FALSE),"")</f>
        <v>Transportation and Delivery Expenses</v>
      </c>
      <c r="L298" s="338" t="str">
        <f>IFERROR(VLOOKUP(I298,'Chart of accounts'!A:H,4,FALSE),"")</f>
        <v>50299040 00 - Transportation and Delivery Expenses (784)</v>
      </c>
      <c r="M298" s="361">
        <v>3</v>
      </c>
      <c r="N298" s="420" t="s">
        <v>820</v>
      </c>
      <c r="O298" s="420" t="s">
        <v>1074</v>
      </c>
      <c r="P298" s="420"/>
      <c r="Q298" s="420">
        <v>691.67</v>
      </c>
      <c r="R298" s="428">
        <f t="shared" si="3"/>
        <v>-691.67</v>
      </c>
      <c r="S298" s="428" t="str">
        <f>VLOOKUP(H298,'Fund Utilization Report'!$A$4:$U$1800,13,FALSE)</f>
        <v>MOOE</v>
      </c>
      <c r="T298" s="428" t="str">
        <f>VLOOKUP(H298,'Fund Utilization Report'!$A$4:$U$1800,2,FALSE)</f>
        <v>GAA</v>
      </c>
      <c r="U298" s="428" t="str">
        <f>VLOOKUP(H298,'Fund Utilization Report'!$A$4:$U$1800,3,FALSE)</f>
        <v>FY2021, RA11518</v>
      </c>
      <c r="V298" s="428" t="str">
        <f>VLOOKUP(H298,'Fund Utilization Report'!$A$4:$U$1800,4,FALSE)</f>
        <v>OO2</v>
      </c>
      <c r="W298" s="428" t="str">
        <f>VLOOKUP(H298,'Fund Utilization Report'!$A$4:$U$1800,5,FALSE)</f>
        <v>01101101</v>
      </c>
      <c r="X298" s="428" t="str">
        <f>VLOOKUP(H298,'Fund Utilization Report'!$A$4:$U$1800,6,FALSE)</f>
        <v>GOP</v>
      </c>
      <c r="Y298" s="320" t="str">
        <f>VLOOKUP(H298,'Fund Utilization Report'!$A$4:$U$1800,7,FALSE)</f>
        <v>MOOE</v>
      </c>
      <c r="Z298" s="425">
        <f>VLOOKUP(H298,'Fund Utilization Report'!$A$4:$U$1800,8,FALSE)</f>
        <v>5020000000</v>
      </c>
      <c r="AA298" s="428" t="str">
        <f>VLOOKUP(H298,'Fund Utilization Report'!$A$4:$U$1800,14,FALSE)</f>
        <v>320100100001000</v>
      </c>
      <c r="AB298" s="349" t="str">
        <f>VLOOKUP(H298,'Fund Utilization Report'!$A$4:$U$1800,15,FALSE)</f>
        <v>Formulation of Strategic plans,programs, and policies to develop competitve industries</v>
      </c>
      <c r="AC298" s="39"/>
      <c r="AD298" s="34"/>
      <c r="AE298" s="39"/>
      <c r="AF298" s="51"/>
      <c r="AG298" s="40"/>
      <c r="AH298" s="40"/>
    </row>
    <row r="299" spans="1:34" s="32" customFormat="1">
      <c r="A299" s="338" t="s">
        <v>942</v>
      </c>
      <c r="B299" s="338" t="s">
        <v>945</v>
      </c>
      <c r="C299" s="358">
        <v>44230</v>
      </c>
      <c r="D299" s="351" t="s">
        <v>1028</v>
      </c>
      <c r="E299" s="352" t="s">
        <v>1079</v>
      </c>
      <c r="F299" s="338">
        <v>0.63194444444444442</v>
      </c>
      <c r="G299" s="338">
        <v>0.63750000000000007</v>
      </c>
      <c r="H299" s="338" t="s">
        <v>961</v>
      </c>
      <c r="I299" s="353">
        <v>969</v>
      </c>
      <c r="J299" s="338" t="str">
        <f>IFERROR(VLOOKUP(I299,'Chart of accounts'!A:H,2,FALSE),"")</f>
        <v>50299990 99</v>
      </c>
      <c r="K299" s="338" t="str">
        <f>IFERROR(VLOOKUP(I299,'Chart of accounts'!A:H,3,FALSE),"")</f>
        <v>Other Maintenance and Operating Expenses</v>
      </c>
      <c r="L299" s="338" t="str">
        <f>IFERROR(VLOOKUP(I299,'Chart of accounts'!A:H,4,FALSE),"")</f>
        <v>50299990 99 - Other Maintenance and Operating Expenses (969)</v>
      </c>
      <c r="M299" s="361">
        <v>3</v>
      </c>
      <c r="N299" s="420" t="s">
        <v>820</v>
      </c>
      <c r="O299" s="420" t="s">
        <v>1074</v>
      </c>
      <c r="P299" s="420"/>
      <c r="Q299" s="420">
        <v>8308.2099999999991</v>
      </c>
      <c r="R299" s="428">
        <f t="shared" si="3"/>
        <v>-8308.2099999999991</v>
      </c>
      <c r="S299" s="428" t="str">
        <f>VLOOKUP(H299,'Fund Utilization Report'!$A$4:$U$1800,13,FALSE)</f>
        <v>MOOE</v>
      </c>
      <c r="T299" s="428" t="str">
        <f>VLOOKUP(H299,'Fund Utilization Report'!$A$4:$U$1800,2,FALSE)</f>
        <v>GAA</v>
      </c>
      <c r="U299" s="428" t="str">
        <f>VLOOKUP(H299,'Fund Utilization Report'!$A$4:$U$1800,3,FALSE)</f>
        <v>FY2021, RA11518</v>
      </c>
      <c r="V299" s="428" t="str">
        <f>VLOOKUP(H299,'Fund Utilization Report'!$A$4:$U$1800,4,FALSE)</f>
        <v>GAS(GMS)</v>
      </c>
      <c r="W299" s="428" t="str">
        <f>VLOOKUP(H299,'Fund Utilization Report'!$A$4:$U$1800,5,FALSE)</f>
        <v>01101101</v>
      </c>
      <c r="X299" s="428" t="str">
        <f>VLOOKUP(H299,'Fund Utilization Report'!$A$4:$U$1800,6,FALSE)</f>
        <v>GOP</v>
      </c>
      <c r="Y299" s="320" t="str">
        <f>VLOOKUP(H299,'Fund Utilization Report'!$A$4:$U$1800,7,FALSE)</f>
        <v>MOOE</v>
      </c>
      <c r="Z299" s="425">
        <f>VLOOKUP(H299,'Fund Utilization Report'!$A$4:$U$1800,8,FALSE)</f>
        <v>5020000000</v>
      </c>
      <c r="AA299" s="428" t="str">
        <f>VLOOKUP(H299,'Fund Utilization Report'!$A$4:$U$1800,14,FALSE)</f>
        <v>100000100001000</v>
      </c>
      <c r="AB299" s="349" t="str">
        <f>VLOOKUP(H299,'Fund Utilization Report'!$A$4:$U$1800,15,FALSE)</f>
        <v>General Administration and Supervision - General Management and Supervision</v>
      </c>
      <c r="AC299" s="39"/>
      <c r="AD299" s="34"/>
      <c r="AE299" s="39"/>
      <c r="AF299" s="51"/>
      <c r="AG299" s="40"/>
      <c r="AH299" s="40"/>
    </row>
    <row r="300" spans="1:34" s="32" customFormat="1">
      <c r="A300" s="338" t="s">
        <v>942</v>
      </c>
      <c r="B300" s="338" t="s">
        <v>945</v>
      </c>
      <c r="C300" s="358">
        <v>44230</v>
      </c>
      <c r="D300" s="351" t="s">
        <v>1028</v>
      </c>
      <c r="E300" s="352" t="s">
        <v>1080</v>
      </c>
      <c r="F300" s="338">
        <v>0.63750000000000007</v>
      </c>
      <c r="G300" s="338">
        <v>0.63888888888888895</v>
      </c>
      <c r="H300" s="338" t="s">
        <v>961</v>
      </c>
      <c r="I300" s="353">
        <v>756</v>
      </c>
      <c r="J300" s="338" t="str">
        <f>IFERROR(VLOOKUP(I300,'Chart of accounts'!A:H,2,FALSE),"")</f>
        <v>50203020 00</v>
      </c>
      <c r="K300" s="338" t="str">
        <f>IFERROR(VLOOKUP(I300,'Chart of accounts'!A:H,3,FALSE),"")</f>
        <v xml:space="preserve">Accountable Forms Expenses </v>
      </c>
      <c r="L300" s="338" t="str">
        <f>IFERROR(VLOOKUP(I300,'Chart of accounts'!A:H,4,FALSE),"")</f>
        <v>50203020 00 - Accountable Forms Expenses  (756)</v>
      </c>
      <c r="M300" s="361">
        <v>68</v>
      </c>
      <c r="N300" s="420" t="s">
        <v>821</v>
      </c>
      <c r="O300" s="420" t="s">
        <v>1074</v>
      </c>
      <c r="P300" s="420"/>
      <c r="Q300" s="420">
        <v>1245</v>
      </c>
      <c r="R300" s="319">
        <f t="shared" si="3"/>
        <v>-1245</v>
      </c>
      <c r="S300" s="428" t="str">
        <f>VLOOKUP(H300,'Fund Utilization Report'!$A$4:$U$1800,13,FALSE)</f>
        <v>MOOE</v>
      </c>
      <c r="T300" s="428" t="str">
        <f>VLOOKUP(H300,'Fund Utilization Report'!$A$4:$U$1800,2,FALSE)</f>
        <v>GAA</v>
      </c>
      <c r="U300" s="428" t="str">
        <f>VLOOKUP(H300,'Fund Utilization Report'!$A$4:$U$1800,3,FALSE)</f>
        <v>FY2021, RA11518</v>
      </c>
      <c r="V300" s="428" t="str">
        <f>VLOOKUP(H300,'Fund Utilization Report'!$A$4:$U$1800,4,FALSE)</f>
        <v>GAS(GMS)</v>
      </c>
      <c r="W300" s="428" t="str">
        <f>VLOOKUP(H300,'Fund Utilization Report'!$A$4:$U$1800,5,FALSE)</f>
        <v>01101101</v>
      </c>
      <c r="X300" s="428" t="str">
        <f>VLOOKUP(H300,'Fund Utilization Report'!$A$4:$U$1800,6,FALSE)</f>
        <v>GOP</v>
      </c>
      <c r="Y300" s="320" t="str">
        <f>VLOOKUP(H300,'Fund Utilization Report'!$A$4:$U$1800,7,FALSE)</f>
        <v>MOOE</v>
      </c>
      <c r="Z300" s="425">
        <f>VLOOKUP(H300,'Fund Utilization Report'!$A$4:$U$1800,8,FALSE)</f>
        <v>5020000000</v>
      </c>
      <c r="AA300" s="428" t="str">
        <f>VLOOKUP(H300,'Fund Utilization Report'!$A$4:$U$1800,14,FALSE)</f>
        <v>100000100001000</v>
      </c>
      <c r="AB300" s="349" t="str">
        <f>VLOOKUP(H300,'Fund Utilization Report'!$A$4:$U$1800,15,FALSE)</f>
        <v>General Administration and Supervision - General Management and Supervision</v>
      </c>
      <c r="AC300" s="39"/>
      <c r="AD300" s="34"/>
      <c r="AE300" s="39"/>
      <c r="AF300" s="51"/>
      <c r="AG300" s="40"/>
      <c r="AH300" s="40"/>
    </row>
    <row r="301" spans="1:34" s="32" customFormat="1">
      <c r="A301" s="338" t="s">
        <v>942</v>
      </c>
      <c r="B301" s="338" t="s">
        <v>945</v>
      </c>
      <c r="C301" s="358">
        <v>44230</v>
      </c>
      <c r="D301" s="351" t="s">
        <v>1028</v>
      </c>
      <c r="E301" s="352" t="s">
        <v>1080</v>
      </c>
      <c r="F301" s="338">
        <v>0.63750000000000007</v>
      </c>
      <c r="G301" s="338">
        <v>0.63888888888888895</v>
      </c>
      <c r="H301" s="338" t="s">
        <v>961</v>
      </c>
      <c r="I301" s="353">
        <v>753</v>
      </c>
      <c r="J301" s="338" t="str">
        <f>IFERROR(VLOOKUP(I301,'Chart of accounts'!A:H,2,FALSE),"")</f>
        <v>50202010 00</v>
      </c>
      <c r="K301" s="338" t="str">
        <f>IFERROR(VLOOKUP(I301,'Chart of accounts'!A:H,3,FALSE),"")</f>
        <v>Training Expenses</v>
      </c>
      <c r="L301" s="338" t="str">
        <f>IFERROR(VLOOKUP(I301,'Chart of accounts'!A:H,4,FALSE),"")</f>
        <v>50202010 00 - Training Expenses (753)</v>
      </c>
      <c r="M301" s="361">
        <v>68</v>
      </c>
      <c r="N301" s="420" t="s">
        <v>821</v>
      </c>
      <c r="O301" s="420" t="s">
        <v>1074</v>
      </c>
      <c r="P301" s="420"/>
      <c r="Q301" s="420">
        <v>9960</v>
      </c>
      <c r="R301" s="428">
        <f t="shared" si="3"/>
        <v>-9960</v>
      </c>
      <c r="S301" s="428" t="str">
        <f>VLOOKUP(H301,'Fund Utilization Report'!$A$4:$U$1800,13,FALSE)</f>
        <v>MOOE</v>
      </c>
      <c r="T301" s="428" t="str">
        <f>VLOOKUP(H301,'Fund Utilization Report'!$A$4:$U$1800,2,FALSE)</f>
        <v>GAA</v>
      </c>
      <c r="U301" s="428" t="str">
        <f>VLOOKUP(H301,'Fund Utilization Report'!$A$4:$U$1800,3,FALSE)</f>
        <v>FY2021, RA11518</v>
      </c>
      <c r="V301" s="428" t="str">
        <f>VLOOKUP(H301,'Fund Utilization Report'!$A$4:$U$1800,4,FALSE)</f>
        <v>GAS(GMS)</v>
      </c>
      <c r="W301" s="428" t="str">
        <f>VLOOKUP(H301,'Fund Utilization Report'!$A$4:$U$1800,5,FALSE)</f>
        <v>01101101</v>
      </c>
      <c r="X301" s="428" t="str">
        <f>VLOOKUP(H301,'Fund Utilization Report'!$A$4:$U$1800,6,FALSE)</f>
        <v>GOP</v>
      </c>
      <c r="Y301" s="320" t="str">
        <f>VLOOKUP(H301,'Fund Utilization Report'!$A$4:$U$1800,7,FALSE)</f>
        <v>MOOE</v>
      </c>
      <c r="Z301" s="425">
        <f>VLOOKUP(H301,'Fund Utilization Report'!$A$4:$U$1800,8,FALSE)</f>
        <v>5020000000</v>
      </c>
      <c r="AA301" s="428" t="str">
        <f>VLOOKUP(H301,'Fund Utilization Report'!$A$4:$U$1800,14,FALSE)</f>
        <v>100000100001000</v>
      </c>
      <c r="AB301" s="349" t="str">
        <f>VLOOKUP(H301,'Fund Utilization Report'!$A$4:$U$1800,15,FALSE)</f>
        <v>General Administration and Supervision - General Management and Supervision</v>
      </c>
      <c r="AC301" s="39"/>
      <c r="AD301" s="34"/>
      <c r="AE301" s="39"/>
      <c r="AF301" s="51"/>
      <c r="AG301" s="40"/>
      <c r="AH301" s="40"/>
    </row>
    <row r="302" spans="1:34" s="32" customFormat="1">
      <c r="A302" s="338" t="s">
        <v>942</v>
      </c>
      <c r="B302" s="338" t="s">
        <v>945</v>
      </c>
      <c r="C302" s="358">
        <v>44230</v>
      </c>
      <c r="D302" s="351" t="s">
        <v>1028</v>
      </c>
      <c r="E302" s="352" t="s">
        <v>1080</v>
      </c>
      <c r="F302" s="338">
        <v>0.63750000000000007</v>
      </c>
      <c r="G302" s="338">
        <v>0.63888888888888895</v>
      </c>
      <c r="H302" s="338" t="s">
        <v>961</v>
      </c>
      <c r="I302" s="353">
        <v>761</v>
      </c>
      <c r="J302" s="338" t="str">
        <f>IFERROR(VLOOKUP(I302,'Chart of accounts'!A:H,2,FALSE),"")</f>
        <v>50203090 00</v>
      </c>
      <c r="K302" s="338" t="str">
        <f>IFERROR(VLOOKUP(I302,'Chart of accounts'!A:H,3,FALSE),"")</f>
        <v>Fuel, Oil and Lubricants Expenses</v>
      </c>
      <c r="L302" s="338" t="str">
        <f>IFERROR(VLOOKUP(I302,'Chart of accounts'!A:H,4,FALSE),"")</f>
        <v>50203090 00 - Fuel, Oil and Lubricants Expenses (761)</v>
      </c>
      <c r="M302" s="361">
        <v>68</v>
      </c>
      <c r="N302" s="420" t="s">
        <v>821</v>
      </c>
      <c r="O302" s="420" t="s">
        <v>1074</v>
      </c>
      <c r="P302" s="420"/>
      <c r="Q302" s="420">
        <v>7211.11</v>
      </c>
      <c r="R302" s="428">
        <f t="shared" si="3"/>
        <v>-7211.11</v>
      </c>
      <c r="S302" s="428" t="str">
        <f>VLOOKUP(H302,'Fund Utilization Report'!$A$4:$U$1800,13,FALSE)</f>
        <v>MOOE</v>
      </c>
      <c r="T302" s="428" t="str">
        <f>VLOOKUP(H302,'Fund Utilization Report'!$A$4:$U$1800,2,FALSE)</f>
        <v>GAA</v>
      </c>
      <c r="U302" s="428" t="str">
        <f>VLOOKUP(H302,'Fund Utilization Report'!$A$4:$U$1800,3,FALSE)</f>
        <v>FY2021, RA11518</v>
      </c>
      <c r="V302" s="428" t="str">
        <f>VLOOKUP(H302,'Fund Utilization Report'!$A$4:$U$1800,4,FALSE)</f>
        <v>GAS(GMS)</v>
      </c>
      <c r="W302" s="428" t="str">
        <f>VLOOKUP(H302,'Fund Utilization Report'!$A$4:$U$1800,5,FALSE)</f>
        <v>01101101</v>
      </c>
      <c r="X302" s="428" t="str">
        <f>VLOOKUP(H302,'Fund Utilization Report'!$A$4:$U$1800,6,FALSE)</f>
        <v>GOP</v>
      </c>
      <c r="Y302" s="320" t="str">
        <f>VLOOKUP(H302,'Fund Utilization Report'!$A$4:$U$1800,7,FALSE)</f>
        <v>MOOE</v>
      </c>
      <c r="Z302" s="425">
        <f>VLOOKUP(H302,'Fund Utilization Report'!$A$4:$U$1800,8,FALSE)</f>
        <v>5020000000</v>
      </c>
      <c r="AA302" s="428" t="str">
        <f>VLOOKUP(H302,'Fund Utilization Report'!$A$4:$U$1800,14,FALSE)</f>
        <v>100000100001000</v>
      </c>
      <c r="AB302" s="349" t="str">
        <f>VLOOKUP(H302,'Fund Utilization Report'!$A$4:$U$1800,15,FALSE)</f>
        <v>General Administration and Supervision - General Management and Supervision</v>
      </c>
      <c r="AC302" s="39"/>
      <c r="AD302" s="34"/>
      <c r="AE302" s="39"/>
      <c r="AF302" s="51"/>
      <c r="AG302" s="40"/>
      <c r="AH302" s="40"/>
    </row>
    <row r="303" spans="1:34" s="32" customFormat="1">
      <c r="A303" s="338" t="s">
        <v>942</v>
      </c>
      <c r="B303" s="338" t="s">
        <v>945</v>
      </c>
      <c r="C303" s="358">
        <v>44230</v>
      </c>
      <c r="D303" s="351" t="s">
        <v>1028</v>
      </c>
      <c r="E303" s="352" t="s">
        <v>1080</v>
      </c>
      <c r="F303" s="338">
        <v>0.63750000000000007</v>
      </c>
      <c r="G303" s="338">
        <v>0.63888888888888895</v>
      </c>
      <c r="H303" s="338" t="s">
        <v>961</v>
      </c>
      <c r="I303" s="353">
        <v>766</v>
      </c>
      <c r="J303" s="338" t="str">
        <f>IFERROR(VLOOKUP(I303,'Chart of accounts'!A:H,2,FALSE),"")</f>
        <v>50204010 00</v>
      </c>
      <c r="K303" s="338" t="str">
        <f>IFERROR(VLOOKUP(I303,'Chart of accounts'!A:H,3,FALSE),"")</f>
        <v>Water Expenses</v>
      </c>
      <c r="L303" s="338" t="str">
        <f>IFERROR(VLOOKUP(I303,'Chart of accounts'!A:H,4,FALSE),"")</f>
        <v>50204010 00 - Water Expenses (766)</v>
      </c>
      <c r="M303" s="361">
        <v>68</v>
      </c>
      <c r="N303" s="420" t="s">
        <v>821</v>
      </c>
      <c r="O303" s="420" t="s">
        <v>1074</v>
      </c>
      <c r="P303" s="420"/>
      <c r="Q303" s="420">
        <v>1412.1</v>
      </c>
      <c r="R303" s="428">
        <f t="shared" ref="R303:R366" si="4">P303-Q303</f>
        <v>-1412.1</v>
      </c>
      <c r="S303" s="428" t="str">
        <f>VLOOKUP(H303,'Fund Utilization Report'!$A$4:$U$1800,13,FALSE)</f>
        <v>MOOE</v>
      </c>
      <c r="T303" s="428" t="str">
        <f>VLOOKUP(H303,'Fund Utilization Report'!$A$4:$U$1800,2,FALSE)</f>
        <v>GAA</v>
      </c>
      <c r="U303" s="428" t="str">
        <f>VLOOKUP(H303,'Fund Utilization Report'!$A$4:$U$1800,3,FALSE)</f>
        <v>FY2021, RA11518</v>
      </c>
      <c r="V303" s="428" t="str">
        <f>VLOOKUP(H303,'Fund Utilization Report'!$A$4:$U$1800,4,FALSE)</f>
        <v>GAS(GMS)</v>
      </c>
      <c r="W303" s="428" t="str">
        <f>VLOOKUP(H303,'Fund Utilization Report'!$A$4:$U$1800,5,FALSE)</f>
        <v>01101101</v>
      </c>
      <c r="X303" s="428" t="str">
        <f>VLOOKUP(H303,'Fund Utilization Report'!$A$4:$U$1800,6,FALSE)</f>
        <v>GOP</v>
      </c>
      <c r="Y303" s="320" t="str">
        <f>VLOOKUP(H303,'Fund Utilization Report'!$A$4:$U$1800,7,FALSE)</f>
        <v>MOOE</v>
      </c>
      <c r="Z303" s="425">
        <f>VLOOKUP(H303,'Fund Utilization Report'!$A$4:$U$1800,8,FALSE)</f>
        <v>5020000000</v>
      </c>
      <c r="AA303" s="428" t="str">
        <f>VLOOKUP(H303,'Fund Utilization Report'!$A$4:$U$1800,14,FALSE)</f>
        <v>100000100001000</v>
      </c>
      <c r="AB303" s="349" t="str">
        <f>VLOOKUP(H303,'Fund Utilization Report'!$A$4:$U$1800,15,FALSE)</f>
        <v>General Administration and Supervision - General Management and Supervision</v>
      </c>
      <c r="AC303" s="39"/>
      <c r="AD303" s="34"/>
      <c r="AE303" s="39"/>
      <c r="AF303" s="51"/>
      <c r="AG303" s="40"/>
      <c r="AH303" s="40"/>
    </row>
    <row r="304" spans="1:34" s="32" customFormat="1">
      <c r="A304" s="338" t="s">
        <v>942</v>
      </c>
      <c r="B304" s="338" t="s">
        <v>945</v>
      </c>
      <c r="C304" s="358">
        <v>44230</v>
      </c>
      <c r="D304" s="351" t="s">
        <v>1028</v>
      </c>
      <c r="E304" s="352" t="s">
        <v>1080</v>
      </c>
      <c r="F304" s="338">
        <v>0.63750000000000007</v>
      </c>
      <c r="G304" s="338">
        <v>0.63888888888888895</v>
      </c>
      <c r="H304" s="338" t="s">
        <v>961</v>
      </c>
      <c r="I304" s="353">
        <v>767</v>
      </c>
      <c r="J304" s="338" t="str">
        <f>IFERROR(VLOOKUP(I304,'Chart of accounts'!A:H,2,FALSE),"")</f>
        <v>50204020 00</v>
      </c>
      <c r="K304" s="338" t="str">
        <f>IFERROR(VLOOKUP(I304,'Chart of accounts'!A:H,3,FALSE),"")</f>
        <v>Electricity Expense</v>
      </c>
      <c r="L304" s="338" t="str">
        <f>IFERROR(VLOOKUP(I304,'Chart of accounts'!A:H,4,FALSE),"")</f>
        <v>50204020 00 - Electricity Expense (767)</v>
      </c>
      <c r="M304" s="361">
        <v>68</v>
      </c>
      <c r="N304" s="420" t="s">
        <v>821</v>
      </c>
      <c r="O304" s="420" t="s">
        <v>1074</v>
      </c>
      <c r="P304" s="420"/>
      <c r="Q304" s="420">
        <v>31391.81</v>
      </c>
      <c r="R304" s="428">
        <f t="shared" si="4"/>
        <v>-31391.81</v>
      </c>
      <c r="S304" s="428" t="str">
        <f>VLOOKUP(H304,'Fund Utilization Report'!$A$4:$U$1800,13,FALSE)</f>
        <v>MOOE</v>
      </c>
      <c r="T304" s="428" t="str">
        <f>VLOOKUP(H304,'Fund Utilization Report'!$A$4:$U$1800,2,FALSE)</f>
        <v>GAA</v>
      </c>
      <c r="U304" s="428" t="str">
        <f>VLOOKUP(H304,'Fund Utilization Report'!$A$4:$U$1800,3,FALSE)</f>
        <v>FY2021, RA11518</v>
      </c>
      <c r="V304" s="428" t="str">
        <f>VLOOKUP(H304,'Fund Utilization Report'!$A$4:$U$1800,4,FALSE)</f>
        <v>GAS(GMS)</v>
      </c>
      <c r="W304" s="428" t="str">
        <f>VLOOKUP(H304,'Fund Utilization Report'!$A$4:$U$1800,5,FALSE)</f>
        <v>01101101</v>
      </c>
      <c r="X304" s="428" t="str">
        <f>VLOOKUP(H304,'Fund Utilization Report'!$A$4:$U$1800,6,FALSE)</f>
        <v>GOP</v>
      </c>
      <c r="Y304" s="320" t="str">
        <f>VLOOKUP(H304,'Fund Utilization Report'!$A$4:$U$1800,7,FALSE)</f>
        <v>MOOE</v>
      </c>
      <c r="Z304" s="425">
        <f>VLOOKUP(H304,'Fund Utilization Report'!$A$4:$U$1800,8,FALSE)</f>
        <v>5020000000</v>
      </c>
      <c r="AA304" s="428" t="str">
        <f>VLOOKUP(H304,'Fund Utilization Report'!$A$4:$U$1800,14,FALSE)</f>
        <v>100000100001000</v>
      </c>
      <c r="AB304" s="349" t="str">
        <f>VLOOKUP(H304,'Fund Utilization Report'!$A$4:$U$1800,15,FALSE)</f>
        <v>General Administration and Supervision - General Management and Supervision</v>
      </c>
      <c r="AC304" s="39"/>
      <c r="AD304" s="34"/>
      <c r="AE304" s="39"/>
      <c r="AF304" s="51"/>
      <c r="AG304" s="40"/>
      <c r="AH304" s="40"/>
    </row>
    <row r="305" spans="1:34" s="32" customFormat="1">
      <c r="A305" s="338" t="s">
        <v>942</v>
      </c>
      <c r="B305" s="338" t="s">
        <v>945</v>
      </c>
      <c r="C305" s="358">
        <v>44230</v>
      </c>
      <c r="D305" s="351" t="s">
        <v>1028</v>
      </c>
      <c r="E305" s="352" t="s">
        <v>1080</v>
      </c>
      <c r="F305" s="338">
        <v>0.63750000000000007</v>
      </c>
      <c r="G305" s="338">
        <v>0.63888888888888895</v>
      </c>
      <c r="H305" s="338" t="s">
        <v>961</v>
      </c>
      <c r="I305" s="353">
        <v>771</v>
      </c>
      <c r="J305" s="338" t="str">
        <f>IFERROR(VLOOKUP(I305,'Chart of accounts'!A:H,2,FALSE),"")</f>
        <v>50205010 00</v>
      </c>
      <c r="K305" s="338" t="str">
        <f>IFERROR(VLOOKUP(I305,'Chart of accounts'!A:H,3,FALSE),"")</f>
        <v>Postage and Courier Services</v>
      </c>
      <c r="L305" s="338" t="str">
        <f>IFERROR(VLOOKUP(I305,'Chart of accounts'!A:H,4,FALSE),"")</f>
        <v>50205010 00 - Postage and Courier Services (771)</v>
      </c>
      <c r="M305" s="361">
        <v>68</v>
      </c>
      <c r="N305" s="420" t="s">
        <v>821</v>
      </c>
      <c r="O305" s="420" t="s">
        <v>1074</v>
      </c>
      <c r="P305" s="420"/>
      <c r="Q305" s="420">
        <v>830</v>
      </c>
      <c r="R305" s="428">
        <f t="shared" si="4"/>
        <v>-830</v>
      </c>
      <c r="S305" s="428" t="str">
        <f>VLOOKUP(H305,'Fund Utilization Report'!$A$4:$U$1800,13,FALSE)</f>
        <v>MOOE</v>
      </c>
      <c r="T305" s="428" t="str">
        <f>VLOOKUP(H305,'Fund Utilization Report'!$A$4:$U$1800,2,FALSE)</f>
        <v>GAA</v>
      </c>
      <c r="U305" s="428" t="str">
        <f>VLOOKUP(H305,'Fund Utilization Report'!$A$4:$U$1800,3,FALSE)</f>
        <v>FY2021, RA11518</v>
      </c>
      <c r="V305" s="428" t="str">
        <f>VLOOKUP(H305,'Fund Utilization Report'!$A$4:$U$1800,4,FALSE)</f>
        <v>GAS(GMS)</v>
      </c>
      <c r="W305" s="428" t="str">
        <f>VLOOKUP(H305,'Fund Utilization Report'!$A$4:$U$1800,5,FALSE)</f>
        <v>01101101</v>
      </c>
      <c r="X305" s="428" t="str">
        <f>VLOOKUP(H305,'Fund Utilization Report'!$A$4:$U$1800,6,FALSE)</f>
        <v>GOP</v>
      </c>
      <c r="Y305" s="320" t="str">
        <f>VLOOKUP(H305,'Fund Utilization Report'!$A$4:$U$1800,7,FALSE)</f>
        <v>MOOE</v>
      </c>
      <c r="Z305" s="425">
        <f>VLOOKUP(H305,'Fund Utilization Report'!$A$4:$U$1800,8,FALSE)</f>
        <v>5020000000</v>
      </c>
      <c r="AA305" s="428" t="str">
        <f>VLOOKUP(H305,'Fund Utilization Report'!$A$4:$U$1800,14,FALSE)</f>
        <v>100000100001000</v>
      </c>
      <c r="AB305" s="349" t="str">
        <f>VLOOKUP(H305,'Fund Utilization Report'!$A$4:$U$1800,15,FALSE)</f>
        <v>General Administration and Supervision - General Management and Supervision</v>
      </c>
      <c r="AC305" s="39"/>
      <c r="AD305" s="34"/>
      <c r="AE305" s="39"/>
      <c r="AF305" s="51"/>
      <c r="AG305" s="40"/>
      <c r="AH305" s="40"/>
    </row>
    <row r="306" spans="1:34" s="32" customFormat="1">
      <c r="A306" s="338" t="s">
        <v>942</v>
      </c>
      <c r="B306" s="338" t="s">
        <v>945</v>
      </c>
      <c r="C306" s="358">
        <v>44230</v>
      </c>
      <c r="D306" s="351" t="s">
        <v>1028</v>
      </c>
      <c r="E306" s="352" t="s">
        <v>1080</v>
      </c>
      <c r="F306" s="338">
        <v>0.63750000000000007</v>
      </c>
      <c r="G306" s="338">
        <v>0.63888888888888895</v>
      </c>
      <c r="H306" s="338" t="s">
        <v>961</v>
      </c>
      <c r="I306" s="353">
        <v>772</v>
      </c>
      <c r="J306" s="338" t="str">
        <f>IFERROR(VLOOKUP(I306,'Chart of accounts'!A:H,2,FALSE),"")</f>
        <v>50205020 02</v>
      </c>
      <c r="K306" s="338" t="str">
        <f>IFERROR(VLOOKUP(I306,'Chart of accounts'!A:H,3,FALSE),"")</f>
        <v xml:space="preserve">Telephone Expenses - Landline </v>
      </c>
      <c r="L306" s="338" t="str">
        <f>IFERROR(VLOOKUP(I306,'Chart of accounts'!A:H,4,FALSE),"")</f>
        <v>50205020 02 - Telephone Expenses - Landline  (772)</v>
      </c>
      <c r="M306" s="361">
        <v>68</v>
      </c>
      <c r="N306" s="420" t="s">
        <v>821</v>
      </c>
      <c r="O306" s="420" t="s">
        <v>1074</v>
      </c>
      <c r="P306" s="420"/>
      <c r="Q306" s="420">
        <v>5057.87</v>
      </c>
      <c r="R306" s="428">
        <f t="shared" si="4"/>
        <v>-5057.87</v>
      </c>
      <c r="S306" s="428" t="str">
        <f>VLOOKUP(H306,'Fund Utilization Report'!$A$4:$U$1800,13,FALSE)</f>
        <v>MOOE</v>
      </c>
      <c r="T306" s="428" t="str">
        <f>VLOOKUP(H306,'Fund Utilization Report'!$A$4:$U$1800,2,FALSE)</f>
        <v>GAA</v>
      </c>
      <c r="U306" s="428" t="str">
        <f>VLOOKUP(H306,'Fund Utilization Report'!$A$4:$U$1800,3,FALSE)</f>
        <v>FY2021, RA11518</v>
      </c>
      <c r="V306" s="428" t="str">
        <f>VLOOKUP(H306,'Fund Utilization Report'!$A$4:$U$1800,4,FALSE)</f>
        <v>GAS(GMS)</v>
      </c>
      <c r="W306" s="428" t="str">
        <f>VLOOKUP(H306,'Fund Utilization Report'!$A$4:$U$1800,5,FALSE)</f>
        <v>01101101</v>
      </c>
      <c r="X306" s="428" t="str">
        <f>VLOOKUP(H306,'Fund Utilization Report'!$A$4:$U$1800,6,FALSE)</f>
        <v>GOP</v>
      </c>
      <c r="Y306" s="320" t="str">
        <f>VLOOKUP(H306,'Fund Utilization Report'!$A$4:$U$1800,7,FALSE)</f>
        <v>MOOE</v>
      </c>
      <c r="Z306" s="425">
        <f>VLOOKUP(H306,'Fund Utilization Report'!$A$4:$U$1800,8,FALSE)</f>
        <v>5020000000</v>
      </c>
      <c r="AA306" s="428" t="str">
        <f>VLOOKUP(H306,'Fund Utilization Report'!$A$4:$U$1800,14,FALSE)</f>
        <v>100000100001000</v>
      </c>
      <c r="AB306" s="349" t="str">
        <f>VLOOKUP(H306,'Fund Utilization Report'!$A$4:$U$1800,15,FALSE)</f>
        <v>General Administration and Supervision - General Management and Supervision</v>
      </c>
      <c r="AC306" s="39"/>
      <c r="AD306" s="34"/>
      <c r="AE306" s="39"/>
      <c r="AF306" s="51"/>
      <c r="AG306" s="40"/>
      <c r="AH306" s="40"/>
    </row>
    <row r="307" spans="1:34" s="32" customFormat="1">
      <c r="A307" s="338" t="s">
        <v>942</v>
      </c>
      <c r="B307" s="338" t="s">
        <v>945</v>
      </c>
      <c r="C307" s="358">
        <v>44230</v>
      </c>
      <c r="D307" s="351" t="s">
        <v>1028</v>
      </c>
      <c r="E307" s="352" t="s">
        <v>1080</v>
      </c>
      <c r="F307" s="338">
        <v>0.63750000000000007</v>
      </c>
      <c r="G307" s="338">
        <v>0.63888888888888895</v>
      </c>
      <c r="H307" s="338" t="s">
        <v>961</v>
      </c>
      <c r="I307" s="353">
        <v>773</v>
      </c>
      <c r="J307" s="338" t="str">
        <f>IFERROR(VLOOKUP(I307,'Chart of accounts'!A:H,2,FALSE),"")</f>
        <v>50205020 01</v>
      </c>
      <c r="K307" s="338" t="str">
        <f>IFERROR(VLOOKUP(I307,'Chart of accounts'!A:H,3,FALSE),"")</f>
        <v xml:space="preserve">Telephone Expenses - Mobile </v>
      </c>
      <c r="L307" s="338" t="str">
        <f>IFERROR(VLOOKUP(I307,'Chart of accounts'!A:H,4,FALSE),"")</f>
        <v>50205020 01 - Telephone Expenses - Mobile  (773)</v>
      </c>
      <c r="M307" s="361">
        <v>68</v>
      </c>
      <c r="N307" s="420" t="s">
        <v>821</v>
      </c>
      <c r="O307" s="420" t="s">
        <v>1074</v>
      </c>
      <c r="P307" s="420"/>
      <c r="Q307" s="420">
        <v>2988</v>
      </c>
      <c r="R307" s="428">
        <f t="shared" si="4"/>
        <v>-2988</v>
      </c>
      <c r="S307" s="428" t="str">
        <f>VLOOKUP(H307,'Fund Utilization Report'!$A$4:$U$1800,13,FALSE)</f>
        <v>MOOE</v>
      </c>
      <c r="T307" s="428" t="str">
        <f>VLOOKUP(H307,'Fund Utilization Report'!$A$4:$U$1800,2,FALSE)</f>
        <v>GAA</v>
      </c>
      <c r="U307" s="428" t="str">
        <f>VLOOKUP(H307,'Fund Utilization Report'!$A$4:$U$1800,3,FALSE)</f>
        <v>FY2021, RA11518</v>
      </c>
      <c r="V307" s="428" t="str">
        <f>VLOOKUP(H307,'Fund Utilization Report'!$A$4:$U$1800,4,FALSE)</f>
        <v>GAS(GMS)</v>
      </c>
      <c r="W307" s="428" t="str">
        <f>VLOOKUP(H307,'Fund Utilization Report'!$A$4:$U$1800,5,FALSE)</f>
        <v>01101101</v>
      </c>
      <c r="X307" s="428" t="str">
        <f>VLOOKUP(H307,'Fund Utilization Report'!$A$4:$U$1800,6,FALSE)</f>
        <v>GOP</v>
      </c>
      <c r="Y307" s="320" t="str">
        <f>VLOOKUP(H307,'Fund Utilization Report'!$A$4:$U$1800,7,FALSE)</f>
        <v>MOOE</v>
      </c>
      <c r="Z307" s="425">
        <f>VLOOKUP(H307,'Fund Utilization Report'!$A$4:$U$1800,8,FALSE)</f>
        <v>5020000000</v>
      </c>
      <c r="AA307" s="428" t="str">
        <f>VLOOKUP(H307,'Fund Utilization Report'!$A$4:$U$1800,14,FALSE)</f>
        <v>100000100001000</v>
      </c>
      <c r="AB307" s="349" t="str">
        <f>VLOOKUP(H307,'Fund Utilization Report'!$A$4:$U$1800,15,FALSE)</f>
        <v>General Administration and Supervision - General Management and Supervision</v>
      </c>
      <c r="AC307" s="39"/>
      <c r="AD307" s="34"/>
      <c r="AE307" s="39"/>
      <c r="AF307" s="51"/>
      <c r="AG307" s="40"/>
      <c r="AH307" s="40"/>
    </row>
    <row r="308" spans="1:34" s="32" customFormat="1">
      <c r="A308" s="338" t="s">
        <v>942</v>
      </c>
      <c r="B308" s="338" t="s">
        <v>945</v>
      </c>
      <c r="C308" s="358">
        <v>44230</v>
      </c>
      <c r="D308" s="351" t="s">
        <v>1028</v>
      </c>
      <c r="E308" s="352" t="s">
        <v>1080</v>
      </c>
      <c r="F308" s="338">
        <v>0.63750000000000007</v>
      </c>
      <c r="G308" s="338">
        <v>0.63888888888888895</v>
      </c>
      <c r="H308" s="338" t="s">
        <v>961</v>
      </c>
      <c r="I308" s="353">
        <v>775</v>
      </c>
      <c r="J308" s="338" t="str">
        <f>IFERROR(VLOOKUP(I308,'Chart of accounts'!A:H,2,FALSE),"")</f>
        <v>50205040 00</v>
      </c>
      <c r="K308" s="338" t="str">
        <f>IFERROR(VLOOKUP(I308,'Chart of accounts'!A:H,3,FALSE),"")</f>
        <v>Cable, Satellite, Telegraph, and Radio Expenses</v>
      </c>
      <c r="L308" s="338" t="str">
        <f>IFERROR(VLOOKUP(I308,'Chart of accounts'!A:H,4,FALSE),"")</f>
        <v>50205040 00 - Cable, Satellite, Telegraph, and Radio Expenses (775)</v>
      </c>
      <c r="M308" s="361">
        <v>68</v>
      </c>
      <c r="N308" s="420" t="s">
        <v>821</v>
      </c>
      <c r="O308" s="420" t="s">
        <v>1074</v>
      </c>
      <c r="P308" s="420"/>
      <c r="Q308" s="420">
        <v>581</v>
      </c>
      <c r="R308" s="428">
        <f t="shared" si="4"/>
        <v>-581</v>
      </c>
      <c r="S308" s="428" t="str">
        <f>VLOOKUP(H308,'Fund Utilization Report'!$A$4:$U$1800,13,FALSE)</f>
        <v>MOOE</v>
      </c>
      <c r="T308" s="428" t="str">
        <f>VLOOKUP(H308,'Fund Utilization Report'!$A$4:$U$1800,2,FALSE)</f>
        <v>GAA</v>
      </c>
      <c r="U308" s="428" t="str">
        <f>VLOOKUP(H308,'Fund Utilization Report'!$A$4:$U$1800,3,FALSE)</f>
        <v>FY2021, RA11518</v>
      </c>
      <c r="V308" s="428" t="str">
        <f>VLOOKUP(H308,'Fund Utilization Report'!$A$4:$U$1800,4,FALSE)</f>
        <v>GAS(GMS)</v>
      </c>
      <c r="W308" s="428" t="str">
        <f>VLOOKUP(H308,'Fund Utilization Report'!$A$4:$U$1800,5,FALSE)</f>
        <v>01101101</v>
      </c>
      <c r="X308" s="428" t="str">
        <f>VLOOKUP(H308,'Fund Utilization Report'!$A$4:$U$1800,6,FALSE)</f>
        <v>GOP</v>
      </c>
      <c r="Y308" s="320" t="str">
        <f>VLOOKUP(H308,'Fund Utilization Report'!$A$4:$U$1800,7,FALSE)</f>
        <v>MOOE</v>
      </c>
      <c r="Z308" s="425">
        <f>VLOOKUP(H308,'Fund Utilization Report'!$A$4:$U$1800,8,FALSE)</f>
        <v>5020000000</v>
      </c>
      <c r="AA308" s="428" t="str">
        <f>VLOOKUP(H308,'Fund Utilization Report'!$A$4:$U$1800,14,FALSE)</f>
        <v>100000100001000</v>
      </c>
      <c r="AB308" s="349" t="str">
        <f>VLOOKUP(H308,'Fund Utilization Report'!$A$4:$U$1800,15,FALSE)</f>
        <v>General Administration and Supervision - General Management and Supervision</v>
      </c>
      <c r="AC308" s="39"/>
      <c r="AD308" s="34"/>
      <c r="AE308" s="39"/>
      <c r="AF308" s="51"/>
      <c r="AG308" s="40"/>
      <c r="AH308" s="40"/>
    </row>
    <row r="309" spans="1:34" s="32" customFormat="1">
      <c r="A309" s="338" t="s">
        <v>942</v>
      </c>
      <c r="B309" s="338" t="s">
        <v>945</v>
      </c>
      <c r="C309" s="358">
        <v>44230</v>
      </c>
      <c r="D309" s="351" t="s">
        <v>1028</v>
      </c>
      <c r="E309" s="352" t="s">
        <v>1080</v>
      </c>
      <c r="F309" s="338">
        <v>0.63750000000000007</v>
      </c>
      <c r="G309" s="338">
        <v>0.63888888888888895</v>
      </c>
      <c r="H309" s="338" t="s">
        <v>961</v>
      </c>
      <c r="I309" s="353">
        <v>791</v>
      </c>
      <c r="J309" s="338" t="str">
        <f>IFERROR(VLOOKUP(I309,'Chart of accounts'!A:H,2,FALSE),"")</f>
        <v>50211010 00</v>
      </c>
      <c r="K309" s="338" t="str">
        <f>IFERROR(VLOOKUP(I309,'Chart of accounts'!A:H,3,FALSE),"")</f>
        <v>Legal Services</v>
      </c>
      <c r="L309" s="338" t="str">
        <f>IFERROR(VLOOKUP(I309,'Chart of accounts'!A:H,4,FALSE),"")</f>
        <v>50211010 00 - Legal Services (791)</v>
      </c>
      <c r="M309" s="361">
        <v>68</v>
      </c>
      <c r="N309" s="420" t="s">
        <v>821</v>
      </c>
      <c r="O309" s="420" t="s">
        <v>1074</v>
      </c>
      <c r="P309" s="420"/>
      <c r="Q309" s="420">
        <v>498</v>
      </c>
      <c r="R309" s="428">
        <f t="shared" si="4"/>
        <v>-498</v>
      </c>
      <c r="S309" s="428" t="str">
        <f>VLOOKUP(H309,'Fund Utilization Report'!$A$4:$U$1800,13,FALSE)</f>
        <v>MOOE</v>
      </c>
      <c r="T309" s="428" t="str">
        <f>VLOOKUP(H309,'Fund Utilization Report'!$A$4:$U$1800,2,FALSE)</f>
        <v>GAA</v>
      </c>
      <c r="U309" s="428" t="str">
        <f>VLOOKUP(H309,'Fund Utilization Report'!$A$4:$U$1800,3,FALSE)</f>
        <v>FY2021, RA11518</v>
      </c>
      <c r="V309" s="428" t="str">
        <f>VLOOKUP(H309,'Fund Utilization Report'!$A$4:$U$1800,4,FALSE)</f>
        <v>GAS(GMS)</v>
      </c>
      <c r="W309" s="428" t="str">
        <f>VLOOKUP(H309,'Fund Utilization Report'!$A$4:$U$1800,5,FALSE)</f>
        <v>01101101</v>
      </c>
      <c r="X309" s="428" t="str">
        <f>VLOOKUP(H309,'Fund Utilization Report'!$A$4:$U$1800,6,FALSE)</f>
        <v>GOP</v>
      </c>
      <c r="Y309" s="320" t="str">
        <f>VLOOKUP(H309,'Fund Utilization Report'!$A$4:$U$1800,7,FALSE)</f>
        <v>MOOE</v>
      </c>
      <c r="Z309" s="425">
        <f>VLOOKUP(H309,'Fund Utilization Report'!$A$4:$U$1800,8,FALSE)</f>
        <v>5020000000</v>
      </c>
      <c r="AA309" s="428" t="str">
        <f>VLOOKUP(H309,'Fund Utilization Report'!$A$4:$U$1800,14,FALSE)</f>
        <v>100000100001000</v>
      </c>
      <c r="AB309" s="349" t="str">
        <f>VLOOKUP(H309,'Fund Utilization Report'!$A$4:$U$1800,15,FALSE)</f>
        <v>General Administration and Supervision - General Management and Supervision</v>
      </c>
      <c r="AC309" s="39"/>
      <c r="AD309" s="34"/>
      <c r="AE309" s="39"/>
      <c r="AF309" s="51"/>
      <c r="AG309" s="40"/>
      <c r="AH309" s="40"/>
    </row>
    <row r="310" spans="1:34" s="32" customFormat="1">
      <c r="A310" s="338" t="s">
        <v>942</v>
      </c>
      <c r="B310" s="338" t="s">
        <v>945</v>
      </c>
      <c r="C310" s="358">
        <v>44230</v>
      </c>
      <c r="D310" s="351" t="s">
        <v>1028</v>
      </c>
      <c r="E310" s="352" t="s">
        <v>1080</v>
      </c>
      <c r="F310" s="338">
        <v>0.63750000000000007</v>
      </c>
      <c r="G310" s="338">
        <v>0.63888888888888895</v>
      </c>
      <c r="H310" s="338" t="s">
        <v>961</v>
      </c>
      <c r="I310" s="353">
        <v>796</v>
      </c>
      <c r="J310" s="338" t="str">
        <f>IFERROR(VLOOKUP(I310,'Chart of accounts'!A:H,2,FALSE),"")</f>
        <v>50212020 00</v>
      </c>
      <c r="K310" s="338" t="str">
        <f>IFERROR(VLOOKUP(I310,'Chart of accounts'!A:H,3,FALSE),"")</f>
        <v>Janitorial Services</v>
      </c>
      <c r="L310" s="338" t="str">
        <f>IFERROR(VLOOKUP(I310,'Chart of accounts'!A:H,4,FALSE),"")</f>
        <v>50212020 00 - Janitorial Services (796)</v>
      </c>
      <c r="M310" s="361">
        <v>68</v>
      </c>
      <c r="N310" s="420" t="s">
        <v>821</v>
      </c>
      <c r="O310" s="420" t="s">
        <v>1074</v>
      </c>
      <c r="P310" s="420"/>
      <c r="Q310" s="420">
        <v>14386.67</v>
      </c>
      <c r="R310" s="428">
        <f t="shared" si="4"/>
        <v>-14386.67</v>
      </c>
      <c r="S310" s="428" t="str">
        <f>VLOOKUP(H310,'Fund Utilization Report'!$A$4:$U$1800,13,FALSE)</f>
        <v>MOOE</v>
      </c>
      <c r="T310" s="428" t="str">
        <f>VLOOKUP(H310,'Fund Utilization Report'!$A$4:$U$1800,2,FALSE)</f>
        <v>GAA</v>
      </c>
      <c r="U310" s="428" t="str">
        <f>VLOOKUP(H310,'Fund Utilization Report'!$A$4:$U$1800,3,FALSE)</f>
        <v>FY2021, RA11518</v>
      </c>
      <c r="V310" s="428" t="str">
        <f>VLOOKUP(H310,'Fund Utilization Report'!$A$4:$U$1800,4,FALSE)</f>
        <v>GAS(GMS)</v>
      </c>
      <c r="W310" s="428" t="str">
        <f>VLOOKUP(H310,'Fund Utilization Report'!$A$4:$U$1800,5,FALSE)</f>
        <v>01101101</v>
      </c>
      <c r="X310" s="428" t="str">
        <f>VLOOKUP(H310,'Fund Utilization Report'!$A$4:$U$1800,6,FALSE)</f>
        <v>GOP</v>
      </c>
      <c r="Y310" s="320" t="str">
        <f>VLOOKUP(H310,'Fund Utilization Report'!$A$4:$U$1800,7,FALSE)</f>
        <v>MOOE</v>
      </c>
      <c r="Z310" s="425">
        <f>VLOOKUP(H310,'Fund Utilization Report'!$A$4:$U$1800,8,FALSE)</f>
        <v>5020000000</v>
      </c>
      <c r="AA310" s="428" t="str">
        <f>VLOOKUP(H310,'Fund Utilization Report'!$A$4:$U$1800,14,FALSE)</f>
        <v>100000100001000</v>
      </c>
      <c r="AB310" s="349" t="str">
        <f>VLOOKUP(H310,'Fund Utilization Report'!$A$4:$U$1800,15,FALSE)</f>
        <v>General Administration and Supervision - General Management and Supervision</v>
      </c>
      <c r="AC310" s="39"/>
      <c r="AD310" s="34"/>
      <c r="AE310" s="39"/>
      <c r="AF310" s="51"/>
      <c r="AG310" s="40"/>
      <c r="AH310" s="40"/>
    </row>
    <row r="311" spans="1:34" s="32" customFormat="1">
      <c r="A311" s="338" t="s">
        <v>942</v>
      </c>
      <c r="B311" s="338" t="s">
        <v>945</v>
      </c>
      <c r="C311" s="358">
        <v>44230</v>
      </c>
      <c r="D311" s="351" t="s">
        <v>1028</v>
      </c>
      <c r="E311" s="352" t="s">
        <v>1080</v>
      </c>
      <c r="F311" s="338">
        <v>0.63750000000000007</v>
      </c>
      <c r="G311" s="338">
        <v>0.63888888888888895</v>
      </c>
      <c r="H311" s="338" t="s">
        <v>961</v>
      </c>
      <c r="I311" s="353">
        <v>795</v>
      </c>
      <c r="J311" s="338" t="str">
        <f>IFERROR(VLOOKUP(I311,'Chart of accounts'!A:H,2,FALSE),"")</f>
        <v>50212990 00</v>
      </c>
      <c r="K311" s="338" t="str">
        <f>IFERROR(VLOOKUP(I311,'Chart of accounts'!A:H,3,FALSE),"")</f>
        <v>Other General Services</v>
      </c>
      <c r="L311" s="338" t="str">
        <f>IFERROR(VLOOKUP(I311,'Chart of accounts'!A:H,4,FALSE),"")</f>
        <v>50212990 00 - Other General Services (795)</v>
      </c>
      <c r="M311" s="361">
        <v>68</v>
      </c>
      <c r="N311" s="420" t="s">
        <v>821</v>
      </c>
      <c r="O311" s="420" t="s">
        <v>1074</v>
      </c>
      <c r="P311" s="420"/>
      <c r="Q311" s="420">
        <v>109583.24</v>
      </c>
      <c r="R311" s="428">
        <f t="shared" si="4"/>
        <v>-109583.24</v>
      </c>
      <c r="S311" s="428" t="str">
        <f>VLOOKUP(H311,'Fund Utilization Report'!$A$4:$U$1800,13,FALSE)</f>
        <v>MOOE</v>
      </c>
      <c r="T311" s="428" t="str">
        <f>VLOOKUP(H311,'Fund Utilization Report'!$A$4:$U$1800,2,FALSE)</f>
        <v>GAA</v>
      </c>
      <c r="U311" s="428" t="str">
        <f>VLOOKUP(H311,'Fund Utilization Report'!$A$4:$U$1800,3,FALSE)</f>
        <v>FY2021, RA11518</v>
      </c>
      <c r="V311" s="428" t="str">
        <f>VLOOKUP(H311,'Fund Utilization Report'!$A$4:$U$1800,4,FALSE)</f>
        <v>GAS(GMS)</v>
      </c>
      <c r="W311" s="428" t="str">
        <f>VLOOKUP(H311,'Fund Utilization Report'!$A$4:$U$1800,5,FALSE)</f>
        <v>01101101</v>
      </c>
      <c r="X311" s="428" t="str">
        <f>VLOOKUP(H311,'Fund Utilization Report'!$A$4:$U$1800,6,FALSE)</f>
        <v>GOP</v>
      </c>
      <c r="Y311" s="320" t="str">
        <f>VLOOKUP(H311,'Fund Utilization Report'!$A$4:$U$1800,7,FALSE)</f>
        <v>MOOE</v>
      </c>
      <c r="Z311" s="425">
        <f>VLOOKUP(H311,'Fund Utilization Report'!$A$4:$U$1800,8,FALSE)</f>
        <v>5020000000</v>
      </c>
      <c r="AA311" s="428" t="str">
        <f>VLOOKUP(H311,'Fund Utilization Report'!$A$4:$U$1800,14,FALSE)</f>
        <v>100000100001000</v>
      </c>
      <c r="AB311" s="349" t="str">
        <f>VLOOKUP(H311,'Fund Utilization Report'!$A$4:$U$1800,15,FALSE)</f>
        <v>General Administration and Supervision - General Management and Supervision</v>
      </c>
      <c r="AC311" s="39"/>
      <c r="AD311" s="34"/>
      <c r="AE311" s="39"/>
      <c r="AF311" s="51"/>
      <c r="AG311" s="40"/>
      <c r="AH311" s="40"/>
    </row>
    <row r="312" spans="1:34" s="32" customFormat="1">
      <c r="A312" s="338" t="s">
        <v>942</v>
      </c>
      <c r="B312" s="338" t="s">
        <v>945</v>
      </c>
      <c r="C312" s="358">
        <v>44230</v>
      </c>
      <c r="D312" s="351" t="s">
        <v>1028</v>
      </c>
      <c r="E312" s="352" t="s">
        <v>1080</v>
      </c>
      <c r="F312" s="338">
        <v>0.63750000000000007</v>
      </c>
      <c r="G312" s="338">
        <v>0.63888888888888895</v>
      </c>
      <c r="H312" s="338" t="s">
        <v>968</v>
      </c>
      <c r="I312" s="353">
        <v>820</v>
      </c>
      <c r="J312" s="338" t="str">
        <f>IFERROR(VLOOKUP(I312,'Chart of accounts'!A:H,2,FALSE),"")</f>
        <v>50213040 01</v>
      </c>
      <c r="K312" s="338" t="str">
        <f>IFERROR(VLOOKUP(I312,'Chart of accounts'!A:H,3,FALSE),"")</f>
        <v>Buildings</v>
      </c>
      <c r="L312" s="338" t="str">
        <f>IFERROR(VLOOKUP(I312,'Chart of accounts'!A:H,4,FALSE),"")</f>
        <v>50213040 01 - Buildings (820)</v>
      </c>
      <c r="M312" s="361">
        <v>68</v>
      </c>
      <c r="N312" s="420" t="s">
        <v>821</v>
      </c>
      <c r="O312" s="420" t="s">
        <v>1074</v>
      </c>
      <c r="P312" s="420"/>
      <c r="Q312" s="420">
        <v>16600</v>
      </c>
      <c r="R312" s="428">
        <f t="shared" si="4"/>
        <v>-16600</v>
      </c>
      <c r="S312" s="428" t="str">
        <f>VLOOKUP(H312,'Fund Utilization Report'!$A$4:$U$1800,13,FALSE)</f>
        <v>MOOE</v>
      </c>
      <c r="T312" s="428" t="str">
        <f>VLOOKUP(H312,'Fund Utilization Report'!$A$4:$U$1800,2,FALSE)</f>
        <v>GAA</v>
      </c>
      <c r="U312" s="428" t="str">
        <f>VLOOKUP(H312,'Fund Utilization Report'!$A$4:$U$1800,3,FALSE)</f>
        <v>FY2021, RA11518</v>
      </c>
      <c r="V312" s="428" t="str">
        <f>VLOOKUP(H312,'Fund Utilization Report'!$A$4:$U$1800,4,FALSE)</f>
        <v>OO2</v>
      </c>
      <c r="W312" s="428" t="str">
        <f>VLOOKUP(H312,'Fund Utilization Report'!$A$4:$U$1800,5,FALSE)</f>
        <v>01101101</v>
      </c>
      <c r="X312" s="428" t="str">
        <f>VLOOKUP(H312,'Fund Utilization Report'!$A$4:$U$1800,6,FALSE)</f>
        <v>GOP</v>
      </c>
      <c r="Y312" s="320" t="str">
        <f>VLOOKUP(H312,'Fund Utilization Report'!$A$4:$U$1800,7,FALSE)</f>
        <v>MOOE</v>
      </c>
      <c r="Z312" s="425">
        <f>VLOOKUP(H312,'Fund Utilization Report'!$A$4:$U$1800,8,FALSE)</f>
        <v>5020000000</v>
      </c>
      <c r="AA312" s="428" t="str">
        <f>VLOOKUP(H312,'Fund Utilization Report'!$A$4:$U$1800,14,FALSE)</f>
        <v>320100100001000</v>
      </c>
      <c r="AB312" s="349" t="str">
        <f>VLOOKUP(H312,'Fund Utilization Report'!$A$4:$U$1800,15,FALSE)</f>
        <v>Formulation of Strategic plans,programs, and policies to develop competitve industries</v>
      </c>
      <c r="AC312" s="39"/>
      <c r="AD312" s="34"/>
      <c r="AE312" s="39"/>
      <c r="AF312" s="51"/>
      <c r="AG312" s="40"/>
      <c r="AH312" s="40"/>
    </row>
    <row r="313" spans="1:34" s="32" customFormat="1">
      <c r="A313" s="338" t="s">
        <v>942</v>
      </c>
      <c r="B313" s="338" t="s">
        <v>945</v>
      </c>
      <c r="C313" s="358">
        <v>44230</v>
      </c>
      <c r="D313" s="351" t="s">
        <v>1028</v>
      </c>
      <c r="E313" s="352" t="s">
        <v>1080</v>
      </c>
      <c r="F313" s="338">
        <v>0.63750000000000007</v>
      </c>
      <c r="G313" s="338">
        <v>0.63888888888888895</v>
      </c>
      <c r="H313" s="338" t="s">
        <v>971</v>
      </c>
      <c r="I313" s="353">
        <v>821</v>
      </c>
      <c r="J313" s="338" t="str">
        <f>IFERROR(VLOOKUP(I313,'Chart of accounts'!A:H,2,FALSE),"")</f>
        <v>50213050 02</v>
      </c>
      <c r="K313" s="338" t="str">
        <f>IFERROR(VLOOKUP(I313,'Chart of accounts'!A:H,3,FALSE),"")</f>
        <v>Office Equipment</v>
      </c>
      <c r="L313" s="338" t="str">
        <f>IFERROR(VLOOKUP(I313,'Chart of accounts'!A:H,4,FALSE),"")</f>
        <v>50213050 02 - Office Equipment (821)</v>
      </c>
      <c r="M313" s="361">
        <v>68</v>
      </c>
      <c r="N313" s="420" t="s">
        <v>821</v>
      </c>
      <c r="O313" s="420" t="s">
        <v>1074</v>
      </c>
      <c r="P313" s="420"/>
      <c r="Q313" s="420">
        <v>2766.67</v>
      </c>
      <c r="R313" s="428">
        <f t="shared" si="4"/>
        <v>-2766.67</v>
      </c>
      <c r="S313" s="428" t="str">
        <f>VLOOKUP(H313,'Fund Utilization Report'!$A$4:$U$1800,13,FALSE)</f>
        <v>MOOE</v>
      </c>
      <c r="T313" s="428" t="str">
        <f>VLOOKUP(H313,'Fund Utilization Report'!$A$4:$U$1800,2,FALSE)</f>
        <v>GAA</v>
      </c>
      <c r="U313" s="428" t="str">
        <f>VLOOKUP(H313,'Fund Utilization Report'!$A$4:$U$1800,3,FALSE)</f>
        <v>FY2021, RA11518</v>
      </c>
      <c r="V313" s="428" t="str">
        <f>VLOOKUP(H313,'Fund Utilization Report'!$A$4:$U$1800,4,FALSE)</f>
        <v>OO3</v>
      </c>
      <c r="W313" s="428" t="str">
        <f>VLOOKUP(H313,'Fund Utilization Report'!$A$4:$U$1800,5,FALSE)</f>
        <v>01101101</v>
      </c>
      <c r="X313" s="428" t="str">
        <f>VLOOKUP(H313,'Fund Utilization Report'!$A$4:$U$1800,6,FALSE)</f>
        <v>GOP</v>
      </c>
      <c r="Y313" s="320" t="str">
        <f>VLOOKUP(H313,'Fund Utilization Report'!$A$4:$U$1800,7,FALSE)</f>
        <v>MOOE</v>
      </c>
      <c r="Z313" s="425">
        <f>VLOOKUP(H313,'Fund Utilization Report'!$A$4:$U$1800,8,FALSE)</f>
        <v>5020000000</v>
      </c>
      <c r="AA313" s="428" t="str">
        <f>VLOOKUP(H313,'Fund Utilization Report'!$A$4:$U$1800,14,FALSE)</f>
        <v>330100100002000</v>
      </c>
      <c r="AB313" s="349" t="str">
        <f>VLOOKUP(H313,'Fund Utilization Report'!$A$4:$U$1800,15,FALSE)</f>
        <v>Implementation of the MSME Development Plan and other initiatives to promote the growth of Micro, Small and Medium Enterprises</v>
      </c>
      <c r="AC313" s="39"/>
      <c r="AD313" s="34"/>
      <c r="AE313" s="39"/>
      <c r="AF313" s="51"/>
      <c r="AG313" s="40"/>
      <c r="AH313" s="40"/>
    </row>
    <row r="314" spans="1:34" s="32" customFormat="1">
      <c r="A314" s="338" t="s">
        <v>942</v>
      </c>
      <c r="B314" s="338" t="s">
        <v>945</v>
      </c>
      <c r="C314" s="358">
        <v>44230</v>
      </c>
      <c r="D314" s="351" t="s">
        <v>1028</v>
      </c>
      <c r="E314" s="352" t="s">
        <v>1080</v>
      </c>
      <c r="F314" s="338">
        <v>0.63750000000000007</v>
      </c>
      <c r="G314" s="338">
        <v>0.63888888888888895</v>
      </c>
      <c r="H314" s="338" t="s">
        <v>968</v>
      </c>
      <c r="I314" s="353">
        <v>823</v>
      </c>
      <c r="J314" s="338" t="str">
        <f>IFERROR(VLOOKUP(I314,'Chart of accounts'!A:H,2,FALSE),"")</f>
        <v>50213050 03</v>
      </c>
      <c r="K314" s="338" t="str">
        <f>IFERROR(VLOOKUP(I314,'Chart of accounts'!A:H,3,FALSE),"")</f>
        <v>ICT Equipment</v>
      </c>
      <c r="L314" s="338" t="str">
        <f>IFERROR(VLOOKUP(I314,'Chart of accounts'!A:H,4,FALSE),"")</f>
        <v>50213050 03 - ICT Equipment (823)</v>
      </c>
      <c r="M314" s="361">
        <v>68</v>
      </c>
      <c r="N314" s="420" t="s">
        <v>821</v>
      </c>
      <c r="O314" s="420" t="s">
        <v>1074</v>
      </c>
      <c r="P314" s="420"/>
      <c r="Q314" s="420">
        <v>2766.67</v>
      </c>
      <c r="R314" s="428">
        <f t="shared" si="4"/>
        <v>-2766.67</v>
      </c>
      <c r="S314" s="428" t="str">
        <f>VLOOKUP(H314,'Fund Utilization Report'!$A$4:$U$1800,13,FALSE)</f>
        <v>MOOE</v>
      </c>
      <c r="T314" s="428" t="str">
        <f>VLOOKUP(H314,'Fund Utilization Report'!$A$4:$U$1800,2,FALSE)</f>
        <v>GAA</v>
      </c>
      <c r="U314" s="428" t="str">
        <f>VLOOKUP(H314,'Fund Utilization Report'!$A$4:$U$1800,3,FALSE)</f>
        <v>FY2021, RA11518</v>
      </c>
      <c r="V314" s="428" t="str">
        <f>VLOOKUP(H314,'Fund Utilization Report'!$A$4:$U$1800,4,FALSE)</f>
        <v>OO2</v>
      </c>
      <c r="W314" s="428" t="str">
        <f>VLOOKUP(H314,'Fund Utilization Report'!$A$4:$U$1800,5,FALSE)</f>
        <v>01101101</v>
      </c>
      <c r="X314" s="428" t="str">
        <f>VLOOKUP(H314,'Fund Utilization Report'!$A$4:$U$1800,6,FALSE)</f>
        <v>GOP</v>
      </c>
      <c r="Y314" s="320" t="str">
        <f>VLOOKUP(H314,'Fund Utilization Report'!$A$4:$U$1800,7,FALSE)</f>
        <v>MOOE</v>
      </c>
      <c r="Z314" s="425">
        <f>VLOOKUP(H314,'Fund Utilization Report'!$A$4:$U$1800,8,FALSE)</f>
        <v>5020000000</v>
      </c>
      <c r="AA314" s="428" t="str">
        <f>VLOOKUP(H314,'Fund Utilization Report'!$A$4:$U$1800,14,FALSE)</f>
        <v>320100100001000</v>
      </c>
      <c r="AB314" s="349" t="str">
        <f>VLOOKUP(H314,'Fund Utilization Report'!$A$4:$U$1800,15,FALSE)</f>
        <v>Formulation of Strategic plans,programs, and policies to develop competitve industries</v>
      </c>
      <c r="AC314" s="39"/>
      <c r="AD314" s="34"/>
      <c r="AE314" s="39"/>
      <c r="AF314" s="51"/>
      <c r="AG314" s="40"/>
      <c r="AH314" s="40"/>
    </row>
    <row r="315" spans="1:34" s="32" customFormat="1">
      <c r="A315" s="338" t="s">
        <v>942</v>
      </c>
      <c r="B315" s="338" t="s">
        <v>945</v>
      </c>
      <c r="C315" s="358">
        <v>44230</v>
      </c>
      <c r="D315" s="351" t="s">
        <v>1028</v>
      </c>
      <c r="E315" s="352" t="s">
        <v>1080</v>
      </c>
      <c r="F315" s="338">
        <v>0.63750000000000007</v>
      </c>
      <c r="G315" s="338">
        <v>0.63888888888888895</v>
      </c>
      <c r="H315" s="338" t="s">
        <v>968</v>
      </c>
      <c r="I315" s="353">
        <v>822</v>
      </c>
      <c r="J315" s="338" t="str">
        <f>IFERROR(VLOOKUP(I315,'Chart of accounts'!A:H,2,FALSE),"")</f>
        <v>50213070 00</v>
      </c>
      <c r="K315" s="338" t="str">
        <f>IFERROR(VLOOKUP(I315,'Chart of accounts'!A:H,3,FALSE),"")</f>
        <v>Furniture and Fixture</v>
      </c>
      <c r="L315" s="338" t="str">
        <f>IFERROR(VLOOKUP(I315,'Chart of accounts'!A:H,4,FALSE),"")</f>
        <v>50213070 00 - Furniture and Fixture (822)</v>
      </c>
      <c r="M315" s="361">
        <v>68</v>
      </c>
      <c r="N315" s="420" t="s">
        <v>821</v>
      </c>
      <c r="O315" s="420" t="s">
        <v>1074</v>
      </c>
      <c r="P315" s="420"/>
      <c r="Q315" s="420">
        <v>1383.33</v>
      </c>
      <c r="R315" s="428">
        <f t="shared" si="4"/>
        <v>-1383.33</v>
      </c>
      <c r="S315" s="428" t="str">
        <f>VLOOKUP(H315,'Fund Utilization Report'!$A$4:$U$1800,13,FALSE)</f>
        <v>MOOE</v>
      </c>
      <c r="T315" s="428" t="str">
        <f>VLOOKUP(H315,'Fund Utilization Report'!$A$4:$U$1800,2,FALSE)</f>
        <v>GAA</v>
      </c>
      <c r="U315" s="428" t="str">
        <f>VLOOKUP(H315,'Fund Utilization Report'!$A$4:$U$1800,3,FALSE)</f>
        <v>FY2021, RA11518</v>
      </c>
      <c r="V315" s="428" t="str">
        <f>VLOOKUP(H315,'Fund Utilization Report'!$A$4:$U$1800,4,FALSE)</f>
        <v>OO2</v>
      </c>
      <c r="W315" s="428" t="str">
        <f>VLOOKUP(H315,'Fund Utilization Report'!$A$4:$U$1800,5,FALSE)</f>
        <v>01101101</v>
      </c>
      <c r="X315" s="428" t="str">
        <f>VLOOKUP(H315,'Fund Utilization Report'!$A$4:$U$1800,6,FALSE)</f>
        <v>GOP</v>
      </c>
      <c r="Y315" s="320" t="str">
        <f>VLOOKUP(H315,'Fund Utilization Report'!$A$4:$U$1800,7,FALSE)</f>
        <v>MOOE</v>
      </c>
      <c r="Z315" s="425">
        <f>VLOOKUP(H315,'Fund Utilization Report'!$A$4:$U$1800,8,FALSE)</f>
        <v>5020000000</v>
      </c>
      <c r="AA315" s="428" t="str">
        <f>VLOOKUP(H315,'Fund Utilization Report'!$A$4:$U$1800,14,FALSE)</f>
        <v>320100100001000</v>
      </c>
      <c r="AB315" s="349" t="str">
        <f>VLOOKUP(H315,'Fund Utilization Report'!$A$4:$U$1800,15,FALSE)</f>
        <v>Formulation of Strategic plans,programs, and policies to develop competitve industries</v>
      </c>
      <c r="AC315" s="39"/>
      <c r="AD315" s="34"/>
      <c r="AE315" s="39"/>
      <c r="AF315" s="51"/>
      <c r="AG315" s="40"/>
      <c r="AH315" s="40"/>
    </row>
    <row r="316" spans="1:34" s="32" customFormat="1">
      <c r="A316" s="338" t="s">
        <v>942</v>
      </c>
      <c r="B316" s="338" t="s">
        <v>945</v>
      </c>
      <c r="C316" s="358">
        <v>44230</v>
      </c>
      <c r="D316" s="351" t="s">
        <v>1028</v>
      </c>
      <c r="E316" s="352" t="s">
        <v>1080</v>
      </c>
      <c r="F316" s="338">
        <v>0.63750000000000007</v>
      </c>
      <c r="G316" s="338">
        <v>0.63888888888888895</v>
      </c>
      <c r="H316" s="338" t="s">
        <v>961</v>
      </c>
      <c r="I316" s="353">
        <v>841</v>
      </c>
      <c r="J316" s="338" t="str">
        <f>IFERROR(VLOOKUP(I316,'Chart of accounts'!A:H,2,FALSE),"")</f>
        <v>50213060 01</v>
      </c>
      <c r="K316" s="338" t="str">
        <f>IFERROR(VLOOKUP(I316,'Chart of accounts'!A:H,3,FALSE),"")</f>
        <v>Motor Vehicles</v>
      </c>
      <c r="L316" s="338" t="str">
        <f>IFERROR(VLOOKUP(I316,'Chart of accounts'!A:H,4,FALSE),"")</f>
        <v>50213060 01 - Motor Vehicles (841)</v>
      </c>
      <c r="M316" s="361">
        <v>68</v>
      </c>
      <c r="N316" s="420" t="s">
        <v>821</v>
      </c>
      <c r="O316" s="420" t="s">
        <v>1074</v>
      </c>
      <c r="P316" s="420"/>
      <c r="Q316" s="420">
        <v>13833.33</v>
      </c>
      <c r="R316" s="428">
        <f t="shared" si="4"/>
        <v>-13833.33</v>
      </c>
      <c r="S316" s="428" t="str">
        <f>VLOOKUP(H316,'Fund Utilization Report'!$A$4:$U$1800,13,FALSE)</f>
        <v>MOOE</v>
      </c>
      <c r="T316" s="428" t="str">
        <f>VLOOKUP(H316,'Fund Utilization Report'!$A$4:$U$1800,2,FALSE)</f>
        <v>GAA</v>
      </c>
      <c r="U316" s="428" t="str">
        <f>VLOOKUP(H316,'Fund Utilization Report'!$A$4:$U$1800,3,FALSE)</f>
        <v>FY2021, RA11518</v>
      </c>
      <c r="V316" s="428" t="str">
        <f>VLOOKUP(H316,'Fund Utilization Report'!$A$4:$U$1800,4,FALSE)</f>
        <v>GAS(GMS)</v>
      </c>
      <c r="W316" s="428" t="str">
        <f>VLOOKUP(H316,'Fund Utilization Report'!$A$4:$U$1800,5,FALSE)</f>
        <v>01101101</v>
      </c>
      <c r="X316" s="428" t="str">
        <f>VLOOKUP(H316,'Fund Utilization Report'!$A$4:$U$1800,6,FALSE)</f>
        <v>GOP</v>
      </c>
      <c r="Y316" s="320" t="str">
        <f>VLOOKUP(H316,'Fund Utilization Report'!$A$4:$U$1800,7,FALSE)</f>
        <v>MOOE</v>
      </c>
      <c r="Z316" s="425">
        <f>VLOOKUP(H316,'Fund Utilization Report'!$A$4:$U$1800,8,FALSE)</f>
        <v>5020000000</v>
      </c>
      <c r="AA316" s="428" t="str">
        <f>VLOOKUP(H316,'Fund Utilization Report'!$A$4:$U$1800,14,FALSE)</f>
        <v>100000100001000</v>
      </c>
      <c r="AB316" s="349" t="str">
        <f>VLOOKUP(H316,'Fund Utilization Report'!$A$4:$U$1800,15,FALSE)</f>
        <v>General Administration and Supervision - General Management and Supervision</v>
      </c>
      <c r="AC316" s="39"/>
      <c r="AD316" s="34"/>
      <c r="AE316" s="39"/>
      <c r="AF316" s="51"/>
      <c r="AG316" s="40"/>
      <c r="AH316" s="40"/>
    </row>
    <row r="317" spans="1:34" s="32" customFormat="1">
      <c r="A317" s="338" t="s">
        <v>942</v>
      </c>
      <c r="B317" s="338" t="s">
        <v>945</v>
      </c>
      <c r="C317" s="358">
        <v>44230</v>
      </c>
      <c r="D317" s="351" t="s">
        <v>1028</v>
      </c>
      <c r="E317" s="352" t="s">
        <v>1080</v>
      </c>
      <c r="F317" s="338">
        <v>0.63750000000000007</v>
      </c>
      <c r="G317" s="338">
        <v>0.63888888888888895</v>
      </c>
      <c r="H317" s="338" t="s">
        <v>961</v>
      </c>
      <c r="I317" s="353">
        <v>891</v>
      </c>
      <c r="J317" s="338" t="str">
        <f>IFERROR(VLOOKUP(I317,'Chart of accounts'!A:H,2,FALSE),"")</f>
        <v>50215010 01</v>
      </c>
      <c r="K317" s="338" t="str">
        <f>IFERROR(VLOOKUP(I317,'Chart of accounts'!A:H,3,FALSE),"")</f>
        <v>Taxes, Duties and Licenses</v>
      </c>
      <c r="L317" s="338" t="str">
        <f>IFERROR(VLOOKUP(I317,'Chart of accounts'!A:H,4,FALSE),"")</f>
        <v>50215010 01 - Taxes, Duties and Licenses (891)</v>
      </c>
      <c r="M317" s="361">
        <v>68</v>
      </c>
      <c r="N317" s="420" t="s">
        <v>821</v>
      </c>
      <c r="O317" s="420" t="s">
        <v>1074</v>
      </c>
      <c r="P317" s="420"/>
      <c r="Q317" s="420">
        <v>1037.5</v>
      </c>
      <c r="R317" s="428">
        <f t="shared" si="4"/>
        <v>-1037.5</v>
      </c>
      <c r="S317" s="428" t="str">
        <f>VLOOKUP(H317,'Fund Utilization Report'!$A$4:$U$1800,13,FALSE)</f>
        <v>MOOE</v>
      </c>
      <c r="T317" s="428" t="str">
        <f>VLOOKUP(H317,'Fund Utilization Report'!$A$4:$U$1800,2,FALSE)</f>
        <v>GAA</v>
      </c>
      <c r="U317" s="428" t="str">
        <f>VLOOKUP(H317,'Fund Utilization Report'!$A$4:$U$1800,3,FALSE)</f>
        <v>FY2021, RA11518</v>
      </c>
      <c r="V317" s="428" t="str">
        <f>VLOOKUP(H317,'Fund Utilization Report'!$A$4:$U$1800,4,FALSE)</f>
        <v>GAS(GMS)</v>
      </c>
      <c r="W317" s="428" t="str">
        <f>VLOOKUP(H317,'Fund Utilization Report'!$A$4:$U$1800,5,FALSE)</f>
        <v>01101101</v>
      </c>
      <c r="X317" s="428" t="str">
        <f>VLOOKUP(H317,'Fund Utilization Report'!$A$4:$U$1800,6,FALSE)</f>
        <v>GOP</v>
      </c>
      <c r="Y317" s="320" t="str">
        <f>VLOOKUP(H317,'Fund Utilization Report'!$A$4:$U$1800,7,FALSE)</f>
        <v>MOOE</v>
      </c>
      <c r="Z317" s="425">
        <f>VLOOKUP(H317,'Fund Utilization Report'!$A$4:$U$1800,8,FALSE)</f>
        <v>5020000000</v>
      </c>
      <c r="AA317" s="428" t="str">
        <f>VLOOKUP(H317,'Fund Utilization Report'!$A$4:$U$1800,14,FALSE)</f>
        <v>100000100001000</v>
      </c>
      <c r="AB317" s="349" t="str">
        <f>VLOOKUP(H317,'Fund Utilization Report'!$A$4:$U$1800,15,FALSE)</f>
        <v>General Administration and Supervision - General Management and Supervision</v>
      </c>
      <c r="AC317" s="39"/>
      <c r="AD317" s="34"/>
      <c r="AE317" s="39"/>
      <c r="AF317" s="51"/>
      <c r="AG317" s="40"/>
      <c r="AH317" s="40"/>
    </row>
    <row r="318" spans="1:34" s="32" customFormat="1">
      <c r="A318" s="338" t="s">
        <v>942</v>
      </c>
      <c r="B318" s="338" t="s">
        <v>945</v>
      </c>
      <c r="C318" s="358">
        <v>44230</v>
      </c>
      <c r="D318" s="351" t="s">
        <v>1028</v>
      </c>
      <c r="E318" s="352" t="s">
        <v>1080</v>
      </c>
      <c r="F318" s="338">
        <v>0.63750000000000007</v>
      </c>
      <c r="G318" s="338">
        <v>0.63888888888888895</v>
      </c>
      <c r="H318" s="338" t="s">
        <v>961</v>
      </c>
      <c r="I318" s="353">
        <v>892</v>
      </c>
      <c r="J318" s="338" t="str">
        <f>IFERROR(VLOOKUP(I318,'Chart of accounts'!A:H,2,FALSE),"")</f>
        <v>50215020 00</v>
      </c>
      <c r="K318" s="338" t="str">
        <f>IFERROR(VLOOKUP(I318,'Chart of accounts'!A:H,3,FALSE),"")</f>
        <v>Fidelity Bond Premiums</v>
      </c>
      <c r="L318" s="338" t="str">
        <f>IFERROR(VLOOKUP(I318,'Chart of accounts'!A:H,4,FALSE),"")</f>
        <v>50215020 00 - Fidelity Bond Premiums (892)</v>
      </c>
      <c r="M318" s="361">
        <v>68</v>
      </c>
      <c r="N318" s="420" t="s">
        <v>821</v>
      </c>
      <c r="O318" s="420" t="s">
        <v>1074</v>
      </c>
      <c r="P318" s="420"/>
      <c r="Q318" s="420">
        <v>1390.25</v>
      </c>
      <c r="R318" s="428">
        <f t="shared" si="4"/>
        <v>-1390.25</v>
      </c>
      <c r="S318" s="428" t="str">
        <f>VLOOKUP(H318,'Fund Utilization Report'!$A$4:$U$1800,13,FALSE)</f>
        <v>MOOE</v>
      </c>
      <c r="T318" s="428" t="str">
        <f>VLOOKUP(H318,'Fund Utilization Report'!$A$4:$U$1800,2,FALSE)</f>
        <v>GAA</v>
      </c>
      <c r="U318" s="428" t="str">
        <f>VLOOKUP(H318,'Fund Utilization Report'!$A$4:$U$1800,3,FALSE)</f>
        <v>FY2021, RA11518</v>
      </c>
      <c r="V318" s="428" t="str">
        <f>VLOOKUP(H318,'Fund Utilization Report'!$A$4:$U$1800,4,FALSE)</f>
        <v>GAS(GMS)</v>
      </c>
      <c r="W318" s="428" t="str">
        <f>VLOOKUP(H318,'Fund Utilization Report'!$A$4:$U$1800,5,FALSE)</f>
        <v>01101101</v>
      </c>
      <c r="X318" s="428" t="str">
        <f>VLOOKUP(H318,'Fund Utilization Report'!$A$4:$U$1800,6,FALSE)</f>
        <v>GOP</v>
      </c>
      <c r="Y318" s="320" t="str">
        <f>VLOOKUP(H318,'Fund Utilization Report'!$A$4:$U$1800,7,FALSE)</f>
        <v>MOOE</v>
      </c>
      <c r="Z318" s="425">
        <f>VLOOKUP(H318,'Fund Utilization Report'!$A$4:$U$1800,8,FALSE)</f>
        <v>5020000000</v>
      </c>
      <c r="AA318" s="428" t="str">
        <f>VLOOKUP(H318,'Fund Utilization Report'!$A$4:$U$1800,14,FALSE)</f>
        <v>100000100001000</v>
      </c>
      <c r="AB318" s="349" t="str">
        <f>VLOOKUP(H318,'Fund Utilization Report'!$A$4:$U$1800,15,FALSE)</f>
        <v>General Administration and Supervision - General Management and Supervision</v>
      </c>
      <c r="AC318" s="39"/>
      <c r="AD318" s="34"/>
      <c r="AE318" s="39"/>
      <c r="AF318" s="51"/>
      <c r="AG318" s="40"/>
      <c r="AH318" s="40"/>
    </row>
    <row r="319" spans="1:34" s="32" customFormat="1">
      <c r="A319" s="338" t="s">
        <v>942</v>
      </c>
      <c r="B319" s="338" t="s">
        <v>945</v>
      </c>
      <c r="C319" s="358">
        <v>44230</v>
      </c>
      <c r="D319" s="351" t="s">
        <v>1028</v>
      </c>
      <c r="E319" s="352" t="s">
        <v>1080</v>
      </c>
      <c r="F319" s="338">
        <v>0.63750000000000007</v>
      </c>
      <c r="G319" s="338">
        <v>0.63888888888888895</v>
      </c>
      <c r="H319" s="338" t="s">
        <v>961</v>
      </c>
      <c r="I319" s="353">
        <v>893</v>
      </c>
      <c r="J319" s="338" t="str">
        <f>IFERROR(VLOOKUP(I319,'Chart of accounts'!A:H,2,FALSE),"")</f>
        <v>50215030 00</v>
      </c>
      <c r="K319" s="338" t="str">
        <f>IFERROR(VLOOKUP(I319,'Chart of accounts'!A:H,3,FALSE),"")</f>
        <v>Insurance Expense</v>
      </c>
      <c r="L319" s="338" t="str">
        <f>IFERROR(VLOOKUP(I319,'Chart of accounts'!A:H,4,FALSE),"")</f>
        <v>50215030 00 - Insurance Expense (893)</v>
      </c>
      <c r="M319" s="361">
        <v>68</v>
      </c>
      <c r="N319" s="420" t="s">
        <v>821</v>
      </c>
      <c r="O319" s="420" t="s">
        <v>1074</v>
      </c>
      <c r="P319" s="420"/>
      <c r="Q319" s="420">
        <v>3043.33</v>
      </c>
      <c r="R319" s="428">
        <f t="shared" si="4"/>
        <v>-3043.33</v>
      </c>
      <c r="S319" s="428" t="str">
        <f>VLOOKUP(H319,'Fund Utilization Report'!$A$4:$U$1800,13,FALSE)</f>
        <v>MOOE</v>
      </c>
      <c r="T319" s="428" t="str">
        <f>VLOOKUP(H319,'Fund Utilization Report'!$A$4:$U$1800,2,FALSE)</f>
        <v>GAA</v>
      </c>
      <c r="U319" s="428" t="str">
        <f>VLOOKUP(H319,'Fund Utilization Report'!$A$4:$U$1800,3,FALSE)</f>
        <v>FY2021, RA11518</v>
      </c>
      <c r="V319" s="428" t="str">
        <f>VLOOKUP(H319,'Fund Utilization Report'!$A$4:$U$1800,4,FALSE)</f>
        <v>GAS(GMS)</v>
      </c>
      <c r="W319" s="428" t="str">
        <f>VLOOKUP(H319,'Fund Utilization Report'!$A$4:$U$1800,5,FALSE)</f>
        <v>01101101</v>
      </c>
      <c r="X319" s="428" t="str">
        <f>VLOOKUP(H319,'Fund Utilization Report'!$A$4:$U$1800,6,FALSE)</f>
        <v>GOP</v>
      </c>
      <c r="Y319" s="320" t="str">
        <f>VLOOKUP(H319,'Fund Utilization Report'!$A$4:$U$1800,7,FALSE)</f>
        <v>MOOE</v>
      </c>
      <c r="Z319" s="425">
        <f>VLOOKUP(H319,'Fund Utilization Report'!$A$4:$U$1800,8,FALSE)</f>
        <v>5020000000</v>
      </c>
      <c r="AA319" s="428" t="str">
        <f>VLOOKUP(H319,'Fund Utilization Report'!$A$4:$U$1800,14,FALSE)</f>
        <v>100000100001000</v>
      </c>
      <c r="AB319" s="349" t="str">
        <f>VLOOKUP(H319,'Fund Utilization Report'!$A$4:$U$1800,15,FALSE)</f>
        <v>General Administration and Supervision - General Management and Supervision</v>
      </c>
      <c r="AC319" s="39"/>
      <c r="AD319" s="34"/>
      <c r="AE319" s="39"/>
      <c r="AF319" s="51"/>
      <c r="AG319" s="40"/>
      <c r="AH319" s="40"/>
    </row>
    <row r="320" spans="1:34" s="32" customFormat="1">
      <c r="A320" s="338" t="s">
        <v>942</v>
      </c>
      <c r="B320" s="338" t="s">
        <v>945</v>
      </c>
      <c r="C320" s="358">
        <v>44230</v>
      </c>
      <c r="D320" s="351" t="s">
        <v>1028</v>
      </c>
      <c r="E320" s="352" t="s">
        <v>1080</v>
      </c>
      <c r="F320" s="338">
        <v>0.63750000000000007</v>
      </c>
      <c r="G320" s="338">
        <v>0.63888888888888895</v>
      </c>
      <c r="H320" s="338" t="s">
        <v>961</v>
      </c>
      <c r="I320" s="353">
        <v>782</v>
      </c>
      <c r="J320" s="338" t="str">
        <f>IFERROR(VLOOKUP(I320,'Chart of accounts'!A:H,2,FALSE),"")</f>
        <v>50299050 01</v>
      </c>
      <c r="K320" s="338" t="str">
        <f>IFERROR(VLOOKUP(I320,'Chart of accounts'!A:H,3,FALSE),"")</f>
        <v>Rent - Buildings and Structures</v>
      </c>
      <c r="L320" s="338" t="str">
        <f>IFERROR(VLOOKUP(I320,'Chart of accounts'!A:H,4,FALSE),"")</f>
        <v>50299050 01 - Rent - Buildings and Structures (782)</v>
      </c>
      <c r="M320" s="361">
        <v>68</v>
      </c>
      <c r="N320" s="420" t="s">
        <v>821</v>
      </c>
      <c r="O320" s="420" t="s">
        <v>1074</v>
      </c>
      <c r="P320" s="420"/>
      <c r="Q320" s="420">
        <v>85490</v>
      </c>
      <c r="R320" s="428">
        <f t="shared" si="4"/>
        <v>-85490</v>
      </c>
      <c r="S320" s="428" t="str">
        <f>VLOOKUP(H320,'Fund Utilization Report'!$A$4:$U$1800,13,FALSE)</f>
        <v>MOOE</v>
      </c>
      <c r="T320" s="428" t="str">
        <f>VLOOKUP(H320,'Fund Utilization Report'!$A$4:$U$1800,2,FALSE)</f>
        <v>GAA</v>
      </c>
      <c r="U320" s="428" t="str">
        <f>VLOOKUP(H320,'Fund Utilization Report'!$A$4:$U$1800,3,FALSE)</f>
        <v>FY2021, RA11518</v>
      </c>
      <c r="V320" s="428" t="str">
        <f>VLOOKUP(H320,'Fund Utilization Report'!$A$4:$U$1800,4,FALSE)</f>
        <v>GAS(GMS)</v>
      </c>
      <c r="W320" s="428" t="str">
        <f>VLOOKUP(H320,'Fund Utilization Report'!$A$4:$U$1800,5,FALSE)</f>
        <v>01101101</v>
      </c>
      <c r="X320" s="428" t="str">
        <f>VLOOKUP(H320,'Fund Utilization Report'!$A$4:$U$1800,6,FALSE)</f>
        <v>GOP</v>
      </c>
      <c r="Y320" s="320" t="str">
        <f>VLOOKUP(H320,'Fund Utilization Report'!$A$4:$U$1800,7,FALSE)</f>
        <v>MOOE</v>
      </c>
      <c r="Z320" s="425">
        <f>VLOOKUP(H320,'Fund Utilization Report'!$A$4:$U$1800,8,FALSE)</f>
        <v>5020000000</v>
      </c>
      <c r="AA320" s="428" t="str">
        <f>VLOOKUP(H320,'Fund Utilization Report'!$A$4:$U$1800,14,FALSE)</f>
        <v>100000100001000</v>
      </c>
      <c r="AB320" s="349" t="str">
        <f>VLOOKUP(H320,'Fund Utilization Report'!$A$4:$U$1800,15,FALSE)</f>
        <v>General Administration and Supervision - General Management and Supervision</v>
      </c>
      <c r="AC320" s="39"/>
      <c r="AD320" s="34"/>
      <c r="AE320" s="39"/>
      <c r="AF320" s="51"/>
      <c r="AG320" s="40"/>
      <c r="AH320" s="40"/>
    </row>
    <row r="321" spans="1:34" s="32" customFormat="1">
      <c r="A321" s="338" t="s">
        <v>942</v>
      </c>
      <c r="B321" s="338" t="s">
        <v>945</v>
      </c>
      <c r="C321" s="358">
        <v>44230</v>
      </c>
      <c r="D321" s="351" t="s">
        <v>1028</v>
      </c>
      <c r="E321" s="352" t="s">
        <v>1080</v>
      </c>
      <c r="F321" s="338">
        <v>0.63750000000000007</v>
      </c>
      <c r="G321" s="338">
        <v>0.63888888888888895</v>
      </c>
      <c r="H321" s="338" t="s">
        <v>961</v>
      </c>
      <c r="I321" s="353">
        <v>751</v>
      </c>
      <c r="J321" s="338" t="str">
        <f>IFERROR(VLOOKUP(I321,'Chart of accounts'!A:H,2,FALSE),"")</f>
        <v>50201010 00</v>
      </c>
      <c r="K321" s="338" t="str">
        <f>IFERROR(VLOOKUP(I321,'Chart of accounts'!A:H,3,FALSE),"")</f>
        <v>Traveling Expenses - Local</v>
      </c>
      <c r="L321" s="338" t="str">
        <f>IFERROR(VLOOKUP(I321,'Chart of accounts'!A:H,4,FALSE),"")</f>
        <v>50201010 00 - Traveling Expenses - Local (751)</v>
      </c>
      <c r="M321" s="361">
        <v>68</v>
      </c>
      <c r="N321" s="420" t="s">
        <v>821</v>
      </c>
      <c r="O321" s="420" t="s">
        <v>1074</v>
      </c>
      <c r="P321" s="420"/>
      <c r="Q321" s="420">
        <v>1383.33</v>
      </c>
      <c r="R321" s="428">
        <f t="shared" si="4"/>
        <v>-1383.33</v>
      </c>
      <c r="S321" s="428" t="str">
        <f>VLOOKUP(H321,'Fund Utilization Report'!$A$4:$U$1800,13,FALSE)</f>
        <v>MOOE</v>
      </c>
      <c r="T321" s="428" t="str">
        <f>VLOOKUP(H321,'Fund Utilization Report'!$A$4:$U$1800,2,FALSE)</f>
        <v>GAA</v>
      </c>
      <c r="U321" s="428" t="str">
        <f>VLOOKUP(H321,'Fund Utilization Report'!$A$4:$U$1800,3,FALSE)</f>
        <v>FY2021, RA11518</v>
      </c>
      <c r="V321" s="428" t="str">
        <f>VLOOKUP(H321,'Fund Utilization Report'!$A$4:$U$1800,4,FALSE)</f>
        <v>GAS(GMS)</v>
      </c>
      <c r="W321" s="428" t="str">
        <f>VLOOKUP(H321,'Fund Utilization Report'!$A$4:$U$1800,5,FALSE)</f>
        <v>01101101</v>
      </c>
      <c r="X321" s="428" t="str">
        <f>VLOOKUP(H321,'Fund Utilization Report'!$A$4:$U$1800,6,FALSE)</f>
        <v>GOP</v>
      </c>
      <c r="Y321" s="320" t="str">
        <f>VLOOKUP(H321,'Fund Utilization Report'!$A$4:$U$1800,7,FALSE)</f>
        <v>MOOE</v>
      </c>
      <c r="Z321" s="425">
        <f>VLOOKUP(H321,'Fund Utilization Report'!$A$4:$U$1800,8,FALSE)</f>
        <v>5020000000</v>
      </c>
      <c r="AA321" s="428" t="str">
        <f>VLOOKUP(H321,'Fund Utilization Report'!$A$4:$U$1800,14,FALSE)</f>
        <v>100000100001000</v>
      </c>
      <c r="AB321" s="349" t="str">
        <f>VLOOKUP(H321,'Fund Utilization Report'!$A$4:$U$1800,15,FALSE)</f>
        <v>General Administration and Supervision - General Management and Supervision</v>
      </c>
      <c r="AC321" s="39"/>
      <c r="AD321" s="34"/>
      <c r="AE321" s="39"/>
      <c r="AF321" s="51"/>
      <c r="AG321" s="40"/>
      <c r="AH321" s="40"/>
    </row>
    <row r="322" spans="1:34" s="32" customFormat="1">
      <c r="A322" s="338" t="s">
        <v>942</v>
      </c>
      <c r="B322" s="338" t="s">
        <v>945</v>
      </c>
      <c r="C322" s="358">
        <v>44230</v>
      </c>
      <c r="D322" s="351" t="s">
        <v>1028</v>
      </c>
      <c r="E322" s="352" t="s">
        <v>1080</v>
      </c>
      <c r="F322" s="338">
        <v>0.63750000000000007</v>
      </c>
      <c r="G322" s="338">
        <v>0.63888888888888895</v>
      </c>
      <c r="H322" s="338" t="s">
        <v>961</v>
      </c>
      <c r="I322" s="353">
        <v>755</v>
      </c>
      <c r="J322" s="338" t="str">
        <f>IFERROR(VLOOKUP(I322,'Chart of accounts'!A:H,2,FALSE),"")</f>
        <v>50203010 00</v>
      </c>
      <c r="K322" s="338" t="str">
        <f>IFERROR(VLOOKUP(I322,'Chart of accounts'!A:H,3,FALSE),"")</f>
        <v>Office Supplies Expenses</v>
      </c>
      <c r="L322" s="338" t="str">
        <f>IFERROR(VLOOKUP(I322,'Chart of accounts'!A:H,4,FALSE),"")</f>
        <v>50203010 00 - Office Supplies Expenses (755)</v>
      </c>
      <c r="M322" s="361">
        <v>68</v>
      </c>
      <c r="N322" s="420" t="s">
        <v>821</v>
      </c>
      <c r="O322" s="420" t="s">
        <v>1074</v>
      </c>
      <c r="P322" s="420"/>
      <c r="Q322" s="420">
        <v>6916.67</v>
      </c>
      <c r="R322" s="428">
        <f t="shared" si="4"/>
        <v>-6916.67</v>
      </c>
      <c r="S322" s="428" t="str">
        <f>VLOOKUP(H322,'Fund Utilization Report'!$A$4:$U$1800,13,FALSE)</f>
        <v>MOOE</v>
      </c>
      <c r="T322" s="428" t="str">
        <f>VLOOKUP(H322,'Fund Utilization Report'!$A$4:$U$1800,2,FALSE)</f>
        <v>GAA</v>
      </c>
      <c r="U322" s="428" t="str">
        <f>VLOOKUP(H322,'Fund Utilization Report'!$A$4:$U$1800,3,FALSE)</f>
        <v>FY2021, RA11518</v>
      </c>
      <c r="V322" s="428" t="str">
        <f>VLOOKUP(H322,'Fund Utilization Report'!$A$4:$U$1800,4,FALSE)</f>
        <v>GAS(GMS)</v>
      </c>
      <c r="W322" s="428" t="str">
        <f>VLOOKUP(H322,'Fund Utilization Report'!$A$4:$U$1800,5,FALSE)</f>
        <v>01101101</v>
      </c>
      <c r="X322" s="428" t="str">
        <f>VLOOKUP(H322,'Fund Utilization Report'!$A$4:$U$1800,6,FALSE)</f>
        <v>GOP</v>
      </c>
      <c r="Y322" s="320" t="str">
        <f>VLOOKUP(H322,'Fund Utilization Report'!$A$4:$U$1800,7,FALSE)</f>
        <v>MOOE</v>
      </c>
      <c r="Z322" s="425">
        <f>VLOOKUP(H322,'Fund Utilization Report'!$A$4:$U$1800,8,FALSE)</f>
        <v>5020000000</v>
      </c>
      <c r="AA322" s="428" t="str">
        <f>VLOOKUP(H322,'Fund Utilization Report'!$A$4:$U$1800,14,FALSE)</f>
        <v>100000100001000</v>
      </c>
      <c r="AB322" s="349" t="str">
        <f>VLOOKUP(H322,'Fund Utilization Report'!$A$4:$U$1800,15,FALSE)</f>
        <v>General Administration and Supervision - General Management and Supervision</v>
      </c>
      <c r="AC322" s="39"/>
      <c r="AD322" s="34"/>
      <c r="AE322" s="39"/>
      <c r="AF322" s="51"/>
      <c r="AG322" s="40"/>
      <c r="AH322" s="40"/>
    </row>
    <row r="323" spans="1:34" s="32" customFormat="1">
      <c r="A323" s="338" t="s">
        <v>942</v>
      </c>
      <c r="B323" s="338" t="s">
        <v>945</v>
      </c>
      <c r="C323" s="358">
        <v>44230</v>
      </c>
      <c r="D323" s="351" t="s">
        <v>1028</v>
      </c>
      <c r="E323" s="352" t="s">
        <v>1080</v>
      </c>
      <c r="F323" s="338">
        <v>0.63750000000000007</v>
      </c>
      <c r="G323" s="338">
        <v>0.63888888888888895</v>
      </c>
      <c r="H323" s="338" t="s">
        <v>961</v>
      </c>
      <c r="I323" s="353">
        <v>781</v>
      </c>
      <c r="J323" s="338" t="str">
        <f>IFERROR(VLOOKUP(I323,'Chart of accounts'!A:H,2,FALSE),"")</f>
        <v>50299020 00</v>
      </c>
      <c r="K323" s="338" t="str">
        <f>IFERROR(VLOOKUP(I323,'Chart of accounts'!A:H,3,FALSE),"")</f>
        <v>Printing and Binding Expenses</v>
      </c>
      <c r="L323" s="338" t="str">
        <f>IFERROR(VLOOKUP(I323,'Chart of accounts'!A:H,4,FALSE),"")</f>
        <v>50299020 00 - Printing and Binding Expenses (781)</v>
      </c>
      <c r="M323" s="361">
        <v>68</v>
      </c>
      <c r="N323" s="420" t="s">
        <v>821</v>
      </c>
      <c r="O323" s="420" t="s">
        <v>1074</v>
      </c>
      <c r="P323" s="420"/>
      <c r="Q323" s="420">
        <v>691.67</v>
      </c>
      <c r="R323" s="428">
        <f t="shared" si="4"/>
        <v>-691.67</v>
      </c>
      <c r="S323" s="428" t="str">
        <f>VLOOKUP(H323,'Fund Utilization Report'!$A$4:$U$1800,13,FALSE)</f>
        <v>MOOE</v>
      </c>
      <c r="T323" s="428" t="str">
        <f>VLOOKUP(H323,'Fund Utilization Report'!$A$4:$U$1800,2,FALSE)</f>
        <v>GAA</v>
      </c>
      <c r="U323" s="428" t="str">
        <f>VLOOKUP(H323,'Fund Utilization Report'!$A$4:$U$1800,3,FALSE)</f>
        <v>FY2021, RA11518</v>
      </c>
      <c r="V323" s="428" t="str">
        <f>VLOOKUP(H323,'Fund Utilization Report'!$A$4:$U$1800,4,FALSE)</f>
        <v>GAS(GMS)</v>
      </c>
      <c r="W323" s="428" t="str">
        <f>VLOOKUP(H323,'Fund Utilization Report'!$A$4:$U$1800,5,FALSE)</f>
        <v>01101101</v>
      </c>
      <c r="X323" s="428" t="str">
        <f>VLOOKUP(H323,'Fund Utilization Report'!$A$4:$U$1800,6,FALSE)</f>
        <v>GOP</v>
      </c>
      <c r="Y323" s="320" t="str">
        <f>VLOOKUP(H323,'Fund Utilization Report'!$A$4:$U$1800,7,FALSE)</f>
        <v>MOOE</v>
      </c>
      <c r="Z323" s="425">
        <f>VLOOKUP(H323,'Fund Utilization Report'!$A$4:$U$1800,8,FALSE)</f>
        <v>5020000000</v>
      </c>
      <c r="AA323" s="428" t="str">
        <f>VLOOKUP(H323,'Fund Utilization Report'!$A$4:$U$1800,14,FALSE)</f>
        <v>100000100001000</v>
      </c>
      <c r="AB323" s="349" t="str">
        <f>VLOOKUP(H323,'Fund Utilization Report'!$A$4:$U$1800,15,FALSE)</f>
        <v>General Administration and Supervision - General Management and Supervision</v>
      </c>
      <c r="AC323" s="39"/>
      <c r="AD323" s="34"/>
      <c r="AE323" s="39"/>
      <c r="AF323" s="51"/>
      <c r="AG323" s="40"/>
      <c r="AH323" s="40"/>
    </row>
    <row r="324" spans="1:34" s="32" customFormat="1">
      <c r="A324" s="338" t="s">
        <v>942</v>
      </c>
      <c r="B324" s="338" t="s">
        <v>945</v>
      </c>
      <c r="C324" s="358">
        <v>44230</v>
      </c>
      <c r="D324" s="351" t="s">
        <v>1028</v>
      </c>
      <c r="E324" s="352" t="s">
        <v>1080</v>
      </c>
      <c r="F324" s="338">
        <v>0.63750000000000007</v>
      </c>
      <c r="G324" s="338">
        <v>0.63888888888888895</v>
      </c>
      <c r="H324" s="338" t="s">
        <v>961</v>
      </c>
      <c r="I324" s="353">
        <v>783</v>
      </c>
      <c r="J324" s="338" t="str">
        <f>IFERROR(VLOOKUP(I324,'Chart of accounts'!A:H,2,FALSE),"")</f>
        <v>50299030 00</v>
      </c>
      <c r="K324" s="338" t="str">
        <f>IFERROR(VLOOKUP(I324,'Chart of accounts'!A:H,3,FALSE),"")</f>
        <v>Representation Expenses</v>
      </c>
      <c r="L324" s="338" t="str">
        <f>IFERROR(VLOOKUP(I324,'Chart of accounts'!A:H,4,FALSE),"")</f>
        <v>50299030 00 - Representation Expenses (783)</v>
      </c>
      <c r="M324" s="361">
        <v>68</v>
      </c>
      <c r="N324" s="420" t="s">
        <v>821</v>
      </c>
      <c r="O324" s="420" t="s">
        <v>1074</v>
      </c>
      <c r="P324" s="420"/>
      <c r="Q324" s="420">
        <v>3375.33</v>
      </c>
      <c r="R324" s="428">
        <f t="shared" si="4"/>
        <v>-3375.33</v>
      </c>
      <c r="S324" s="428" t="str">
        <f>VLOOKUP(H324,'Fund Utilization Report'!$A$4:$U$1800,13,FALSE)</f>
        <v>MOOE</v>
      </c>
      <c r="T324" s="428" t="str">
        <f>VLOOKUP(H324,'Fund Utilization Report'!$A$4:$U$1800,2,FALSE)</f>
        <v>GAA</v>
      </c>
      <c r="U324" s="428" t="str">
        <f>VLOOKUP(H324,'Fund Utilization Report'!$A$4:$U$1800,3,FALSE)</f>
        <v>FY2021, RA11518</v>
      </c>
      <c r="V324" s="428" t="str">
        <f>VLOOKUP(H324,'Fund Utilization Report'!$A$4:$U$1800,4,FALSE)</f>
        <v>GAS(GMS)</v>
      </c>
      <c r="W324" s="428" t="str">
        <f>VLOOKUP(H324,'Fund Utilization Report'!$A$4:$U$1800,5,FALSE)</f>
        <v>01101101</v>
      </c>
      <c r="X324" s="428" t="str">
        <f>VLOOKUP(H324,'Fund Utilization Report'!$A$4:$U$1800,6,FALSE)</f>
        <v>GOP</v>
      </c>
      <c r="Y324" s="320" t="str">
        <f>VLOOKUP(H324,'Fund Utilization Report'!$A$4:$U$1800,7,FALSE)</f>
        <v>MOOE</v>
      </c>
      <c r="Z324" s="425">
        <f>VLOOKUP(H324,'Fund Utilization Report'!$A$4:$U$1800,8,FALSE)</f>
        <v>5020000000</v>
      </c>
      <c r="AA324" s="428" t="str">
        <f>VLOOKUP(H324,'Fund Utilization Report'!$A$4:$U$1800,14,FALSE)</f>
        <v>100000100001000</v>
      </c>
      <c r="AB324" s="349" t="str">
        <f>VLOOKUP(H324,'Fund Utilization Report'!$A$4:$U$1800,15,FALSE)</f>
        <v>General Administration and Supervision - General Management and Supervision</v>
      </c>
      <c r="AC324" s="39"/>
      <c r="AD324" s="34"/>
      <c r="AE324" s="39"/>
      <c r="AF324" s="51"/>
      <c r="AG324" s="40"/>
      <c r="AH324" s="40"/>
    </row>
    <row r="325" spans="1:34" s="32" customFormat="1">
      <c r="A325" s="338" t="s">
        <v>942</v>
      </c>
      <c r="B325" s="338" t="s">
        <v>945</v>
      </c>
      <c r="C325" s="358">
        <v>44230</v>
      </c>
      <c r="D325" s="351" t="s">
        <v>1028</v>
      </c>
      <c r="E325" s="352" t="s">
        <v>1080</v>
      </c>
      <c r="F325" s="338">
        <v>0.63750000000000007</v>
      </c>
      <c r="G325" s="338">
        <v>0.63888888888888895</v>
      </c>
      <c r="H325" s="338" t="s">
        <v>968</v>
      </c>
      <c r="I325" s="353">
        <v>784</v>
      </c>
      <c r="J325" s="338" t="str">
        <f>IFERROR(VLOOKUP(I325,'Chart of accounts'!A:H,2,FALSE),"")</f>
        <v>50299040 00</v>
      </c>
      <c r="K325" s="338" t="str">
        <f>IFERROR(VLOOKUP(I325,'Chart of accounts'!A:H,3,FALSE),"")</f>
        <v>Transportation and Delivery Expenses</v>
      </c>
      <c r="L325" s="338" t="str">
        <f>IFERROR(VLOOKUP(I325,'Chart of accounts'!A:H,4,FALSE),"")</f>
        <v>50299040 00 - Transportation and Delivery Expenses (784)</v>
      </c>
      <c r="M325" s="361">
        <v>68</v>
      </c>
      <c r="N325" s="420" t="s">
        <v>821</v>
      </c>
      <c r="O325" s="420" t="s">
        <v>1074</v>
      </c>
      <c r="P325" s="420"/>
      <c r="Q325" s="420">
        <v>3320</v>
      </c>
      <c r="R325" s="428">
        <f t="shared" si="4"/>
        <v>-3320</v>
      </c>
      <c r="S325" s="428" t="str">
        <f>VLOOKUP(H325,'Fund Utilization Report'!$A$4:$U$1800,13,FALSE)</f>
        <v>MOOE</v>
      </c>
      <c r="T325" s="428" t="str">
        <f>VLOOKUP(H325,'Fund Utilization Report'!$A$4:$U$1800,2,FALSE)</f>
        <v>GAA</v>
      </c>
      <c r="U325" s="428" t="str">
        <f>VLOOKUP(H325,'Fund Utilization Report'!$A$4:$U$1800,3,FALSE)</f>
        <v>FY2021, RA11518</v>
      </c>
      <c r="V325" s="428" t="str">
        <f>VLOOKUP(H325,'Fund Utilization Report'!$A$4:$U$1800,4,FALSE)</f>
        <v>OO2</v>
      </c>
      <c r="W325" s="428" t="str">
        <f>VLOOKUP(H325,'Fund Utilization Report'!$A$4:$U$1800,5,FALSE)</f>
        <v>01101101</v>
      </c>
      <c r="X325" s="428" t="str">
        <f>VLOOKUP(H325,'Fund Utilization Report'!$A$4:$U$1800,6,FALSE)</f>
        <v>GOP</v>
      </c>
      <c r="Y325" s="320" t="str">
        <f>VLOOKUP(H325,'Fund Utilization Report'!$A$4:$U$1800,7,FALSE)</f>
        <v>MOOE</v>
      </c>
      <c r="Z325" s="425">
        <f>VLOOKUP(H325,'Fund Utilization Report'!$A$4:$U$1800,8,FALSE)</f>
        <v>5020000000</v>
      </c>
      <c r="AA325" s="428" t="str">
        <f>VLOOKUP(H325,'Fund Utilization Report'!$A$4:$U$1800,14,FALSE)</f>
        <v>320100100001000</v>
      </c>
      <c r="AB325" s="349" t="str">
        <f>VLOOKUP(H325,'Fund Utilization Report'!$A$4:$U$1800,15,FALSE)</f>
        <v>Formulation of Strategic plans,programs, and policies to develop competitve industries</v>
      </c>
      <c r="AC325" s="39"/>
      <c r="AD325" s="34"/>
      <c r="AE325" s="39"/>
      <c r="AF325" s="51"/>
      <c r="AG325" s="40"/>
      <c r="AH325" s="40"/>
    </row>
    <row r="326" spans="1:34" s="32" customFormat="1">
      <c r="A326" s="338" t="s">
        <v>942</v>
      </c>
      <c r="B326" s="338" t="s">
        <v>945</v>
      </c>
      <c r="C326" s="358">
        <v>44230</v>
      </c>
      <c r="D326" s="351" t="s">
        <v>1028</v>
      </c>
      <c r="E326" s="352" t="s">
        <v>1080</v>
      </c>
      <c r="F326" s="338">
        <v>0.63750000000000007</v>
      </c>
      <c r="G326" s="338">
        <v>0.63888888888888895</v>
      </c>
      <c r="H326" s="338" t="s">
        <v>961</v>
      </c>
      <c r="I326" s="353">
        <v>969</v>
      </c>
      <c r="J326" s="338" t="str">
        <f>IFERROR(VLOOKUP(I326,'Chart of accounts'!A:H,2,FALSE),"")</f>
        <v>50299990 99</v>
      </c>
      <c r="K326" s="338" t="str">
        <f>IFERROR(VLOOKUP(I326,'Chart of accounts'!A:H,3,FALSE),"")</f>
        <v>Other Maintenance and Operating Expenses</v>
      </c>
      <c r="L326" s="338" t="str">
        <f>IFERROR(VLOOKUP(I326,'Chart of accounts'!A:H,4,FALSE),"")</f>
        <v>50299990 99 - Other Maintenance and Operating Expenses (969)</v>
      </c>
      <c r="M326" s="361">
        <v>68</v>
      </c>
      <c r="N326" s="420" t="s">
        <v>821</v>
      </c>
      <c r="O326" s="420" t="s">
        <v>1074</v>
      </c>
      <c r="P326" s="420"/>
      <c r="Q326" s="420">
        <v>8443.52</v>
      </c>
      <c r="R326" s="428">
        <f t="shared" si="4"/>
        <v>-8443.52</v>
      </c>
      <c r="S326" s="428" t="str">
        <f>VLOOKUP(H326,'Fund Utilization Report'!$A$4:$U$1800,13,FALSE)</f>
        <v>MOOE</v>
      </c>
      <c r="T326" s="428" t="str">
        <f>VLOOKUP(H326,'Fund Utilization Report'!$A$4:$U$1800,2,FALSE)</f>
        <v>GAA</v>
      </c>
      <c r="U326" s="428" t="str">
        <f>VLOOKUP(H326,'Fund Utilization Report'!$A$4:$U$1800,3,FALSE)</f>
        <v>FY2021, RA11518</v>
      </c>
      <c r="V326" s="428" t="str">
        <f>VLOOKUP(H326,'Fund Utilization Report'!$A$4:$U$1800,4,FALSE)</f>
        <v>GAS(GMS)</v>
      </c>
      <c r="W326" s="428" t="str">
        <f>VLOOKUP(H326,'Fund Utilization Report'!$A$4:$U$1800,5,FALSE)</f>
        <v>01101101</v>
      </c>
      <c r="X326" s="428" t="str">
        <f>VLOOKUP(H326,'Fund Utilization Report'!$A$4:$U$1800,6,FALSE)</f>
        <v>GOP</v>
      </c>
      <c r="Y326" s="320" t="str">
        <f>VLOOKUP(H326,'Fund Utilization Report'!$A$4:$U$1800,7,FALSE)</f>
        <v>MOOE</v>
      </c>
      <c r="Z326" s="425">
        <f>VLOOKUP(H326,'Fund Utilization Report'!$A$4:$U$1800,8,FALSE)</f>
        <v>5020000000</v>
      </c>
      <c r="AA326" s="428" t="str">
        <f>VLOOKUP(H326,'Fund Utilization Report'!$A$4:$U$1800,14,FALSE)</f>
        <v>100000100001000</v>
      </c>
      <c r="AB326" s="349" t="str">
        <f>VLOOKUP(H326,'Fund Utilization Report'!$A$4:$U$1800,15,FALSE)</f>
        <v>General Administration and Supervision - General Management and Supervision</v>
      </c>
      <c r="AC326" s="39"/>
      <c r="AD326" s="34"/>
      <c r="AE326" s="39"/>
      <c r="AF326" s="51"/>
      <c r="AG326" s="40"/>
      <c r="AH326" s="40"/>
    </row>
    <row r="327" spans="1:34" s="32" customFormat="1">
      <c r="A327" s="338" t="s">
        <v>942</v>
      </c>
      <c r="B327" s="338" t="s">
        <v>945</v>
      </c>
      <c r="C327" s="358">
        <v>44230</v>
      </c>
      <c r="D327" s="351" t="s">
        <v>1028</v>
      </c>
      <c r="E327" s="352" t="s">
        <v>1081</v>
      </c>
      <c r="F327" s="338">
        <v>0.63888888888888895</v>
      </c>
      <c r="G327" s="338">
        <v>0.63958333333333328</v>
      </c>
      <c r="H327" s="338" t="s">
        <v>961</v>
      </c>
      <c r="I327" s="353">
        <v>756</v>
      </c>
      <c r="J327" s="338" t="str">
        <f>IFERROR(VLOOKUP(I327,'Chart of accounts'!A:H,2,FALSE),"")</f>
        <v>50203020 00</v>
      </c>
      <c r="K327" s="338" t="str">
        <f>IFERROR(VLOOKUP(I327,'Chart of accounts'!A:H,3,FALSE),"")</f>
        <v xml:space="preserve">Accountable Forms Expenses </v>
      </c>
      <c r="L327" s="338" t="str">
        <f>IFERROR(VLOOKUP(I327,'Chart of accounts'!A:H,4,FALSE),"")</f>
        <v>50203020 00 - Accountable Forms Expenses  (756)</v>
      </c>
      <c r="M327" s="361">
        <v>67</v>
      </c>
      <c r="N327" s="420" t="s">
        <v>822</v>
      </c>
      <c r="O327" s="420" t="s">
        <v>1074</v>
      </c>
      <c r="P327" s="420"/>
      <c r="Q327" s="420">
        <v>1660</v>
      </c>
      <c r="R327" s="319">
        <f t="shared" si="4"/>
        <v>-1660</v>
      </c>
      <c r="S327" s="428" t="str">
        <f>VLOOKUP(H327,'Fund Utilization Report'!$A$4:$U$1800,13,FALSE)</f>
        <v>MOOE</v>
      </c>
      <c r="T327" s="428" t="str">
        <f>VLOOKUP(H327,'Fund Utilization Report'!$A$4:$U$1800,2,FALSE)</f>
        <v>GAA</v>
      </c>
      <c r="U327" s="428" t="str">
        <f>VLOOKUP(H327,'Fund Utilization Report'!$A$4:$U$1800,3,FALSE)</f>
        <v>FY2021, RA11518</v>
      </c>
      <c r="V327" s="428" t="str">
        <f>VLOOKUP(H327,'Fund Utilization Report'!$A$4:$U$1800,4,FALSE)</f>
        <v>GAS(GMS)</v>
      </c>
      <c r="W327" s="428" t="str">
        <f>VLOOKUP(H327,'Fund Utilization Report'!$A$4:$U$1800,5,FALSE)</f>
        <v>01101101</v>
      </c>
      <c r="X327" s="428" t="str">
        <f>VLOOKUP(H327,'Fund Utilization Report'!$A$4:$U$1800,6,FALSE)</f>
        <v>GOP</v>
      </c>
      <c r="Y327" s="320" t="str">
        <f>VLOOKUP(H327,'Fund Utilization Report'!$A$4:$U$1800,7,FALSE)</f>
        <v>MOOE</v>
      </c>
      <c r="Z327" s="425">
        <f>VLOOKUP(H327,'Fund Utilization Report'!$A$4:$U$1800,8,FALSE)</f>
        <v>5020000000</v>
      </c>
      <c r="AA327" s="428" t="str">
        <f>VLOOKUP(H327,'Fund Utilization Report'!$A$4:$U$1800,14,FALSE)</f>
        <v>100000100001000</v>
      </c>
      <c r="AB327" s="349" t="str">
        <f>VLOOKUP(H327,'Fund Utilization Report'!$A$4:$U$1800,15,FALSE)</f>
        <v>General Administration and Supervision - General Management and Supervision</v>
      </c>
      <c r="AC327" s="39"/>
      <c r="AD327" s="34"/>
      <c r="AE327" s="39"/>
      <c r="AF327" s="51"/>
      <c r="AG327" s="40"/>
      <c r="AH327" s="40"/>
    </row>
    <row r="328" spans="1:34" s="32" customFormat="1">
      <c r="A328" s="338" t="s">
        <v>942</v>
      </c>
      <c r="B328" s="338" t="s">
        <v>945</v>
      </c>
      <c r="C328" s="358">
        <v>44230</v>
      </c>
      <c r="D328" s="351" t="s">
        <v>1028</v>
      </c>
      <c r="E328" s="352" t="s">
        <v>1081</v>
      </c>
      <c r="F328" s="338">
        <v>0.63888888888888895</v>
      </c>
      <c r="G328" s="338">
        <v>0.63958333333333328</v>
      </c>
      <c r="H328" s="338" t="s">
        <v>961</v>
      </c>
      <c r="I328" s="353">
        <v>753</v>
      </c>
      <c r="J328" s="338" t="str">
        <f>IFERROR(VLOOKUP(I328,'Chart of accounts'!A:H,2,FALSE),"")</f>
        <v>50202010 00</v>
      </c>
      <c r="K328" s="338" t="str">
        <f>IFERROR(VLOOKUP(I328,'Chart of accounts'!A:H,3,FALSE),"")</f>
        <v>Training Expenses</v>
      </c>
      <c r="L328" s="338" t="str">
        <f>IFERROR(VLOOKUP(I328,'Chart of accounts'!A:H,4,FALSE),"")</f>
        <v>50202010 00 - Training Expenses (753)</v>
      </c>
      <c r="M328" s="361">
        <v>67</v>
      </c>
      <c r="N328" s="420" t="s">
        <v>822</v>
      </c>
      <c r="O328" s="420" t="s">
        <v>1074</v>
      </c>
      <c r="P328" s="420"/>
      <c r="Q328" s="420">
        <v>9960</v>
      </c>
      <c r="R328" s="428">
        <f t="shared" si="4"/>
        <v>-9960</v>
      </c>
      <c r="S328" s="428" t="str">
        <f>VLOOKUP(H328,'Fund Utilization Report'!$A$4:$U$1800,13,FALSE)</f>
        <v>MOOE</v>
      </c>
      <c r="T328" s="428" t="str">
        <f>VLOOKUP(H328,'Fund Utilization Report'!$A$4:$U$1800,2,FALSE)</f>
        <v>GAA</v>
      </c>
      <c r="U328" s="428" t="str">
        <f>VLOOKUP(H328,'Fund Utilization Report'!$A$4:$U$1800,3,FALSE)</f>
        <v>FY2021, RA11518</v>
      </c>
      <c r="V328" s="428" t="str">
        <f>VLOOKUP(H328,'Fund Utilization Report'!$A$4:$U$1800,4,FALSE)</f>
        <v>GAS(GMS)</v>
      </c>
      <c r="W328" s="428" t="str">
        <f>VLOOKUP(H328,'Fund Utilization Report'!$A$4:$U$1800,5,FALSE)</f>
        <v>01101101</v>
      </c>
      <c r="X328" s="428" t="str">
        <f>VLOOKUP(H328,'Fund Utilization Report'!$A$4:$U$1800,6,FALSE)</f>
        <v>GOP</v>
      </c>
      <c r="Y328" s="320" t="str">
        <f>VLOOKUP(H328,'Fund Utilization Report'!$A$4:$U$1800,7,FALSE)</f>
        <v>MOOE</v>
      </c>
      <c r="Z328" s="425">
        <f>VLOOKUP(H328,'Fund Utilization Report'!$A$4:$U$1800,8,FALSE)</f>
        <v>5020000000</v>
      </c>
      <c r="AA328" s="428" t="str">
        <f>VLOOKUP(H328,'Fund Utilization Report'!$A$4:$U$1800,14,FALSE)</f>
        <v>100000100001000</v>
      </c>
      <c r="AB328" s="349" t="str">
        <f>VLOOKUP(H328,'Fund Utilization Report'!$A$4:$U$1800,15,FALSE)</f>
        <v>General Administration and Supervision - General Management and Supervision</v>
      </c>
      <c r="AC328" s="39"/>
      <c r="AD328" s="34"/>
      <c r="AE328" s="39"/>
      <c r="AF328" s="51"/>
      <c r="AG328" s="40"/>
      <c r="AH328" s="40"/>
    </row>
    <row r="329" spans="1:34" s="32" customFormat="1">
      <c r="A329" s="338" t="s">
        <v>942</v>
      </c>
      <c r="B329" s="338" t="s">
        <v>945</v>
      </c>
      <c r="C329" s="358">
        <v>44230</v>
      </c>
      <c r="D329" s="351" t="s">
        <v>1028</v>
      </c>
      <c r="E329" s="352" t="s">
        <v>1081</v>
      </c>
      <c r="F329" s="338">
        <v>0.63888888888888895</v>
      </c>
      <c r="G329" s="338">
        <v>0.63958333333333328</v>
      </c>
      <c r="H329" s="338" t="s">
        <v>961</v>
      </c>
      <c r="I329" s="353">
        <v>761</v>
      </c>
      <c r="J329" s="338" t="str">
        <f>IFERROR(VLOOKUP(I329,'Chart of accounts'!A:H,2,FALSE),"")</f>
        <v>50203090 00</v>
      </c>
      <c r="K329" s="338" t="str">
        <f>IFERROR(VLOOKUP(I329,'Chart of accounts'!A:H,3,FALSE),"")</f>
        <v>Fuel, Oil and Lubricants Expenses</v>
      </c>
      <c r="L329" s="338" t="str">
        <f>IFERROR(VLOOKUP(I329,'Chart of accounts'!A:H,4,FALSE),"")</f>
        <v>50203090 00 - Fuel, Oil and Lubricants Expenses (761)</v>
      </c>
      <c r="M329" s="361">
        <v>67</v>
      </c>
      <c r="N329" s="420" t="s">
        <v>822</v>
      </c>
      <c r="O329" s="420" t="s">
        <v>1074</v>
      </c>
      <c r="P329" s="420"/>
      <c r="Q329" s="420">
        <v>4980</v>
      </c>
      <c r="R329" s="428">
        <f t="shared" si="4"/>
        <v>-4980</v>
      </c>
      <c r="S329" s="428" t="str">
        <f>VLOOKUP(H329,'Fund Utilization Report'!$A$4:$U$1800,13,FALSE)</f>
        <v>MOOE</v>
      </c>
      <c r="T329" s="428" t="str">
        <f>VLOOKUP(H329,'Fund Utilization Report'!$A$4:$U$1800,2,FALSE)</f>
        <v>GAA</v>
      </c>
      <c r="U329" s="428" t="str">
        <f>VLOOKUP(H329,'Fund Utilization Report'!$A$4:$U$1800,3,FALSE)</f>
        <v>FY2021, RA11518</v>
      </c>
      <c r="V329" s="428" t="str">
        <f>VLOOKUP(H329,'Fund Utilization Report'!$A$4:$U$1800,4,FALSE)</f>
        <v>GAS(GMS)</v>
      </c>
      <c r="W329" s="428" t="str">
        <f>VLOOKUP(H329,'Fund Utilization Report'!$A$4:$U$1800,5,FALSE)</f>
        <v>01101101</v>
      </c>
      <c r="X329" s="428" t="str">
        <f>VLOOKUP(H329,'Fund Utilization Report'!$A$4:$U$1800,6,FALSE)</f>
        <v>GOP</v>
      </c>
      <c r="Y329" s="320" t="str">
        <f>VLOOKUP(H329,'Fund Utilization Report'!$A$4:$U$1800,7,FALSE)</f>
        <v>MOOE</v>
      </c>
      <c r="Z329" s="425">
        <f>VLOOKUP(H329,'Fund Utilization Report'!$A$4:$U$1800,8,FALSE)</f>
        <v>5020000000</v>
      </c>
      <c r="AA329" s="428" t="str">
        <f>VLOOKUP(H329,'Fund Utilization Report'!$A$4:$U$1800,14,FALSE)</f>
        <v>100000100001000</v>
      </c>
      <c r="AB329" s="349" t="str">
        <f>VLOOKUP(H329,'Fund Utilization Report'!$A$4:$U$1800,15,FALSE)</f>
        <v>General Administration and Supervision - General Management and Supervision</v>
      </c>
      <c r="AC329" s="39"/>
      <c r="AD329" s="34"/>
      <c r="AE329" s="39"/>
      <c r="AF329" s="51"/>
      <c r="AG329" s="40"/>
      <c r="AH329" s="40"/>
    </row>
    <row r="330" spans="1:34" s="32" customFormat="1">
      <c r="A330" s="338" t="s">
        <v>942</v>
      </c>
      <c r="B330" s="338" t="s">
        <v>945</v>
      </c>
      <c r="C330" s="358">
        <v>44230</v>
      </c>
      <c r="D330" s="351" t="s">
        <v>1028</v>
      </c>
      <c r="E330" s="352" t="s">
        <v>1081</v>
      </c>
      <c r="F330" s="338">
        <v>0.63888888888888895</v>
      </c>
      <c r="G330" s="338">
        <v>0.63958333333333328</v>
      </c>
      <c r="H330" s="338" t="s">
        <v>961</v>
      </c>
      <c r="I330" s="353">
        <v>766</v>
      </c>
      <c r="J330" s="338" t="str">
        <f>IFERROR(VLOOKUP(I330,'Chart of accounts'!A:H,2,FALSE),"")</f>
        <v>50204010 00</v>
      </c>
      <c r="K330" s="338" t="str">
        <f>IFERROR(VLOOKUP(I330,'Chart of accounts'!A:H,3,FALSE),"")</f>
        <v>Water Expenses</v>
      </c>
      <c r="L330" s="338" t="str">
        <f>IFERROR(VLOOKUP(I330,'Chart of accounts'!A:H,4,FALSE),"")</f>
        <v>50204010 00 - Water Expenses (766)</v>
      </c>
      <c r="M330" s="361">
        <v>67</v>
      </c>
      <c r="N330" s="420" t="s">
        <v>822</v>
      </c>
      <c r="O330" s="420" t="s">
        <v>1074</v>
      </c>
      <c r="P330" s="420"/>
      <c r="Q330" s="420">
        <v>1328</v>
      </c>
      <c r="R330" s="428">
        <f t="shared" si="4"/>
        <v>-1328</v>
      </c>
      <c r="S330" s="428" t="str">
        <f>VLOOKUP(H330,'Fund Utilization Report'!$A$4:$U$1800,13,FALSE)</f>
        <v>MOOE</v>
      </c>
      <c r="T330" s="428" t="str">
        <f>VLOOKUP(H330,'Fund Utilization Report'!$A$4:$U$1800,2,FALSE)</f>
        <v>GAA</v>
      </c>
      <c r="U330" s="428" t="str">
        <f>VLOOKUP(H330,'Fund Utilization Report'!$A$4:$U$1800,3,FALSE)</f>
        <v>FY2021, RA11518</v>
      </c>
      <c r="V330" s="428" t="str">
        <f>VLOOKUP(H330,'Fund Utilization Report'!$A$4:$U$1800,4,FALSE)</f>
        <v>GAS(GMS)</v>
      </c>
      <c r="W330" s="428" t="str">
        <f>VLOOKUP(H330,'Fund Utilization Report'!$A$4:$U$1800,5,FALSE)</f>
        <v>01101101</v>
      </c>
      <c r="X330" s="428" t="str">
        <f>VLOOKUP(H330,'Fund Utilization Report'!$A$4:$U$1800,6,FALSE)</f>
        <v>GOP</v>
      </c>
      <c r="Y330" s="320" t="str">
        <f>VLOOKUP(H330,'Fund Utilization Report'!$A$4:$U$1800,7,FALSE)</f>
        <v>MOOE</v>
      </c>
      <c r="Z330" s="425">
        <f>VLOOKUP(H330,'Fund Utilization Report'!$A$4:$U$1800,8,FALSE)</f>
        <v>5020000000</v>
      </c>
      <c r="AA330" s="428" t="str">
        <f>VLOOKUP(H330,'Fund Utilization Report'!$A$4:$U$1800,14,FALSE)</f>
        <v>100000100001000</v>
      </c>
      <c r="AB330" s="349" t="str">
        <f>VLOOKUP(H330,'Fund Utilization Report'!$A$4:$U$1800,15,FALSE)</f>
        <v>General Administration and Supervision - General Management and Supervision</v>
      </c>
      <c r="AC330" s="39"/>
      <c r="AD330" s="34"/>
      <c r="AE330" s="39"/>
      <c r="AF330" s="51"/>
      <c r="AG330" s="40"/>
      <c r="AH330" s="40"/>
    </row>
    <row r="331" spans="1:34" s="32" customFormat="1">
      <c r="A331" s="338" t="s">
        <v>942</v>
      </c>
      <c r="B331" s="338" t="s">
        <v>945</v>
      </c>
      <c r="C331" s="358">
        <v>44230</v>
      </c>
      <c r="D331" s="351" t="s">
        <v>1028</v>
      </c>
      <c r="E331" s="352" t="s">
        <v>1081</v>
      </c>
      <c r="F331" s="338">
        <v>0.63888888888888895</v>
      </c>
      <c r="G331" s="338">
        <v>0.63958333333333328</v>
      </c>
      <c r="H331" s="338" t="s">
        <v>961</v>
      </c>
      <c r="I331" s="353">
        <v>767</v>
      </c>
      <c r="J331" s="338" t="str">
        <f>IFERROR(VLOOKUP(I331,'Chart of accounts'!A:H,2,FALSE),"")</f>
        <v>50204020 00</v>
      </c>
      <c r="K331" s="338" t="str">
        <f>IFERROR(VLOOKUP(I331,'Chart of accounts'!A:H,3,FALSE),"")</f>
        <v>Electricity Expense</v>
      </c>
      <c r="L331" s="338" t="str">
        <f>IFERROR(VLOOKUP(I331,'Chart of accounts'!A:H,4,FALSE),"")</f>
        <v>50204020 00 - Electricity Expense (767)</v>
      </c>
      <c r="M331" s="361">
        <v>67</v>
      </c>
      <c r="N331" s="420" t="s">
        <v>822</v>
      </c>
      <c r="O331" s="420" t="s">
        <v>1074</v>
      </c>
      <c r="P331" s="420"/>
      <c r="Q331" s="420">
        <v>48416.67</v>
      </c>
      <c r="R331" s="428">
        <f t="shared" si="4"/>
        <v>-48416.67</v>
      </c>
      <c r="S331" s="428" t="str">
        <f>VLOOKUP(H331,'Fund Utilization Report'!$A$4:$U$1800,13,FALSE)</f>
        <v>MOOE</v>
      </c>
      <c r="T331" s="428" t="str">
        <f>VLOOKUP(H331,'Fund Utilization Report'!$A$4:$U$1800,2,FALSE)</f>
        <v>GAA</v>
      </c>
      <c r="U331" s="428" t="str">
        <f>VLOOKUP(H331,'Fund Utilization Report'!$A$4:$U$1800,3,FALSE)</f>
        <v>FY2021, RA11518</v>
      </c>
      <c r="V331" s="428" t="str">
        <f>VLOOKUP(H331,'Fund Utilization Report'!$A$4:$U$1800,4,FALSE)</f>
        <v>GAS(GMS)</v>
      </c>
      <c r="W331" s="428" t="str">
        <f>VLOOKUP(H331,'Fund Utilization Report'!$A$4:$U$1800,5,FALSE)</f>
        <v>01101101</v>
      </c>
      <c r="X331" s="428" t="str">
        <f>VLOOKUP(H331,'Fund Utilization Report'!$A$4:$U$1800,6,FALSE)</f>
        <v>GOP</v>
      </c>
      <c r="Y331" s="320" t="str">
        <f>VLOOKUP(H331,'Fund Utilization Report'!$A$4:$U$1800,7,FALSE)</f>
        <v>MOOE</v>
      </c>
      <c r="Z331" s="425">
        <f>VLOOKUP(H331,'Fund Utilization Report'!$A$4:$U$1800,8,FALSE)</f>
        <v>5020000000</v>
      </c>
      <c r="AA331" s="428" t="str">
        <f>VLOOKUP(H331,'Fund Utilization Report'!$A$4:$U$1800,14,FALSE)</f>
        <v>100000100001000</v>
      </c>
      <c r="AB331" s="349" t="str">
        <f>VLOOKUP(H331,'Fund Utilization Report'!$A$4:$U$1800,15,FALSE)</f>
        <v>General Administration and Supervision - General Management and Supervision</v>
      </c>
      <c r="AC331" s="39"/>
      <c r="AD331" s="34"/>
      <c r="AE331" s="39"/>
      <c r="AF331" s="51"/>
      <c r="AG331" s="40"/>
      <c r="AH331" s="40"/>
    </row>
    <row r="332" spans="1:34" s="32" customFormat="1">
      <c r="A332" s="338" t="s">
        <v>942</v>
      </c>
      <c r="B332" s="338" t="s">
        <v>945</v>
      </c>
      <c r="C332" s="358">
        <v>44230</v>
      </c>
      <c r="D332" s="351" t="s">
        <v>1028</v>
      </c>
      <c r="E332" s="352" t="s">
        <v>1081</v>
      </c>
      <c r="F332" s="338">
        <v>0.63888888888888895</v>
      </c>
      <c r="G332" s="338">
        <v>0.63958333333333328</v>
      </c>
      <c r="H332" s="338" t="s">
        <v>961</v>
      </c>
      <c r="I332" s="353">
        <v>771</v>
      </c>
      <c r="J332" s="338" t="str">
        <f>IFERROR(VLOOKUP(I332,'Chart of accounts'!A:H,2,FALSE),"")</f>
        <v>50205010 00</v>
      </c>
      <c r="K332" s="338" t="str">
        <f>IFERROR(VLOOKUP(I332,'Chart of accounts'!A:H,3,FALSE),"")</f>
        <v>Postage and Courier Services</v>
      </c>
      <c r="L332" s="338" t="str">
        <f>IFERROR(VLOOKUP(I332,'Chart of accounts'!A:H,4,FALSE),"")</f>
        <v>50205010 00 - Postage and Courier Services (771)</v>
      </c>
      <c r="M332" s="361">
        <v>67</v>
      </c>
      <c r="N332" s="420" t="s">
        <v>822</v>
      </c>
      <c r="O332" s="420" t="s">
        <v>1074</v>
      </c>
      <c r="P332" s="420"/>
      <c r="Q332" s="420">
        <v>8300</v>
      </c>
      <c r="R332" s="428">
        <f t="shared" si="4"/>
        <v>-8300</v>
      </c>
      <c r="S332" s="428" t="str">
        <f>VLOOKUP(H332,'Fund Utilization Report'!$A$4:$U$1800,13,FALSE)</f>
        <v>MOOE</v>
      </c>
      <c r="T332" s="428" t="str">
        <f>VLOOKUP(H332,'Fund Utilization Report'!$A$4:$U$1800,2,FALSE)</f>
        <v>GAA</v>
      </c>
      <c r="U332" s="428" t="str">
        <f>VLOOKUP(H332,'Fund Utilization Report'!$A$4:$U$1800,3,FALSE)</f>
        <v>FY2021, RA11518</v>
      </c>
      <c r="V332" s="428" t="str">
        <f>VLOOKUP(H332,'Fund Utilization Report'!$A$4:$U$1800,4,FALSE)</f>
        <v>GAS(GMS)</v>
      </c>
      <c r="W332" s="428" t="str">
        <f>VLOOKUP(H332,'Fund Utilization Report'!$A$4:$U$1800,5,FALSE)</f>
        <v>01101101</v>
      </c>
      <c r="X332" s="428" t="str">
        <f>VLOOKUP(H332,'Fund Utilization Report'!$A$4:$U$1800,6,FALSE)</f>
        <v>GOP</v>
      </c>
      <c r="Y332" s="320" t="str">
        <f>VLOOKUP(H332,'Fund Utilization Report'!$A$4:$U$1800,7,FALSE)</f>
        <v>MOOE</v>
      </c>
      <c r="Z332" s="425">
        <f>VLOOKUP(H332,'Fund Utilization Report'!$A$4:$U$1800,8,FALSE)</f>
        <v>5020000000</v>
      </c>
      <c r="AA332" s="428" t="str">
        <f>VLOOKUP(H332,'Fund Utilization Report'!$A$4:$U$1800,14,FALSE)</f>
        <v>100000100001000</v>
      </c>
      <c r="AB332" s="349" t="str">
        <f>VLOOKUP(H332,'Fund Utilization Report'!$A$4:$U$1800,15,FALSE)</f>
        <v>General Administration and Supervision - General Management and Supervision</v>
      </c>
      <c r="AC332" s="39"/>
      <c r="AD332" s="34"/>
      <c r="AE332" s="39"/>
      <c r="AF332" s="51"/>
      <c r="AG332" s="40"/>
      <c r="AH332" s="40"/>
    </row>
    <row r="333" spans="1:34" s="32" customFormat="1">
      <c r="A333" s="338" t="s">
        <v>942</v>
      </c>
      <c r="B333" s="338" t="s">
        <v>945</v>
      </c>
      <c r="C333" s="358">
        <v>44230</v>
      </c>
      <c r="D333" s="351" t="s">
        <v>1028</v>
      </c>
      <c r="E333" s="352" t="s">
        <v>1081</v>
      </c>
      <c r="F333" s="338">
        <v>0.63888888888888895</v>
      </c>
      <c r="G333" s="338">
        <v>0.63958333333333328</v>
      </c>
      <c r="H333" s="338" t="s">
        <v>961</v>
      </c>
      <c r="I333" s="353">
        <v>772</v>
      </c>
      <c r="J333" s="338" t="str">
        <f>IFERROR(VLOOKUP(I333,'Chart of accounts'!A:H,2,FALSE),"")</f>
        <v>50205020 02</v>
      </c>
      <c r="K333" s="338" t="str">
        <f>IFERROR(VLOOKUP(I333,'Chart of accounts'!A:H,3,FALSE),"")</f>
        <v xml:space="preserve">Telephone Expenses - Landline </v>
      </c>
      <c r="L333" s="338" t="str">
        <f>IFERROR(VLOOKUP(I333,'Chart of accounts'!A:H,4,FALSE),"")</f>
        <v>50205020 02 - Telephone Expenses - Landline  (772)</v>
      </c>
      <c r="M333" s="361">
        <v>67</v>
      </c>
      <c r="N333" s="420" t="s">
        <v>822</v>
      </c>
      <c r="O333" s="420" t="s">
        <v>1074</v>
      </c>
      <c r="P333" s="420"/>
      <c r="Q333" s="420">
        <v>2490</v>
      </c>
      <c r="R333" s="428">
        <f t="shared" si="4"/>
        <v>-2490</v>
      </c>
      <c r="S333" s="428" t="str">
        <f>VLOOKUP(H333,'Fund Utilization Report'!$A$4:$U$1800,13,FALSE)</f>
        <v>MOOE</v>
      </c>
      <c r="T333" s="428" t="str">
        <f>VLOOKUP(H333,'Fund Utilization Report'!$A$4:$U$1800,2,FALSE)</f>
        <v>GAA</v>
      </c>
      <c r="U333" s="428" t="str">
        <f>VLOOKUP(H333,'Fund Utilization Report'!$A$4:$U$1800,3,FALSE)</f>
        <v>FY2021, RA11518</v>
      </c>
      <c r="V333" s="428" t="str">
        <f>VLOOKUP(H333,'Fund Utilization Report'!$A$4:$U$1800,4,FALSE)</f>
        <v>GAS(GMS)</v>
      </c>
      <c r="W333" s="428" t="str">
        <f>VLOOKUP(H333,'Fund Utilization Report'!$A$4:$U$1800,5,FALSE)</f>
        <v>01101101</v>
      </c>
      <c r="X333" s="428" t="str">
        <f>VLOOKUP(H333,'Fund Utilization Report'!$A$4:$U$1800,6,FALSE)</f>
        <v>GOP</v>
      </c>
      <c r="Y333" s="320" t="str">
        <f>VLOOKUP(H333,'Fund Utilization Report'!$A$4:$U$1800,7,FALSE)</f>
        <v>MOOE</v>
      </c>
      <c r="Z333" s="425">
        <f>VLOOKUP(H333,'Fund Utilization Report'!$A$4:$U$1800,8,FALSE)</f>
        <v>5020000000</v>
      </c>
      <c r="AA333" s="428" t="str">
        <f>VLOOKUP(H333,'Fund Utilization Report'!$A$4:$U$1800,14,FALSE)</f>
        <v>100000100001000</v>
      </c>
      <c r="AB333" s="349" t="str">
        <f>VLOOKUP(H333,'Fund Utilization Report'!$A$4:$U$1800,15,FALSE)</f>
        <v>General Administration and Supervision - General Management and Supervision</v>
      </c>
      <c r="AC333" s="39"/>
      <c r="AD333" s="34"/>
      <c r="AE333" s="39"/>
      <c r="AF333" s="51"/>
      <c r="AG333" s="40"/>
      <c r="AH333" s="40"/>
    </row>
    <row r="334" spans="1:34" s="32" customFormat="1">
      <c r="A334" s="338" t="s">
        <v>942</v>
      </c>
      <c r="B334" s="338" t="s">
        <v>945</v>
      </c>
      <c r="C334" s="358">
        <v>44230</v>
      </c>
      <c r="D334" s="351" t="s">
        <v>1028</v>
      </c>
      <c r="E334" s="352" t="s">
        <v>1081</v>
      </c>
      <c r="F334" s="338">
        <v>0.63888888888888895</v>
      </c>
      <c r="G334" s="338">
        <v>0.63958333333333328</v>
      </c>
      <c r="H334" s="338" t="s">
        <v>961</v>
      </c>
      <c r="I334" s="353">
        <v>773</v>
      </c>
      <c r="J334" s="338" t="str">
        <f>IFERROR(VLOOKUP(I334,'Chart of accounts'!A:H,2,FALSE),"")</f>
        <v>50205020 01</v>
      </c>
      <c r="K334" s="338" t="str">
        <f>IFERROR(VLOOKUP(I334,'Chart of accounts'!A:H,3,FALSE),"")</f>
        <v xml:space="preserve">Telephone Expenses - Mobile </v>
      </c>
      <c r="L334" s="338" t="str">
        <f>IFERROR(VLOOKUP(I334,'Chart of accounts'!A:H,4,FALSE),"")</f>
        <v>50205020 01 - Telephone Expenses - Mobile  (773)</v>
      </c>
      <c r="M334" s="361">
        <v>67</v>
      </c>
      <c r="N334" s="420" t="s">
        <v>822</v>
      </c>
      <c r="O334" s="420" t="s">
        <v>1074</v>
      </c>
      <c r="P334" s="420"/>
      <c r="Q334" s="420">
        <v>4980</v>
      </c>
      <c r="R334" s="428">
        <f t="shared" si="4"/>
        <v>-4980</v>
      </c>
      <c r="S334" s="428" t="str">
        <f>VLOOKUP(H334,'Fund Utilization Report'!$A$4:$U$1800,13,FALSE)</f>
        <v>MOOE</v>
      </c>
      <c r="T334" s="428" t="str">
        <f>VLOOKUP(H334,'Fund Utilization Report'!$A$4:$U$1800,2,FALSE)</f>
        <v>GAA</v>
      </c>
      <c r="U334" s="428" t="str">
        <f>VLOOKUP(H334,'Fund Utilization Report'!$A$4:$U$1800,3,FALSE)</f>
        <v>FY2021, RA11518</v>
      </c>
      <c r="V334" s="428" t="str">
        <f>VLOOKUP(H334,'Fund Utilization Report'!$A$4:$U$1800,4,FALSE)</f>
        <v>GAS(GMS)</v>
      </c>
      <c r="W334" s="428" t="str">
        <f>VLOOKUP(H334,'Fund Utilization Report'!$A$4:$U$1800,5,FALSE)</f>
        <v>01101101</v>
      </c>
      <c r="X334" s="428" t="str">
        <f>VLOOKUP(H334,'Fund Utilization Report'!$A$4:$U$1800,6,FALSE)</f>
        <v>GOP</v>
      </c>
      <c r="Y334" s="320" t="str">
        <f>VLOOKUP(H334,'Fund Utilization Report'!$A$4:$U$1800,7,FALSE)</f>
        <v>MOOE</v>
      </c>
      <c r="Z334" s="425">
        <f>VLOOKUP(H334,'Fund Utilization Report'!$A$4:$U$1800,8,FALSE)</f>
        <v>5020000000</v>
      </c>
      <c r="AA334" s="428" t="str">
        <f>VLOOKUP(H334,'Fund Utilization Report'!$A$4:$U$1800,14,FALSE)</f>
        <v>100000100001000</v>
      </c>
      <c r="AB334" s="349" t="str">
        <f>VLOOKUP(H334,'Fund Utilization Report'!$A$4:$U$1800,15,FALSE)</f>
        <v>General Administration and Supervision - General Management and Supervision</v>
      </c>
      <c r="AC334" s="39"/>
      <c r="AD334" s="34"/>
      <c r="AE334" s="39"/>
      <c r="AF334" s="51"/>
      <c r="AG334" s="40"/>
      <c r="AH334" s="40"/>
    </row>
    <row r="335" spans="1:34" s="32" customFormat="1">
      <c r="A335" s="338" t="s">
        <v>942</v>
      </c>
      <c r="B335" s="338" t="s">
        <v>945</v>
      </c>
      <c r="C335" s="358">
        <v>44230</v>
      </c>
      <c r="D335" s="351" t="s">
        <v>1028</v>
      </c>
      <c r="E335" s="352" t="s">
        <v>1081</v>
      </c>
      <c r="F335" s="338">
        <v>0.63888888888888895</v>
      </c>
      <c r="G335" s="338">
        <v>0.63958333333333328</v>
      </c>
      <c r="H335" s="338" t="s">
        <v>961</v>
      </c>
      <c r="I335" s="353">
        <v>775</v>
      </c>
      <c r="J335" s="338" t="str">
        <f>IFERROR(VLOOKUP(I335,'Chart of accounts'!A:H,2,FALSE),"")</f>
        <v>50205040 00</v>
      </c>
      <c r="K335" s="338" t="str">
        <f>IFERROR(VLOOKUP(I335,'Chart of accounts'!A:H,3,FALSE),"")</f>
        <v>Cable, Satellite, Telegraph, and Radio Expenses</v>
      </c>
      <c r="L335" s="338" t="str">
        <f>IFERROR(VLOOKUP(I335,'Chart of accounts'!A:H,4,FALSE),"")</f>
        <v>50205040 00 - Cable, Satellite, Telegraph, and Radio Expenses (775)</v>
      </c>
      <c r="M335" s="361">
        <v>67</v>
      </c>
      <c r="N335" s="420" t="s">
        <v>822</v>
      </c>
      <c r="O335" s="420" t="s">
        <v>1074</v>
      </c>
      <c r="P335" s="420"/>
      <c r="Q335" s="420">
        <v>1668.3</v>
      </c>
      <c r="R335" s="428">
        <f t="shared" si="4"/>
        <v>-1668.3</v>
      </c>
      <c r="S335" s="428" t="str">
        <f>VLOOKUP(H335,'Fund Utilization Report'!$A$4:$U$1800,13,FALSE)</f>
        <v>MOOE</v>
      </c>
      <c r="T335" s="428" t="str">
        <f>VLOOKUP(H335,'Fund Utilization Report'!$A$4:$U$1800,2,FALSE)</f>
        <v>GAA</v>
      </c>
      <c r="U335" s="428" t="str">
        <f>VLOOKUP(H335,'Fund Utilization Report'!$A$4:$U$1800,3,FALSE)</f>
        <v>FY2021, RA11518</v>
      </c>
      <c r="V335" s="428" t="str">
        <f>VLOOKUP(H335,'Fund Utilization Report'!$A$4:$U$1800,4,FALSE)</f>
        <v>GAS(GMS)</v>
      </c>
      <c r="W335" s="428" t="str">
        <f>VLOOKUP(H335,'Fund Utilization Report'!$A$4:$U$1800,5,FALSE)</f>
        <v>01101101</v>
      </c>
      <c r="X335" s="428" t="str">
        <f>VLOOKUP(H335,'Fund Utilization Report'!$A$4:$U$1800,6,FALSE)</f>
        <v>GOP</v>
      </c>
      <c r="Y335" s="320" t="str">
        <f>VLOOKUP(H335,'Fund Utilization Report'!$A$4:$U$1800,7,FALSE)</f>
        <v>MOOE</v>
      </c>
      <c r="Z335" s="425">
        <f>VLOOKUP(H335,'Fund Utilization Report'!$A$4:$U$1800,8,FALSE)</f>
        <v>5020000000</v>
      </c>
      <c r="AA335" s="428" t="str">
        <f>VLOOKUP(H335,'Fund Utilization Report'!$A$4:$U$1800,14,FALSE)</f>
        <v>100000100001000</v>
      </c>
      <c r="AB335" s="349" t="str">
        <f>VLOOKUP(H335,'Fund Utilization Report'!$A$4:$U$1800,15,FALSE)</f>
        <v>General Administration and Supervision - General Management and Supervision</v>
      </c>
      <c r="AC335" s="39"/>
      <c r="AD335" s="34"/>
      <c r="AE335" s="39"/>
      <c r="AF335" s="51"/>
      <c r="AG335" s="40"/>
      <c r="AH335" s="40"/>
    </row>
    <row r="336" spans="1:34" s="32" customFormat="1">
      <c r="A336" s="338" t="s">
        <v>942</v>
      </c>
      <c r="B336" s="338" t="s">
        <v>945</v>
      </c>
      <c r="C336" s="358">
        <v>44230</v>
      </c>
      <c r="D336" s="351" t="s">
        <v>1028</v>
      </c>
      <c r="E336" s="352" t="s">
        <v>1081</v>
      </c>
      <c r="F336" s="338">
        <v>0.63888888888888895</v>
      </c>
      <c r="G336" s="338">
        <v>0.63958333333333328</v>
      </c>
      <c r="H336" s="338" t="s">
        <v>961</v>
      </c>
      <c r="I336" s="353">
        <v>791</v>
      </c>
      <c r="J336" s="338" t="str">
        <f>IFERROR(VLOOKUP(I336,'Chart of accounts'!A:H,2,FALSE),"")</f>
        <v>50211010 00</v>
      </c>
      <c r="K336" s="338" t="str">
        <f>IFERROR(VLOOKUP(I336,'Chart of accounts'!A:H,3,FALSE),"")</f>
        <v>Legal Services</v>
      </c>
      <c r="L336" s="338" t="str">
        <f>IFERROR(VLOOKUP(I336,'Chart of accounts'!A:H,4,FALSE),"")</f>
        <v>50211010 00 - Legal Services (791)</v>
      </c>
      <c r="M336" s="361">
        <v>67</v>
      </c>
      <c r="N336" s="420" t="s">
        <v>822</v>
      </c>
      <c r="O336" s="420" t="s">
        <v>1074</v>
      </c>
      <c r="P336" s="420"/>
      <c r="Q336" s="420">
        <v>332</v>
      </c>
      <c r="R336" s="428">
        <f t="shared" si="4"/>
        <v>-332</v>
      </c>
      <c r="S336" s="428" t="str">
        <f>VLOOKUP(H336,'Fund Utilization Report'!$A$4:$U$1800,13,FALSE)</f>
        <v>MOOE</v>
      </c>
      <c r="T336" s="428" t="str">
        <f>VLOOKUP(H336,'Fund Utilization Report'!$A$4:$U$1800,2,FALSE)</f>
        <v>GAA</v>
      </c>
      <c r="U336" s="428" t="str">
        <f>VLOOKUP(H336,'Fund Utilization Report'!$A$4:$U$1800,3,FALSE)</f>
        <v>FY2021, RA11518</v>
      </c>
      <c r="V336" s="428" t="str">
        <f>VLOOKUP(H336,'Fund Utilization Report'!$A$4:$U$1800,4,FALSE)</f>
        <v>GAS(GMS)</v>
      </c>
      <c r="W336" s="428" t="str">
        <f>VLOOKUP(H336,'Fund Utilization Report'!$A$4:$U$1800,5,FALSE)</f>
        <v>01101101</v>
      </c>
      <c r="X336" s="428" t="str">
        <f>VLOOKUP(H336,'Fund Utilization Report'!$A$4:$U$1800,6,FALSE)</f>
        <v>GOP</v>
      </c>
      <c r="Y336" s="320" t="str">
        <f>VLOOKUP(H336,'Fund Utilization Report'!$A$4:$U$1800,7,FALSE)</f>
        <v>MOOE</v>
      </c>
      <c r="Z336" s="425">
        <f>VLOOKUP(H336,'Fund Utilization Report'!$A$4:$U$1800,8,FALSE)</f>
        <v>5020000000</v>
      </c>
      <c r="AA336" s="428" t="str">
        <f>VLOOKUP(H336,'Fund Utilization Report'!$A$4:$U$1800,14,FALSE)</f>
        <v>100000100001000</v>
      </c>
      <c r="AB336" s="349" t="str">
        <f>VLOOKUP(H336,'Fund Utilization Report'!$A$4:$U$1800,15,FALSE)</f>
        <v>General Administration and Supervision - General Management and Supervision</v>
      </c>
      <c r="AC336" s="39"/>
      <c r="AD336" s="34"/>
      <c r="AE336" s="39"/>
      <c r="AF336" s="51"/>
      <c r="AG336" s="40"/>
      <c r="AH336" s="40"/>
    </row>
    <row r="337" spans="1:34" s="32" customFormat="1">
      <c r="A337" s="338" t="s">
        <v>942</v>
      </c>
      <c r="B337" s="338" t="s">
        <v>945</v>
      </c>
      <c r="C337" s="358">
        <v>44230</v>
      </c>
      <c r="D337" s="351" t="s">
        <v>1028</v>
      </c>
      <c r="E337" s="352" t="s">
        <v>1081</v>
      </c>
      <c r="F337" s="338">
        <v>0.63888888888888895</v>
      </c>
      <c r="G337" s="338">
        <v>0.63958333333333328</v>
      </c>
      <c r="H337" s="338" t="s">
        <v>961</v>
      </c>
      <c r="I337" s="353">
        <v>796</v>
      </c>
      <c r="J337" s="338" t="str">
        <f>IFERROR(VLOOKUP(I337,'Chart of accounts'!A:H,2,FALSE),"")</f>
        <v>50212020 00</v>
      </c>
      <c r="K337" s="338" t="str">
        <f>IFERROR(VLOOKUP(I337,'Chart of accounts'!A:H,3,FALSE),"")</f>
        <v>Janitorial Services</v>
      </c>
      <c r="L337" s="338" t="str">
        <f>IFERROR(VLOOKUP(I337,'Chart of accounts'!A:H,4,FALSE),"")</f>
        <v>50212020 00 - Janitorial Services (796)</v>
      </c>
      <c r="M337" s="361">
        <v>67</v>
      </c>
      <c r="N337" s="420" t="s">
        <v>822</v>
      </c>
      <c r="O337" s="420" t="s">
        <v>1074</v>
      </c>
      <c r="P337" s="420"/>
      <c r="Q337" s="420">
        <v>27694.33</v>
      </c>
      <c r="R337" s="428">
        <f t="shared" si="4"/>
        <v>-27694.33</v>
      </c>
      <c r="S337" s="428" t="str">
        <f>VLOOKUP(H337,'Fund Utilization Report'!$A$4:$U$1800,13,FALSE)</f>
        <v>MOOE</v>
      </c>
      <c r="T337" s="428" t="str">
        <f>VLOOKUP(H337,'Fund Utilization Report'!$A$4:$U$1800,2,FALSE)</f>
        <v>GAA</v>
      </c>
      <c r="U337" s="428" t="str">
        <f>VLOOKUP(H337,'Fund Utilization Report'!$A$4:$U$1800,3,FALSE)</f>
        <v>FY2021, RA11518</v>
      </c>
      <c r="V337" s="428" t="str">
        <f>VLOOKUP(H337,'Fund Utilization Report'!$A$4:$U$1800,4,FALSE)</f>
        <v>GAS(GMS)</v>
      </c>
      <c r="W337" s="428" t="str">
        <f>VLOOKUP(H337,'Fund Utilization Report'!$A$4:$U$1800,5,FALSE)</f>
        <v>01101101</v>
      </c>
      <c r="X337" s="428" t="str">
        <f>VLOOKUP(H337,'Fund Utilization Report'!$A$4:$U$1800,6,FALSE)</f>
        <v>GOP</v>
      </c>
      <c r="Y337" s="320" t="str">
        <f>VLOOKUP(H337,'Fund Utilization Report'!$A$4:$U$1800,7,FALSE)</f>
        <v>MOOE</v>
      </c>
      <c r="Z337" s="425">
        <f>VLOOKUP(H337,'Fund Utilization Report'!$A$4:$U$1800,8,FALSE)</f>
        <v>5020000000</v>
      </c>
      <c r="AA337" s="428" t="str">
        <f>VLOOKUP(H337,'Fund Utilization Report'!$A$4:$U$1800,14,FALSE)</f>
        <v>100000100001000</v>
      </c>
      <c r="AB337" s="349" t="str">
        <f>VLOOKUP(H337,'Fund Utilization Report'!$A$4:$U$1800,15,FALSE)</f>
        <v>General Administration and Supervision - General Management and Supervision</v>
      </c>
      <c r="AC337" s="39"/>
      <c r="AD337" s="34"/>
      <c r="AE337" s="39"/>
      <c r="AF337" s="51"/>
      <c r="AG337" s="40"/>
      <c r="AH337" s="40"/>
    </row>
    <row r="338" spans="1:34" s="32" customFormat="1">
      <c r="A338" s="338" t="s">
        <v>942</v>
      </c>
      <c r="B338" s="338" t="s">
        <v>945</v>
      </c>
      <c r="C338" s="358">
        <v>44230</v>
      </c>
      <c r="D338" s="351" t="s">
        <v>1028</v>
      </c>
      <c r="E338" s="352" t="s">
        <v>1081</v>
      </c>
      <c r="F338" s="338">
        <v>0.63888888888888895</v>
      </c>
      <c r="G338" s="338">
        <v>0.63958333333333328</v>
      </c>
      <c r="H338" s="338" t="s">
        <v>965</v>
      </c>
      <c r="I338" s="353">
        <v>795</v>
      </c>
      <c r="J338" s="338" t="str">
        <f>IFERROR(VLOOKUP(I338,'Chart of accounts'!A:H,2,FALSE),"")</f>
        <v>50212990 00</v>
      </c>
      <c r="K338" s="338" t="str">
        <f>IFERROR(VLOOKUP(I338,'Chart of accounts'!A:H,3,FALSE),"")</f>
        <v>Other General Services</v>
      </c>
      <c r="L338" s="338" t="str">
        <f>IFERROR(VLOOKUP(I338,'Chart of accounts'!A:H,4,FALSE),"")</f>
        <v>50212990 00 - Other General Services (795)</v>
      </c>
      <c r="M338" s="361">
        <v>67</v>
      </c>
      <c r="N338" s="420" t="s">
        <v>822</v>
      </c>
      <c r="O338" s="420" t="s">
        <v>1074</v>
      </c>
      <c r="P338" s="420"/>
      <c r="Q338" s="420">
        <v>111561.41</v>
      </c>
      <c r="R338" s="428">
        <f t="shared" si="4"/>
        <v>-111561.41</v>
      </c>
      <c r="S338" s="428" t="str">
        <f>VLOOKUP(H338,'Fund Utilization Report'!$A$4:$U$1800,13,FALSE)</f>
        <v>MOOE</v>
      </c>
      <c r="T338" s="428" t="str">
        <f>VLOOKUP(H338,'Fund Utilization Report'!$A$4:$U$1800,2,FALSE)</f>
        <v>GAA</v>
      </c>
      <c r="U338" s="428" t="str">
        <f>VLOOKUP(H338,'Fund Utilization Report'!$A$4:$U$1800,3,FALSE)</f>
        <v>FY2021, RA11518</v>
      </c>
      <c r="V338" s="428" t="str">
        <f>VLOOKUP(H338,'Fund Utilization Report'!$A$4:$U$1800,4,FALSE)</f>
        <v>OO1</v>
      </c>
      <c r="W338" s="428" t="str">
        <f>VLOOKUP(H338,'Fund Utilization Report'!$A$4:$U$1800,5,FALSE)</f>
        <v>01101101</v>
      </c>
      <c r="X338" s="428" t="str">
        <f>VLOOKUP(H338,'Fund Utilization Report'!$A$4:$U$1800,6,FALSE)</f>
        <v>GOP</v>
      </c>
      <c r="Y338" s="320" t="str">
        <f>VLOOKUP(H338,'Fund Utilization Report'!$A$4:$U$1800,7,FALSE)</f>
        <v>MOOE</v>
      </c>
      <c r="Z338" s="425">
        <f>VLOOKUP(H338,'Fund Utilization Report'!$A$4:$U$1800,8,FALSE)</f>
        <v>5020000000</v>
      </c>
      <c r="AA338" s="428" t="str">
        <f>VLOOKUP(H338,'Fund Utilization Report'!$A$4:$U$1800,14,FALSE)</f>
        <v>310100100002000</v>
      </c>
      <c r="AB338" s="349" t="str">
        <f>VLOOKUP(H338,'Fund Utilization Report'!$A$4:$U$1800,15,FALSE)</f>
        <v>Development,Facilitation, and promotion of exports and investment, domestic and foreign</v>
      </c>
      <c r="AC338" s="39"/>
      <c r="AD338" s="34"/>
      <c r="AE338" s="39"/>
      <c r="AF338" s="51"/>
      <c r="AG338" s="40"/>
      <c r="AH338" s="40"/>
    </row>
    <row r="339" spans="1:34" s="32" customFormat="1">
      <c r="A339" s="338" t="s">
        <v>942</v>
      </c>
      <c r="B339" s="338" t="s">
        <v>945</v>
      </c>
      <c r="C339" s="358">
        <v>44230</v>
      </c>
      <c r="D339" s="351" t="s">
        <v>1028</v>
      </c>
      <c r="E339" s="352" t="s">
        <v>1081</v>
      </c>
      <c r="F339" s="338">
        <v>0.63888888888888895</v>
      </c>
      <c r="G339" s="338">
        <v>0.63958333333333328</v>
      </c>
      <c r="H339" s="338" t="s">
        <v>971</v>
      </c>
      <c r="I339" s="353">
        <v>821</v>
      </c>
      <c r="J339" s="338" t="str">
        <f>IFERROR(VLOOKUP(I339,'Chart of accounts'!A:H,2,FALSE),"")</f>
        <v>50213050 02</v>
      </c>
      <c r="K339" s="338" t="str">
        <f>IFERROR(VLOOKUP(I339,'Chart of accounts'!A:H,3,FALSE),"")</f>
        <v>Office Equipment</v>
      </c>
      <c r="L339" s="338" t="str">
        <f>IFERROR(VLOOKUP(I339,'Chart of accounts'!A:H,4,FALSE),"")</f>
        <v>50213050 02 - Office Equipment (821)</v>
      </c>
      <c r="M339" s="361">
        <v>67</v>
      </c>
      <c r="N339" s="420" t="s">
        <v>822</v>
      </c>
      <c r="O339" s="420" t="s">
        <v>1074</v>
      </c>
      <c r="P339" s="420"/>
      <c r="Q339" s="420">
        <v>2766.67</v>
      </c>
      <c r="R339" s="428">
        <f t="shared" si="4"/>
        <v>-2766.67</v>
      </c>
      <c r="S339" s="428" t="str">
        <f>VLOOKUP(H339,'Fund Utilization Report'!$A$4:$U$1800,13,FALSE)</f>
        <v>MOOE</v>
      </c>
      <c r="T339" s="428" t="str">
        <f>VLOOKUP(H339,'Fund Utilization Report'!$A$4:$U$1800,2,FALSE)</f>
        <v>GAA</v>
      </c>
      <c r="U339" s="428" t="str">
        <f>VLOOKUP(H339,'Fund Utilization Report'!$A$4:$U$1800,3,FALSE)</f>
        <v>FY2021, RA11518</v>
      </c>
      <c r="V339" s="428" t="str">
        <f>VLOOKUP(H339,'Fund Utilization Report'!$A$4:$U$1800,4,FALSE)</f>
        <v>OO3</v>
      </c>
      <c r="W339" s="428" t="str">
        <f>VLOOKUP(H339,'Fund Utilization Report'!$A$4:$U$1800,5,FALSE)</f>
        <v>01101101</v>
      </c>
      <c r="X339" s="428" t="str">
        <f>VLOOKUP(H339,'Fund Utilization Report'!$A$4:$U$1800,6,FALSE)</f>
        <v>GOP</v>
      </c>
      <c r="Y339" s="320" t="str">
        <f>VLOOKUP(H339,'Fund Utilization Report'!$A$4:$U$1800,7,FALSE)</f>
        <v>MOOE</v>
      </c>
      <c r="Z339" s="425">
        <f>VLOOKUP(H339,'Fund Utilization Report'!$A$4:$U$1800,8,FALSE)</f>
        <v>5020000000</v>
      </c>
      <c r="AA339" s="428" t="str">
        <f>VLOOKUP(H339,'Fund Utilization Report'!$A$4:$U$1800,14,FALSE)</f>
        <v>330100100002000</v>
      </c>
      <c r="AB339" s="349" t="str">
        <f>VLOOKUP(H339,'Fund Utilization Report'!$A$4:$U$1800,15,FALSE)</f>
        <v>Implementation of the MSME Development Plan and other initiatives to promote the growth of Micro, Small and Medium Enterprises</v>
      </c>
      <c r="AC339" s="39"/>
      <c r="AD339" s="34"/>
      <c r="AE339" s="39"/>
      <c r="AF339" s="51"/>
      <c r="AG339" s="40"/>
      <c r="AH339" s="40"/>
    </row>
    <row r="340" spans="1:34" s="32" customFormat="1">
      <c r="A340" s="338" t="s">
        <v>942</v>
      </c>
      <c r="B340" s="338" t="s">
        <v>945</v>
      </c>
      <c r="C340" s="358">
        <v>44230</v>
      </c>
      <c r="D340" s="351" t="s">
        <v>1028</v>
      </c>
      <c r="E340" s="352" t="s">
        <v>1081</v>
      </c>
      <c r="F340" s="338">
        <v>0.63888888888888895</v>
      </c>
      <c r="G340" s="338">
        <v>0.63958333333333328</v>
      </c>
      <c r="H340" s="338" t="s">
        <v>968</v>
      </c>
      <c r="I340" s="353">
        <v>823</v>
      </c>
      <c r="J340" s="338" t="str">
        <f>IFERROR(VLOOKUP(I340,'Chart of accounts'!A:H,2,FALSE),"")</f>
        <v>50213050 03</v>
      </c>
      <c r="K340" s="338" t="str">
        <f>IFERROR(VLOOKUP(I340,'Chart of accounts'!A:H,3,FALSE),"")</f>
        <v>ICT Equipment</v>
      </c>
      <c r="L340" s="338" t="str">
        <f>IFERROR(VLOOKUP(I340,'Chart of accounts'!A:H,4,FALSE),"")</f>
        <v>50213050 03 - ICT Equipment (823)</v>
      </c>
      <c r="M340" s="361">
        <v>67</v>
      </c>
      <c r="N340" s="420" t="s">
        <v>822</v>
      </c>
      <c r="O340" s="420" t="s">
        <v>1074</v>
      </c>
      <c r="P340" s="420"/>
      <c r="Q340" s="420">
        <v>2766.67</v>
      </c>
      <c r="R340" s="428">
        <f t="shared" si="4"/>
        <v>-2766.67</v>
      </c>
      <c r="S340" s="428" t="str">
        <f>VLOOKUP(H340,'Fund Utilization Report'!$A$4:$U$1800,13,FALSE)</f>
        <v>MOOE</v>
      </c>
      <c r="T340" s="428" t="str">
        <f>VLOOKUP(H340,'Fund Utilization Report'!$A$4:$U$1800,2,FALSE)</f>
        <v>GAA</v>
      </c>
      <c r="U340" s="428" t="str">
        <f>VLOOKUP(H340,'Fund Utilization Report'!$A$4:$U$1800,3,FALSE)</f>
        <v>FY2021, RA11518</v>
      </c>
      <c r="V340" s="428" t="str">
        <f>VLOOKUP(H340,'Fund Utilization Report'!$A$4:$U$1800,4,FALSE)</f>
        <v>OO2</v>
      </c>
      <c r="W340" s="428" t="str">
        <f>VLOOKUP(H340,'Fund Utilization Report'!$A$4:$U$1800,5,FALSE)</f>
        <v>01101101</v>
      </c>
      <c r="X340" s="428" t="str">
        <f>VLOOKUP(H340,'Fund Utilization Report'!$A$4:$U$1800,6,FALSE)</f>
        <v>GOP</v>
      </c>
      <c r="Y340" s="320" t="str">
        <f>VLOOKUP(H340,'Fund Utilization Report'!$A$4:$U$1800,7,FALSE)</f>
        <v>MOOE</v>
      </c>
      <c r="Z340" s="425">
        <f>VLOOKUP(H340,'Fund Utilization Report'!$A$4:$U$1800,8,FALSE)</f>
        <v>5020000000</v>
      </c>
      <c r="AA340" s="428" t="str">
        <f>VLOOKUP(H340,'Fund Utilization Report'!$A$4:$U$1800,14,FALSE)</f>
        <v>320100100001000</v>
      </c>
      <c r="AB340" s="349" t="str">
        <f>VLOOKUP(H340,'Fund Utilization Report'!$A$4:$U$1800,15,FALSE)</f>
        <v>Formulation of Strategic plans,programs, and policies to develop competitve industries</v>
      </c>
      <c r="AC340" s="39"/>
      <c r="AD340" s="34"/>
      <c r="AE340" s="39"/>
      <c r="AF340" s="51"/>
      <c r="AG340" s="40"/>
      <c r="AH340" s="40"/>
    </row>
    <row r="341" spans="1:34" s="32" customFormat="1">
      <c r="A341" s="338" t="s">
        <v>942</v>
      </c>
      <c r="B341" s="338" t="s">
        <v>945</v>
      </c>
      <c r="C341" s="358">
        <v>44230</v>
      </c>
      <c r="D341" s="351" t="s">
        <v>1028</v>
      </c>
      <c r="E341" s="352" t="s">
        <v>1081</v>
      </c>
      <c r="F341" s="338">
        <v>0.63888888888888895</v>
      </c>
      <c r="G341" s="338">
        <v>0.63958333333333328</v>
      </c>
      <c r="H341" s="338" t="s">
        <v>968</v>
      </c>
      <c r="I341" s="353">
        <v>822</v>
      </c>
      <c r="J341" s="338" t="str">
        <f>IFERROR(VLOOKUP(I341,'Chart of accounts'!A:H,2,FALSE),"")</f>
        <v>50213070 00</v>
      </c>
      <c r="K341" s="338" t="str">
        <f>IFERROR(VLOOKUP(I341,'Chart of accounts'!A:H,3,FALSE),"")</f>
        <v>Furniture and Fixture</v>
      </c>
      <c r="L341" s="338" t="str">
        <f>IFERROR(VLOOKUP(I341,'Chart of accounts'!A:H,4,FALSE),"")</f>
        <v>50213070 00 - Furniture and Fixture (822)</v>
      </c>
      <c r="M341" s="361">
        <v>67</v>
      </c>
      <c r="N341" s="420" t="s">
        <v>822</v>
      </c>
      <c r="O341" s="420" t="s">
        <v>1074</v>
      </c>
      <c r="P341" s="420"/>
      <c r="Q341" s="420">
        <v>1383.33</v>
      </c>
      <c r="R341" s="428">
        <f t="shared" si="4"/>
        <v>-1383.33</v>
      </c>
      <c r="S341" s="428" t="str">
        <f>VLOOKUP(H341,'Fund Utilization Report'!$A$4:$U$1800,13,FALSE)</f>
        <v>MOOE</v>
      </c>
      <c r="T341" s="428" t="str">
        <f>VLOOKUP(H341,'Fund Utilization Report'!$A$4:$U$1800,2,FALSE)</f>
        <v>GAA</v>
      </c>
      <c r="U341" s="428" t="str">
        <f>VLOOKUP(H341,'Fund Utilization Report'!$A$4:$U$1800,3,FALSE)</f>
        <v>FY2021, RA11518</v>
      </c>
      <c r="V341" s="428" t="str">
        <f>VLOOKUP(H341,'Fund Utilization Report'!$A$4:$U$1800,4,FALSE)</f>
        <v>OO2</v>
      </c>
      <c r="W341" s="428" t="str">
        <f>VLOOKUP(H341,'Fund Utilization Report'!$A$4:$U$1800,5,FALSE)</f>
        <v>01101101</v>
      </c>
      <c r="X341" s="428" t="str">
        <f>VLOOKUP(H341,'Fund Utilization Report'!$A$4:$U$1800,6,FALSE)</f>
        <v>GOP</v>
      </c>
      <c r="Y341" s="320" t="str">
        <f>VLOOKUP(H341,'Fund Utilization Report'!$A$4:$U$1800,7,FALSE)</f>
        <v>MOOE</v>
      </c>
      <c r="Z341" s="425">
        <f>VLOOKUP(H341,'Fund Utilization Report'!$A$4:$U$1800,8,FALSE)</f>
        <v>5020000000</v>
      </c>
      <c r="AA341" s="428" t="str">
        <f>VLOOKUP(H341,'Fund Utilization Report'!$A$4:$U$1800,14,FALSE)</f>
        <v>320100100001000</v>
      </c>
      <c r="AB341" s="349" t="str">
        <f>VLOOKUP(H341,'Fund Utilization Report'!$A$4:$U$1800,15,FALSE)</f>
        <v>Formulation of Strategic plans,programs, and policies to develop competitve industries</v>
      </c>
      <c r="AC341" s="39"/>
      <c r="AD341" s="34"/>
      <c r="AE341" s="39"/>
      <c r="AF341" s="51"/>
      <c r="AG341" s="40"/>
      <c r="AH341" s="40"/>
    </row>
    <row r="342" spans="1:34" s="32" customFormat="1">
      <c r="A342" s="338" t="s">
        <v>942</v>
      </c>
      <c r="B342" s="338" t="s">
        <v>945</v>
      </c>
      <c r="C342" s="358">
        <v>44230</v>
      </c>
      <c r="D342" s="351" t="s">
        <v>1028</v>
      </c>
      <c r="E342" s="352" t="s">
        <v>1081</v>
      </c>
      <c r="F342" s="338">
        <v>0.63888888888888895</v>
      </c>
      <c r="G342" s="338">
        <v>0.63958333333333328</v>
      </c>
      <c r="H342" s="338" t="s">
        <v>961</v>
      </c>
      <c r="I342" s="353">
        <v>841</v>
      </c>
      <c r="J342" s="338" t="str">
        <f>IFERROR(VLOOKUP(I342,'Chart of accounts'!A:H,2,FALSE),"")</f>
        <v>50213060 01</v>
      </c>
      <c r="K342" s="338" t="str">
        <f>IFERROR(VLOOKUP(I342,'Chart of accounts'!A:H,3,FALSE),"")</f>
        <v>Motor Vehicles</v>
      </c>
      <c r="L342" s="338" t="str">
        <f>IFERROR(VLOOKUP(I342,'Chart of accounts'!A:H,4,FALSE),"")</f>
        <v>50213060 01 - Motor Vehicles (841)</v>
      </c>
      <c r="M342" s="361">
        <v>67</v>
      </c>
      <c r="N342" s="420" t="s">
        <v>822</v>
      </c>
      <c r="O342" s="420" t="s">
        <v>1074</v>
      </c>
      <c r="P342" s="420"/>
      <c r="Q342" s="420">
        <v>11066.67</v>
      </c>
      <c r="R342" s="428">
        <f t="shared" si="4"/>
        <v>-11066.67</v>
      </c>
      <c r="S342" s="428" t="str">
        <f>VLOOKUP(H342,'Fund Utilization Report'!$A$4:$U$1800,13,FALSE)</f>
        <v>MOOE</v>
      </c>
      <c r="T342" s="428" t="str">
        <f>VLOOKUP(H342,'Fund Utilization Report'!$A$4:$U$1800,2,FALSE)</f>
        <v>GAA</v>
      </c>
      <c r="U342" s="428" t="str">
        <f>VLOOKUP(H342,'Fund Utilization Report'!$A$4:$U$1800,3,FALSE)</f>
        <v>FY2021, RA11518</v>
      </c>
      <c r="V342" s="428" t="str">
        <f>VLOOKUP(H342,'Fund Utilization Report'!$A$4:$U$1800,4,FALSE)</f>
        <v>GAS(GMS)</v>
      </c>
      <c r="W342" s="428" t="str">
        <f>VLOOKUP(H342,'Fund Utilization Report'!$A$4:$U$1800,5,FALSE)</f>
        <v>01101101</v>
      </c>
      <c r="X342" s="428" t="str">
        <f>VLOOKUP(H342,'Fund Utilization Report'!$A$4:$U$1800,6,FALSE)</f>
        <v>GOP</v>
      </c>
      <c r="Y342" s="320" t="str">
        <f>VLOOKUP(H342,'Fund Utilization Report'!$A$4:$U$1800,7,FALSE)</f>
        <v>MOOE</v>
      </c>
      <c r="Z342" s="425">
        <f>VLOOKUP(H342,'Fund Utilization Report'!$A$4:$U$1800,8,FALSE)</f>
        <v>5020000000</v>
      </c>
      <c r="AA342" s="428" t="str">
        <f>VLOOKUP(H342,'Fund Utilization Report'!$A$4:$U$1800,14,FALSE)</f>
        <v>100000100001000</v>
      </c>
      <c r="AB342" s="349" t="str">
        <f>VLOOKUP(H342,'Fund Utilization Report'!$A$4:$U$1800,15,FALSE)</f>
        <v>General Administration and Supervision - General Management and Supervision</v>
      </c>
      <c r="AC342" s="39"/>
      <c r="AD342" s="34"/>
      <c r="AE342" s="39"/>
      <c r="AF342" s="51"/>
      <c r="AG342" s="40"/>
      <c r="AH342" s="40"/>
    </row>
    <row r="343" spans="1:34" s="32" customFormat="1">
      <c r="A343" s="338" t="s">
        <v>942</v>
      </c>
      <c r="B343" s="338" t="s">
        <v>945</v>
      </c>
      <c r="C343" s="358">
        <v>44230</v>
      </c>
      <c r="D343" s="351" t="s">
        <v>1028</v>
      </c>
      <c r="E343" s="352" t="s">
        <v>1081</v>
      </c>
      <c r="F343" s="338">
        <v>0.63888888888888895</v>
      </c>
      <c r="G343" s="338">
        <v>0.63958333333333328</v>
      </c>
      <c r="H343" s="338" t="s">
        <v>961</v>
      </c>
      <c r="I343" s="353">
        <v>891</v>
      </c>
      <c r="J343" s="338" t="str">
        <f>IFERROR(VLOOKUP(I343,'Chart of accounts'!A:H,2,FALSE),"")</f>
        <v>50215010 01</v>
      </c>
      <c r="K343" s="338" t="str">
        <f>IFERROR(VLOOKUP(I343,'Chart of accounts'!A:H,3,FALSE),"")</f>
        <v>Taxes, Duties and Licenses</v>
      </c>
      <c r="L343" s="338" t="str">
        <f>IFERROR(VLOOKUP(I343,'Chart of accounts'!A:H,4,FALSE),"")</f>
        <v>50215010 01 - Taxes, Duties and Licenses (891)</v>
      </c>
      <c r="M343" s="361">
        <v>67</v>
      </c>
      <c r="N343" s="420" t="s">
        <v>822</v>
      </c>
      <c r="O343" s="420" t="s">
        <v>1074</v>
      </c>
      <c r="P343" s="420"/>
      <c r="Q343" s="420">
        <v>691.67</v>
      </c>
      <c r="R343" s="428">
        <f t="shared" si="4"/>
        <v>-691.67</v>
      </c>
      <c r="S343" s="428" t="str">
        <f>VLOOKUP(H343,'Fund Utilization Report'!$A$4:$U$1800,13,FALSE)</f>
        <v>MOOE</v>
      </c>
      <c r="T343" s="428" t="str">
        <f>VLOOKUP(H343,'Fund Utilization Report'!$A$4:$U$1800,2,FALSE)</f>
        <v>GAA</v>
      </c>
      <c r="U343" s="428" t="str">
        <f>VLOOKUP(H343,'Fund Utilization Report'!$A$4:$U$1800,3,FALSE)</f>
        <v>FY2021, RA11518</v>
      </c>
      <c r="V343" s="428" t="str">
        <f>VLOOKUP(H343,'Fund Utilization Report'!$A$4:$U$1800,4,FALSE)</f>
        <v>GAS(GMS)</v>
      </c>
      <c r="W343" s="428" t="str">
        <f>VLOOKUP(H343,'Fund Utilization Report'!$A$4:$U$1800,5,FALSE)</f>
        <v>01101101</v>
      </c>
      <c r="X343" s="428" t="str">
        <f>VLOOKUP(H343,'Fund Utilization Report'!$A$4:$U$1800,6,FALSE)</f>
        <v>GOP</v>
      </c>
      <c r="Y343" s="320" t="str">
        <f>VLOOKUP(H343,'Fund Utilization Report'!$A$4:$U$1800,7,FALSE)</f>
        <v>MOOE</v>
      </c>
      <c r="Z343" s="425">
        <f>VLOOKUP(H343,'Fund Utilization Report'!$A$4:$U$1800,8,FALSE)</f>
        <v>5020000000</v>
      </c>
      <c r="AA343" s="428" t="str">
        <f>VLOOKUP(H343,'Fund Utilization Report'!$A$4:$U$1800,14,FALSE)</f>
        <v>100000100001000</v>
      </c>
      <c r="AB343" s="349" t="str">
        <f>VLOOKUP(H343,'Fund Utilization Report'!$A$4:$U$1800,15,FALSE)</f>
        <v>General Administration and Supervision - General Management and Supervision</v>
      </c>
      <c r="AC343" s="39"/>
      <c r="AD343" s="34"/>
      <c r="AE343" s="39"/>
      <c r="AF343" s="51"/>
      <c r="AG343" s="40"/>
      <c r="AH343" s="40"/>
    </row>
    <row r="344" spans="1:34" s="32" customFormat="1">
      <c r="A344" s="338" t="s">
        <v>942</v>
      </c>
      <c r="B344" s="338" t="s">
        <v>945</v>
      </c>
      <c r="C344" s="358">
        <v>44230</v>
      </c>
      <c r="D344" s="351" t="s">
        <v>1028</v>
      </c>
      <c r="E344" s="352" t="s">
        <v>1081</v>
      </c>
      <c r="F344" s="338">
        <v>0.63888888888888895</v>
      </c>
      <c r="G344" s="338">
        <v>0.63958333333333328</v>
      </c>
      <c r="H344" s="338" t="s">
        <v>961</v>
      </c>
      <c r="I344" s="353">
        <v>892</v>
      </c>
      <c r="J344" s="338" t="str">
        <f>IFERROR(VLOOKUP(I344,'Chart of accounts'!A:H,2,FALSE),"")</f>
        <v>50215020 00</v>
      </c>
      <c r="K344" s="338" t="str">
        <f>IFERROR(VLOOKUP(I344,'Chart of accounts'!A:H,3,FALSE),"")</f>
        <v>Fidelity Bond Premiums</v>
      </c>
      <c r="L344" s="338" t="str">
        <f>IFERROR(VLOOKUP(I344,'Chart of accounts'!A:H,4,FALSE),"")</f>
        <v>50215020 00 - Fidelity Bond Premiums (892)</v>
      </c>
      <c r="M344" s="361">
        <v>67</v>
      </c>
      <c r="N344" s="420" t="s">
        <v>822</v>
      </c>
      <c r="O344" s="420" t="s">
        <v>1074</v>
      </c>
      <c r="P344" s="420"/>
      <c r="Q344" s="420">
        <v>1383.33</v>
      </c>
      <c r="R344" s="428">
        <f t="shared" si="4"/>
        <v>-1383.33</v>
      </c>
      <c r="S344" s="428" t="str">
        <f>VLOOKUP(H344,'Fund Utilization Report'!$A$4:$U$1800,13,FALSE)</f>
        <v>MOOE</v>
      </c>
      <c r="T344" s="428" t="str">
        <f>VLOOKUP(H344,'Fund Utilization Report'!$A$4:$U$1800,2,FALSE)</f>
        <v>GAA</v>
      </c>
      <c r="U344" s="428" t="str">
        <f>VLOOKUP(H344,'Fund Utilization Report'!$A$4:$U$1800,3,FALSE)</f>
        <v>FY2021, RA11518</v>
      </c>
      <c r="V344" s="428" t="str">
        <f>VLOOKUP(H344,'Fund Utilization Report'!$A$4:$U$1800,4,FALSE)</f>
        <v>GAS(GMS)</v>
      </c>
      <c r="W344" s="428" t="str">
        <f>VLOOKUP(H344,'Fund Utilization Report'!$A$4:$U$1800,5,FALSE)</f>
        <v>01101101</v>
      </c>
      <c r="X344" s="428" t="str">
        <f>VLOOKUP(H344,'Fund Utilization Report'!$A$4:$U$1800,6,FALSE)</f>
        <v>GOP</v>
      </c>
      <c r="Y344" s="320" t="str">
        <f>VLOOKUP(H344,'Fund Utilization Report'!$A$4:$U$1800,7,FALSE)</f>
        <v>MOOE</v>
      </c>
      <c r="Z344" s="425">
        <f>VLOOKUP(H344,'Fund Utilization Report'!$A$4:$U$1800,8,FALSE)</f>
        <v>5020000000</v>
      </c>
      <c r="AA344" s="428" t="str">
        <f>VLOOKUP(H344,'Fund Utilization Report'!$A$4:$U$1800,14,FALSE)</f>
        <v>100000100001000</v>
      </c>
      <c r="AB344" s="349" t="str">
        <f>VLOOKUP(H344,'Fund Utilization Report'!$A$4:$U$1800,15,FALSE)</f>
        <v>General Administration and Supervision - General Management and Supervision</v>
      </c>
      <c r="AC344" s="39"/>
      <c r="AD344" s="34"/>
      <c r="AE344" s="39"/>
      <c r="AF344" s="51"/>
      <c r="AG344" s="40"/>
      <c r="AH344" s="40"/>
    </row>
    <row r="345" spans="1:34" s="32" customFormat="1">
      <c r="A345" s="338" t="s">
        <v>942</v>
      </c>
      <c r="B345" s="338" t="s">
        <v>945</v>
      </c>
      <c r="C345" s="358">
        <v>44230</v>
      </c>
      <c r="D345" s="351" t="s">
        <v>1028</v>
      </c>
      <c r="E345" s="352" t="s">
        <v>1081</v>
      </c>
      <c r="F345" s="338">
        <v>0.63888888888888895</v>
      </c>
      <c r="G345" s="338">
        <v>0.63958333333333328</v>
      </c>
      <c r="H345" s="338" t="s">
        <v>961</v>
      </c>
      <c r="I345" s="353">
        <v>893</v>
      </c>
      <c r="J345" s="338" t="str">
        <f>IFERROR(VLOOKUP(I345,'Chart of accounts'!A:H,2,FALSE),"")</f>
        <v>50215030 00</v>
      </c>
      <c r="K345" s="338" t="str">
        <f>IFERROR(VLOOKUP(I345,'Chart of accounts'!A:H,3,FALSE),"")</f>
        <v>Insurance Expense</v>
      </c>
      <c r="L345" s="338" t="str">
        <f>IFERROR(VLOOKUP(I345,'Chart of accounts'!A:H,4,FALSE),"")</f>
        <v>50215030 00 - Insurance Expense (893)</v>
      </c>
      <c r="M345" s="361">
        <v>67</v>
      </c>
      <c r="N345" s="420" t="s">
        <v>822</v>
      </c>
      <c r="O345" s="420" t="s">
        <v>1074</v>
      </c>
      <c r="P345" s="420"/>
      <c r="Q345" s="420">
        <v>3043.33</v>
      </c>
      <c r="R345" s="428">
        <f t="shared" si="4"/>
        <v>-3043.33</v>
      </c>
      <c r="S345" s="428" t="str">
        <f>VLOOKUP(H345,'Fund Utilization Report'!$A$4:$U$1800,13,FALSE)</f>
        <v>MOOE</v>
      </c>
      <c r="T345" s="428" t="str">
        <f>VLOOKUP(H345,'Fund Utilization Report'!$A$4:$U$1800,2,FALSE)</f>
        <v>GAA</v>
      </c>
      <c r="U345" s="428" t="str">
        <f>VLOOKUP(H345,'Fund Utilization Report'!$A$4:$U$1800,3,FALSE)</f>
        <v>FY2021, RA11518</v>
      </c>
      <c r="V345" s="428" t="str">
        <f>VLOOKUP(H345,'Fund Utilization Report'!$A$4:$U$1800,4,FALSE)</f>
        <v>GAS(GMS)</v>
      </c>
      <c r="W345" s="428" t="str">
        <f>VLOOKUP(H345,'Fund Utilization Report'!$A$4:$U$1800,5,FALSE)</f>
        <v>01101101</v>
      </c>
      <c r="X345" s="428" t="str">
        <f>VLOOKUP(H345,'Fund Utilization Report'!$A$4:$U$1800,6,FALSE)</f>
        <v>GOP</v>
      </c>
      <c r="Y345" s="320" t="str">
        <f>VLOOKUP(H345,'Fund Utilization Report'!$A$4:$U$1800,7,FALSE)</f>
        <v>MOOE</v>
      </c>
      <c r="Z345" s="425">
        <f>VLOOKUP(H345,'Fund Utilization Report'!$A$4:$U$1800,8,FALSE)</f>
        <v>5020000000</v>
      </c>
      <c r="AA345" s="428" t="str">
        <f>VLOOKUP(H345,'Fund Utilization Report'!$A$4:$U$1800,14,FALSE)</f>
        <v>100000100001000</v>
      </c>
      <c r="AB345" s="349" t="str">
        <f>VLOOKUP(H345,'Fund Utilization Report'!$A$4:$U$1800,15,FALSE)</f>
        <v>General Administration and Supervision - General Management and Supervision</v>
      </c>
      <c r="AC345" s="39"/>
      <c r="AD345" s="34"/>
      <c r="AE345" s="39"/>
      <c r="AF345" s="51"/>
      <c r="AG345" s="40"/>
      <c r="AH345" s="40"/>
    </row>
    <row r="346" spans="1:34" s="32" customFormat="1">
      <c r="A346" s="338" t="s">
        <v>942</v>
      </c>
      <c r="B346" s="338" t="s">
        <v>945</v>
      </c>
      <c r="C346" s="358">
        <v>44230</v>
      </c>
      <c r="D346" s="351" t="s">
        <v>1028</v>
      </c>
      <c r="E346" s="352" t="s">
        <v>1081</v>
      </c>
      <c r="F346" s="338">
        <v>0.63888888888888895</v>
      </c>
      <c r="G346" s="338">
        <v>0.63958333333333328</v>
      </c>
      <c r="H346" s="338" t="s">
        <v>961</v>
      </c>
      <c r="I346" s="353">
        <v>782</v>
      </c>
      <c r="J346" s="338" t="str">
        <f>IFERROR(VLOOKUP(I346,'Chart of accounts'!A:H,2,FALSE),"")</f>
        <v>50299050 01</v>
      </c>
      <c r="K346" s="338" t="str">
        <f>IFERROR(VLOOKUP(I346,'Chart of accounts'!A:H,3,FALSE),"")</f>
        <v>Rent - Buildings and Structures</v>
      </c>
      <c r="L346" s="338" t="str">
        <f>IFERROR(VLOOKUP(I346,'Chart of accounts'!A:H,4,FALSE),"")</f>
        <v>50299050 01 - Rent - Buildings and Structures (782)</v>
      </c>
      <c r="M346" s="361">
        <v>67</v>
      </c>
      <c r="N346" s="420" t="s">
        <v>822</v>
      </c>
      <c r="O346" s="420" t="s">
        <v>1074</v>
      </c>
      <c r="P346" s="420"/>
      <c r="Q346" s="420">
        <v>82446.67</v>
      </c>
      <c r="R346" s="428">
        <f t="shared" si="4"/>
        <v>-82446.67</v>
      </c>
      <c r="S346" s="428" t="str">
        <f>VLOOKUP(H346,'Fund Utilization Report'!$A$4:$U$1800,13,FALSE)</f>
        <v>MOOE</v>
      </c>
      <c r="T346" s="428" t="str">
        <f>VLOOKUP(H346,'Fund Utilization Report'!$A$4:$U$1800,2,FALSE)</f>
        <v>GAA</v>
      </c>
      <c r="U346" s="428" t="str">
        <f>VLOOKUP(H346,'Fund Utilization Report'!$A$4:$U$1800,3,FALSE)</f>
        <v>FY2021, RA11518</v>
      </c>
      <c r="V346" s="428" t="str">
        <f>VLOOKUP(H346,'Fund Utilization Report'!$A$4:$U$1800,4,FALSE)</f>
        <v>GAS(GMS)</v>
      </c>
      <c r="W346" s="428" t="str">
        <f>VLOOKUP(H346,'Fund Utilization Report'!$A$4:$U$1800,5,FALSE)</f>
        <v>01101101</v>
      </c>
      <c r="X346" s="428" t="str">
        <f>VLOOKUP(H346,'Fund Utilization Report'!$A$4:$U$1800,6,FALSE)</f>
        <v>GOP</v>
      </c>
      <c r="Y346" s="320" t="str">
        <f>VLOOKUP(H346,'Fund Utilization Report'!$A$4:$U$1800,7,FALSE)</f>
        <v>MOOE</v>
      </c>
      <c r="Z346" s="425">
        <f>VLOOKUP(H346,'Fund Utilization Report'!$A$4:$U$1800,8,FALSE)</f>
        <v>5020000000</v>
      </c>
      <c r="AA346" s="428" t="str">
        <f>VLOOKUP(H346,'Fund Utilization Report'!$A$4:$U$1800,14,FALSE)</f>
        <v>100000100001000</v>
      </c>
      <c r="AB346" s="349" t="str">
        <f>VLOOKUP(H346,'Fund Utilization Report'!$A$4:$U$1800,15,FALSE)</f>
        <v>General Administration and Supervision - General Management and Supervision</v>
      </c>
      <c r="AC346" s="39"/>
      <c r="AD346" s="34"/>
      <c r="AE346" s="39"/>
      <c r="AF346" s="51"/>
      <c r="AG346" s="40"/>
      <c r="AH346" s="40"/>
    </row>
    <row r="347" spans="1:34" s="32" customFormat="1">
      <c r="A347" s="338" t="s">
        <v>942</v>
      </c>
      <c r="B347" s="338" t="s">
        <v>945</v>
      </c>
      <c r="C347" s="358">
        <v>44230</v>
      </c>
      <c r="D347" s="351" t="s">
        <v>1028</v>
      </c>
      <c r="E347" s="352" t="s">
        <v>1081</v>
      </c>
      <c r="F347" s="338">
        <v>0.63888888888888895</v>
      </c>
      <c r="G347" s="338">
        <v>0.63958333333333328</v>
      </c>
      <c r="H347" s="338" t="s">
        <v>961</v>
      </c>
      <c r="I347" s="459">
        <v>786</v>
      </c>
      <c r="J347" s="458" t="str">
        <f>IFERROR(VLOOKUP(I347,'Chart of accounts'!A:H,2,FALSE),"")</f>
        <v>50299070 00</v>
      </c>
      <c r="K347" s="458" t="str">
        <f>IFERROR(VLOOKUP(I347,'Chart of accounts'!A:H,3,FALSE),"")</f>
        <v>Subscriptions Expenses</v>
      </c>
      <c r="L347" s="458" t="str">
        <f>IFERROR(VLOOKUP(I347,'Chart of accounts'!A:H,4,FALSE),"")</f>
        <v>50299070 00 - Subscriptions Expenses (786)</v>
      </c>
      <c r="M347" s="361">
        <v>67</v>
      </c>
      <c r="N347" s="420" t="s">
        <v>822</v>
      </c>
      <c r="O347" s="420" t="s">
        <v>1074</v>
      </c>
      <c r="P347" s="460"/>
      <c r="Q347" s="461">
        <v>1660</v>
      </c>
      <c r="R347" s="462">
        <f t="shared" si="4"/>
        <v>-1660</v>
      </c>
      <c r="S347" s="428" t="str">
        <f>VLOOKUP(H347,'Fund Utilization Report'!$A$4:$U$1800,13,FALSE)</f>
        <v>MOOE</v>
      </c>
      <c r="T347" s="428" t="str">
        <f>VLOOKUP(H347,'Fund Utilization Report'!$A$4:$U$1800,2,FALSE)</f>
        <v>GAA</v>
      </c>
      <c r="U347" s="428" t="str">
        <f>VLOOKUP(H347,'Fund Utilization Report'!$A$4:$U$1800,3,FALSE)</f>
        <v>FY2021, RA11518</v>
      </c>
      <c r="V347" s="428" t="str">
        <f>VLOOKUP(H347,'Fund Utilization Report'!$A$4:$U$1800,4,FALSE)</f>
        <v>GAS(GMS)</v>
      </c>
      <c r="W347" s="428" t="str">
        <f>VLOOKUP(H347,'Fund Utilization Report'!$A$4:$U$1800,5,FALSE)</f>
        <v>01101101</v>
      </c>
      <c r="X347" s="428" t="str">
        <f>VLOOKUP(H347,'Fund Utilization Report'!$A$4:$U$1800,6,FALSE)</f>
        <v>GOP</v>
      </c>
      <c r="Y347" s="320" t="str">
        <f>VLOOKUP(H347,'Fund Utilization Report'!$A$4:$U$1800,7,FALSE)</f>
        <v>MOOE</v>
      </c>
      <c r="Z347" s="425">
        <f>VLOOKUP(H347,'Fund Utilization Report'!$A$4:$U$1800,8,FALSE)</f>
        <v>5020000000</v>
      </c>
      <c r="AA347" s="428" t="str">
        <f>VLOOKUP(H347,'Fund Utilization Report'!$A$4:$U$1800,14,FALSE)</f>
        <v>100000100001000</v>
      </c>
      <c r="AB347" s="349" t="str">
        <f>VLOOKUP(H347,'Fund Utilization Report'!$A$4:$U$1800,15,FALSE)</f>
        <v>General Administration and Supervision - General Management and Supervision</v>
      </c>
      <c r="AC347" s="39"/>
      <c r="AD347" s="34"/>
      <c r="AE347" s="39"/>
      <c r="AF347" s="51"/>
      <c r="AG347" s="40"/>
      <c r="AH347" s="40"/>
    </row>
    <row r="348" spans="1:34" s="32" customFormat="1">
      <c r="A348" s="338" t="s">
        <v>942</v>
      </c>
      <c r="B348" s="338" t="s">
        <v>945</v>
      </c>
      <c r="C348" s="358">
        <v>44230</v>
      </c>
      <c r="D348" s="351" t="s">
        <v>1028</v>
      </c>
      <c r="E348" s="352" t="s">
        <v>1081</v>
      </c>
      <c r="F348" s="338">
        <v>0.63888888888888895</v>
      </c>
      <c r="G348" s="338">
        <v>0.63958333333333328</v>
      </c>
      <c r="H348" s="338" t="s">
        <v>961</v>
      </c>
      <c r="I348" s="353">
        <v>751</v>
      </c>
      <c r="J348" s="338" t="str">
        <f>IFERROR(VLOOKUP(I348,'Chart of accounts'!A:H,2,FALSE),"")</f>
        <v>50201010 00</v>
      </c>
      <c r="K348" s="338" t="str">
        <f>IFERROR(VLOOKUP(I348,'Chart of accounts'!A:H,3,FALSE),"")</f>
        <v>Traveling Expenses - Local</v>
      </c>
      <c r="L348" s="338" t="str">
        <f>IFERROR(VLOOKUP(I348,'Chart of accounts'!A:H,4,FALSE),"")</f>
        <v>50201010 00 - Traveling Expenses - Local (751)</v>
      </c>
      <c r="M348" s="361">
        <v>67</v>
      </c>
      <c r="N348" s="420" t="s">
        <v>822</v>
      </c>
      <c r="O348" s="420" t="s">
        <v>1074</v>
      </c>
      <c r="P348" s="420"/>
      <c r="Q348" s="420">
        <v>1383.33</v>
      </c>
      <c r="R348" s="428">
        <f t="shared" si="4"/>
        <v>-1383.33</v>
      </c>
      <c r="S348" s="428" t="str">
        <f>VLOOKUP(H348,'Fund Utilization Report'!$A$4:$U$1800,13,FALSE)</f>
        <v>MOOE</v>
      </c>
      <c r="T348" s="428" t="str">
        <f>VLOOKUP(H348,'Fund Utilization Report'!$A$4:$U$1800,2,FALSE)</f>
        <v>GAA</v>
      </c>
      <c r="U348" s="428" t="str">
        <f>VLOOKUP(H348,'Fund Utilization Report'!$A$4:$U$1800,3,FALSE)</f>
        <v>FY2021, RA11518</v>
      </c>
      <c r="V348" s="428" t="str">
        <f>VLOOKUP(H348,'Fund Utilization Report'!$A$4:$U$1800,4,FALSE)</f>
        <v>GAS(GMS)</v>
      </c>
      <c r="W348" s="428" t="str">
        <f>VLOOKUP(H348,'Fund Utilization Report'!$A$4:$U$1800,5,FALSE)</f>
        <v>01101101</v>
      </c>
      <c r="X348" s="428" t="str">
        <f>VLOOKUP(H348,'Fund Utilization Report'!$A$4:$U$1800,6,FALSE)</f>
        <v>GOP</v>
      </c>
      <c r="Y348" s="320" t="str">
        <f>VLOOKUP(H348,'Fund Utilization Report'!$A$4:$U$1800,7,FALSE)</f>
        <v>MOOE</v>
      </c>
      <c r="Z348" s="425">
        <f>VLOOKUP(H348,'Fund Utilization Report'!$A$4:$U$1800,8,FALSE)</f>
        <v>5020000000</v>
      </c>
      <c r="AA348" s="428" t="str">
        <f>VLOOKUP(H348,'Fund Utilization Report'!$A$4:$U$1800,14,FALSE)</f>
        <v>100000100001000</v>
      </c>
      <c r="AB348" s="349" t="str">
        <f>VLOOKUP(H348,'Fund Utilization Report'!$A$4:$U$1800,15,FALSE)</f>
        <v>General Administration and Supervision - General Management and Supervision</v>
      </c>
      <c r="AC348" s="39"/>
      <c r="AD348" s="34"/>
      <c r="AE348" s="39"/>
      <c r="AF348" s="51"/>
      <c r="AG348" s="40"/>
      <c r="AH348" s="40"/>
    </row>
    <row r="349" spans="1:34" s="32" customFormat="1">
      <c r="A349" s="338" t="s">
        <v>942</v>
      </c>
      <c r="B349" s="338" t="s">
        <v>945</v>
      </c>
      <c r="C349" s="358">
        <v>44230</v>
      </c>
      <c r="D349" s="351" t="s">
        <v>1028</v>
      </c>
      <c r="E349" s="352" t="s">
        <v>1081</v>
      </c>
      <c r="F349" s="338">
        <v>0.63888888888888895</v>
      </c>
      <c r="G349" s="338">
        <v>0.63958333333333328</v>
      </c>
      <c r="H349" s="338" t="s">
        <v>961</v>
      </c>
      <c r="I349" s="353">
        <v>755</v>
      </c>
      <c r="J349" s="338" t="str">
        <f>IFERROR(VLOOKUP(I349,'Chart of accounts'!A:H,2,FALSE),"")</f>
        <v>50203010 00</v>
      </c>
      <c r="K349" s="338" t="str">
        <f>IFERROR(VLOOKUP(I349,'Chart of accounts'!A:H,3,FALSE),"")</f>
        <v>Office Supplies Expenses</v>
      </c>
      <c r="L349" s="338" t="str">
        <f>IFERROR(VLOOKUP(I349,'Chart of accounts'!A:H,4,FALSE),"")</f>
        <v>50203010 00 - Office Supplies Expenses (755)</v>
      </c>
      <c r="M349" s="361">
        <v>67</v>
      </c>
      <c r="N349" s="420" t="s">
        <v>822</v>
      </c>
      <c r="O349" s="420" t="s">
        <v>1074</v>
      </c>
      <c r="P349" s="420"/>
      <c r="Q349" s="420">
        <v>6916.67</v>
      </c>
      <c r="R349" s="428">
        <f t="shared" si="4"/>
        <v>-6916.67</v>
      </c>
      <c r="S349" s="428" t="str">
        <f>VLOOKUP(H349,'Fund Utilization Report'!$A$4:$U$1800,13,FALSE)</f>
        <v>MOOE</v>
      </c>
      <c r="T349" s="428" t="str">
        <f>VLOOKUP(H349,'Fund Utilization Report'!$A$4:$U$1800,2,FALSE)</f>
        <v>GAA</v>
      </c>
      <c r="U349" s="428" t="str">
        <f>VLOOKUP(H349,'Fund Utilization Report'!$A$4:$U$1800,3,FALSE)</f>
        <v>FY2021, RA11518</v>
      </c>
      <c r="V349" s="428" t="str">
        <f>VLOOKUP(H349,'Fund Utilization Report'!$A$4:$U$1800,4,FALSE)</f>
        <v>GAS(GMS)</v>
      </c>
      <c r="W349" s="428" t="str">
        <f>VLOOKUP(H349,'Fund Utilization Report'!$A$4:$U$1800,5,FALSE)</f>
        <v>01101101</v>
      </c>
      <c r="X349" s="428" t="str">
        <f>VLOOKUP(H349,'Fund Utilization Report'!$A$4:$U$1800,6,FALSE)</f>
        <v>GOP</v>
      </c>
      <c r="Y349" s="320" t="str">
        <f>VLOOKUP(H349,'Fund Utilization Report'!$A$4:$U$1800,7,FALSE)</f>
        <v>MOOE</v>
      </c>
      <c r="Z349" s="425">
        <f>VLOOKUP(H349,'Fund Utilization Report'!$A$4:$U$1800,8,FALSE)</f>
        <v>5020000000</v>
      </c>
      <c r="AA349" s="428" t="str">
        <f>VLOOKUP(H349,'Fund Utilization Report'!$A$4:$U$1800,14,FALSE)</f>
        <v>100000100001000</v>
      </c>
      <c r="AB349" s="349" t="str">
        <f>VLOOKUP(H349,'Fund Utilization Report'!$A$4:$U$1800,15,FALSE)</f>
        <v>General Administration and Supervision - General Management and Supervision</v>
      </c>
      <c r="AC349" s="39"/>
      <c r="AD349" s="34"/>
      <c r="AE349" s="39"/>
      <c r="AF349" s="51"/>
      <c r="AG349" s="40"/>
      <c r="AH349" s="40"/>
    </row>
    <row r="350" spans="1:34" s="32" customFormat="1">
      <c r="A350" s="338" t="s">
        <v>942</v>
      </c>
      <c r="B350" s="338" t="s">
        <v>945</v>
      </c>
      <c r="C350" s="358">
        <v>44230</v>
      </c>
      <c r="D350" s="351" t="s">
        <v>1028</v>
      </c>
      <c r="E350" s="352" t="s">
        <v>1081</v>
      </c>
      <c r="F350" s="338">
        <v>0.63888888888888895</v>
      </c>
      <c r="G350" s="338">
        <v>0.63958333333333328</v>
      </c>
      <c r="H350" s="338" t="s">
        <v>961</v>
      </c>
      <c r="I350" s="353">
        <v>781</v>
      </c>
      <c r="J350" s="338" t="str">
        <f>IFERROR(VLOOKUP(I350,'Chart of accounts'!A:H,2,FALSE),"")</f>
        <v>50299020 00</v>
      </c>
      <c r="K350" s="338" t="str">
        <f>IFERROR(VLOOKUP(I350,'Chart of accounts'!A:H,3,FALSE),"")</f>
        <v>Printing and Binding Expenses</v>
      </c>
      <c r="L350" s="338" t="str">
        <f>IFERROR(VLOOKUP(I350,'Chart of accounts'!A:H,4,FALSE),"")</f>
        <v>50299020 00 - Printing and Binding Expenses (781)</v>
      </c>
      <c r="M350" s="361">
        <v>67</v>
      </c>
      <c r="N350" s="420" t="s">
        <v>822</v>
      </c>
      <c r="O350" s="420" t="s">
        <v>1074</v>
      </c>
      <c r="P350" s="420"/>
      <c r="Q350" s="420">
        <v>1383.33</v>
      </c>
      <c r="R350" s="428">
        <f t="shared" si="4"/>
        <v>-1383.33</v>
      </c>
      <c r="S350" s="428" t="str">
        <f>VLOOKUP(H350,'Fund Utilization Report'!$A$4:$U$1800,13,FALSE)</f>
        <v>MOOE</v>
      </c>
      <c r="T350" s="428" t="str">
        <f>VLOOKUP(H350,'Fund Utilization Report'!$A$4:$U$1800,2,FALSE)</f>
        <v>GAA</v>
      </c>
      <c r="U350" s="428" t="str">
        <f>VLOOKUP(H350,'Fund Utilization Report'!$A$4:$U$1800,3,FALSE)</f>
        <v>FY2021, RA11518</v>
      </c>
      <c r="V350" s="428" t="str">
        <f>VLOOKUP(H350,'Fund Utilization Report'!$A$4:$U$1800,4,FALSE)</f>
        <v>GAS(GMS)</v>
      </c>
      <c r="W350" s="428" t="str">
        <f>VLOOKUP(H350,'Fund Utilization Report'!$A$4:$U$1800,5,FALSE)</f>
        <v>01101101</v>
      </c>
      <c r="X350" s="428" t="str">
        <f>VLOOKUP(H350,'Fund Utilization Report'!$A$4:$U$1800,6,FALSE)</f>
        <v>GOP</v>
      </c>
      <c r="Y350" s="320" t="str">
        <f>VLOOKUP(H350,'Fund Utilization Report'!$A$4:$U$1800,7,FALSE)</f>
        <v>MOOE</v>
      </c>
      <c r="Z350" s="425">
        <f>VLOOKUP(H350,'Fund Utilization Report'!$A$4:$U$1800,8,FALSE)</f>
        <v>5020000000</v>
      </c>
      <c r="AA350" s="428" t="str">
        <f>VLOOKUP(H350,'Fund Utilization Report'!$A$4:$U$1800,14,FALSE)</f>
        <v>100000100001000</v>
      </c>
      <c r="AB350" s="349" t="str">
        <f>VLOOKUP(H350,'Fund Utilization Report'!$A$4:$U$1800,15,FALSE)</f>
        <v>General Administration and Supervision - General Management and Supervision</v>
      </c>
      <c r="AC350" s="39"/>
      <c r="AD350" s="34"/>
      <c r="AE350" s="39"/>
      <c r="AF350" s="51"/>
      <c r="AG350" s="40"/>
      <c r="AH350" s="40"/>
    </row>
    <row r="351" spans="1:34" s="32" customFormat="1">
      <c r="A351" s="338" t="s">
        <v>942</v>
      </c>
      <c r="B351" s="338" t="s">
        <v>945</v>
      </c>
      <c r="C351" s="358">
        <v>44230</v>
      </c>
      <c r="D351" s="351" t="s">
        <v>1028</v>
      </c>
      <c r="E351" s="352" t="s">
        <v>1081</v>
      </c>
      <c r="F351" s="338">
        <v>0.63888888888888895</v>
      </c>
      <c r="G351" s="338">
        <v>0.63958333333333328</v>
      </c>
      <c r="H351" s="338" t="s">
        <v>961</v>
      </c>
      <c r="I351" s="353">
        <v>783</v>
      </c>
      <c r="J351" s="338" t="str">
        <f>IFERROR(VLOOKUP(I351,'Chart of accounts'!A:H,2,FALSE),"")</f>
        <v>50299030 00</v>
      </c>
      <c r="K351" s="338" t="str">
        <f>IFERROR(VLOOKUP(I351,'Chart of accounts'!A:H,3,FALSE),"")</f>
        <v>Representation Expenses</v>
      </c>
      <c r="L351" s="338" t="str">
        <f>IFERROR(VLOOKUP(I351,'Chart of accounts'!A:H,4,FALSE),"")</f>
        <v>50299030 00 - Representation Expenses (783)</v>
      </c>
      <c r="M351" s="361">
        <v>67</v>
      </c>
      <c r="N351" s="420" t="s">
        <v>822</v>
      </c>
      <c r="O351" s="420" t="s">
        <v>1074</v>
      </c>
      <c r="P351" s="420"/>
      <c r="Q351" s="420">
        <v>3375.33</v>
      </c>
      <c r="R351" s="428">
        <f t="shared" si="4"/>
        <v>-3375.33</v>
      </c>
      <c r="S351" s="428" t="str">
        <f>VLOOKUP(H351,'Fund Utilization Report'!$A$4:$U$1800,13,FALSE)</f>
        <v>MOOE</v>
      </c>
      <c r="T351" s="428" t="str">
        <f>VLOOKUP(H351,'Fund Utilization Report'!$A$4:$U$1800,2,FALSE)</f>
        <v>GAA</v>
      </c>
      <c r="U351" s="428" t="str">
        <f>VLOOKUP(H351,'Fund Utilization Report'!$A$4:$U$1800,3,FALSE)</f>
        <v>FY2021, RA11518</v>
      </c>
      <c r="V351" s="428" t="str">
        <f>VLOOKUP(H351,'Fund Utilization Report'!$A$4:$U$1800,4,FALSE)</f>
        <v>GAS(GMS)</v>
      </c>
      <c r="W351" s="428" t="str">
        <f>VLOOKUP(H351,'Fund Utilization Report'!$A$4:$U$1800,5,FALSE)</f>
        <v>01101101</v>
      </c>
      <c r="X351" s="428" t="str">
        <f>VLOOKUP(H351,'Fund Utilization Report'!$A$4:$U$1800,6,FALSE)</f>
        <v>GOP</v>
      </c>
      <c r="Y351" s="320" t="str">
        <f>VLOOKUP(H351,'Fund Utilization Report'!$A$4:$U$1800,7,FALSE)</f>
        <v>MOOE</v>
      </c>
      <c r="Z351" s="425">
        <f>VLOOKUP(H351,'Fund Utilization Report'!$A$4:$U$1800,8,FALSE)</f>
        <v>5020000000</v>
      </c>
      <c r="AA351" s="428" t="str">
        <f>VLOOKUP(H351,'Fund Utilization Report'!$A$4:$U$1800,14,FALSE)</f>
        <v>100000100001000</v>
      </c>
      <c r="AB351" s="349" t="str">
        <f>VLOOKUP(H351,'Fund Utilization Report'!$A$4:$U$1800,15,FALSE)</f>
        <v>General Administration and Supervision - General Management and Supervision</v>
      </c>
      <c r="AC351" s="39"/>
      <c r="AD351" s="34"/>
      <c r="AE351" s="39"/>
      <c r="AF351" s="51"/>
      <c r="AG351" s="40"/>
      <c r="AH351" s="40"/>
    </row>
    <row r="352" spans="1:34" s="32" customFormat="1">
      <c r="A352" s="338" t="s">
        <v>942</v>
      </c>
      <c r="B352" s="338" t="s">
        <v>945</v>
      </c>
      <c r="C352" s="358">
        <v>44230</v>
      </c>
      <c r="D352" s="351" t="s">
        <v>1028</v>
      </c>
      <c r="E352" s="352" t="s">
        <v>1081</v>
      </c>
      <c r="F352" s="338">
        <v>0.63888888888888895</v>
      </c>
      <c r="G352" s="338">
        <v>0.63958333333333328</v>
      </c>
      <c r="H352" s="338" t="s">
        <v>968</v>
      </c>
      <c r="I352" s="353">
        <v>784</v>
      </c>
      <c r="J352" s="338" t="str">
        <f>IFERROR(VLOOKUP(I352,'Chart of accounts'!A:H,2,FALSE),"")</f>
        <v>50299040 00</v>
      </c>
      <c r="K352" s="338" t="str">
        <f>IFERROR(VLOOKUP(I352,'Chart of accounts'!A:H,3,FALSE),"")</f>
        <v>Transportation and Delivery Expenses</v>
      </c>
      <c r="L352" s="338" t="str">
        <f>IFERROR(VLOOKUP(I352,'Chart of accounts'!A:H,4,FALSE),"")</f>
        <v>50299040 00 - Transportation and Delivery Expenses (784)</v>
      </c>
      <c r="M352" s="361">
        <v>67</v>
      </c>
      <c r="N352" s="420" t="s">
        <v>822</v>
      </c>
      <c r="O352" s="420" t="s">
        <v>1074</v>
      </c>
      <c r="P352" s="420"/>
      <c r="Q352" s="420">
        <v>3320</v>
      </c>
      <c r="R352" s="428">
        <f t="shared" si="4"/>
        <v>-3320</v>
      </c>
      <c r="S352" s="428" t="str">
        <f>VLOOKUP(H352,'Fund Utilization Report'!$A$4:$U$1800,13,FALSE)</f>
        <v>MOOE</v>
      </c>
      <c r="T352" s="428" t="str">
        <f>VLOOKUP(H352,'Fund Utilization Report'!$A$4:$U$1800,2,FALSE)</f>
        <v>GAA</v>
      </c>
      <c r="U352" s="428" t="str">
        <f>VLOOKUP(H352,'Fund Utilization Report'!$A$4:$U$1800,3,FALSE)</f>
        <v>FY2021, RA11518</v>
      </c>
      <c r="V352" s="428" t="str">
        <f>VLOOKUP(H352,'Fund Utilization Report'!$A$4:$U$1800,4,FALSE)</f>
        <v>OO2</v>
      </c>
      <c r="W352" s="428" t="str">
        <f>VLOOKUP(H352,'Fund Utilization Report'!$A$4:$U$1800,5,FALSE)</f>
        <v>01101101</v>
      </c>
      <c r="X352" s="428" t="str">
        <f>VLOOKUP(H352,'Fund Utilization Report'!$A$4:$U$1800,6,FALSE)</f>
        <v>GOP</v>
      </c>
      <c r="Y352" s="320" t="str">
        <f>VLOOKUP(H352,'Fund Utilization Report'!$A$4:$U$1800,7,FALSE)</f>
        <v>MOOE</v>
      </c>
      <c r="Z352" s="425">
        <f>VLOOKUP(H352,'Fund Utilization Report'!$A$4:$U$1800,8,FALSE)</f>
        <v>5020000000</v>
      </c>
      <c r="AA352" s="428" t="str">
        <f>VLOOKUP(H352,'Fund Utilization Report'!$A$4:$U$1800,14,FALSE)</f>
        <v>320100100001000</v>
      </c>
      <c r="AB352" s="349" t="str">
        <f>VLOOKUP(H352,'Fund Utilization Report'!$A$4:$U$1800,15,FALSE)</f>
        <v>Formulation of Strategic plans,programs, and policies to develop competitve industries</v>
      </c>
      <c r="AC352" s="39"/>
      <c r="AD352" s="34"/>
      <c r="AE352" s="39"/>
      <c r="AF352" s="51"/>
      <c r="AG352" s="40"/>
      <c r="AH352" s="40"/>
    </row>
    <row r="353" spans="1:34" s="32" customFormat="1">
      <c r="A353" s="338" t="s">
        <v>942</v>
      </c>
      <c r="B353" s="338" t="s">
        <v>945</v>
      </c>
      <c r="C353" s="358">
        <v>44230</v>
      </c>
      <c r="D353" s="351" t="s">
        <v>1028</v>
      </c>
      <c r="E353" s="352" t="s">
        <v>1081</v>
      </c>
      <c r="F353" s="338">
        <v>0.63888888888888895</v>
      </c>
      <c r="G353" s="338">
        <v>0.63958333333333328</v>
      </c>
      <c r="H353" s="338" t="s">
        <v>961</v>
      </c>
      <c r="I353" s="353">
        <v>969</v>
      </c>
      <c r="J353" s="338" t="str">
        <f>IFERROR(VLOOKUP(I353,'Chart of accounts'!A:H,2,FALSE),"")</f>
        <v>50299990 99</v>
      </c>
      <c r="K353" s="338" t="str">
        <f>IFERROR(VLOOKUP(I353,'Chart of accounts'!A:H,3,FALSE),"")</f>
        <v>Other Maintenance and Operating Expenses</v>
      </c>
      <c r="L353" s="338" t="str">
        <f>IFERROR(VLOOKUP(I353,'Chart of accounts'!A:H,4,FALSE),"")</f>
        <v>50299990 99 - Other Maintenance and Operating Expenses (969)</v>
      </c>
      <c r="M353" s="361">
        <v>67</v>
      </c>
      <c r="N353" s="420" t="s">
        <v>822</v>
      </c>
      <c r="O353" s="420" t="s">
        <v>1074</v>
      </c>
      <c r="P353" s="420"/>
      <c r="Q353" s="420">
        <v>8468.65</v>
      </c>
      <c r="R353" s="428">
        <f t="shared" si="4"/>
        <v>-8468.65</v>
      </c>
      <c r="S353" s="428" t="str">
        <f>VLOOKUP(H353,'Fund Utilization Report'!$A$4:$U$1800,13,FALSE)</f>
        <v>MOOE</v>
      </c>
      <c r="T353" s="428" t="str">
        <f>VLOOKUP(H353,'Fund Utilization Report'!$A$4:$U$1800,2,FALSE)</f>
        <v>GAA</v>
      </c>
      <c r="U353" s="428" t="str">
        <f>VLOOKUP(H353,'Fund Utilization Report'!$A$4:$U$1800,3,FALSE)</f>
        <v>FY2021, RA11518</v>
      </c>
      <c r="V353" s="428" t="str">
        <f>VLOOKUP(H353,'Fund Utilization Report'!$A$4:$U$1800,4,FALSE)</f>
        <v>GAS(GMS)</v>
      </c>
      <c r="W353" s="428" t="str">
        <f>VLOOKUP(H353,'Fund Utilization Report'!$A$4:$U$1800,5,FALSE)</f>
        <v>01101101</v>
      </c>
      <c r="X353" s="428" t="str">
        <f>VLOOKUP(H353,'Fund Utilization Report'!$A$4:$U$1800,6,FALSE)</f>
        <v>GOP</v>
      </c>
      <c r="Y353" s="320" t="str">
        <f>VLOOKUP(H353,'Fund Utilization Report'!$A$4:$U$1800,7,FALSE)</f>
        <v>MOOE</v>
      </c>
      <c r="Z353" s="425">
        <f>VLOOKUP(H353,'Fund Utilization Report'!$A$4:$U$1800,8,FALSE)</f>
        <v>5020000000</v>
      </c>
      <c r="AA353" s="428" t="str">
        <f>VLOOKUP(H353,'Fund Utilization Report'!$A$4:$U$1800,14,FALSE)</f>
        <v>100000100001000</v>
      </c>
      <c r="AB353" s="349" t="str">
        <f>VLOOKUP(H353,'Fund Utilization Report'!$A$4:$U$1800,15,FALSE)</f>
        <v>General Administration and Supervision - General Management and Supervision</v>
      </c>
      <c r="AC353" s="39"/>
      <c r="AD353" s="34"/>
      <c r="AE353" s="39"/>
      <c r="AF353" s="51"/>
      <c r="AG353" s="40"/>
      <c r="AH353" s="40"/>
    </row>
    <row r="354" spans="1:34" s="32" customFormat="1">
      <c r="A354" s="338" t="s">
        <v>942</v>
      </c>
      <c r="B354" s="338" t="s">
        <v>945</v>
      </c>
      <c r="C354" s="358">
        <v>44230</v>
      </c>
      <c r="D354" s="351" t="s">
        <v>1028</v>
      </c>
      <c r="E354" s="352" t="s">
        <v>1082</v>
      </c>
      <c r="F354" s="338">
        <v>0.63958333333333328</v>
      </c>
      <c r="G354" s="338">
        <v>0.64166666666666672</v>
      </c>
      <c r="H354" s="338" t="s">
        <v>961</v>
      </c>
      <c r="I354" s="353">
        <v>756</v>
      </c>
      <c r="J354" s="338" t="str">
        <f>IFERROR(VLOOKUP(I354,'Chart of accounts'!A:H,2,FALSE),"")</f>
        <v>50203020 00</v>
      </c>
      <c r="K354" s="338" t="str">
        <f>IFERROR(VLOOKUP(I354,'Chart of accounts'!A:H,3,FALSE),"")</f>
        <v xml:space="preserve">Accountable Forms Expenses </v>
      </c>
      <c r="L354" s="338" t="str">
        <f>IFERROR(VLOOKUP(I354,'Chart of accounts'!A:H,4,FALSE),"")</f>
        <v>50203020 00 - Accountable Forms Expenses  (756)</v>
      </c>
      <c r="M354" s="361">
        <v>85</v>
      </c>
      <c r="N354" s="420" t="s">
        <v>823</v>
      </c>
      <c r="O354" s="420" t="s">
        <v>1074</v>
      </c>
      <c r="P354" s="420"/>
      <c r="Q354" s="420">
        <v>996</v>
      </c>
      <c r="R354" s="319">
        <f t="shared" si="4"/>
        <v>-996</v>
      </c>
      <c r="S354" s="428" t="str">
        <f>VLOOKUP(H354,'Fund Utilization Report'!$A$4:$U$1800,13,FALSE)</f>
        <v>MOOE</v>
      </c>
      <c r="T354" s="428" t="str">
        <f>VLOOKUP(H354,'Fund Utilization Report'!$A$4:$U$1800,2,FALSE)</f>
        <v>GAA</v>
      </c>
      <c r="U354" s="428" t="str">
        <f>VLOOKUP(H354,'Fund Utilization Report'!$A$4:$U$1800,3,FALSE)</f>
        <v>FY2021, RA11518</v>
      </c>
      <c r="V354" s="428" t="str">
        <f>VLOOKUP(H354,'Fund Utilization Report'!$A$4:$U$1800,4,FALSE)</f>
        <v>GAS(GMS)</v>
      </c>
      <c r="W354" s="428" t="str">
        <f>VLOOKUP(H354,'Fund Utilization Report'!$A$4:$U$1800,5,FALSE)</f>
        <v>01101101</v>
      </c>
      <c r="X354" s="428" t="str">
        <f>VLOOKUP(H354,'Fund Utilization Report'!$A$4:$U$1800,6,FALSE)</f>
        <v>GOP</v>
      </c>
      <c r="Y354" s="320" t="str">
        <f>VLOOKUP(H354,'Fund Utilization Report'!$A$4:$U$1800,7,FALSE)</f>
        <v>MOOE</v>
      </c>
      <c r="Z354" s="425">
        <f>VLOOKUP(H354,'Fund Utilization Report'!$A$4:$U$1800,8,FALSE)</f>
        <v>5020000000</v>
      </c>
      <c r="AA354" s="428" t="str">
        <f>VLOOKUP(H354,'Fund Utilization Report'!$A$4:$U$1800,14,FALSE)</f>
        <v>100000100001000</v>
      </c>
      <c r="AB354" s="349" t="str">
        <f>VLOOKUP(H354,'Fund Utilization Report'!$A$4:$U$1800,15,FALSE)</f>
        <v>General Administration and Supervision - General Management and Supervision</v>
      </c>
      <c r="AC354" s="39"/>
      <c r="AD354" s="34"/>
      <c r="AE354" s="39"/>
      <c r="AF354" s="51"/>
      <c r="AG354" s="40"/>
      <c r="AH354" s="40"/>
    </row>
    <row r="355" spans="1:34" s="32" customFormat="1">
      <c r="A355" s="338" t="s">
        <v>942</v>
      </c>
      <c r="B355" s="338" t="s">
        <v>945</v>
      </c>
      <c r="C355" s="358">
        <v>44230</v>
      </c>
      <c r="D355" s="351" t="s">
        <v>1028</v>
      </c>
      <c r="E355" s="352" t="s">
        <v>1082</v>
      </c>
      <c r="F355" s="338">
        <v>0.63958333333333328</v>
      </c>
      <c r="G355" s="338">
        <v>0.64166666666666672</v>
      </c>
      <c r="H355" s="338" t="s">
        <v>961</v>
      </c>
      <c r="I355" s="353">
        <v>753</v>
      </c>
      <c r="J355" s="338" t="str">
        <f>IFERROR(VLOOKUP(I355,'Chart of accounts'!A:H,2,FALSE),"")</f>
        <v>50202010 00</v>
      </c>
      <c r="K355" s="338" t="str">
        <f>IFERROR(VLOOKUP(I355,'Chart of accounts'!A:H,3,FALSE),"")</f>
        <v>Training Expenses</v>
      </c>
      <c r="L355" s="338" t="str">
        <f>IFERROR(VLOOKUP(I355,'Chart of accounts'!A:H,4,FALSE),"")</f>
        <v>50202010 00 - Training Expenses (753)</v>
      </c>
      <c r="M355" s="361">
        <v>85</v>
      </c>
      <c r="N355" s="420" t="s">
        <v>823</v>
      </c>
      <c r="O355" s="420" t="s">
        <v>1074</v>
      </c>
      <c r="P355" s="420"/>
      <c r="Q355" s="420">
        <v>7470</v>
      </c>
      <c r="R355" s="428">
        <f t="shared" si="4"/>
        <v>-7470</v>
      </c>
      <c r="S355" s="428" t="str">
        <f>VLOOKUP(H355,'Fund Utilization Report'!$A$4:$U$1800,13,FALSE)</f>
        <v>MOOE</v>
      </c>
      <c r="T355" s="428" t="str">
        <f>VLOOKUP(H355,'Fund Utilization Report'!$A$4:$U$1800,2,FALSE)</f>
        <v>GAA</v>
      </c>
      <c r="U355" s="428" t="str">
        <f>VLOOKUP(H355,'Fund Utilization Report'!$A$4:$U$1800,3,FALSE)</f>
        <v>FY2021, RA11518</v>
      </c>
      <c r="V355" s="428" t="str">
        <f>VLOOKUP(H355,'Fund Utilization Report'!$A$4:$U$1800,4,FALSE)</f>
        <v>GAS(GMS)</v>
      </c>
      <c r="W355" s="428" t="str">
        <f>VLOOKUP(H355,'Fund Utilization Report'!$A$4:$U$1800,5,FALSE)</f>
        <v>01101101</v>
      </c>
      <c r="X355" s="428" t="str">
        <f>VLOOKUP(H355,'Fund Utilization Report'!$A$4:$U$1800,6,FALSE)</f>
        <v>GOP</v>
      </c>
      <c r="Y355" s="320" t="str">
        <f>VLOOKUP(H355,'Fund Utilization Report'!$A$4:$U$1800,7,FALSE)</f>
        <v>MOOE</v>
      </c>
      <c r="Z355" s="425">
        <f>VLOOKUP(H355,'Fund Utilization Report'!$A$4:$U$1800,8,FALSE)</f>
        <v>5020000000</v>
      </c>
      <c r="AA355" s="428" t="str">
        <f>VLOOKUP(H355,'Fund Utilization Report'!$A$4:$U$1800,14,FALSE)</f>
        <v>100000100001000</v>
      </c>
      <c r="AB355" s="349" t="str">
        <f>VLOOKUP(H355,'Fund Utilization Report'!$A$4:$U$1800,15,FALSE)</f>
        <v>General Administration and Supervision - General Management and Supervision</v>
      </c>
      <c r="AC355" s="39"/>
      <c r="AD355" s="34"/>
      <c r="AE355" s="39"/>
      <c r="AF355" s="51"/>
      <c r="AG355" s="40"/>
      <c r="AH355" s="40"/>
    </row>
    <row r="356" spans="1:34" s="32" customFormat="1">
      <c r="A356" s="338" t="s">
        <v>942</v>
      </c>
      <c r="B356" s="338" t="s">
        <v>945</v>
      </c>
      <c r="C356" s="358">
        <v>44230</v>
      </c>
      <c r="D356" s="351" t="s">
        <v>1028</v>
      </c>
      <c r="E356" s="352" t="s">
        <v>1082</v>
      </c>
      <c r="F356" s="338">
        <v>0.63958333333333328</v>
      </c>
      <c r="G356" s="338">
        <v>0.64166666666666672</v>
      </c>
      <c r="H356" s="338" t="s">
        <v>961</v>
      </c>
      <c r="I356" s="353">
        <v>761</v>
      </c>
      <c r="J356" s="338" t="str">
        <f>IFERROR(VLOOKUP(I356,'Chart of accounts'!A:H,2,FALSE),"")</f>
        <v>50203090 00</v>
      </c>
      <c r="K356" s="338" t="str">
        <f>IFERROR(VLOOKUP(I356,'Chart of accounts'!A:H,3,FALSE),"")</f>
        <v>Fuel, Oil and Lubricants Expenses</v>
      </c>
      <c r="L356" s="338" t="str">
        <f>IFERROR(VLOOKUP(I356,'Chart of accounts'!A:H,4,FALSE),"")</f>
        <v>50203090 00 - Fuel, Oil and Lubricants Expenses (761)</v>
      </c>
      <c r="M356" s="361">
        <v>85</v>
      </c>
      <c r="N356" s="420" t="s">
        <v>823</v>
      </c>
      <c r="O356" s="420" t="s">
        <v>1074</v>
      </c>
      <c r="P356" s="420"/>
      <c r="Q356" s="420">
        <v>4150</v>
      </c>
      <c r="R356" s="428">
        <f t="shared" si="4"/>
        <v>-4150</v>
      </c>
      <c r="S356" s="428" t="str">
        <f>VLOOKUP(H356,'Fund Utilization Report'!$A$4:$U$1800,13,FALSE)</f>
        <v>MOOE</v>
      </c>
      <c r="T356" s="428" t="str">
        <f>VLOOKUP(H356,'Fund Utilization Report'!$A$4:$U$1800,2,FALSE)</f>
        <v>GAA</v>
      </c>
      <c r="U356" s="428" t="str">
        <f>VLOOKUP(H356,'Fund Utilization Report'!$A$4:$U$1800,3,FALSE)</f>
        <v>FY2021, RA11518</v>
      </c>
      <c r="V356" s="428" t="str">
        <f>VLOOKUP(H356,'Fund Utilization Report'!$A$4:$U$1800,4,FALSE)</f>
        <v>GAS(GMS)</v>
      </c>
      <c r="W356" s="428" t="str">
        <f>VLOOKUP(H356,'Fund Utilization Report'!$A$4:$U$1800,5,FALSE)</f>
        <v>01101101</v>
      </c>
      <c r="X356" s="428" t="str">
        <f>VLOOKUP(H356,'Fund Utilization Report'!$A$4:$U$1800,6,FALSE)</f>
        <v>GOP</v>
      </c>
      <c r="Y356" s="320" t="str">
        <f>VLOOKUP(H356,'Fund Utilization Report'!$A$4:$U$1800,7,FALSE)</f>
        <v>MOOE</v>
      </c>
      <c r="Z356" s="425">
        <f>VLOOKUP(H356,'Fund Utilization Report'!$A$4:$U$1800,8,FALSE)</f>
        <v>5020000000</v>
      </c>
      <c r="AA356" s="428" t="str">
        <f>VLOOKUP(H356,'Fund Utilization Report'!$A$4:$U$1800,14,FALSE)</f>
        <v>100000100001000</v>
      </c>
      <c r="AB356" s="349" t="str">
        <f>VLOOKUP(H356,'Fund Utilization Report'!$A$4:$U$1800,15,FALSE)</f>
        <v>General Administration and Supervision - General Management and Supervision</v>
      </c>
      <c r="AC356" s="39"/>
      <c r="AD356" s="34"/>
      <c r="AE356" s="39"/>
      <c r="AF356" s="51"/>
      <c r="AG356" s="40"/>
      <c r="AH356" s="40"/>
    </row>
    <row r="357" spans="1:34" s="32" customFormat="1">
      <c r="A357" s="338" t="s">
        <v>942</v>
      </c>
      <c r="B357" s="338" t="s">
        <v>945</v>
      </c>
      <c r="C357" s="358">
        <v>44230</v>
      </c>
      <c r="D357" s="351" t="s">
        <v>1028</v>
      </c>
      <c r="E357" s="352" t="s">
        <v>1082</v>
      </c>
      <c r="F357" s="338">
        <v>0.63958333333333328</v>
      </c>
      <c r="G357" s="338">
        <v>0.64166666666666672</v>
      </c>
      <c r="H357" s="338" t="s">
        <v>961</v>
      </c>
      <c r="I357" s="353">
        <v>766</v>
      </c>
      <c r="J357" s="338" t="str">
        <f>IFERROR(VLOOKUP(I357,'Chart of accounts'!A:H,2,FALSE),"")</f>
        <v>50204010 00</v>
      </c>
      <c r="K357" s="338" t="str">
        <f>IFERROR(VLOOKUP(I357,'Chart of accounts'!A:H,3,FALSE),"")</f>
        <v>Water Expenses</v>
      </c>
      <c r="L357" s="338" t="str">
        <f>IFERROR(VLOOKUP(I357,'Chart of accounts'!A:H,4,FALSE),"")</f>
        <v>50204010 00 - Water Expenses (766)</v>
      </c>
      <c r="M357" s="361">
        <v>85</v>
      </c>
      <c r="N357" s="420" t="s">
        <v>823</v>
      </c>
      <c r="O357" s="420" t="s">
        <v>1074</v>
      </c>
      <c r="P357" s="420"/>
      <c r="Q357" s="420">
        <v>1660</v>
      </c>
      <c r="R357" s="428">
        <f t="shared" si="4"/>
        <v>-1660</v>
      </c>
      <c r="S357" s="428" t="str">
        <f>VLOOKUP(H357,'Fund Utilization Report'!$A$4:$U$1800,13,FALSE)</f>
        <v>MOOE</v>
      </c>
      <c r="T357" s="428" t="str">
        <f>VLOOKUP(H357,'Fund Utilization Report'!$A$4:$U$1800,2,FALSE)</f>
        <v>GAA</v>
      </c>
      <c r="U357" s="428" t="str">
        <f>VLOOKUP(H357,'Fund Utilization Report'!$A$4:$U$1800,3,FALSE)</f>
        <v>FY2021, RA11518</v>
      </c>
      <c r="V357" s="428" t="str">
        <f>VLOOKUP(H357,'Fund Utilization Report'!$A$4:$U$1800,4,FALSE)</f>
        <v>GAS(GMS)</v>
      </c>
      <c r="W357" s="428" t="str">
        <f>VLOOKUP(H357,'Fund Utilization Report'!$A$4:$U$1800,5,FALSE)</f>
        <v>01101101</v>
      </c>
      <c r="X357" s="428" t="str">
        <f>VLOOKUP(H357,'Fund Utilization Report'!$A$4:$U$1800,6,FALSE)</f>
        <v>GOP</v>
      </c>
      <c r="Y357" s="320" t="str">
        <f>VLOOKUP(H357,'Fund Utilization Report'!$A$4:$U$1800,7,FALSE)</f>
        <v>MOOE</v>
      </c>
      <c r="Z357" s="425">
        <f>VLOOKUP(H357,'Fund Utilization Report'!$A$4:$U$1800,8,FALSE)</f>
        <v>5020000000</v>
      </c>
      <c r="AA357" s="428" t="str">
        <f>VLOOKUP(H357,'Fund Utilization Report'!$A$4:$U$1800,14,FALSE)</f>
        <v>100000100001000</v>
      </c>
      <c r="AB357" s="349" t="str">
        <f>VLOOKUP(H357,'Fund Utilization Report'!$A$4:$U$1800,15,FALSE)</f>
        <v>General Administration and Supervision - General Management and Supervision</v>
      </c>
      <c r="AC357" s="39"/>
      <c r="AD357" s="34"/>
      <c r="AE357" s="39"/>
      <c r="AF357" s="51"/>
      <c r="AG357" s="40"/>
      <c r="AH357" s="40"/>
    </row>
    <row r="358" spans="1:34" s="32" customFormat="1">
      <c r="A358" s="338" t="s">
        <v>942</v>
      </c>
      <c r="B358" s="338" t="s">
        <v>945</v>
      </c>
      <c r="C358" s="358">
        <v>44230</v>
      </c>
      <c r="D358" s="351" t="s">
        <v>1028</v>
      </c>
      <c r="E358" s="352" t="s">
        <v>1082</v>
      </c>
      <c r="F358" s="338">
        <v>0.63958333333333328</v>
      </c>
      <c r="G358" s="338">
        <v>0.64166666666666672</v>
      </c>
      <c r="H358" s="338" t="s">
        <v>961</v>
      </c>
      <c r="I358" s="353">
        <v>767</v>
      </c>
      <c r="J358" s="338" t="str">
        <f>IFERROR(VLOOKUP(I358,'Chart of accounts'!A:H,2,FALSE),"")</f>
        <v>50204020 00</v>
      </c>
      <c r="K358" s="338" t="str">
        <f>IFERROR(VLOOKUP(I358,'Chart of accounts'!A:H,3,FALSE),"")</f>
        <v>Electricity Expense</v>
      </c>
      <c r="L358" s="338" t="str">
        <f>IFERROR(VLOOKUP(I358,'Chart of accounts'!A:H,4,FALSE),"")</f>
        <v>50204020 00 - Electricity Expense (767)</v>
      </c>
      <c r="M358" s="361">
        <v>85</v>
      </c>
      <c r="N358" s="420" t="s">
        <v>823</v>
      </c>
      <c r="O358" s="420" t="s">
        <v>1074</v>
      </c>
      <c r="P358" s="420"/>
      <c r="Q358" s="420">
        <v>6640</v>
      </c>
      <c r="R358" s="428">
        <f t="shared" si="4"/>
        <v>-6640</v>
      </c>
      <c r="S358" s="428" t="str">
        <f>VLOOKUP(H358,'Fund Utilization Report'!$A$4:$U$1800,13,FALSE)</f>
        <v>MOOE</v>
      </c>
      <c r="T358" s="428" t="str">
        <f>VLOOKUP(H358,'Fund Utilization Report'!$A$4:$U$1800,2,FALSE)</f>
        <v>GAA</v>
      </c>
      <c r="U358" s="428" t="str">
        <f>VLOOKUP(H358,'Fund Utilization Report'!$A$4:$U$1800,3,FALSE)</f>
        <v>FY2021, RA11518</v>
      </c>
      <c r="V358" s="428" t="str">
        <f>VLOOKUP(H358,'Fund Utilization Report'!$A$4:$U$1800,4,FALSE)</f>
        <v>GAS(GMS)</v>
      </c>
      <c r="W358" s="428" t="str">
        <f>VLOOKUP(H358,'Fund Utilization Report'!$A$4:$U$1800,5,FALSE)</f>
        <v>01101101</v>
      </c>
      <c r="X358" s="428" t="str">
        <f>VLOOKUP(H358,'Fund Utilization Report'!$A$4:$U$1800,6,FALSE)</f>
        <v>GOP</v>
      </c>
      <c r="Y358" s="320" t="str">
        <f>VLOOKUP(H358,'Fund Utilization Report'!$A$4:$U$1800,7,FALSE)</f>
        <v>MOOE</v>
      </c>
      <c r="Z358" s="425">
        <f>VLOOKUP(H358,'Fund Utilization Report'!$A$4:$U$1800,8,FALSE)</f>
        <v>5020000000</v>
      </c>
      <c r="AA358" s="428" t="str">
        <f>VLOOKUP(H358,'Fund Utilization Report'!$A$4:$U$1800,14,FALSE)</f>
        <v>100000100001000</v>
      </c>
      <c r="AB358" s="349" t="str">
        <f>VLOOKUP(H358,'Fund Utilization Report'!$A$4:$U$1800,15,FALSE)</f>
        <v>General Administration and Supervision - General Management and Supervision</v>
      </c>
      <c r="AC358" s="39"/>
      <c r="AD358" s="34"/>
      <c r="AE358" s="39"/>
      <c r="AF358" s="51"/>
      <c r="AG358" s="40"/>
      <c r="AH358" s="40"/>
    </row>
    <row r="359" spans="1:34" s="32" customFormat="1">
      <c r="A359" s="338" t="s">
        <v>942</v>
      </c>
      <c r="B359" s="338" t="s">
        <v>945</v>
      </c>
      <c r="C359" s="358">
        <v>44230</v>
      </c>
      <c r="D359" s="351" t="s">
        <v>1028</v>
      </c>
      <c r="E359" s="352" t="s">
        <v>1082</v>
      </c>
      <c r="F359" s="338">
        <v>0.63958333333333328</v>
      </c>
      <c r="G359" s="338">
        <v>0.64166666666666672</v>
      </c>
      <c r="H359" s="338" t="s">
        <v>961</v>
      </c>
      <c r="I359" s="353">
        <v>771</v>
      </c>
      <c r="J359" s="338" t="str">
        <f>IFERROR(VLOOKUP(I359,'Chart of accounts'!A:H,2,FALSE),"")</f>
        <v>50205010 00</v>
      </c>
      <c r="K359" s="338" t="str">
        <f>IFERROR(VLOOKUP(I359,'Chart of accounts'!A:H,3,FALSE),"")</f>
        <v>Postage and Courier Services</v>
      </c>
      <c r="L359" s="338" t="str">
        <f>IFERROR(VLOOKUP(I359,'Chart of accounts'!A:H,4,FALSE),"")</f>
        <v>50205010 00 - Postage and Courier Services (771)</v>
      </c>
      <c r="M359" s="361">
        <v>85</v>
      </c>
      <c r="N359" s="420" t="s">
        <v>823</v>
      </c>
      <c r="O359" s="420" t="s">
        <v>1074</v>
      </c>
      <c r="P359" s="420"/>
      <c r="Q359" s="420">
        <v>3320</v>
      </c>
      <c r="R359" s="428">
        <f t="shared" si="4"/>
        <v>-3320</v>
      </c>
      <c r="S359" s="428" t="str">
        <f>VLOOKUP(H359,'Fund Utilization Report'!$A$4:$U$1800,13,FALSE)</f>
        <v>MOOE</v>
      </c>
      <c r="T359" s="428" t="str">
        <f>VLOOKUP(H359,'Fund Utilization Report'!$A$4:$U$1800,2,FALSE)</f>
        <v>GAA</v>
      </c>
      <c r="U359" s="428" t="str">
        <f>VLOOKUP(H359,'Fund Utilization Report'!$A$4:$U$1800,3,FALSE)</f>
        <v>FY2021, RA11518</v>
      </c>
      <c r="V359" s="428" t="str">
        <f>VLOOKUP(H359,'Fund Utilization Report'!$A$4:$U$1800,4,FALSE)</f>
        <v>GAS(GMS)</v>
      </c>
      <c r="W359" s="428" t="str">
        <f>VLOOKUP(H359,'Fund Utilization Report'!$A$4:$U$1800,5,FALSE)</f>
        <v>01101101</v>
      </c>
      <c r="X359" s="428" t="str">
        <f>VLOOKUP(H359,'Fund Utilization Report'!$A$4:$U$1800,6,FALSE)</f>
        <v>GOP</v>
      </c>
      <c r="Y359" s="320" t="str">
        <f>VLOOKUP(H359,'Fund Utilization Report'!$A$4:$U$1800,7,FALSE)</f>
        <v>MOOE</v>
      </c>
      <c r="Z359" s="425">
        <f>VLOOKUP(H359,'Fund Utilization Report'!$A$4:$U$1800,8,FALSE)</f>
        <v>5020000000</v>
      </c>
      <c r="AA359" s="428" t="str">
        <f>VLOOKUP(H359,'Fund Utilization Report'!$A$4:$U$1800,14,FALSE)</f>
        <v>100000100001000</v>
      </c>
      <c r="AB359" s="349" t="str">
        <f>VLOOKUP(H359,'Fund Utilization Report'!$A$4:$U$1800,15,FALSE)</f>
        <v>General Administration and Supervision - General Management and Supervision</v>
      </c>
      <c r="AC359" s="39"/>
      <c r="AD359" s="34"/>
      <c r="AE359" s="39"/>
      <c r="AF359" s="51"/>
      <c r="AG359" s="40"/>
      <c r="AH359" s="40"/>
    </row>
    <row r="360" spans="1:34" s="32" customFormat="1">
      <c r="A360" s="338" t="s">
        <v>942</v>
      </c>
      <c r="B360" s="338" t="s">
        <v>945</v>
      </c>
      <c r="C360" s="358">
        <v>44230</v>
      </c>
      <c r="D360" s="351" t="s">
        <v>1028</v>
      </c>
      <c r="E360" s="352" t="s">
        <v>1082</v>
      </c>
      <c r="F360" s="338">
        <v>0.63958333333333328</v>
      </c>
      <c r="G360" s="338">
        <v>0.64166666666666672</v>
      </c>
      <c r="H360" s="338" t="s">
        <v>961</v>
      </c>
      <c r="I360" s="353">
        <v>772</v>
      </c>
      <c r="J360" s="338" t="str">
        <f>IFERROR(VLOOKUP(I360,'Chart of accounts'!A:H,2,FALSE),"")</f>
        <v>50205020 02</v>
      </c>
      <c r="K360" s="338" t="str">
        <f>IFERROR(VLOOKUP(I360,'Chart of accounts'!A:H,3,FALSE),"")</f>
        <v xml:space="preserve">Telephone Expenses - Landline </v>
      </c>
      <c r="L360" s="338" t="str">
        <f>IFERROR(VLOOKUP(I360,'Chart of accounts'!A:H,4,FALSE),"")</f>
        <v>50205020 02 - Telephone Expenses - Landline  (772)</v>
      </c>
      <c r="M360" s="361">
        <v>85</v>
      </c>
      <c r="N360" s="420" t="s">
        <v>823</v>
      </c>
      <c r="O360" s="420" t="s">
        <v>1074</v>
      </c>
      <c r="P360" s="420"/>
      <c r="Q360" s="420">
        <v>1660</v>
      </c>
      <c r="R360" s="428">
        <f t="shared" si="4"/>
        <v>-1660</v>
      </c>
      <c r="S360" s="428" t="str">
        <f>VLOOKUP(H360,'Fund Utilization Report'!$A$4:$U$1800,13,FALSE)</f>
        <v>MOOE</v>
      </c>
      <c r="T360" s="428" t="str">
        <f>VLOOKUP(H360,'Fund Utilization Report'!$A$4:$U$1800,2,FALSE)</f>
        <v>GAA</v>
      </c>
      <c r="U360" s="428" t="str">
        <f>VLOOKUP(H360,'Fund Utilization Report'!$A$4:$U$1800,3,FALSE)</f>
        <v>FY2021, RA11518</v>
      </c>
      <c r="V360" s="428" t="str">
        <f>VLOOKUP(H360,'Fund Utilization Report'!$A$4:$U$1800,4,FALSE)</f>
        <v>GAS(GMS)</v>
      </c>
      <c r="W360" s="428" t="str">
        <f>VLOOKUP(H360,'Fund Utilization Report'!$A$4:$U$1800,5,FALSE)</f>
        <v>01101101</v>
      </c>
      <c r="X360" s="428" t="str">
        <f>VLOOKUP(H360,'Fund Utilization Report'!$A$4:$U$1800,6,FALSE)</f>
        <v>GOP</v>
      </c>
      <c r="Y360" s="320" t="str">
        <f>VLOOKUP(H360,'Fund Utilization Report'!$A$4:$U$1800,7,FALSE)</f>
        <v>MOOE</v>
      </c>
      <c r="Z360" s="425">
        <f>VLOOKUP(H360,'Fund Utilization Report'!$A$4:$U$1800,8,FALSE)</f>
        <v>5020000000</v>
      </c>
      <c r="AA360" s="428" t="str">
        <f>VLOOKUP(H360,'Fund Utilization Report'!$A$4:$U$1800,14,FALSE)</f>
        <v>100000100001000</v>
      </c>
      <c r="AB360" s="349" t="str">
        <f>VLOOKUP(H360,'Fund Utilization Report'!$A$4:$U$1800,15,FALSE)</f>
        <v>General Administration and Supervision - General Management and Supervision</v>
      </c>
      <c r="AC360" s="39"/>
      <c r="AD360" s="34"/>
      <c r="AE360" s="39"/>
      <c r="AF360" s="51"/>
      <c r="AG360" s="40"/>
      <c r="AH360" s="40"/>
    </row>
    <row r="361" spans="1:34" s="32" customFormat="1">
      <c r="A361" s="338" t="s">
        <v>942</v>
      </c>
      <c r="B361" s="338" t="s">
        <v>945</v>
      </c>
      <c r="C361" s="358">
        <v>44230</v>
      </c>
      <c r="D361" s="351" t="s">
        <v>1028</v>
      </c>
      <c r="E361" s="352" t="s">
        <v>1082</v>
      </c>
      <c r="F361" s="338">
        <v>0.63958333333333328</v>
      </c>
      <c r="G361" s="338">
        <v>0.64166666666666672</v>
      </c>
      <c r="H361" s="338" t="s">
        <v>961</v>
      </c>
      <c r="I361" s="353">
        <v>773</v>
      </c>
      <c r="J361" s="338" t="str">
        <f>IFERROR(VLOOKUP(I361,'Chart of accounts'!A:H,2,FALSE),"")</f>
        <v>50205020 01</v>
      </c>
      <c r="K361" s="338" t="str">
        <f>IFERROR(VLOOKUP(I361,'Chart of accounts'!A:H,3,FALSE),"")</f>
        <v xml:space="preserve">Telephone Expenses - Mobile </v>
      </c>
      <c r="L361" s="338" t="str">
        <f>IFERROR(VLOOKUP(I361,'Chart of accounts'!A:H,4,FALSE),"")</f>
        <v>50205020 01 - Telephone Expenses - Mobile  (773)</v>
      </c>
      <c r="M361" s="361">
        <v>85</v>
      </c>
      <c r="N361" s="420" t="s">
        <v>823</v>
      </c>
      <c r="O361" s="420" t="s">
        <v>1074</v>
      </c>
      <c r="P361" s="420"/>
      <c r="Q361" s="420">
        <v>2988</v>
      </c>
      <c r="R361" s="428">
        <f t="shared" si="4"/>
        <v>-2988</v>
      </c>
      <c r="S361" s="428" t="str">
        <f>VLOOKUP(H361,'Fund Utilization Report'!$A$4:$U$1800,13,FALSE)</f>
        <v>MOOE</v>
      </c>
      <c r="T361" s="428" t="str">
        <f>VLOOKUP(H361,'Fund Utilization Report'!$A$4:$U$1800,2,FALSE)</f>
        <v>GAA</v>
      </c>
      <c r="U361" s="428" t="str">
        <f>VLOOKUP(H361,'Fund Utilization Report'!$A$4:$U$1800,3,FALSE)</f>
        <v>FY2021, RA11518</v>
      </c>
      <c r="V361" s="428" t="str">
        <f>VLOOKUP(H361,'Fund Utilization Report'!$A$4:$U$1800,4,FALSE)</f>
        <v>GAS(GMS)</v>
      </c>
      <c r="W361" s="428" t="str">
        <f>VLOOKUP(H361,'Fund Utilization Report'!$A$4:$U$1800,5,FALSE)</f>
        <v>01101101</v>
      </c>
      <c r="X361" s="428" t="str">
        <f>VLOOKUP(H361,'Fund Utilization Report'!$A$4:$U$1800,6,FALSE)</f>
        <v>GOP</v>
      </c>
      <c r="Y361" s="320" t="str">
        <f>VLOOKUP(H361,'Fund Utilization Report'!$A$4:$U$1800,7,FALSE)</f>
        <v>MOOE</v>
      </c>
      <c r="Z361" s="425">
        <f>VLOOKUP(H361,'Fund Utilization Report'!$A$4:$U$1800,8,FALSE)</f>
        <v>5020000000</v>
      </c>
      <c r="AA361" s="428" t="str">
        <f>VLOOKUP(H361,'Fund Utilization Report'!$A$4:$U$1800,14,FALSE)</f>
        <v>100000100001000</v>
      </c>
      <c r="AB361" s="349" t="str">
        <f>VLOOKUP(H361,'Fund Utilization Report'!$A$4:$U$1800,15,FALSE)</f>
        <v>General Administration and Supervision - General Management and Supervision</v>
      </c>
      <c r="AC361" s="39"/>
      <c r="AD361" s="34"/>
      <c r="AE361" s="39"/>
      <c r="AF361" s="51"/>
      <c r="AG361" s="40"/>
      <c r="AH361" s="40"/>
    </row>
    <row r="362" spans="1:34" s="32" customFormat="1">
      <c r="A362" s="338" t="s">
        <v>942</v>
      </c>
      <c r="B362" s="338" t="s">
        <v>945</v>
      </c>
      <c r="C362" s="358">
        <v>44230</v>
      </c>
      <c r="D362" s="351" t="s">
        <v>1028</v>
      </c>
      <c r="E362" s="352" t="s">
        <v>1082</v>
      </c>
      <c r="F362" s="338">
        <v>0.63958333333333328</v>
      </c>
      <c r="G362" s="338">
        <v>0.64166666666666672</v>
      </c>
      <c r="H362" s="338" t="s">
        <v>961</v>
      </c>
      <c r="I362" s="353">
        <v>775</v>
      </c>
      <c r="J362" s="338" t="str">
        <f>IFERROR(VLOOKUP(I362,'Chart of accounts'!A:H,2,FALSE),"")</f>
        <v>50205040 00</v>
      </c>
      <c r="K362" s="338" t="str">
        <f>IFERROR(VLOOKUP(I362,'Chart of accounts'!A:H,3,FALSE),"")</f>
        <v>Cable, Satellite, Telegraph, and Radio Expenses</v>
      </c>
      <c r="L362" s="338" t="str">
        <f>IFERROR(VLOOKUP(I362,'Chart of accounts'!A:H,4,FALSE),"")</f>
        <v>50205040 00 - Cable, Satellite, Telegraph, and Radio Expenses (775)</v>
      </c>
      <c r="M362" s="361">
        <v>85</v>
      </c>
      <c r="N362" s="420" t="s">
        <v>823</v>
      </c>
      <c r="O362" s="420" t="s">
        <v>1074</v>
      </c>
      <c r="P362" s="420"/>
      <c r="Q362" s="420">
        <v>581</v>
      </c>
      <c r="R362" s="428">
        <f t="shared" si="4"/>
        <v>-581</v>
      </c>
      <c r="S362" s="428" t="str">
        <f>VLOOKUP(H362,'Fund Utilization Report'!$A$4:$U$1800,13,FALSE)</f>
        <v>MOOE</v>
      </c>
      <c r="T362" s="428" t="str">
        <f>VLOOKUP(H362,'Fund Utilization Report'!$A$4:$U$1800,2,FALSE)</f>
        <v>GAA</v>
      </c>
      <c r="U362" s="428" t="str">
        <f>VLOOKUP(H362,'Fund Utilization Report'!$A$4:$U$1800,3,FALSE)</f>
        <v>FY2021, RA11518</v>
      </c>
      <c r="V362" s="428" t="str">
        <f>VLOOKUP(H362,'Fund Utilization Report'!$A$4:$U$1800,4,FALSE)</f>
        <v>GAS(GMS)</v>
      </c>
      <c r="W362" s="428" t="str">
        <f>VLOOKUP(H362,'Fund Utilization Report'!$A$4:$U$1800,5,FALSE)</f>
        <v>01101101</v>
      </c>
      <c r="X362" s="428" t="str">
        <f>VLOOKUP(H362,'Fund Utilization Report'!$A$4:$U$1800,6,FALSE)</f>
        <v>GOP</v>
      </c>
      <c r="Y362" s="320" t="str">
        <f>VLOOKUP(H362,'Fund Utilization Report'!$A$4:$U$1800,7,FALSE)</f>
        <v>MOOE</v>
      </c>
      <c r="Z362" s="425">
        <f>VLOOKUP(H362,'Fund Utilization Report'!$A$4:$U$1800,8,FALSE)</f>
        <v>5020000000</v>
      </c>
      <c r="AA362" s="428" t="str">
        <f>VLOOKUP(H362,'Fund Utilization Report'!$A$4:$U$1800,14,FALSE)</f>
        <v>100000100001000</v>
      </c>
      <c r="AB362" s="349" t="str">
        <f>VLOOKUP(H362,'Fund Utilization Report'!$A$4:$U$1800,15,FALSE)</f>
        <v>General Administration and Supervision - General Management and Supervision</v>
      </c>
      <c r="AC362" s="39"/>
      <c r="AD362" s="34"/>
      <c r="AE362" s="39"/>
      <c r="AF362" s="51"/>
      <c r="AG362" s="40"/>
      <c r="AH362" s="40"/>
    </row>
    <row r="363" spans="1:34" s="32" customFormat="1">
      <c r="A363" s="338" t="s">
        <v>942</v>
      </c>
      <c r="B363" s="338" t="s">
        <v>945</v>
      </c>
      <c r="C363" s="358">
        <v>44230</v>
      </c>
      <c r="D363" s="351" t="s">
        <v>1028</v>
      </c>
      <c r="E363" s="352" t="s">
        <v>1082</v>
      </c>
      <c r="F363" s="338">
        <v>0.63958333333333328</v>
      </c>
      <c r="G363" s="338">
        <v>0.64166666666666672</v>
      </c>
      <c r="H363" s="338" t="s">
        <v>961</v>
      </c>
      <c r="I363" s="353">
        <v>791</v>
      </c>
      <c r="J363" s="338" t="str">
        <f>IFERROR(VLOOKUP(I363,'Chart of accounts'!A:H,2,FALSE),"")</f>
        <v>50211010 00</v>
      </c>
      <c r="K363" s="338" t="str">
        <f>IFERROR(VLOOKUP(I363,'Chart of accounts'!A:H,3,FALSE),"")</f>
        <v>Legal Services</v>
      </c>
      <c r="L363" s="338" t="str">
        <f>IFERROR(VLOOKUP(I363,'Chart of accounts'!A:H,4,FALSE),"")</f>
        <v>50211010 00 - Legal Services (791)</v>
      </c>
      <c r="M363" s="361">
        <v>85</v>
      </c>
      <c r="N363" s="420" t="s">
        <v>823</v>
      </c>
      <c r="O363" s="420" t="s">
        <v>1074</v>
      </c>
      <c r="P363" s="420"/>
      <c r="Q363" s="420">
        <v>1590.83</v>
      </c>
      <c r="R363" s="428">
        <f t="shared" si="4"/>
        <v>-1590.83</v>
      </c>
      <c r="S363" s="428" t="str">
        <f>VLOOKUP(H363,'Fund Utilization Report'!$A$4:$U$1800,13,FALSE)</f>
        <v>MOOE</v>
      </c>
      <c r="T363" s="428" t="str">
        <f>VLOOKUP(H363,'Fund Utilization Report'!$A$4:$U$1800,2,FALSE)</f>
        <v>GAA</v>
      </c>
      <c r="U363" s="428" t="str">
        <f>VLOOKUP(H363,'Fund Utilization Report'!$A$4:$U$1800,3,FALSE)</f>
        <v>FY2021, RA11518</v>
      </c>
      <c r="V363" s="428" t="str">
        <f>VLOOKUP(H363,'Fund Utilization Report'!$A$4:$U$1800,4,FALSE)</f>
        <v>GAS(GMS)</v>
      </c>
      <c r="W363" s="428" t="str">
        <f>VLOOKUP(H363,'Fund Utilization Report'!$A$4:$U$1800,5,FALSE)</f>
        <v>01101101</v>
      </c>
      <c r="X363" s="428" t="str">
        <f>VLOOKUP(H363,'Fund Utilization Report'!$A$4:$U$1800,6,FALSE)</f>
        <v>GOP</v>
      </c>
      <c r="Y363" s="320" t="str">
        <f>VLOOKUP(H363,'Fund Utilization Report'!$A$4:$U$1800,7,FALSE)</f>
        <v>MOOE</v>
      </c>
      <c r="Z363" s="425">
        <f>VLOOKUP(H363,'Fund Utilization Report'!$A$4:$U$1800,8,FALSE)</f>
        <v>5020000000</v>
      </c>
      <c r="AA363" s="428" t="str">
        <f>VLOOKUP(H363,'Fund Utilization Report'!$A$4:$U$1800,14,FALSE)</f>
        <v>100000100001000</v>
      </c>
      <c r="AB363" s="349" t="str">
        <f>VLOOKUP(H363,'Fund Utilization Report'!$A$4:$U$1800,15,FALSE)</f>
        <v>General Administration and Supervision - General Management and Supervision</v>
      </c>
      <c r="AC363" s="39"/>
      <c r="AD363" s="34"/>
      <c r="AE363" s="39"/>
      <c r="AF363" s="51"/>
      <c r="AG363" s="40"/>
      <c r="AH363" s="40"/>
    </row>
    <row r="364" spans="1:34" s="32" customFormat="1">
      <c r="A364" s="338" t="s">
        <v>942</v>
      </c>
      <c r="B364" s="338" t="s">
        <v>945</v>
      </c>
      <c r="C364" s="358">
        <v>44230</v>
      </c>
      <c r="D364" s="351" t="s">
        <v>1028</v>
      </c>
      <c r="E364" s="352" t="s">
        <v>1082</v>
      </c>
      <c r="F364" s="338">
        <v>0.63958333333333328</v>
      </c>
      <c r="G364" s="338">
        <v>0.64166666666666672</v>
      </c>
      <c r="H364" s="338" t="s">
        <v>961</v>
      </c>
      <c r="I364" s="353">
        <v>796</v>
      </c>
      <c r="J364" s="338" t="str">
        <f>IFERROR(VLOOKUP(I364,'Chart of accounts'!A:H,2,FALSE),"")</f>
        <v>50212020 00</v>
      </c>
      <c r="K364" s="338" t="str">
        <f>IFERROR(VLOOKUP(I364,'Chart of accounts'!A:H,3,FALSE),"")</f>
        <v>Janitorial Services</v>
      </c>
      <c r="L364" s="338" t="str">
        <f>IFERROR(VLOOKUP(I364,'Chart of accounts'!A:H,4,FALSE),"")</f>
        <v>50212020 00 - Janitorial Services (796)</v>
      </c>
      <c r="M364" s="361">
        <v>85</v>
      </c>
      <c r="N364" s="420" t="s">
        <v>823</v>
      </c>
      <c r="O364" s="420" t="s">
        <v>1074</v>
      </c>
      <c r="P364" s="420"/>
      <c r="Q364" s="420">
        <v>15825.33</v>
      </c>
      <c r="R364" s="428">
        <f t="shared" si="4"/>
        <v>-15825.33</v>
      </c>
      <c r="S364" s="428" t="str">
        <f>VLOOKUP(H364,'Fund Utilization Report'!$A$4:$U$1800,13,FALSE)</f>
        <v>MOOE</v>
      </c>
      <c r="T364" s="428" t="str">
        <f>VLOOKUP(H364,'Fund Utilization Report'!$A$4:$U$1800,2,FALSE)</f>
        <v>GAA</v>
      </c>
      <c r="U364" s="428" t="str">
        <f>VLOOKUP(H364,'Fund Utilization Report'!$A$4:$U$1800,3,FALSE)</f>
        <v>FY2021, RA11518</v>
      </c>
      <c r="V364" s="428" t="str">
        <f>VLOOKUP(H364,'Fund Utilization Report'!$A$4:$U$1800,4,FALSE)</f>
        <v>GAS(GMS)</v>
      </c>
      <c r="W364" s="428" t="str">
        <f>VLOOKUP(H364,'Fund Utilization Report'!$A$4:$U$1800,5,FALSE)</f>
        <v>01101101</v>
      </c>
      <c r="X364" s="428" t="str">
        <f>VLOOKUP(H364,'Fund Utilization Report'!$A$4:$U$1800,6,FALSE)</f>
        <v>GOP</v>
      </c>
      <c r="Y364" s="320" t="str">
        <f>VLOOKUP(H364,'Fund Utilization Report'!$A$4:$U$1800,7,FALSE)</f>
        <v>MOOE</v>
      </c>
      <c r="Z364" s="425">
        <f>VLOOKUP(H364,'Fund Utilization Report'!$A$4:$U$1800,8,FALSE)</f>
        <v>5020000000</v>
      </c>
      <c r="AA364" s="428" t="str">
        <f>VLOOKUP(H364,'Fund Utilization Report'!$A$4:$U$1800,14,FALSE)</f>
        <v>100000100001000</v>
      </c>
      <c r="AB364" s="349" t="str">
        <f>VLOOKUP(H364,'Fund Utilization Report'!$A$4:$U$1800,15,FALSE)</f>
        <v>General Administration and Supervision - General Management and Supervision</v>
      </c>
      <c r="AC364" s="39"/>
      <c r="AD364" s="34"/>
      <c r="AE364" s="39"/>
      <c r="AF364" s="51"/>
      <c r="AG364" s="40"/>
      <c r="AH364" s="40"/>
    </row>
    <row r="365" spans="1:34" s="32" customFormat="1">
      <c r="A365" s="338" t="s">
        <v>942</v>
      </c>
      <c r="B365" s="338" t="s">
        <v>945</v>
      </c>
      <c r="C365" s="358">
        <v>44230</v>
      </c>
      <c r="D365" s="351" t="s">
        <v>1028</v>
      </c>
      <c r="E365" s="352" t="s">
        <v>1082</v>
      </c>
      <c r="F365" s="338">
        <v>0.63958333333333328</v>
      </c>
      <c r="G365" s="338">
        <v>0.64166666666666672</v>
      </c>
      <c r="H365" s="338" t="s">
        <v>965</v>
      </c>
      <c r="I365" s="353">
        <v>795</v>
      </c>
      <c r="J365" s="338" t="str">
        <f>IFERROR(VLOOKUP(I365,'Chart of accounts'!A:H,2,FALSE),"")</f>
        <v>50212990 00</v>
      </c>
      <c r="K365" s="338" t="str">
        <f>IFERROR(VLOOKUP(I365,'Chart of accounts'!A:H,3,FALSE),"")</f>
        <v>Other General Services</v>
      </c>
      <c r="L365" s="338" t="str">
        <f>IFERROR(VLOOKUP(I365,'Chart of accounts'!A:H,4,FALSE),"")</f>
        <v>50212990 00 - Other General Services (795)</v>
      </c>
      <c r="M365" s="361">
        <v>85</v>
      </c>
      <c r="N365" s="420" t="s">
        <v>823</v>
      </c>
      <c r="O365" s="420" t="s">
        <v>1074</v>
      </c>
      <c r="P365" s="420"/>
      <c r="Q365" s="420">
        <v>86564.57</v>
      </c>
      <c r="R365" s="428">
        <f t="shared" si="4"/>
        <v>-86564.57</v>
      </c>
      <c r="S365" s="428" t="str">
        <f>VLOOKUP(H365,'Fund Utilization Report'!$A$4:$U$1800,13,FALSE)</f>
        <v>MOOE</v>
      </c>
      <c r="T365" s="428" t="str">
        <f>VLOOKUP(H365,'Fund Utilization Report'!$A$4:$U$1800,2,FALSE)</f>
        <v>GAA</v>
      </c>
      <c r="U365" s="428" t="str">
        <f>VLOOKUP(H365,'Fund Utilization Report'!$A$4:$U$1800,3,FALSE)</f>
        <v>FY2021, RA11518</v>
      </c>
      <c r="V365" s="428" t="str">
        <f>VLOOKUP(H365,'Fund Utilization Report'!$A$4:$U$1800,4,FALSE)</f>
        <v>OO1</v>
      </c>
      <c r="W365" s="428" t="str">
        <f>VLOOKUP(H365,'Fund Utilization Report'!$A$4:$U$1800,5,FALSE)</f>
        <v>01101101</v>
      </c>
      <c r="X365" s="428" t="str">
        <f>VLOOKUP(H365,'Fund Utilization Report'!$A$4:$U$1800,6,FALSE)</f>
        <v>GOP</v>
      </c>
      <c r="Y365" s="320" t="str">
        <f>VLOOKUP(H365,'Fund Utilization Report'!$A$4:$U$1800,7,FALSE)</f>
        <v>MOOE</v>
      </c>
      <c r="Z365" s="425">
        <f>VLOOKUP(H365,'Fund Utilization Report'!$A$4:$U$1800,8,FALSE)</f>
        <v>5020000000</v>
      </c>
      <c r="AA365" s="428" t="str">
        <f>VLOOKUP(H365,'Fund Utilization Report'!$A$4:$U$1800,14,FALSE)</f>
        <v>310100100002000</v>
      </c>
      <c r="AB365" s="349" t="str">
        <f>VLOOKUP(H365,'Fund Utilization Report'!$A$4:$U$1800,15,FALSE)</f>
        <v>Development,Facilitation, and promotion of exports and investment, domestic and foreign</v>
      </c>
      <c r="AC365" s="39"/>
      <c r="AD365" s="34"/>
      <c r="AE365" s="39"/>
      <c r="AF365" s="51"/>
      <c r="AG365" s="40"/>
      <c r="AH365" s="40"/>
    </row>
    <row r="366" spans="1:34" s="32" customFormat="1">
      <c r="A366" s="338" t="s">
        <v>942</v>
      </c>
      <c r="B366" s="338" t="s">
        <v>945</v>
      </c>
      <c r="C366" s="358">
        <v>44230</v>
      </c>
      <c r="D366" s="351" t="s">
        <v>1028</v>
      </c>
      <c r="E366" s="352" t="s">
        <v>1082</v>
      </c>
      <c r="F366" s="338">
        <v>0.63958333333333328</v>
      </c>
      <c r="G366" s="338">
        <v>0.64166666666666672</v>
      </c>
      <c r="H366" s="338" t="s">
        <v>971</v>
      </c>
      <c r="I366" s="353">
        <v>821</v>
      </c>
      <c r="J366" s="338" t="str">
        <f>IFERROR(VLOOKUP(I366,'Chart of accounts'!A:H,2,FALSE),"")</f>
        <v>50213050 02</v>
      </c>
      <c r="K366" s="338" t="str">
        <f>IFERROR(VLOOKUP(I366,'Chart of accounts'!A:H,3,FALSE),"")</f>
        <v>Office Equipment</v>
      </c>
      <c r="L366" s="338" t="str">
        <f>IFERROR(VLOOKUP(I366,'Chart of accounts'!A:H,4,FALSE),"")</f>
        <v>50213050 02 - Office Equipment (821)</v>
      </c>
      <c r="M366" s="361">
        <v>85</v>
      </c>
      <c r="N366" s="420" t="s">
        <v>823</v>
      </c>
      <c r="O366" s="420" t="s">
        <v>1074</v>
      </c>
      <c r="P366" s="420"/>
      <c r="Q366" s="420">
        <v>6916.67</v>
      </c>
      <c r="R366" s="428">
        <f t="shared" si="4"/>
        <v>-6916.67</v>
      </c>
      <c r="S366" s="428" t="str">
        <f>VLOOKUP(H366,'Fund Utilization Report'!$A$4:$U$1800,13,FALSE)</f>
        <v>MOOE</v>
      </c>
      <c r="T366" s="428" t="str">
        <f>VLOOKUP(H366,'Fund Utilization Report'!$A$4:$U$1800,2,FALSE)</f>
        <v>GAA</v>
      </c>
      <c r="U366" s="428" t="str">
        <f>VLOOKUP(H366,'Fund Utilization Report'!$A$4:$U$1800,3,FALSE)</f>
        <v>FY2021, RA11518</v>
      </c>
      <c r="V366" s="428" t="str">
        <f>VLOOKUP(H366,'Fund Utilization Report'!$A$4:$U$1800,4,FALSE)</f>
        <v>OO3</v>
      </c>
      <c r="W366" s="428" t="str">
        <f>VLOOKUP(H366,'Fund Utilization Report'!$A$4:$U$1800,5,FALSE)</f>
        <v>01101101</v>
      </c>
      <c r="X366" s="428" t="str">
        <f>VLOOKUP(H366,'Fund Utilization Report'!$A$4:$U$1800,6,FALSE)</f>
        <v>GOP</v>
      </c>
      <c r="Y366" s="320" t="str">
        <f>VLOOKUP(H366,'Fund Utilization Report'!$A$4:$U$1800,7,FALSE)</f>
        <v>MOOE</v>
      </c>
      <c r="Z366" s="425">
        <f>VLOOKUP(H366,'Fund Utilization Report'!$A$4:$U$1800,8,FALSE)</f>
        <v>5020000000</v>
      </c>
      <c r="AA366" s="428" t="str">
        <f>VLOOKUP(H366,'Fund Utilization Report'!$A$4:$U$1800,14,FALSE)</f>
        <v>330100100002000</v>
      </c>
      <c r="AB366" s="349" t="str">
        <f>VLOOKUP(H366,'Fund Utilization Report'!$A$4:$U$1800,15,FALSE)</f>
        <v>Implementation of the MSME Development Plan and other initiatives to promote the growth of Micro, Small and Medium Enterprises</v>
      </c>
      <c r="AC366" s="39"/>
      <c r="AD366" s="34"/>
      <c r="AE366" s="39"/>
      <c r="AF366" s="51"/>
      <c r="AG366" s="40"/>
      <c r="AH366" s="40"/>
    </row>
    <row r="367" spans="1:34" s="32" customFormat="1">
      <c r="A367" s="338" t="s">
        <v>942</v>
      </c>
      <c r="B367" s="338" t="s">
        <v>945</v>
      </c>
      <c r="C367" s="358">
        <v>44230</v>
      </c>
      <c r="D367" s="351" t="s">
        <v>1028</v>
      </c>
      <c r="E367" s="352" t="s">
        <v>1082</v>
      </c>
      <c r="F367" s="338">
        <v>0.63958333333333328</v>
      </c>
      <c r="G367" s="338">
        <v>0.64166666666666672</v>
      </c>
      <c r="H367" s="338" t="s">
        <v>968</v>
      </c>
      <c r="I367" s="353">
        <v>823</v>
      </c>
      <c r="J367" s="338" t="str">
        <f>IFERROR(VLOOKUP(I367,'Chart of accounts'!A:H,2,FALSE),"")</f>
        <v>50213050 03</v>
      </c>
      <c r="K367" s="338" t="str">
        <f>IFERROR(VLOOKUP(I367,'Chart of accounts'!A:H,3,FALSE),"")</f>
        <v>ICT Equipment</v>
      </c>
      <c r="L367" s="338" t="str">
        <f>IFERROR(VLOOKUP(I367,'Chart of accounts'!A:H,4,FALSE),"")</f>
        <v>50213050 03 - ICT Equipment (823)</v>
      </c>
      <c r="M367" s="361">
        <v>85</v>
      </c>
      <c r="N367" s="420" t="s">
        <v>823</v>
      </c>
      <c r="O367" s="420" t="s">
        <v>1074</v>
      </c>
      <c r="P367" s="420"/>
      <c r="Q367" s="420">
        <v>2766.67</v>
      </c>
      <c r="R367" s="428">
        <f t="shared" ref="R367:R386" si="5">P367-Q367</f>
        <v>-2766.67</v>
      </c>
      <c r="S367" s="428" t="str">
        <f>VLOOKUP(H367,'Fund Utilization Report'!$A$4:$U$1800,13,FALSE)</f>
        <v>MOOE</v>
      </c>
      <c r="T367" s="428" t="str">
        <f>VLOOKUP(H367,'Fund Utilization Report'!$A$4:$U$1800,2,FALSE)</f>
        <v>GAA</v>
      </c>
      <c r="U367" s="428" t="str">
        <f>VLOOKUP(H367,'Fund Utilization Report'!$A$4:$U$1800,3,FALSE)</f>
        <v>FY2021, RA11518</v>
      </c>
      <c r="V367" s="428" t="str">
        <f>VLOOKUP(H367,'Fund Utilization Report'!$A$4:$U$1800,4,FALSE)</f>
        <v>OO2</v>
      </c>
      <c r="W367" s="428" t="str">
        <f>VLOOKUP(H367,'Fund Utilization Report'!$A$4:$U$1800,5,FALSE)</f>
        <v>01101101</v>
      </c>
      <c r="X367" s="428" t="str">
        <f>VLOOKUP(H367,'Fund Utilization Report'!$A$4:$U$1800,6,FALSE)</f>
        <v>GOP</v>
      </c>
      <c r="Y367" s="320" t="str">
        <f>VLOOKUP(H367,'Fund Utilization Report'!$A$4:$U$1800,7,FALSE)</f>
        <v>MOOE</v>
      </c>
      <c r="Z367" s="425">
        <f>VLOOKUP(H367,'Fund Utilization Report'!$A$4:$U$1800,8,FALSE)</f>
        <v>5020000000</v>
      </c>
      <c r="AA367" s="428" t="str">
        <f>VLOOKUP(H367,'Fund Utilization Report'!$A$4:$U$1800,14,FALSE)</f>
        <v>320100100001000</v>
      </c>
      <c r="AB367" s="349" t="str">
        <f>VLOOKUP(H367,'Fund Utilization Report'!$A$4:$U$1800,15,FALSE)</f>
        <v>Formulation of Strategic plans,programs, and policies to develop competitve industries</v>
      </c>
      <c r="AC367" s="39"/>
      <c r="AD367" s="34"/>
      <c r="AE367" s="39"/>
      <c r="AF367" s="51"/>
      <c r="AG367" s="40"/>
      <c r="AH367" s="40"/>
    </row>
    <row r="368" spans="1:34" s="32" customFormat="1">
      <c r="A368" s="338" t="s">
        <v>942</v>
      </c>
      <c r="B368" s="338" t="s">
        <v>945</v>
      </c>
      <c r="C368" s="358">
        <v>44230</v>
      </c>
      <c r="D368" s="351" t="s">
        <v>1028</v>
      </c>
      <c r="E368" s="352" t="s">
        <v>1082</v>
      </c>
      <c r="F368" s="338">
        <v>0.63958333333333328</v>
      </c>
      <c r="G368" s="338">
        <v>0.64166666666666672</v>
      </c>
      <c r="H368" s="338" t="s">
        <v>968</v>
      </c>
      <c r="I368" s="353">
        <v>822</v>
      </c>
      <c r="J368" s="338" t="str">
        <f>IFERROR(VLOOKUP(I368,'Chart of accounts'!A:H,2,FALSE),"")</f>
        <v>50213070 00</v>
      </c>
      <c r="K368" s="338" t="str">
        <f>IFERROR(VLOOKUP(I368,'Chart of accounts'!A:H,3,FALSE),"")</f>
        <v>Furniture and Fixture</v>
      </c>
      <c r="L368" s="338" t="str">
        <f>IFERROR(VLOOKUP(I368,'Chart of accounts'!A:H,4,FALSE),"")</f>
        <v>50213070 00 - Furniture and Fixture (822)</v>
      </c>
      <c r="M368" s="361">
        <v>85</v>
      </c>
      <c r="N368" s="420" t="s">
        <v>823</v>
      </c>
      <c r="O368" s="420" t="s">
        <v>1074</v>
      </c>
      <c r="P368" s="420"/>
      <c r="Q368" s="420">
        <v>1383.33</v>
      </c>
      <c r="R368" s="428">
        <f t="shared" si="5"/>
        <v>-1383.33</v>
      </c>
      <c r="S368" s="428" t="str">
        <f>VLOOKUP(H368,'Fund Utilization Report'!$A$4:$U$1800,13,FALSE)</f>
        <v>MOOE</v>
      </c>
      <c r="T368" s="428" t="str">
        <f>VLOOKUP(H368,'Fund Utilization Report'!$A$4:$U$1800,2,FALSE)</f>
        <v>GAA</v>
      </c>
      <c r="U368" s="428" t="str">
        <f>VLOOKUP(H368,'Fund Utilization Report'!$A$4:$U$1800,3,FALSE)</f>
        <v>FY2021, RA11518</v>
      </c>
      <c r="V368" s="428" t="str">
        <f>VLOOKUP(H368,'Fund Utilization Report'!$A$4:$U$1800,4,FALSE)</f>
        <v>OO2</v>
      </c>
      <c r="W368" s="428" t="str">
        <f>VLOOKUP(H368,'Fund Utilization Report'!$A$4:$U$1800,5,FALSE)</f>
        <v>01101101</v>
      </c>
      <c r="X368" s="428" t="str">
        <f>VLOOKUP(H368,'Fund Utilization Report'!$A$4:$U$1800,6,FALSE)</f>
        <v>GOP</v>
      </c>
      <c r="Y368" s="320" t="str">
        <f>VLOOKUP(H368,'Fund Utilization Report'!$A$4:$U$1800,7,FALSE)</f>
        <v>MOOE</v>
      </c>
      <c r="Z368" s="425">
        <f>VLOOKUP(H368,'Fund Utilization Report'!$A$4:$U$1800,8,FALSE)</f>
        <v>5020000000</v>
      </c>
      <c r="AA368" s="428" t="str">
        <f>VLOOKUP(H368,'Fund Utilization Report'!$A$4:$U$1800,14,FALSE)</f>
        <v>320100100001000</v>
      </c>
      <c r="AB368" s="349" t="str">
        <f>VLOOKUP(H368,'Fund Utilization Report'!$A$4:$U$1800,15,FALSE)</f>
        <v>Formulation of Strategic plans,programs, and policies to develop competitve industries</v>
      </c>
      <c r="AC368" s="39"/>
      <c r="AD368" s="34"/>
      <c r="AE368" s="39"/>
      <c r="AF368" s="51"/>
      <c r="AG368" s="40"/>
      <c r="AH368" s="40"/>
    </row>
    <row r="369" spans="1:34" s="32" customFormat="1">
      <c r="A369" s="338" t="s">
        <v>942</v>
      </c>
      <c r="B369" s="338" t="s">
        <v>945</v>
      </c>
      <c r="C369" s="358">
        <v>44230</v>
      </c>
      <c r="D369" s="351" t="s">
        <v>1028</v>
      </c>
      <c r="E369" s="352" t="s">
        <v>1082</v>
      </c>
      <c r="F369" s="338">
        <v>0.63958333333333328</v>
      </c>
      <c r="G369" s="338">
        <v>0.64166666666666672</v>
      </c>
      <c r="H369" s="338" t="s">
        <v>961</v>
      </c>
      <c r="I369" s="353">
        <v>841</v>
      </c>
      <c r="J369" s="338" t="str">
        <f>IFERROR(VLOOKUP(I369,'Chart of accounts'!A:H,2,FALSE),"")</f>
        <v>50213060 01</v>
      </c>
      <c r="K369" s="338" t="str">
        <f>IFERROR(VLOOKUP(I369,'Chart of accounts'!A:H,3,FALSE),"")</f>
        <v>Motor Vehicles</v>
      </c>
      <c r="L369" s="338" t="str">
        <f>IFERROR(VLOOKUP(I369,'Chart of accounts'!A:H,4,FALSE),"")</f>
        <v>50213060 01 - Motor Vehicles (841)</v>
      </c>
      <c r="M369" s="361">
        <v>85</v>
      </c>
      <c r="N369" s="420" t="s">
        <v>823</v>
      </c>
      <c r="O369" s="420" t="s">
        <v>1074</v>
      </c>
      <c r="P369" s="420"/>
      <c r="Q369" s="420">
        <v>20750</v>
      </c>
      <c r="R369" s="428">
        <f t="shared" si="5"/>
        <v>-20750</v>
      </c>
      <c r="S369" s="428" t="str">
        <f>VLOOKUP(H369,'Fund Utilization Report'!$A$4:$U$1800,13,FALSE)</f>
        <v>MOOE</v>
      </c>
      <c r="T369" s="428" t="str">
        <f>VLOOKUP(H369,'Fund Utilization Report'!$A$4:$U$1800,2,FALSE)</f>
        <v>GAA</v>
      </c>
      <c r="U369" s="428" t="str">
        <f>VLOOKUP(H369,'Fund Utilization Report'!$A$4:$U$1800,3,FALSE)</f>
        <v>FY2021, RA11518</v>
      </c>
      <c r="V369" s="428" t="str">
        <f>VLOOKUP(H369,'Fund Utilization Report'!$A$4:$U$1800,4,FALSE)</f>
        <v>GAS(GMS)</v>
      </c>
      <c r="W369" s="428" t="str">
        <f>VLOOKUP(H369,'Fund Utilization Report'!$A$4:$U$1800,5,FALSE)</f>
        <v>01101101</v>
      </c>
      <c r="X369" s="428" t="str">
        <f>VLOOKUP(H369,'Fund Utilization Report'!$A$4:$U$1800,6,FALSE)</f>
        <v>GOP</v>
      </c>
      <c r="Y369" s="320" t="str">
        <f>VLOOKUP(H369,'Fund Utilization Report'!$A$4:$U$1800,7,FALSE)</f>
        <v>MOOE</v>
      </c>
      <c r="Z369" s="425">
        <f>VLOOKUP(H369,'Fund Utilization Report'!$A$4:$U$1800,8,FALSE)</f>
        <v>5020000000</v>
      </c>
      <c r="AA369" s="428" t="str">
        <f>VLOOKUP(H369,'Fund Utilization Report'!$A$4:$U$1800,14,FALSE)</f>
        <v>100000100001000</v>
      </c>
      <c r="AB369" s="349" t="str">
        <f>VLOOKUP(H369,'Fund Utilization Report'!$A$4:$U$1800,15,FALSE)</f>
        <v>General Administration and Supervision - General Management and Supervision</v>
      </c>
      <c r="AC369" s="39"/>
      <c r="AD369" s="34"/>
      <c r="AE369" s="39"/>
      <c r="AF369" s="51"/>
      <c r="AG369" s="40"/>
      <c r="AH369" s="40"/>
    </row>
    <row r="370" spans="1:34" s="32" customFormat="1">
      <c r="A370" s="338" t="s">
        <v>942</v>
      </c>
      <c r="B370" s="338" t="s">
        <v>945</v>
      </c>
      <c r="C370" s="358">
        <v>44230</v>
      </c>
      <c r="D370" s="351" t="s">
        <v>1028</v>
      </c>
      <c r="E370" s="352" t="s">
        <v>1082</v>
      </c>
      <c r="F370" s="338">
        <v>0.63958333333333328</v>
      </c>
      <c r="G370" s="338">
        <v>0.64166666666666672</v>
      </c>
      <c r="H370" s="338" t="s">
        <v>961</v>
      </c>
      <c r="I370" s="353">
        <v>891</v>
      </c>
      <c r="J370" s="338" t="str">
        <f>IFERROR(VLOOKUP(I370,'Chart of accounts'!A:H,2,FALSE),"")</f>
        <v>50215010 01</v>
      </c>
      <c r="K370" s="338" t="str">
        <f>IFERROR(VLOOKUP(I370,'Chart of accounts'!A:H,3,FALSE),"")</f>
        <v>Taxes, Duties and Licenses</v>
      </c>
      <c r="L370" s="338" t="str">
        <f>IFERROR(VLOOKUP(I370,'Chart of accounts'!A:H,4,FALSE),"")</f>
        <v>50215010 01 - Taxes, Duties and Licenses (891)</v>
      </c>
      <c r="M370" s="361">
        <v>85</v>
      </c>
      <c r="N370" s="420" t="s">
        <v>823</v>
      </c>
      <c r="O370" s="420" t="s">
        <v>1074</v>
      </c>
      <c r="P370" s="420"/>
      <c r="Q370" s="420">
        <v>691.67</v>
      </c>
      <c r="R370" s="428">
        <f t="shared" si="5"/>
        <v>-691.67</v>
      </c>
      <c r="S370" s="428" t="str">
        <f>VLOOKUP(H370,'Fund Utilization Report'!$A$4:$U$1800,13,FALSE)</f>
        <v>MOOE</v>
      </c>
      <c r="T370" s="428" t="str">
        <f>VLOOKUP(H370,'Fund Utilization Report'!$A$4:$U$1800,2,FALSE)</f>
        <v>GAA</v>
      </c>
      <c r="U370" s="428" t="str">
        <f>VLOOKUP(H370,'Fund Utilization Report'!$A$4:$U$1800,3,FALSE)</f>
        <v>FY2021, RA11518</v>
      </c>
      <c r="V370" s="428" t="str">
        <f>VLOOKUP(H370,'Fund Utilization Report'!$A$4:$U$1800,4,FALSE)</f>
        <v>GAS(GMS)</v>
      </c>
      <c r="W370" s="428" t="str">
        <f>VLOOKUP(H370,'Fund Utilization Report'!$A$4:$U$1800,5,FALSE)</f>
        <v>01101101</v>
      </c>
      <c r="X370" s="428" t="str">
        <f>VLOOKUP(H370,'Fund Utilization Report'!$A$4:$U$1800,6,FALSE)</f>
        <v>GOP</v>
      </c>
      <c r="Y370" s="320" t="str">
        <f>VLOOKUP(H370,'Fund Utilization Report'!$A$4:$U$1800,7,FALSE)</f>
        <v>MOOE</v>
      </c>
      <c r="Z370" s="425">
        <f>VLOOKUP(H370,'Fund Utilization Report'!$A$4:$U$1800,8,FALSE)</f>
        <v>5020000000</v>
      </c>
      <c r="AA370" s="428" t="str">
        <f>VLOOKUP(H370,'Fund Utilization Report'!$A$4:$U$1800,14,FALSE)</f>
        <v>100000100001000</v>
      </c>
      <c r="AB370" s="349" t="str">
        <f>VLOOKUP(H370,'Fund Utilization Report'!$A$4:$U$1800,15,FALSE)</f>
        <v>General Administration and Supervision - General Management and Supervision</v>
      </c>
      <c r="AC370" s="39"/>
      <c r="AD370" s="34"/>
      <c r="AE370" s="39"/>
      <c r="AF370" s="51"/>
      <c r="AG370" s="40"/>
      <c r="AH370" s="40"/>
    </row>
    <row r="371" spans="1:34" s="32" customFormat="1">
      <c r="A371" s="338" t="s">
        <v>942</v>
      </c>
      <c r="B371" s="338" t="s">
        <v>945</v>
      </c>
      <c r="C371" s="358">
        <v>44230</v>
      </c>
      <c r="D371" s="351" t="s">
        <v>1028</v>
      </c>
      <c r="E371" s="352" t="s">
        <v>1082</v>
      </c>
      <c r="F371" s="338">
        <v>0.63958333333333328</v>
      </c>
      <c r="G371" s="338">
        <v>0.64166666666666672</v>
      </c>
      <c r="H371" s="338" t="s">
        <v>961</v>
      </c>
      <c r="I371" s="353">
        <v>892</v>
      </c>
      <c r="J371" s="338" t="str">
        <f>IFERROR(VLOOKUP(I371,'Chart of accounts'!A:H,2,FALSE),"")</f>
        <v>50215020 00</v>
      </c>
      <c r="K371" s="338" t="str">
        <f>IFERROR(VLOOKUP(I371,'Chart of accounts'!A:H,3,FALSE),"")</f>
        <v>Fidelity Bond Premiums</v>
      </c>
      <c r="L371" s="338" t="str">
        <f>IFERROR(VLOOKUP(I371,'Chart of accounts'!A:H,4,FALSE),"")</f>
        <v>50215020 00 - Fidelity Bond Premiums (892)</v>
      </c>
      <c r="M371" s="361">
        <v>85</v>
      </c>
      <c r="N371" s="420" t="s">
        <v>823</v>
      </c>
      <c r="O371" s="420" t="s">
        <v>1074</v>
      </c>
      <c r="P371" s="420"/>
      <c r="Q371" s="420">
        <v>1746.46</v>
      </c>
      <c r="R371" s="428">
        <f t="shared" si="5"/>
        <v>-1746.46</v>
      </c>
      <c r="S371" s="428" t="str">
        <f>VLOOKUP(H371,'Fund Utilization Report'!$A$4:$U$1800,13,FALSE)</f>
        <v>MOOE</v>
      </c>
      <c r="T371" s="428" t="str">
        <f>VLOOKUP(H371,'Fund Utilization Report'!$A$4:$U$1800,2,FALSE)</f>
        <v>GAA</v>
      </c>
      <c r="U371" s="428" t="str">
        <f>VLOOKUP(H371,'Fund Utilization Report'!$A$4:$U$1800,3,FALSE)</f>
        <v>FY2021, RA11518</v>
      </c>
      <c r="V371" s="428" t="str">
        <f>VLOOKUP(H371,'Fund Utilization Report'!$A$4:$U$1800,4,FALSE)</f>
        <v>GAS(GMS)</v>
      </c>
      <c r="W371" s="428" t="str">
        <f>VLOOKUP(H371,'Fund Utilization Report'!$A$4:$U$1800,5,FALSE)</f>
        <v>01101101</v>
      </c>
      <c r="X371" s="428" t="str">
        <f>VLOOKUP(H371,'Fund Utilization Report'!$A$4:$U$1800,6,FALSE)</f>
        <v>GOP</v>
      </c>
      <c r="Y371" s="320" t="str">
        <f>VLOOKUP(H371,'Fund Utilization Report'!$A$4:$U$1800,7,FALSE)</f>
        <v>MOOE</v>
      </c>
      <c r="Z371" s="425">
        <f>VLOOKUP(H371,'Fund Utilization Report'!$A$4:$U$1800,8,FALSE)</f>
        <v>5020000000</v>
      </c>
      <c r="AA371" s="428" t="str">
        <f>VLOOKUP(H371,'Fund Utilization Report'!$A$4:$U$1800,14,FALSE)</f>
        <v>100000100001000</v>
      </c>
      <c r="AB371" s="349" t="str">
        <f>VLOOKUP(H371,'Fund Utilization Report'!$A$4:$U$1800,15,FALSE)</f>
        <v>General Administration and Supervision - General Management and Supervision</v>
      </c>
      <c r="AC371" s="39"/>
      <c r="AD371" s="34"/>
      <c r="AE371" s="39"/>
      <c r="AF371" s="51"/>
      <c r="AG371" s="40"/>
      <c r="AH371" s="40"/>
    </row>
    <row r="372" spans="1:34" s="32" customFormat="1">
      <c r="A372" s="338" t="s">
        <v>942</v>
      </c>
      <c r="B372" s="338" t="s">
        <v>945</v>
      </c>
      <c r="C372" s="358">
        <v>44230</v>
      </c>
      <c r="D372" s="351" t="s">
        <v>1028</v>
      </c>
      <c r="E372" s="352" t="s">
        <v>1082</v>
      </c>
      <c r="F372" s="338">
        <v>0.63958333333333328</v>
      </c>
      <c r="G372" s="338">
        <v>0.64166666666666672</v>
      </c>
      <c r="H372" s="338" t="s">
        <v>961</v>
      </c>
      <c r="I372" s="353">
        <v>893</v>
      </c>
      <c r="J372" s="338" t="str">
        <f>IFERROR(VLOOKUP(I372,'Chart of accounts'!A:H,2,FALSE),"")</f>
        <v>50215030 00</v>
      </c>
      <c r="K372" s="338" t="str">
        <f>IFERROR(VLOOKUP(I372,'Chart of accounts'!A:H,3,FALSE),"")</f>
        <v>Insurance Expense</v>
      </c>
      <c r="L372" s="338" t="str">
        <f>IFERROR(VLOOKUP(I372,'Chart of accounts'!A:H,4,FALSE),"")</f>
        <v>50215030 00 - Insurance Expense (893)</v>
      </c>
      <c r="M372" s="361">
        <v>85</v>
      </c>
      <c r="N372" s="420" t="s">
        <v>823</v>
      </c>
      <c r="O372" s="420" t="s">
        <v>1074</v>
      </c>
      <c r="P372" s="420"/>
      <c r="Q372" s="420">
        <v>3043.33</v>
      </c>
      <c r="R372" s="428">
        <f t="shared" si="5"/>
        <v>-3043.33</v>
      </c>
      <c r="S372" s="428" t="str">
        <f>VLOOKUP(H372,'Fund Utilization Report'!$A$4:$U$1800,13,FALSE)</f>
        <v>MOOE</v>
      </c>
      <c r="T372" s="428" t="str">
        <f>VLOOKUP(H372,'Fund Utilization Report'!$A$4:$U$1800,2,FALSE)</f>
        <v>GAA</v>
      </c>
      <c r="U372" s="428" t="str">
        <f>VLOOKUP(H372,'Fund Utilization Report'!$A$4:$U$1800,3,FALSE)</f>
        <v>FY2021, RA11518</v>
      </c>
      <c r="V372" s="428" t="str">
        <f>VLOOKUP(H372,'Fund Utilization Report'!$A$4:$U$1800,4,FALSE)</f>
        <v>GAS(GMS)</v>
      </c>
      <c r="W372" s="428" t="str">
        <f>VLOOKUP(H372,'Fund Utilization Report'!$A$4:$U$1800,5,FALSE)</f>
        <v>01101101</v>
      </c>
      <c r="X372" s="428" t="str">
        <f>VLOOKUP(H372,'Fund Utilization Report'!$A$4:$U$1800,6,FALSE)</f>
        <v>GOP</v>
      </c>
      <c r="Y372" s="320" t="str">
        <f>VLOOKUP(H372,'Fund Utilization Report'!$A$4:$U$1800,7,FALSE)</f>
        <v>MOOE</v>
      </c>
      <c r="Z372" s="425">
        <f>VLOOKUP(H372,'Fund Utilization Report'!$A$4:$U$1800,8,FALSE)</f>
        <v>5020000000</v>
      </c>
      <c r="AA372" s="428" t="str">
        <f>VLOOKUP(H372,'Fund Utilization Report'!$A$4:$U$1800,14,FALSE)</f>
        <v>100000100001000</v>
      </c>
      <c r="AB372" s="349" t="str">
        <f>VLOOKUP(H372,'Fund Utilization Report'!$A$4:$U$1800,15,FALSE)</f>
        <v>General Administration and Supervision - General Management and Supervision</v>
      </c>
      <c r="AC372" s="39"/>
      <c r="AD372" s="34"/>
      <c r="AE372" s="39"/>
      <c r="AF372" s="51"/>
      <c r="AG372" s="40"/>
      <c r="AH372" s="40"/>
    </row>
    <row r="373" spans="1:34" s="32" customFormat="1">
      <c r="A373" s="338" t="s">
        <v>942</v>
      </c>
      <c r="B373" s="338" t="s">
        <v>945</v>
      </c>
      <c r="C373" s="358">
        <v>44230</v>
      </c>
      <c r="D373" s="351" t="s">
        <v>1028</v>
      </c>
      <c r="E373" s="352" t="s">
        <v>1082</v>
      </c>
      <c r="F373" s="338">
        <v>0.63958333333333328</v>
      </c>
      <c r="G373" s="338">
        <v>0.64166666666666672</v>
      </c>
      <c r="H373" s="338" t="s">
        <v>961</v>
      </c>
      <c r="I373" s="353">
        <v>782</v>
      </c>
      <c r="J373" s="338" t="str">
        <f>IFERROR(VLOOKUP(I373,'Chart of accounts'!A:H,2,FALSE),"")</f>
        <v>50299050 01</v>
      </c>
      <c r="K373" s="338" t="str">
        <f>IFERROR(VLOOKUP(I373,'Chart of accounts'!A:H,3,FALSE),"")</f>
        <v>Rent - Buildings and Structures</v>
      </c>
      <c r="L373" s="338" t="str">
        <f>IFERROR(VLOOKUP(I373,'Chart of accounts'!A:H,4,FALSE),"")</f>
        <v>50299050 01 - Rent - Buildings and Structures (782)</v>
      </c>
      <c r="M373" s="361">
        <v>85</v>
      </c>
      <c r="N373" s="420" t="s">
        <v>823</v>
      </c>
      <c r="O373" s="420" t="s">
        <v>1074</v>
      </c>
      <c r="P373" s="420"/>
      <c r="Q373" s="420">
        <v>36520</v>
      </c>
      <c r="R373" s="428">
        <f t="shared" si="5"/>
        <v>-36520</v>
      </c>
      <c r="S373" s="428" t="str">
        <f>VLOOKUP(H373,'Fund Utilization Report'!$A$4:$U$1800,13,FALSE)</f>
        <v>MOOE</v>
      </c>
      <c r="T373" s="428" t="str">
        <f>VLOOKUP(H373,'Fund Utilization Report'!$A$4:$U$1800,2,FALSE)</f>
        <v>GAA</v>
      </c>
      <c r="U373" s="428" t="str">
        <f>VLOOKUP(H373,'Fund Utilization Report'!$A$4:$U$1800,3,FALSE)</f>
        <v>FY2021, RA11518</v>
      </c>
      <c r="V373" s="428" t="str">
        <f>VLOOKUP(H373,'Fund Utilization Report'!$A$4:$U$1800,4,FALSE)</f>
        <v>GAS(GMS)</v>
      </c>
      <c r="W373" s="428" t="str">
        <f>VLOOKUP(H373,'Fund Utilization Report'!$A$4:$U$1800,5,FALSE)</f>
        <v>01101101</v>
      </c>
      <c r="X373" s="428" t="str">
        <f>VLOOKUP(H373,'Fund Utilization Report'!$A$4:$U$1800,6,FALSE)</f>
        <v>GOP</v>
      </c>
      <c r="Y373" s="320" t="str">
        <f>VLOOKUP(H373,'Fund Utilization Report'!$A$4:$U$1800,7,FALSE)</f>
        <v>MOOE</v>
      </c>
      <c r="Z373" s="425">
        <f>VLOOKUP(H373,'Fund Utilization Report'!$A$4:$U$1800,8,FALSE)</f>
        <v>5020000000</v>
      </c>
      <c r="AA373" s="428" t="str">
        <f>VLOOKUP(H373,'Fund Utilization Report'!$A$4:$U$1800,14,FALSE)</f>
        <v>100000100001000</v>
      </c>
      <c r="AB373" s="349" t="str">
        <f>VLOOKUP(H373,'Fund Utilization Report'!$A$4:$U$1800,15,FALSE)</f>
        <v>General Administration and Supervision - General Management and Supervision</v>
      </c>
      <c r="AC373" s="39"/>
      <c r="AD373" s="34"/>
      <c r="AE373" s="39"/>
      <c r="AF373" s="51"/>
      <c r="AG373" s="40"/>
      <c r="AH373" s="40"/>
    </row>
    <row r="374" spans="1:34" s="32" customFormat="1">
      <c r="A374" s="338" t="s">
        <v>942</v>
      </c>
      <c r="B374" s="338" t="s">
        <v>945</v>
      </c>
      <c r="C374" s="358">
        <v>44230</v>
      </c>
      <c r="D374" s="351" t="s">
        <v>1028</v>
      </c>
      <c r="E374" s="352" t="s">
        <v>1082</v>
      </c>
      <c r="F374" s="338">
        <v>0.63958333333333328</v>
      </c>
      <c r="G374" s="338">
        <v>0.64166666666666672</v>
      </c>
      <c r="H374" s="338" t="s">
        <v>961</v>
      </c>
      <c r="I374" s="353">
        <v>751</v>
      </c>
      <c r="J374" s="338" t="str">
        <f>IFERROR(VLOOKUP(I374,'Chart of accounts'!A:H,2,FALSE),"")</f>
        <v>50201010 00</v>
      </c>
      <c r="K374" s="338" t="str">
        <f>IFERROR(VLOOKUP(I374,'Chart of accounts'!A:H,3,FALSE),"")</f>
        <v>Traveling Expenses - Local</v>
      </c>
      <c r="L374" s="338" t="str">
        <f>IFERROR(VLOOKUP(I374,'Chart of accounts'!A:H,4,FALSE),"")</f>
        <v>50201010 00 - Traveling Expenses - Local (751)</v>
      </c>
      <c r="M374" s="361">
        <v>85</v>
      </c>
      <c r="N374" s="420" t="s">
        <v>823</v>
      </c>
      <c r="O374" s="420" t="s">
        <v>1074</v>
      </c>
      <c r="P374" s="420"/>
      <c r="Q374" s="420">
        <v>1383.33</v>
      </c>
      <c r="R374" s="428">
        <f t="shared" si="5"/>
        <v>-1383.33</v>
      </c>
      <c r="S374" s="428" t="str">
        <f>VLOOKUP(H374,'Fund Utilization Report'!$A$4:$U$1800,13,FALSE)</f>
        <v>MOOE</v>
      </c>
      <c r="T374" s="428" t="str">
        <f>VLOOKUP(H374,'Fund Utilization Report'!$A$4:$U$1800,2,FALSE)</f>
        <v>GAA</v>
      </c>
      <c r="U374" s="428" t="str">
        <f>VLOOKUP(H374,'Fund Utilization Report'!$A$4:$U$1800,3,FALSE)</f>
        <v>FY2021, RA11518</v>
      </c>
      <c r="V374" s="428" t="str">
        <f>VLOOKUP(H374,'Fund Utilization Report'!$A$4:$U$1800,4,FALSE)</f>
        <v>GAS(GMS)</v>
      </c>
      <c r="W374" s="428" t="str">
        <f>VLOOKUP(H374,'Fund Utilization Report'!$A$4:$U$1800,5,FALSE)</f>
        <v>01101101</v>
      </c>
      <c r="X374" s="428" t="str">
        <f>VLOOKUP(H374,'Fund Utilization Report'!$A$4:$U$1800,6,FALSE)</f>
        <v>GOP</v>
      </c>
      <c r="Y374" s="320" t="str">
        <f>VLOOKUP(H374,'Fund Utilization Report'!$A$4:$U$1800,7,FALSE)</f>
        <v>MOOE</v>
      </c>
      <c r="Z374" s="425">
        <f>VLOOKUP(H374,'Fund Utilization Report'!$A$4:$U$1800,8,FALSE)</f>
        <v>5020000000</v>
      </c>
      <c r="AA374" s="428" t="str">
        <f>VLOOKUP(H374,'Fund Utilization Report'!$A$4:$U$1800,14,FALSE)</f>
        <v>100000100001000</v>
      </c>
      <c r="AB374" s="349" t="str">
        <f>VLOOKUP(H374,'Fund Utilization Report'!$A$4:$U$1800,15,FALSE)</f>
        <v>General Administration and Supervision - General Management and Supervision</v>
      </c>
      <c r="AC374" s="39"/>
      <c r="AD374" s="34"/>
      <c r="AE374" s="39"/>
      <c r="AF374" s="51"/>
      <c r="AG374" s="40"/>
      <c r="AH374" s="40"/>
    </row>
    <row r="375" spans="1:34" s="32" customFormat="1">
      <c r="A375" s="338" t="s">
        <v>942</v>
      </c>
      <c r="B375" s="338" t="s">
        <v>945</v>
      </c>
      <c r="C375" s="358">
        <v>44230</v>
      </c>
      <c r="D375" s="351" t="s">
        <v>1028</v>
      </c>
      <c r="E375" s="352" t="s">
        <v>1082</v>
      </c>
      <c r="F375" s="338">
        <v>0.63958333333333328</v>
      </c>
      <c r="G375" s="338">
        <v>0.64166666666666672</v>
      </c>
      <c r="H375" s="338" t="s">
        <v>961</v>
      </c>
      <c r="I375" s="353">
        <v>755</v>
      </c>
      <c r="J375" s="338" t="str">
        <f>IFERROR(VLOOKUP(I375,'Chart of accounts'!A:H,2,FALSE),"")</f>
        <v>50203010 00</v>
      </c>
      <c r="K375" s="338" t="str">
        <f>IFERROR(VLOOKUP(I375,'Chart of accounts'!A:H,3,FALSE),"")</f>
        <v>Office Supplies Expenses</v>
      </c>
      <c r="L375" s="338" t="str">
        <f>IFERROR(VLOOKUP(I375,'Chart of accounts'!A:H,4,FALSE),"")</f>
        <v>50203010 00 - Office Supplies Expenses (755)</v>
      </c>
      <c r="M375" s="361">
        <v>85</v>
      </c>
      <c r="N375" s="420" t="s">
        <v>823</v>
      </c>
      <c r="O375" s="420" t="s">
        <v>1074</v>
      </c>
      <c r="P375" s="420"/>
      <c r="Q375" s="420">
        <v>6916.67</v>
      </c>
      <c r="R375" s="428">
        <f t="shared" si="5"/>
        <v>-6916.67</v>
      </c>
      <c r="S375" s="428" t="str">
        <f>VLOOKUP(H375,'Fund Utilization Report'!$A$4:$U$1800,13,FALSE)</f>
        <v>MOOE</v>
      </c>
      <c r="T375" s="428" t="str">
        <f>VLOOKUP(H375,'Fund Utilization Report'!$A$4:$U$1800,2,FALSE)</f>
        <v>GAA</v>
      </c>
      <c r="U375" s="428" t="str">
        <f>VLOOKUP(H375,'Fund Utilization Report'!$A$4:$U$1800,3,FALSE)</f>
        <v>FY2021, RA11518</v>
      </c>
      <c r="V375" s="428" t="str">
        <f>VLOOKUP(H375,'Fund Utilization Report'!$A$4:$U$1800,4,FALSE)</f>
        <v>GAS(GMS)</v>
      </c>
      <c r="W375" s="428" t="str">
        <f>VLOOKUP(H375,'Fund Utilization Report'!$A$4:$U$1800,5,FALSE)</f>
        <v>01101101</v>
      </c>
      <c r="X375" s="428" t="str">
        <f>VLOOKUP(H375,'Fund Utilization Report'!$A$4:$U$1800,6,FALSE)</f>
        <v>GOP</v>
      </c>
      <c r="Y375" s="320" t="str">
        <f>VLOOKUP(H375,'Fund Utilization Report'!$A$4:$U$1800,7,FALSE)</f>
        <v>MOOE</v>
      </c>
      <c r="Z375" s="425">
        <f>VLOOKUP(H375,'Fund Utilization Report'!$A$4:$U$1800,8,FALSE)</f>
        <v>5020000000</v>
      </c>
      <c r="AA375" s="428" t="str">
        <f>VLOOKUP(H375,'Fund Utilization Report'!$A$4:$U$1800,14,FALSE)</f>
        <v>100000100001000</v>
      </c>
      <c r="AB375" s="349" t="str">
        <f>VLOOKUP(H375,'Fund Utilization Report'!$A$4:$U$1800,15,FALSE)</f>
        <v>General Administration and Supervision - General Management and Supervision</v>
      </c>
      <c r="AC375" s="39"/>
      <c r="AD375" s="34"/>
      <c r="AE375" s="39"/>
      <c r="AF375" s="51"/>
      <c r="AG375" s="40"/>
      <c r="AH375" s="40"/>
    </row>
    <row r="376" spans="1:34" s="32" customFormat="1">
      <c r="A376" s="338" t="s">
        <v>942</v>
      </c>
      <c r="B376" s="338" t="s">
        <v>945</v>
      </c>
      <c r="C376" s="358">
        <v>44230</v>
      </c>
      <c r="D376" s="351" t="s">
        <v>1028</v>
      </c>
      <c r="E376" s="352" t="s">
        <v>1082</v>
      </c>
      <c r="F376" s="338">
        <v>0.63958333333333328</v>
      </c>
      <c r="G376" s="338">
        <v>0.64166666666666672</v>
      </c>
      <c r="H376" s="338" t="s">
        <v>961</v>
      </c>
      <c r="I376" s="353">
        <v>781</v>
      </c>
      <c r="J376" s="338" t="str">
        <f>IFERROR(VLOOKUP(I376,'Chart of accounts'!A:H,2,FALSE),"")</f>
        <v>50299020 00</v>
      </c>
      <c r="K376" s="338" t="str">
        <f>IFERROR(VLOOKUP(I376,'Chart of accounts'!A:H,3,FALSE),"")</f>
        <v>Printing and Binding Expenses</v>
      </c>
      <c r="L376" s="338" t="str">
        <f>IFERROR(VLOOKUP(I376,'Chart of accounts'!A:H,4,FALSE),"")</f>
        <v>50299020 00 - Printing and Binding Expenses (781)</v>
      </c>
      <c r="M376" s="361">
        <v>85</v>
      </c>
      <c r="N376" s="420" t="s">
        <v>823</v>
      </c>
      <c r="O376" s="420" t="s">
        <v>1074</v>
      </c>
      <c r="P376" s="420"/>
      <c r="Q376" s="420">
        <v>691.67</v>
      </c>
      <c r="R376" s="428">
        <f t="shared" si="5"/>
        <v>-691.67</v>
      </c>
      <c r="S376" s="428" t="str">
        <f>VLOOKUP(H376,'Fund Utilization Report'!$A$4:$U$1800,13,FALSE)</f>
        <v>MOOE</v>
      </c>
      <c r="T376" s="428" t="str">
        <f>VLOOKUP(H376,'Fund Utilization Report'!$A$4:$U$1800,2,FALSE)</f>
        <v>GAA</v>
      </c>
      <c r="U376" s="428" t="str">
        <f>VLOOKUP(H376,'Fund Utilization Report'!$A$4:$U$1800,3,FALSE)</f>
        <v>FY2021, RA11518</v>
      </c>
      <c r="V376" s="428" t="str">
        <f>VLOOKUP(H376,'Fund Utilization Report'!$A$4:$U$1800,4,FALSE)</f>
        <v>GAS(GMS)</v>
      </c>
      <c r="W376" s="428" t="str">
        <f>VLOOKUP(H376,'Fund Utilization Report'!$A$4:$U$1800,5,FALSE)</f>
        <v>01101101</v>
      </c>
      <c r="X376" s="428" t="str">
        <f>VLOOKUP(H376,'Fund Utilization Report'!$A$4:$U$1800,6,FALSE)</f>
        <v>GOP</v>
      </c>
      <c r="Y376" s="320" t="str">
        <f>VLOOKUP(H376,'Fund Utilization Report'!$A$4:$U$1800,7,FALSE)</f>
        <v>MOOE</v>
      </c>
      <c r="Z376" s="425">
        <f>VLOOKUP(H376,'Fund Utilization Report'!$A$4:$U$1800,8,FALSE)</f>
        <v>5020000000</v>
      </c>
      <c r="AA376" s="428" t="str">
        <f>VLOOKUP(H376,'Fund Utilization Report'!$A$4:$U$1800,14,FALSE)</f>
        <v>100000100001000</v>
      </c>
      <c r="AB376" s="349" t="str">
        <f>VLOOKUP(H376,'Fund Utilization Report'!$A$4:$U$1800,15,FALSE)</f>
        <v>General Administration and Supervision - General Management and Supervision</v>
      </c>
      <c r="AC376" s="39"/>
      <c r="AD376" s="34"/>
      <c r="AE376" s="39"/>
      <c r="AF376" s="51"/>
      <c r="AG376" s="40"/>
      <c r="AH376" s="40"/>
    </row>
    <row r="377" spans="1:34" s="32" customFormat="1">
      <c r="A377" s="338" t="s">
        <v>942</v>
      </c>
      <c r="B377" s="338" t="s">
        <v>945</v>
      </c>
      <c r="C377" s="358">
        <v>44230</v>
      </c>
      <c r="D377" s="351" t="s">
        <v>1028</v>
      </c>
      <c r="E377" s="352" t="s">
        <v>1082</v>
      </c>
      <c r="F377" s="338">
        <v>0.63958333333333328</v>
      </c>
      <c r="G377" s="338">
        <v>0.64166666666666672</v>
      </c>
      <c r="H377" s="338" t="s">
        <v>961</v>
      </c>
      <c r="I377" s="353">
        <v>783</v>
      </c>
      <c r="J377" s="338" t="str">
        <f>IFERROR(VLOOKUP(I377,'Chart of accounts'!A:H,2,FALSE),"")</f>
        <v>50299030 00</v>
      </c>
      <c r="K377" s="338" t="str">
        <f>IFERROR(VLOOKUP(I377,'Chart of accounts'!A:H,3,FALSE),"")</f>
        <v>Representation Expenses</v>
      </c>
      <c r="L377" s="338" t="str">
        <f>IFERROR(VLOOKUP(I377,'Chart of accounts'!A:H,4,FALSE),"")</f>
        <v>50299030 00 - Representation Expenses (783)</v>
      </c>
      <c r="M377" s="361">
        <v>85</v>
      </c>
      <c r="N377" s="420" t="s">
        <v>823</v>
      </c>
      <c r="O377" s="420" t="s">
        <v>1074</v>
      </c>
      <c r="P377" s="420"/>
      <c r="Q377" s="420">
        <v>2877.33</v>
      </c>
      <c r="R377" s="428">
        <f t="shared" si="5"/>
        <v>-2877.33</v>
      </c>
      <c r="S377" s="428" t="str">
        <f>VLOOKUP(H377,'Fund Utilization Report'!$A$4:$U$1800,13,FALSE)</f>
        <v>MOOE</v>
      </c>
      <c r="T377" s="428" t="str">
        <f>VLOOKUP(H377,'Fund Utilization Report'!$A$4:$U$1800,2,FALSE)</f>
        <v>GAA</v>
      </c>
      <c r="U377" s="428" t="str">
        <f>VLOOKUP(H377,'Fund Utilization Report'!$A$4:$U$1800,3,FALSE)</f>
        <v>FY2021, RA11518</v>
      </c>
      <c r="V377" s="428" t="str">
        <f>VLOOKUP(H377,'Fund Utilization Report'!$A$4:$U$1800,4,FALSE)</f>
        <v>GAS(GMS)</v>
      </c>
      <c r="W377" s="428" t="str">
        <f>VLOOKUP(H377,'Fund Utilization Report'!$A$4:$U$1800,5,FALSE)</f>
        <v>01101101</v>
      </c>
      <c r="X377" s="428" t="str">
        <f>VLOOKUP(H377,'Fund Utilization Report'!$A$4:$U$1800,6,FALSE)</f>
        <v>GOP</v>
      </c>
      <c r="Y377" s="320" t="str">
        <f>VLOOKUP(H377,'Fund Utilization Report'!$A$4:$U$1800,7,FALSE)</f>
        <v>MOOE</v>
      </c>
      <c r="Z377" s="425">
        <f>VLOOKUP(H377,'Fund Utilization Report'!$A$4:$U$1800,8,FALSE)</f>
        <v>5020000000</v>
      </c>
      <c r="AA377" s="428" t="str">
        <f>VLOOKUP(H377,'Fund Utilization Report'!$A$4:$U$1800,14,FALSE)</f>
        <v>100000100001000</v>
      </c>
      <c r="AB377" s="349" t="str">
        <f>VLOOKUP(H377,'Fund Utilization Report'!$A$4:$U$1800,15,FALSE)</f>
        <v>General Administration and Supervision - General Management and Supervision</v>
      </c>
      <c r="AC377" s="39"/>
      <c r="AD377" s="34"/>
      <c r="AE377" s="39"/>
      <c r="AF377" s="51"/>
      <c r="AG377" s="40"/>
      <c r="AH377" s="40"/>
    </row>
    <row r="378" spans="1:34" s="32" customFormat="1">
      <c r="A378" s="338" t="s">
        <v>942</v>
      </c>
      <c r="B378" s="338" t="s">
        <v>945</v>
      </c>
      <c r="C378" s="358">
        <v>44230</v>
      </c>
      <c r="D378" s="351" t="s">
        <v>1028</v>
      </c>
      <c r="E378" s="352" t="s">
        <v>1082</v>
      </c>
      <c r="F378" s="338">
        <v>0.63958333333333328</v>
      </c>
      <c r="G378" s="338">
        <v>0.64166666666666672</v>
      </c>
      <c r="H378" s="338" t="s">
        <v>968</v>
      </c>
      <c r="I378" s="353">
        <v>784</v>
      </c>
      <c r="J378" s="338" t="str">
        <f>IFERROR(VLOOKUP(I378,'Chart of accounts'!A:H,2,FALSE),"")</f>
        <v>50299040 00</v>
      </c>
      <c r="K378" s="338" t="str">
        <f>IFERROR(VLOOKUP(I378,'Chart of accounts'!A:H,3,FALSE),"")</f>
        <v>Transportation and Delivery Expenses</v>
      </c>
      <c r="L378" s="338" t="str">
        <f>IFERROR(VLOOKUP(I378,'Chart of accounts'!A:H,4,FALSE),"")</f>
        <v>50299040 00 - Transportation and Delivery Expenses (784)</v>
      </c>
      <c r="M378" s="361">
        <v>85</v>
      </c>
      <c r="N378" s="420" t="s">
        <v>823</v>
      </c>
      <c r="O378" s="420" t="s">
        <v>1074</v>
      </c>
      <c r="P378" s="420"/>
      <c r="Q378" s="420">
        <v>5533.33</v>
      </c>
      <c r="R378" s="428">
        <f t="shared" si="5"/>
        <v>-5533.33</v>
      </c>
      <c r="S378" s="428" t="str">
        <f>VLOOKUP(H378,'Fund Utilization Report'!$A$4:$U$1800,13,FALSE)</f>
        <v>MOOE</v>
      </c>
      <c r="T378" s="428" t="str">
        <f>VLOOKUP(H378,'Fund Utilization Report'!$A$4:$U$1800,2,FALSE)</f>
        <v>GAA</v>
      </c>
      <c r="U378" s="428" t="str">
        <f>VLOOKUP(H378,'Fund Utilization Report'!$A$4:$U$1800,3,FALSE)</f>
        <v>FY2021, RA11518</v>
      </c>
      <c r="V378" s="428" t="str">
        <f>VLOOKUP(H378,'Fund Utilization Report'!$A$4:$U$1800,4,FALSE)</f>
        <v>OO2</v>
      </c>
      <c r="W378" s="428" t="str">
        <f>VLOOKUP(H378,'Fund Utilization Report'!$A$4:$U$1800,5,FALSE)</f>
        <v>01101101</v>
      </c>
      <c r="X378" s="428" t="str">
        <f>VLOOKUP(H378,'Fund Utilization Report'!$A$4:$U$1800,6,FALSE)</f>
        <v>GOP</v>
      </c>
      <c r="Y378" s="320" t="str">
        <f>VLOOKUP(H378,'Fund Utilization Report'!$A$4:$U$1800,7,FALSE)</f>
        <v>MOOE</v>
      </c>
      <c r="Z378" s="425">
        <f>VLOOKUP(H378,'Fund Utilization Report'!$A$4:$U$1800,8,FALSE)</f>
        <v>5020000000</v>
      </c>
      <c r="AA378" s="428" t="str">
        <f>VLOOKUP(H378,'Fund Utilization Report'!$A$4:$U$1800,14,FALSE)</f>
        <v>320100100001000</v>
      </c>
      <c r="AB378" s="349" t="str">
        <f>VLOOKUP(H378,'Fund Utilization Report'!$A$4:$U$1800,15,FALSE)</f>
        <v>Formulation of Strategic plans,programs, and policies to develop competitve industries</v>
      </c>
      <c r="AC378" s="39"/>
      <c r="AD378" s="34"/>
      <c r="AE378" s="39"/>
      <c r="AF378" s="51"/>
      <c r="AG378" s="40"/>
      <c r="AH378" s="40"/>
    </row>
    <row r="379" spans="1:34" s="32" customFormat="1">
      <c r="A379" s="338" t="s">
        <v>942</v>
      </c>
      <c r="B379" s="338" t="s">
        <v>945</v>
      </c>
      <c r="C379" s="358">
        <v>44230</v>
      </c>
      <c r="D379" s="351" t="s">
        <v>1028</v>
      </c>
      <c r="E379" s="352" t="s">
        <v>1082</v>
      </c>
      <c r="F379" s="338">
        <v>0.63958333333333328</v>
      </c>
      <c r="G379" s="338">
        <v>0.64166666666666672</v>
      </c>
      <c r="H379" s="338" t="s">
        <v>961</v>
      </c>
      <c r="I379" s="353">
        <v>969</v>
      </c>
      <c r="J379" s="338" t="str">
        <f>IFERROR(VLOOKUP(I379,'Chart of accounts'!A:H,2,FALSE),"")</f>
        <v>50299990 99</v>
      </c>
      <c r="K379" s="338" t="str">
        <f>IFERROR(VLOOKUP(I379,'Chart of accounts'!A:H,3,FALSE),"")</f>
        <v>Other Maintenance and Operating Expenses</v>
      </c>
      <c r="L379" s="338" t="str">
        <f>IFERROR(VLOOKUP(I379,'Chart of accounts'!A:H,4,FALSE),"")</f>
        <v>50299990 99 - Other Maintenance and Operating Expenses (969)</v>
      </c>
      <c r="M379" s="361">
        <v>85</v>
      </c>
      <c r="N379" s="420" t="s">
        <v>823</v>
      </c>
      <c r="O379" s="420" t="s">
        <v>1074</v>
      </c>
      <c r="P379" s="420"/>
      <c r="Q379" s="420">
        <v>6301.33</v>
      </c>
      <c r="R379" s="428">
        <f t="shared" si="5"/>
        <v>-6301.33</v>
      </c>
      <c r="S379" s="428" t="str">
        <f>VLOOKUP(H379,'Fund Utilization Report'!$A$4:$U$1800,13,FALSE)</f>
        <v>MOOE</v>
      </c>
      <c r="T379" s="428" t="str">
        <f>VLOOKUP(H379,'Fund Utilization Report'!$A$4:$U$1800,2,FALSE)</f>
        <v>GAA</v>
      </c>
      <c r="U379" s="428" t="str">
        <f>VLOOKUP(H379,'Fund Utilization Report'!$A$4:$U$1800,3,FALSE)</f>
        <v>FY2021, RA11518</v>
      </c>
      <c r="V379" s="428" t="str">
        <f>VLOOKUP(H379,'Fund Utilization Report'!$A$4:$U$1800,4,FALSE)</f>
        <v>GAS(GMS)</v>
      </c>
      <c r="W379" s="428" t="str">
        <f>VLOOKUP(H379,'Fund Utilization Report'!$A$4:$U$1800,5,FALSE)</f>
        <v>01101101</v>
      </c>
      <c r="X379" s="428" t="str">
        <f>VLOOKUP(H379,'Fund Utilization Report'!$A$4:$U$1800,6,FALSE)</f>
        <v>GOP</v>
      </c>
      <c r="Y379" s="320" t="str">
        <f>VLOOKUP(H379,'Fund Utilization Report'!$A$4:$U$1800,7,FALSE)</f>
        <v>MOOE</v>
      </c>
      <c r="Z379" s="425">
        <f>VLOOKUP(H379,'Fund Utilization Report'!$A$4:$U$1800,8,FALSE)</f>
        <v>5020000000</v>
      </c>
      <c r="AA379" s="428" t="str">
        <f>VLOOKUP(H379,'Fund Utilization Report'!$A$4:$U$1800,14,FALSE)</f>
        <v>100000100001000</v>
      </c>
      <c r="AB379" s="349" t="str">
        <f>VLOOKUP(H379,'Fund Utilization Report'!$A$4:$U$1800,15,FALSE)</f>
        <v>General Administration and Supervision - General Management and Supervision</v>
      </c>
      <c r="AC379" s="39"/>
      <c r="AD379" s="34"/>
      <c r="AE379" s="39"/>
      <c r="AF379" s="51"/>
      <c r="AG379" s="40"/>
      <c r="AH379" s="40"/>
    </row>
    <row r="380" spans="1:34" s="32" customFormat="1" ht="27.6">
      <c r="A380" s="338" t="s">
        <v>942</v>
      </c>
      <c r="B380" s="338" t="s">
        <v>945</v>
      </c>
      <c r="C380" s="358">
        <v>44230</v>
      </c>
      <c r="D380" s="351" t="s">
        <v>1028</v>
      </c>
      <c r="E380" s="352" t="s">
        <v>1083</v>
      </c>
      <c r="F380" s="338">
        <v>0.64166666666666672</v>
      </c>
      <c r="G380" s="338">
        <v>0.64374999999999993</v>
      </c>
      <c r="H380" s="338" t="s">
        <v>971</v>
      </c>
      <c r="I380" s="353">
        <v>795</v>
      </c>
      <c r="J380" s="338" t="str">
        <f>IFERROR(VLOOKUP(I380,'Chart of accounts'!A:H,2,FALSE),"")</f>
        <v>50212990 00</v>
      </c>
      <c r="K380" s="338" t="str">
        <f>IFERROR(VLOOKUP(I380,'Chart of accounts'!A:H,3,FALSE),"")</f>
        <v>Other General Services</v>
      </c>
      <c r="L380" s="338" t="str">
        <f>IFERROR(VLOOKUP(I380,'Chart of accounts'!A:H,4,FALSE),"")</f>
        <v>50212990 00 - Other General Services (795)</v>
      </c>
      <c r="M380" s="361" t="s">
        <v>812</v>
      </c>
      <c r="N380" s="355" t="s">
        <v>1075</v>
      </c>
      <c r="O380" s="355" t="s">
        <v>1076</v>
      </c>
      <c r="P380" s="355"/>
      <c r="Q380" s="427">
        <f>5534+5534</f>
        <v>11068</v>
      </c>
      <c r="R380" s="319">
        <f t="shared" si="5"/>
        <v>-11068</v>
      </c>
      <c r="S380" s="428" t="str">
        <f>VLOOKUP(H380,'Fund Utilization Report'!$A$4:$U$1800,13,FALSE)</f>
        <v>MOOE</v>
      </c>
      <c r="T380" s="428" t="str">
        <f>VLOOKUP(H380,'Fund Utilization Report'!$A$4:$U$1800,2,FALSE)</f>
        <v>GAA</v>
      </c>
      <c r="U380" s="428" t="str">
        <f>VLOOKUP(H380,'Fund Utilization Report'!$A$4:$U$1800,3,FALSE)</f>
        <v>FY2021, RA11518</v>
      </c>
      <c r="V380" s="428" t="str">
        <f>VLOOKUP(H380,'Fund Utilization Report'!$A$4:$U$1800,4,FALSE)</f>
        <v>OO3</v>
      </c>
      <c r="W380" s="428" t="str">
        <f>VLOOKUP(H380,'Fund Utilization Report'!$A$4:$U$1800,5,FALSE)</f>
        <v>01101101</v>
      </c>
      <c r="X380" s="428" t="str">
        <f>VLOOKUP(H380,'Fund Utilization Report'!$A$4:$U$1800,6,FALSE)</f>
        <v>GOP</v>
      </c>
      <c r="Y380" s="320" t="str">
        <f>VLOOKUP(H380,'Fund Utilization Report'!$A$4:$U$1800,7,FALSE)</f>
        <v>MOOE</v>
      </c>
      <c r="Z380" s="425">
        <f>VLOOKUP(H380,'Fund Utilization Report'!$A$4:$U$1800,8,FALSE)</f>
        <v>5020000000</v>
      </c>
      <c r="AA380" s="428" t="str">
        <f>VLOOKUP(H380,'Fund Utilization Report'!$A$4:$U$1800,14,FALSE)</f>
        <v>330100100002000</v>
      </c>
      <c r="AB380" s="349" t="str">
        <f>VLOOKUP(H380,'Fund Utilization Report'!$A$4:$U$1800,15,FALSE)</f>
        <v>Implementation of the MSME Development Plan and other initiatives to promote the growth of Micro, Small and Medium Enterprises</v>
      </c>
      <c r="AC380" s="39"/>
      <c r="AD380" s="34"/>
      <c r="AE380" s="39"/>
      <c r="AF380" s="51"/>
      <c r="AG380" s="40"/>
      <c r="AH380" s="40"/>
    </row>
    <row r="381" spans="1:34" s="32" customFormat="1" ht="27.6">
      <c r="A381" s="338" t="s">
        <v>942</v>
      </c>
      <c r="B381" s="338" t="s">
        <v>945</v>
      </c>
      <c r="C381" s="358">
        <v>44230</v>
      </c>
      <c r="D381" s="351" t="s">
        <v>1028</v>
      </c>
      <c r="E381" s="352" t="s">
        <v>1083</v>
      </c>
      <c r="F381" s="338">
        <v>0.64166666666666672</v>
      </c>
      <c r="G381" s="338">
        <v>0.64374999999999993</v>
      </c>
      <c r="H381" s="338" t="s">
        <v>983</v>
      </c>
      <c r="I381" s="353">
        <v>799</v>
      </c>
      <c r="J381" s="338" t="str">
        <f>IFERROR(VLOOKUP(I381,'Chart of accounts'!A:H,2,FALSE),"")</f>
        <v>50211990 00</v>
      </c>
      <c r="K381" s="338" t="str">
        <f>IFERROR(VLOOKUP(I381,'Chart of accounts'!A:H,3,FALSE),"")</f>
        <v>Other Professional Services</v>
      </c>
      <c r="L381" s="338" t="str">
        <f>IFERROR(VLOOKUP(I381,'Chart of accounts'!A:H,4,FALSE),"")</f>
        <v>50211990 00 - Other Professional Services (799)</v>
      </c>
      <c r="M381" s="361" t="s">
        <v>5</v>
      </c>
      <c r="N381" s="355" t="s">
        <v>1075</v>
      </c>
      <c r="O381" s="355" t="s">
        <v>1076</v>
      </c>
      <c r="P381" s="355"/>
      <c r="Q381" s="427">
        <f>5030.91+5534</f>
        <v>10564.91</v>
      </c>
      <c r="R381" s="319">
        <f t="shared" si="5"/>
        <v>-10564.91</v>
      </c>
      <c r="S381" s="428" t="str">
        <f>VLOOKUP(H381,'Fund Utilization Report'!$A$4:$U$1800,13,FALSE)</f>
        <v>MOOE</v>
      </c>
      <c r="T381" s="428" t="str">
        <f>VLOOKUP(H381,'Fund Utilization Report'!$A$4:$U$1800,2,FALSE)</f>
        <v>GAA</v>
      </c>
      <c r="U381" s="428" t="str">
        <f>VLOOKUP(H381,'Fund Utilization Report'!$A$4:$U$1800,3,FALSE)</f>
        <v>FY2021, RA11518</v>
      </c>
      <c r="V381" s="428" t="str">
        <f>VLOOKUP(H381,'Fund Utilization Report'!$A$4:$U$1800,4,FALSE)</f>
        <v>SSF</v>
      </c>
      <c r="W381" s="428" t="str">
        <f>VLOOKUP(H381,'Fund Utilization Report'!$A$4:$U$1800,5,FALSE)</f>
        <v>01101101</v>
      </c>
      <c r="X381" s="428" t="str">
        <f>VLOOKUP(H381,'Fund Utilization Report'!$A$4:$U$1800,6,FALSE)</f>
        <v>GOP</v>
      </c>
      <c r="Y381" s="320" t="str">
        <f>VLOOKUP(H381,'Fund Utilization Report'!$A$4:$U$1800,7,FALSE)</f>
        <v>MOOE</v>
      </c>
      <c r="Z381" s="425">
        <f>VLOOKUP(H381,'Fund Utilization Report'!$A$4:$U$1800,8,FALSE)</f>
        <v>5020000000</v>
      </c>
      <c r="AA381" s="428" t="str">
        <f>VLOOKUP(H381,'Fund Utilization Report'!$A$4:$U$1800,14,FALSE)</f>
        <v>330100200003000</v>
      </c>
      <c r="AB381" s="349" t="str">
        <f>VLOOKUP(H381,'Fund Utilization Report'!$A$4:$U$1800,15,FALSE)</f>
        <v>Shared Service Facilities Project</v>
      </c>
      <c r="AC381" s="39"/>
      <c r="AD381" s="34"/>
      <c r="AE381" s="39"/>
      <c r="AF381" s="51"/>
      <c r="AG381" s="40"/>
      <c r="AH381" s="40"/>
    </row>
    <row r="382" spans="1:34" s="32" customFormat="1" ht="27.6">
      <c r="A382" s="338" t="s">
        <v>942</v>
      </c>
      <c r="B382" s="338" t="s">
        <v>945</v>
      </c>
      <c r="C382" s="358">
        <v>44230</v>
      </c>
      <c r="D382" s="351" t="s">
        <v>1028</v>
      </c>
      <c r="E382" s="352" t="s">
        <v>1083</v>
      </c>
      <c r="F382" s="338">
        <v>0.64166666666666672</v>
      </c>
      <c r="G382" s="338">
        <v>0.64374999999999993</v>
      </c>
      <c r="H382" s="338" t="s">
        <v>961</v>
      </c>
      <c r="I382" s="353">
        <v>792</v>
      </c>
      <c r="J382" s="338" t="str">
        <f>IFERROR(VLOOKUP(I382,'Chart of accounts'!A:H,2,FALSE),"")</f>
        <v>50211020 00</v>
      </c>
      <c r="K382" s="338" t="str">
        <f>IFERROR(VLOOKUP(I382,'Chart of accounts'!A:H,3,FALSE),"")</f>
        <v>Auditing Services</v>
      </c>
      <c r="L382" s="338" t="str">
        <f>IFERROR(VLOOKUP(I382,'Chart of accounts'!A:H,4,FALSE),"")</f>
        <v>50211020 00 - Auditing Services (792)</v>
      </c>
      <c r="M382" s="361" t="s">
        <v>1404</v>
      </c>
      <c r="N382" s="355" t="s">
        <v>1075</v>
      </c>
      <c r="O382" s="355" t="s">
        <v>1076</v>
      </c>
      <c r="P382" s="355"/>
      <c r="Q382" s="427">
        <v>5534</v>
      </c>
      <c r="R382" s="319">
        <f t="shared" si="5"/>
        <v>-5534</v>
      </c>
      <c r="S382" s="428" t="str">
        <f>VLOOKUP(H382,'Fund Utilization Report'!$A$4:$U$1800,13,FALSE)</f>
        <v>MOOE</v>
      </c>
      <c r="T382" s="428" t="str">
        <f>VLOOKUP(H382,'Fund Utilization Report'!$A$4:$U$1800,2,FALSE)</f>
        <v>GAA</v>
      </c>
      <c r="U382" s="428" t="str">
        <f>VLOOKUP(H382,'Fund Utilization Report'!$A$4:$U$1800,3,FALSE)</f>
        <v>FY2021, RA11518</v>
      </c>
      <c r="V382" s="428" t="str">
        <f>VLOOKUP(H382,'Fund Utilization Report'!$A$4:$U$1800,4,FALSE)</f>
        <v>GAS(GMS)</v>
      </c>
      <c r="W382" s="428" t="str">
        <f>VLOOKUP(H382,'Fund Utilization Report'!$A$4:$U$1800,5,FALSE)</f>
        <v>01101101</v>
      </c>
      <c r="X382" s="428" t="str">
        <f>VLOOKUP(H382,'Fund Utilization Report'!$A$4:$U$1800,6,FALSE)</f>
        <v>GOP</v>
      </c>
      <c r="Y382" s="320" t="str">
        <f>VLOOKUP(H382,'Fund Utilization Report'!$A$4:$U$1800,7,FALSE)</f>
        <v>MOOE</v>
      </c>
      <c r="Z382" s="425">
        <f>VLOOKUP(H382,'Fund Utilization Report'!$A$4:$U$1800,8,FALSE)</f>
        <v>5020000000</v>
      </c>
      <c r="AA382" s="428" t="str">
        <f>VLOOKUP(H382,'Fund Utilization Report'!$A$4:$U$1800,14,FALSE)</f>
        <v>100000100001000</v>
      </c>
      <c r="AB382" s="349" t="str">
        <f>VLOOKUP(H382,'Fund Utilization Report'!$A$4:$U$1800,15,FALSE)</f>
        <v>General Administration and Supervision - General Management and Supervision</v>
      </c>
      <c r="AC382" s="39"/>
      <c r="AD382" s="34"/>
      <c r="AE382" s="39"/>
      <c r="AF382" s="51"/>
      <c r="AG382" s="40"/>
      <c r="AH382" s="40"/>
    </row>
    <row r="383" spans="1:34" s="32" customFormat="1" ht="27.6">
      <c r="A383" s="338" t="s">
        <v>942</v>
      </c>
      <c r="B383" s="338" t="s">
        <v>945</v>
      </c>
      <c r="C383" s="358">
        <v>44230</v>
      </c>
      <c r="D383" s="351" t="s">
        <v>1028</v>
      </c>
      <c r="E383" s="352" t="s">
        <v>1083</v>
      </c>
      <c r="F383" s="338">
        <v>0.64166666666666672</v>
      </c>
      <c r="G383" s="338">
        <v>0.64374999999999993</v>
      </c>
      <c r="H383" s="338" t="s">
        <v>971</v>
      </c>
      <c r="I383" s="353">
        <v>795</v>
      </c>
      <c r="J383" s="338" t="str">
        <f>IFERROR(VLOOKUP(I383,'Chart of accounts'!A:H,2,FALSE),"")</f>
        <v>50212990 00</v>
      </c>
      <c r="K383" s="338" t="str">
        <f>IFERROR(VLOOKUP(I383,'Chart of accounts'!A:H,3,FALSE),"")</f>
        <v>Other General Services</v>
      </c>
      <c r="L383" s="338" t="str">
        <f>IFERROR(VLOOKUP(I383,'Chart of accounts'!A:H,4,FALSE),"")</f>
        <v>50212990 00 - Other General Services (795)</v>
      </c>
      <c r="M383" s="361" t="s">
        <v>816</v>
      </c>
      <c r="N383" s="355" t="s">
        <v>1075</v>
      </c>
      <c r="O383" s="355" t="s">
        <v>1076</v>
      </c>
      <c r="P383" s="355"/>
      <c r="Q383" s="427">
        <f>11158+11158</f>
        <v>22316</v>
      </c>
      <c r="R383" s="319">
        <f t="shared" si="5"/>
        <v>-22316</v>
      </c>
      <c r="S383" s="428" t="str">
        <f>VLOOKUP(H383,'Fund Utilization Report'!$A$4:$U$1800,13,FALSE)</f>
        <v>MOOE</v>
      </c>
      <c r="T383" s="428" t="str">
        <f>VLOOKUP(H383,'Fund Utilization Report'!$A$4:$U$1800,2,FALSE)</f>
        <v>GAA</v>
      </c>
      <c r="U383" s="428" t="str">
        <f>VLOOKUP(H383,'Fund Utilization Report'!$A$4:$U$1800,3,FALSE)</f>
        <v>FY2021, RA11518</v>
      </c>
      <c r="V383" s="428" t="str">
        <f>VLOOKUP(H383,'Fund Utilization Report'!$A$4:$U$1800,4,FALSE)</f>
        <v>OO3</v>
      </c>
      <c r="W383" s="428" t="str">
        <f>VLOOKUP(H383,'Fund Utilization Report'!$A$4:$U$1800,5,FALSE)</f>
        <v>01101101</v>
      </c>
      <c r="X383" s="428" t="str">
        <f>VLOOKUP(H383,'Fund Utilization Report'!$A$4:$U$1800,6,FALSE)</f>
        <v>GOP</v>
      </c>
      <c r="Y383" s="320" t="str">
        <f>VLOOKUP(H383,'Fund Utilization Report'!$A$4:$U$1800,7,FALSE)</f>
        <v>MOOE</v>
      </c>
      <c r="Z383" s="425">
        <f>VLOOKUP(H383,'Fund Utilization Report'!$A$4:$U$1800,8,FALSE)</f>
        <v>5020000000</v>
      </c>
      <c r="AA383" s="428" t="str">
        <f>VLOOKUP(H383,'Fund Utilization Report'!$A$4:$U$1800,14,FALSE)</f>
        <v>330100100002000</v>
      </c>
      <c r="AB383" s="349" t="str">
        <f>VLOOKUP(H383,'Fund Utilization Report'!$A$4:$U$1800,15,FALSE)</f>
        <v>Implementation of the MSME Development Plan and other initiatives to promote the growth of Micro, Small and Medium Enterprises</v>
      </c>
      <c r="AC383" s="39"/>
      <c r="AD383" s="34"/>
      <c r="AE383" s="39"/>
      <c r="AF383" s="51"/>
      <c r="AG383" s="40"/>
      <c r="AH383" s="40"/>
    </row>
    <row r="384" spans="1:34" s="32" customFormat="1" ht="27.6">
      <c r="A384" s="338" t="s">
        <v>942</v>
      </c>
      <c r="B384" s="338" t="s">
        <v>945</v>
      </c>
      <c r="C384" s="358">
        <v>44230</v>
      </c>
      <c r="D384" s="351" t="s">
        <v>1028</v>
      </c>
      <c r="E384" s="352" t="s">
        <v>1083</v>
      </c>
      <c r="F384" s="338">
        <v>0.64166666666666672</v>
      </c>
      <c r="G384" s="338">
        <v>0.64374999999999993</v>
      </c>
      <c r="H384" s="338" t="s">
        <v>983</v>
      </c>
      <c r="I384" s="353">
        <v>799</v>
      </c>
      <c r="J384" s="338" t="str">
        <f>IFERROR(VLOOKUP(I384,'Chart of accounts'!A:H,2,FALSE),"")</f>
        <v>50211990 00</v>
      </c>
      <c r="K384" s="338" t="str">
        <f>IFERROR(VLOOKUP(I384,'Chart of accounts'!A:H,3,FALSE),"")</f>
        <v>Other Professional Services</v>
      </c>
      <c r="L384" s="338" t="str">
        <f>IFERROR(VLOOKUP(I384,'Chart of accounts'!A:H,4,FALSE),"")</f>
        <v>50211990 00 - Other Professional Services (799)</v>
      </c>
      <c r="M384" s="361" t="s">
        <v>5</v>
      </c>
      <c r="N384" s="355" t="s">
        <v>1075</v>
      </c>
      <c r="O384" s="355" t="s">
        <v>1076</v>
      </c>
      <c r="P384" s="355"/>
      <c r="Q384" s="427">
        <v>10000</v>
      </c>
      <c r="R384" s="319">
        <f t="shared" si="5"/>
        <v>-10000</v>
      </c>
      <c r="S384" s="428" t="str">
        <f>VLOOKUP(H384,'Fund Utilization Report'!$A$4:$U$1800,13,FALSE)</f>
        <v>MOOE</v>
      </c>
      <c r="T384" s="428" t="str">
        <f>VLOOKUP(H384,'Fund Utilization Report'!$A$4:$U$1800,2,FALSE)</f>
        <v>GAA</v>
      </c>
      <c r="U384" s="428" t="str">
        <f>VLOOKUP(H384,'Fund Utilization Report'!$A$4:$U$1800,3,FALSE)</f>
        <v>FY2021, RA11518</v>
      </c>
      <c r="V384" s="428" t="str">
        <f>VLOOKUP(H384,'Fund Utilization Report'!$A$4:$U$1800,4,FALSE)</f>
        <v>SSF</v>
      </c>
      <c r="W384" s="428" t="str">
        <f>VLOOKUP(H384,'Fund Utilization Report'!$A$4:$U$1800,5,FALSE)</f>
        <v>01101101</v>
      </c>
      <c r="X384" s="428" t="str">
        <f>VLOOKUP(H384,'Fund Utilization Report'!$A$4:$U$1800,6,FALSE)</f>
        <v>GOP</v>
      </c>
      <c r="Y384" s="320" t="str">
        <f>VLOOKUP(H384,'Fund Utilization Report'!$A$4:$U$1800,7,FALSE)</f>
        <v>MOOE</v>
      </c>
      <c r="Z384" s="425">
        <f>VLOOKUP(H384,'Fund Utilization Report'!$A$4:$U$1800,8,FALSE)</f>
        <v>5020000000</v>
      </c>
      <c r="AA384" s="428" t="str">
        <f>VLOOKUP(H384,'Fund Utilization Report'!$A$4:$U$1800,14,FALSE)</f>
        <v>330100200003000</v>
      </c>
      <c r="AB384" s="349" t="str">
        <f>VLOOKUP(H384,'Fund Utilization Report'!$A$4:$U$1800,15,FALSE)</f>
        <v>Shared Service Facilities Project</v>
      </c>
      <c r="AC384" s="39"/>
      <c r="AD384" s="34"/>
      <c r="AE384" s="39"/>
      <c r="AF384" s="51"/>
      <c r="AG384" s="40"/>
      <c r="AH384" s="40"/>
    </row>
    <row r="385" spans="1:34" s="32" customFormat="1" ht="27.6">
      <c r="A385" s="338" t="s">
        <v>942</v>
      </c>
      <c r="B385" s="338" t="s">
        <v>945</v>
      </c>
      <c r="C385" s="358">
        <v>44230</v>
      </c>
      <c r="D385" s="351" t="s">
        <v>1028</v>
      </c>
      <c r="E385" s="352" t="s">
        <v>1083</v>
      </c>
      <c r="F385" s="338">
        <v>0.64166666666666672</v>
      </c>
      <c r="G385" s="338">
        <v>0.64374999999999993</v>
      </c>
      <c r="H385" s="338" t="s">
        <v>961</v>
      </c>
      <c r="I385" s="353">
        <v>795</v>
      </c>
      <c r="J385" s="338" t="str">
        <f>IFERROR(VLOOKUP(I385,'Chart of accounts'!A:H,2,FALSE),"")</f>
        <v>50212990 00</v>
      </c>
      <c r="K385" s="338" t="str">
        <f>IFERROR(VLOOKUP(I385,'Chart of accounts'!A:H,3,FALSE),"")</f>
        <v>Other General Services</v>
      </c>
      <c r="L385" s="338" t="str">
        <f>IFERROR(VLOOKUP(I385,'Chart of accounts'!A:H,4,FALSE),"")</f>
        <v>50212990 00 - Other General Services (795)</v>
      </c>
      <c r="M385" s="361" t="s">
        <v>816</v>
      </c>
      <c r="N385" s="355" t="s">
        <v>1075</v>
      </c>
      <c r="O385" s="355" t="s">
        <v>1076</v>
      </c>
      <c r="P385" s="355"/>
      <c r="Q385" s="427">
        <v>5534</v>
      </c>
      <c r="R385" s="319">
        <f t="shared" si="5"/>
        <v>-5534</v>
      </c>
      <c r="S385" s="428" t="str">
        <f>VLOOKUP(H385,'Fund Utilization Report'!$A$4:$U$1800,13,FALSE)</f>
        <v>MOOE</v>
      </c>
      <c r="T385" s="428" t="str">
        <f>VLOOKUP(H385,'Fund Utilization Report'!$A$4:$U$1800,2,FALSE)</f>
        <v>GAA</v>
      </c>
      <c r="U385" s="428" t="str">
        <f>VLOOKUP(H385,'Fund Utilization Report'!$A$4:$U$1800,3,FALSE)</f>
        <v>FY2021, RA11518</v>
      </c>
      <c r="V385" s="428" t="str">
        <f>VLOOKUP(H385,'Fund Utilization Report'!$A$4:$U$1800,4,FALSE)</f>
        <v>GAS(GMS)</v>
      </c>
      <c r="W385" s="428" t="str">
        <f>VLOOKUP(H385,'Fund Utilization Report'!$A$4:$U$1800,5,FALSE)</f>
        <v>01101101</v>
      </c>
      <c r="X385" s="428" t="str">
        <f>VLOOKUP(H385,'Fund Utilization Report'!$A$4:$U$1800,6,FALSE)</f>
        <v>GOP</v>
      </c>
      <c r="Y385" s="320" t="str">
        <f>VLOOKUP(H385,'Fund Utilization Report'!$A$4:$U$1800,7,FALSE)</f>
        <v>MOOE</v>
      </c>
      <c r="Z385" s="425">
        <f>VLOOKUP(H385,'Fund Utilization Report'!$A$4:$U$1800,8,FALSE)</f>
        <v>5020000000</v>
      </c>
      <c r="AA385" s="428" t="str">
        <f>VLOOKUP(H385,'Fund Utilization Report'!$A$4:$U$1800,14,FALSE)</f>
        <v>100000100001000</v>
      </c>
      <c r="AB385" s="349" t="str">
        <f>VLOOKUP(H385,'Fund Utilization Report'!$A$4:$U$1800,15,FALSE)</f>
        <v>General Administration and Supervision - General Management and Supervision</v>
      </c>
      <c r="AC385" s="39"/>
      <c r="AD385" s="34"/>
      <c r="AE385" s="39"/>
      <c r="AF385" s="51"/>
      <c r="AG385" s="40"/>
      <c r="AH385" s="40"/>
    </row>
    <row r="386" spans="1:34" s="32" customFormat="1" ht="27.6">
      <c r="A386" s="338" t="s">
        <v>942</v>
      </c>
      <c r="B386" s="338" t="s">
        <v>945</v>
      </c>
      <c r="C386" s="358">
        <v>44230</v>
      </c>
      <c r="D386" s="351" t="s">
        <v>1028</v>
      </c>
      <c r="E386" s="352" t="s">
        <v>1084</v>
      </c>
      <c r="F386" s="338">
        <v>0.64374999999999993</v>
      </c>
      <c r="G386" s="338">
        <v>0.65486111111111112</v>
      </c>
      <c r="H386" s="338" t="s">
        <v>971</v>
      </c>
      <c r="I386" s="353">
        <v>799</v>
      </c>
      <c r="J386" s="338" t="str">
        <f>IFERROR(VLOOKUP(I386,'Chart of accounts'!A:H,2,FALSE),"")</f>
        <v>50211990 00</v>
      </c>
      <c r="K386" s="338" t="str">
        <f>IFERROR(VLOOKUP(I386,'Chart of accounts'!A:H,3,FALSE),"")</f>
        <v>Other Professional Services</v>
      </c>
      <c r="L386" s="338" t="str">
        <f>IFERROR(VLOOKUP(I386,'Chart of accounts'!A:H,4,FALSE),"")</f>
        <v>50211990 00 - Other Professional Services (799)</v>
      </c>
      <c r="M386" s="361" t="s">
        <v>816</v>
      </c>
      <c r="N386" s="355" t="s">
        <v>1075</v>
      </c>
      <c r="O386" s="355" t="s">
        <v>1076</v>
      </c>
      <c r="P386" s="355"/>
      <c r="Q386" s="427">
        <v>5000</v>
      </c>
      <c r="R386" s="319">
        <f t="shared" si="5"/>
        <v>-5000</v>
      </c>
      <c r="S386" s="428" t="str">
        <f>VLOOKUP(H386,'Fund Utilization Report'!$A$4:$U$1800,13,FALSE)</f>
        <v>MOOE</v>
      </c>
      <c r="T386" s="428" t="str">
        <f>VLOOKUP(H386,'Fund Utilization Report'!$A$4:$U$1800,2,FALSE)</f>
        <v>GAA</v>
      </c>
      <c r="U386" s="428" t="str">
        <f>VLOOKUP(H386,'Fund Utilization Report'!$A$4:$U$1800,3,FALSE)</f>
        <v>FY2021, RA11518</v>
      </c>
      <c r="V386" s="428" t="str">
        <f>VLOOKUP(H386,'Fund Utilization Report'!$A$4:$U$1800,4,FALSE)</f>
        <v>OO3</v>
      </c>
      <c r="W386" s="428" t="str">
        <f>VLOOKUP(H386,'Fund Utilization Report'!$A$4:$U$1800,5,FALSE)</f>
        <v>01101101</v>
      </c>
      <c r="X386" s="428" t="str">
        <f>VLOOKUP(H386,'Fund Utilization Report'!$A$4:$U$1800,6,FALSE)</f>
        <v>GOP</v>
      </c>
      <c r="Y386" s="320" t="str">
        <f>VLOOKUP(H386,'Fund Utilization Report'!$A$4:$U$1800,7,FALSE)</f>
        <v>MOOE</v>
      </c>
      <c r="Z386" s="425">
        <f>VLOOKUP(H386,'Fund Utilization Report'!$A$4:$U$1800,8,FALSE)</f>
        <v>5020000000</v>
      </c>
      <c r="AA386" s="428" t="str">
        <f>VLOOKUP(H386,'Fund Utilization Report'!$A$4:$U$1800,14,FALSE)</f>
        <v>330100100002000</v>
      </c>
      <c r="AB386" s="349" t="str">
        <f>VLOOKUP(H386,'Fund Utilization Report'!$A$4:$U$1800,15,FALSE)</f>
        <v>Implementation of the MSME Development Plan and other initiatives to promote the growth of Micro, Small and Medium Enterprises</v>
      </c>
      <c r="AC386" s="39"/>
      <c r="AD386" s="34"/>
      <c r="AE386" s="39"/>
      <c r="AF386" s="51"/>
      <c r="AG386" s="40"/>
      <c r="AH386" s="40"/>
    </row>
    <row r="387" spans="1:34" s="32" customFormat="1" ht="27.6">
      <c r="A387" s="338" t="s">
        <v>942</v>
      </c>
      <c r="B387" s="338" t="s">
        <v>945</v>
      </c>
      <c r="C387" s="358">
        <v>44230</v>
      </c>
      <c r="D387" s="351" t="s">
        <v>1028</v>
      </c>
      <c r="E387" s="352" t="s">
        <v>1084</v>
      </c>
      <c r="F387" s="338">
        <v>0.64374999999999993</v>
      </c>
      <c r="G387" s="338">
        <v>0.65486111111111112</v>
      </c>
      <c r="H387" s="338" t="s">
        <v>961</v>
      </c>
      <c r="I387" s="353">
        <v>796</v>
      </c>
      <c r="J387" s="338" t="str">
        <f>IFERROR(VLOOKUP(I387,'Chart of accounts'!A:H,2,FALSE),"")</f>
        <v>50212020 00</v>
      </c>
      <c r="K387" s="338" t="str">
        <f>IFERROR(VLOOKUP(I387,'Chart of accounts'!A:H,3,FALSE),"")</f>
        <v>Janitorial Services</v>
      </c>
      <c r="L387" s="338" t="str">
        <f>IFERROR(VLOOKUP(I387,'Chart of accounts'!A:H,4,FALSE),"")</f>
        <v>50212020 00 - Janitorial Services (796)</v>
      </c>
      <c r="M387" s="361" t="s">
        <v>816</v>
      </c>
      <c r="N387" s="355" t="s">
        <v>1075</v>
      </c>
      <c r="O387" s="355" t="s">
        <v>1076</v>
      </c>
      <c r="P387" s="355"/>
      <c r="Q387" s="428">
        <f>4111.33+2170</f>
        <v>6281.33</v>
      </c>
      <c r="R387" s="319">
        <f t="shared" ref="R387:R470" si="6">P387-Q387</f>
        <v>-6281.33</v>
      </c>
      <c r="S387" s="428" t="str">
        <f>VLOOKUP(H387,'Fund Utilization Report'!$A$4:$U$1800,13,FALSE)</f>
        <v>MOOE</v>
      </c>
      <c r="T387" s="428" t="str">
        <f>VLOOKUP(H387,'Fund Utilization Report'!$A$4:$U$1800,2,FALSE)</f>
        <v>GAA</v>
      </c>
      <c r="U387" s="428" t="str">
        <f>VLOOKUP(H387,'Fund Utilization Report'!$A$4:$U$1800,3,FALSE)</f>
        <v>FY2021, RA11518</v>
      </c>
      <c r="V387" s="428" t="str">
        <f>VLOOKUP(H387,'Fund Utilization Report'!$A$4:$U$1800,4,FALSE)</f>
        <v>GAS(GMS)</v>
      </c>
      <c r="W387" s="428" t="str">
        <f>VLOOKUP(H387,'Fund Utilization Report'!$A$4:$U$1800,5,FALSE)</f>
        <v>01101101</v>
      </c>
      <c r="X387" s="428" t="str">
        <f>VLOOKUP(H387,'Fund Utilization Report'!$A$4:$U$1800,6,FALSE)</f>
        <v>GOP</v>
      </c>
      <c r="Y387" s="320" t="str">
        <f>VLOOKUP(H387,'Fund Utilization Report'!$A$4:$U$1800,7,FALSE)</f>
        <v>MOOE</v>
      </c>
      <c r="Z387" s="425">
        <f>VLOOKUP(H387,'Fund Utilization Report'!$A$4:$U$1800,8,FALSE)</f>
        <v>5020000000</v>
      </c>
      <c r="AA387" s="428" t="str">
        <f>VLOOKUP(H387,'Fund Utilization Report'!$A$4:$U$1800,14,FALSE)</f>
        <v>100000100001000</v>
      </c>
      <c r="AB387" s="349" t="str">
        <f>VLOOKUP(H387,'Fund Utilization Report'!$A$4:$U$1800,15,FALSE)</f>
        <v>General Administration and Supervision - General Management and Supervision</v>
      </c>
      <c r="AC387" s="39"/>
      <c r="AD387" s="34"/>
      <c r="AE387" s="39"/>
      <c r="AF387" s="51"/>
      <c r="AG387" s="40"/>
      <c r="AH387" s="40"/>
    </row>
    <row r="388" spans="1:34" s="32" customFormat="1" ht="27.6">
      <c r="A388" s="338" t="s">
        <v>942</v>
      </c>
      <c r="B388" s="338" t="s">
        <v>945</v>
      </c>
      <c r="C388" s="358">
        <v>44230</v>
      </c>
      <c r="D388" s="351" t="s">
        <v>1028</v>
      </c>
      <c r="E388" s="352" t="s">
        <v>1084</v>
      </c>
      <c r="F388" s="338">
        <v>0.64374999999999993</v>
      </c>
      <c r="G388" s="338">
        <v>0.65486111111111112</v>
      </c>
      <c r="H388" s="338" t="s">
        <v>961</v>
      </c>
      <c r="I388" s="353">
        <v>795</v>
      </c>
      <c r="J388" s="338" t="str">
        <f>IFERROR(VLOOKUP(I388,'Chart of accounts'!A:H,2,FALSE),"")</f>
        <v>50212990 00</v>
      </c>
      <c r="K388" s="338" t="str">
        <f>IFERROR(VLOOKUP(I388,'Chart of accounts'!A:H,3,FALSE),"")</f>
        <v>Other General Services</v>
      </c>
      <c r="L388" s="338" t="str">
        <f>IFERROR(VLOOKUP(I388,'Chart of accounts'!A:H,4,FALSE),"")</f>
        <v>50212990 00 - Other General Services (795)</v>
      </c>
      <c r="M388" s="361" t="s">
        <v>816</v>
      </c>
      <c r="N388" s="355" t="s">
        <v>1075</v>
      </c>
      <c r="O388" s="355" t="s">
        <v>1076</v>
      </c>
      <c r="P388" s="355"/>
      <c r="Q388" s="428">
        <v>5600</v>
      </c>
      <c r="R388" s="319">
        <f t="shared" si="6"/>
        <v>-5600</v>
      </c>
      <c r="S388" s="428" t="str">
        <f>VLOOKUP(H388,'Fund Utilization Report'!$A$4:$U$1800,13,FALSE)</f>
        <v>MOOE</v>
      </c>
      <c r="T388" s="428" t="str">
        <f>VLOOKUP(H388,'Fund Utilization Report'!$A$4:$U$1800,2,FALSE)</f>
        <v>GAA</v>
      </c>
      <c r="U388" s="428" t="str">
        <f>VLOOKUP(H388,'Fund Utilization Report'!$A$4:$U$1800,3,FALSE)</f>
        <v>FY2021, RA11518</v>
      </c>
      <c r="V388" s="428" t="str">
        <f>VLOOKUP(H388,'Fund Utilization Report'!$A$4:$U$1800,4,FALSE)</f>
        <v>GAS(GMS)</v>
      </c>
      <c r="W388" s="428" t="str">
        <f>VLOOKUP(H388,'Fund Utilization Report'!$A$4:$U$1800,5,FALSE)</f>
        <v>01101101</v>
      </c>
      <c r="X388" s="428" t="str">
        <f>VLOOKUP(H388,'Fund Utilization Report'!$A$4:$U$1800,6,FALSE)</f>
        <v>GOP</v>
      </c>
      <c r="Y388" s="320" t="str">
        <f>VLOOKUP(H388,'Fund Utilization Report'!$A$4:$U$1800,7,FALSE)</f>
        <v>MOOE</v>
      </c>
      <c r="Z388" s="425">
        <f>VLOOKUP(H388,'Fund Utilization Report'!$A$4:$U$1800,8,FALSE)</f>
        <v>5020000000</v>
      </c>
      <c r="AA388" s="428" t="str">
        <f>VLOOKUP(H388,'Fund Utilization Report'!$A$4:$U$1800,14,FALSE)</f>
        <v>100000100001000</v>
      </c>
      <c r="AB388" s="349" t="str">
        <f>VLOOKUP(H388,'Fund Utilization Report'!$A$4:$U$1800,15,FALSE)</f>
        <v>General Administration and Supervision - General Management and Supervision</v>
      </c>
      <c r="AC388" s="39"/>
      <c r="AD388" s="34"/>
      <c r="AE388" s="39"/>
      <c r="AF388" s="51"/>
      <c r="AG388" s="40"/>
      <c r="AH388" s="40"/>
    </row>
    <row r="389" spans="1:34" s="32" customFormat="1" ht="27.6">
      <c r="A389" s="338" t="s">
        <v>942</v>
      </c>
      <c r="B389" s="338" t="s">
        <v>945</v>
      </c>
      <c r="C389" s="358">
        <v>44231</v>
      </c>
      <c r="D389" s="351" t="s">
        <v>1028</v>
      </c>
      <c r="E389" s="352" t="s">
        <v>1085</v>
      </c>
      <c r="F389" s="338">
        <v>0.65138888888888891</v>
      </c>
      <c r="G389" s="338">
        <v>0.65486111111111112</v>
      </c>
      <c r="H389" s="338" t="s">
        <v>960</v>
      </c>
      <c r="I389" s="353">
        <v>701</v>
      </c>
      <c r="J389" s="338" t="str">
        <f>IFERROR(VLOOKUP(I389,'Chart of accounts'!A:H,2,FALSE),"")</f>
        <v>50101010 01</v>
      </c>
      <c r="K389" s="338" t="str">
        <f>IFERROR(VLOOKUP(I389,'Chart of accounts'!A:H,3,FALSE),"")</f>
        <v>Basic Salary - Civilian</v>
      </c>
      <c r="L389" s="338" t="str">
        <f>IFERROR(VLOOKUP(I389,'Chart of accounts'!A:H,4,FALSE),"")</f>
        <v>50101010 01 - Basic Salary - Civilian (701)</v>
      </c>
      <c r="M389" s="361">
        <v>1</v>
      </c>
      <c r="N389" s="355" t="s">
        <v>796</v>
      </c>
      <c r="O389" s="355" t="s">
        <v>1086</v>
      </c>
      <c r="P389" s="355"/>
      <c r="Q389" s="363">
        <v>3952.09</v>
      </c>
      <c r="R389" s="319">
        <f t="shared" si="6"/>
        <v>-3952.09</v>
      </c>
      <c r="S389" s="428" t="str">
        <f>VLOOKUP(H389,'Fund Utilization Report'!$A$4:$U$1800,13,FALSE)</f>
        <v>PS</v>
      </c>
      <c r="T389" s="428" t="str">
        <f>VLOOKUP(H389,'Fund Utilization Report'!$A$4:$U$1800,2,FALSE)</f>
        <v>GAA</v>
      </c>
      <c r="U389" s="428" t="str">
        <f>VLOOKUP(H389,'Fund Utilization Report'!$A$4:$U$1800,3,FALSE)</f>
        <v>FY2021, RA11518</v>
      </c>
      <c r="V389" s="428" t="str">
        <f>VLOOKUP(H389,'Fund Utilization Report'!$A$4:$U$1800,4,FALSE)</f>
        <v>GAS(GMS)</v>
      </c>
      <c r="W389" s="428" t="str">
        <f>VLOOKUP(H389,'Fund Utilization Report'!$A$4:$U$1800,5,FALSE)</f>
        <v>01101101</v>
      </c>
      <c r="X389" s="428" t="str">
        <f>VLOOKUP(H389,'Fund Utilization Report'!$A$4:$U$1800,6,FALSE)</f>
        <v>GOP</v>
      </c>
      <c r="Y389" s="320" t="str">
        <f>VLOOKUP(H389,'Fund Utilization Report'!$A$4:$U$1800,7,FALSE)</f>
        <v>PS</v>
      </c>
      <c r="Z389" s="425">
        <f>VLOOKUP(H389,'Fund Utilization Report'!$A$4:$U$1800,8,FALSE)</f>
        <v>5010000000</v>
      </c>
      <c r="AA389" s="428" t="str">
        <f>VLOOKUP(H389,'Fund Utilization Report'!$A$4:$U$1800,14,FALSE)</f>
        <v>100000100001000</v>
      </c>
      <c r="AB389" s="349" t="str">
        <f>VLOOKUP(H389,'Fund Utilization Report'!$A$4:$U$1800,15,FALSE)</f>
        <v>General Administration and Supervision - General Management and Supervision</v>
      </c>
      <c r="AC389" s="39"/>
      <c r="AD389" s="34"/>
      <c r="AE389" s="39"/>
      <c r="AF389" s="51"/>
      <c r="AG389" s="40"/>
      <c r="AH389" s="40"/>
    </row>
    <row r="390" spans="1:34" s="32" customFormat="1" ht="27.6">
      <c r="A390" s="338" t="s">
        <v>942</v>
      </c>
      <c r="B390" s="338" t="s">
        <v>945</v>
      </c>
      <c r="C390" s="358">
        <v>44231</v>
      </c>
      <c r="D390" s="351" t="s">
        <v>1028</v>
      </c>
      <c r="E390" s="352" t="s">
        <v>1085</v>
      </c>
      <c r="F390" s="338">
        <v>0.65138888888888891</v>
      </c>
      <c r="G390" s="338">
        <v>0.65486111111111112</v>
      </c>
      <c r="H390" s="338" t="s">
        <v>962</v>
      </c>
      <c r="I390" s="353">
        <v>731</v>
      </c>
      <c r="J390" s="338" t="str">
        <f>IFERROR(VLOOKUP(I390,'Chart of accounts'!A:H,2,FALSE),"")</f>
        <v>50103010 00</v>
      </c>
      <c r="K390" s="338" t="str">
        <f>IFERROR(VLOOKUP(I390,'Chart of accounts'!A:H,3,FALSE),"")</f>
        <v>Retirement and Life Insurance Premiums</v>
      </c>
      <c r="L390" s="338" t="str">
        <f>IFERROR(VLOOKUP(I390,'Chart of accounts'!A:H,4,FALSE),"")</f>
        <v>50103010 00 - Retirement and Life Insurance Premiums (731)</v>
      </c>
      <c r="M390" s="361">
        <v>1</v>
      </c>
      <c r="N390" s="355" t="s">
        <v>796</v>
      </c>
      <c r="O390" s="355" t="s">
        <v>1086</v>
      </c>
      <c r="P390" s="355"/>
      <c r="Q390" s="363">
        <v>242.64</v>
      </c>
      <c r="R390" s="319">
        <f t="shared" si="6"/>
        <v>-242.64</v>
      </c>
      <c r="S390" s="428" t="str">
        <f>VLOOKUP(H390,'Fund Utilization Report'!$A$4:$U$1800,13,FALSE)</f>
        <v>PS</v>
      </c>
      <c r="T390" s="428" t="str">
        <f>VLOOKUP(H390,'Fund Utilization Report'!$A$4:$U$1800,2,FALSE)</f>
        <v>GAA</v>
      </c>
      <c r="U390" s="428" t="str">
        <f>VLOOKUP(H390,'Fund Utilization Report'!$A$4:$U$1800,3,FALSE)</f>
        <v>FY2021, RA11518</v>
      </c>
      <c r="V390" s="428" t="str">
        <f>VLOOKUP(H390,'Fund Utilization Report'!$A$4:$U$1800,4,FALSE)</f>
        <v>GAS(GMS)</v>
      </c>
      <c r="W390" s="428" t="str">
        <f>VLOOKUP(H390,'Fund Utilization Report'!$A$4:$U$1800,5,FALSE)</f>
        <v>01101101</v>
      </c>
      <c r="X390" s="428" t="str">
        <f>VLOOKUP(H390,'Fund Utilization Report'!$A$4:$U$1800,6,FALSE)</f>
        <v>GOP</v>
      </c>
      <c r="Y390" s="320" t="str">
        <f>VLOOKUP(H390,'Fund Utilization Report'!$A$4:$U$1800,7,FALSE)</f>
        <v>RLIP</v>
      </c>
      <c r="Z390" s="425" t="str">
        <f>VLOOKUP(H390,'Fund Utilization Report'!$A$4:$U$1800,8,FALSE)</f>
        <v>50103010-00</v>
      </c>
      <c r="AA390" s="428" t="str">
        <f>VLOOKUP(H390,'Fund Utilization Report'!$A$4:$U$1800,14,FALSE)</f>
        <v>100000100001000</v>
      </c>
      <c r="AB390" s="349" t="str">
        <f>VLOOKUP(H390,'Fund Utilization Report'!$A$4:$U$1800,15,FALSE)</f>
        <v>General Administration and Supervision - General Management and Supervision</v>
      </c>
      <c r="AC390" s="39"/>
      <c r="AD390" s="34"/>
      <c r="AE390" s="39"/>
      <c r="AF390" s="51"/>
      <c r="AG390" s="40"/>
      <c r="AH390" s="40"/>
    </row>
    <row r="391" spans="1:34" s="32" customFormat="1" ht="27.6">
      <c r="A391" s="338" t="s">
        <v>942</v>
      </c>
      <c r="B391" s="338" t="s">
        <v>945</v>
      </c>
      <c r="C391" s="358">
        <v>44231</v>
      </c>
      <c r="D391" s="351" t="s">
        <v>1028</v>
      </c>
      <c r="E391" s="352" t="s">
        <v>1087</v>
      </c>
      <c r="F391" s="338">
        <v>0.65486111111111112</v>
      </c>
      <c r="G391" s="338">
        <v>0.65625</v>
      </c>
      <c r="H391" s="338" t="s">
        <v>982</v>
      </c>
      <c r="I391" s="353">
        <v>799</v>
      </c>
      <c r="J391" s="338" t="str">
        <f>IFERROR(VLOOKUP(I391,'Chart of accounts'!A:H,2,FALSE),"")</f>
        <v>50211990 00</v>
      </c>
      <c r="K391" s="338" t="str">
        <f>IFERROR(VLOOKUP(I391,'Chart of accounts'!A:H,3,FALSE),"")</f>
        <v>Other Professional Services</v>
      </c>
      <c r="L391" s="338" t="str">
        <f>IFERROR(VLOOKUP(I391,'Chart of accounts'!A:H,4,FALSE),"")</f>
        <v>50211990 00 - Other Professional Services (799)</v>
      </c>
      <c r="M391" s="361" t="s">
        <v>905</v>
      </c>
      <c r="N391" s="355" t="s">
        <v>843</v>
      </c>
      <c r="O391" s="355" t="s">
        <v>1076</v>
      </c>
      <c r="P391" s="355"/>
      <c r="Q391" s="428">
        <v>11158</v>
      </c>
      <c r="R391" s="319">
        <f t="shared" si="6"/>
        <v>-11158</v>
      </c>
      <c r="S391" s="428" t="str">
        <f>VLOOKUP(H391,'Fund Utilization Report'!$A$4:$U$1800,13,FALSE)</f>
        <v>MOOE</v>
      </c>
      <c r="T391" s="428" t="str">
        <f>VLOOKUP(H391,'Fund Utilization Report'!$A$4:$U$1800,2,FALSE)</f>
        <v>GAA</v>
      </c>
      <c r="U391" s="428" t="str">
        <f>VLOOKUP(H391,'Fund Utilization Report'!$A$4:$U$1800,3,FALSE)</f>
        <v>FY2021, RA11518</v>
      </c>
      <c r="V391" s="428" t="str">
        <f>VLOOKUP(H391,'Fund Utilization Report'!$A$4:$U$1800,4,FALSE)</f>
        <v>OTOP</v>
      </c>
      <c r="W391" s="428" t="str">
        <f>VLOOKUP(H391,'Fund Utilization Report'!$A$4:$U$1800,5,FALSE)</f>
        <v>01101101</v>
      </c>
      <c r="X391" s="428" t="str">
        <f>VLOOKUP(H391,'Fund Utilization Report'!$A$4:$U$1800,6,FALSE)</f>
        <v>GOP</v>
      </c>
      <c r="Y391" s="320" t="str">
        <f>VLOOKUP(H391,'Fund Utilization Report'!$A$4:$U$1800,7,FALSE)</f>
        <v>MOOE</v>
      </c>
      <c r="Z391" s="425">
        <f>VLOOKUP(H391,'Fund Utilization Report'!$A$4:$U$1800,8,FALSE)</f>
        <v>5020000000</v>
      </c>
      <c r="AA391" s="428" t="str">
        <f>VLOOKUP(H391,'Fund Utilization Report'!$A$4:$U$1800,14,FALSE)</f>
        <v>330100200002000</v>
      </c>
      <c r="AB391" s="349" t="str">
        <f>VLOOKUP(H391,'Fund Utilization Report'!$A$4:$U$1800,15,FALSE)</f>
        <v>OTOP - Next Generation</v>
      </c>
      <c r="AC391" s="39"/>
      <c r="AD391" s="34"/>
      <c r="AE391" s="39"/>
      <c r="AF391" s="51"/>
      <c r="AG391" s="40"/>
      <c r="AH391" s="40"/>
    </row>
    <row r="392" spans="1:34" s="32" customFormat="1" ht="27.6">
      <c r="A392" s="338" t="s">
        <v>942</v>
      </c>
      <c r="B392" s="338" t="s">
        <v>945</v>
      </c>
      <c r="C392" s="358">
        <v>44231</v>
      </c>
      <c r="D392" s="351" t="s">
        <v>1028</v>
      </c>
      <c r="E392" s="352" t="s">
        <v>1087</v>
      </c>
      <c r="F392" s="338">
        <v>0.65486111111111112</v>
      </c>
      <c r="G392" s="338">
        <v>0.65625</v>
      </c>
      <c r="H392" s="338" t="s">
        <v>985</v>
      </c>
      <c r="I392" s="353">
        <v>799</v>
      </c>
      <c r="J392" s="338" t="str">
        <f>IFERROR(VLOOKUP(I392,'Chart of accounts'!A:H,2,FALSE),"")</f>
        <v>50211990 00</v>
      </c>
      <c r="K392" s="338" t="str">
        <f>IFERROR(VLOOKUP(I392,'Chart of accounts'!A:H,3,FALSE),"")</f>
        <v>Other Professional Services</v>
      </c>
      <c r="L392" s="338" t="str">
        <f>IFERROR(VLOOKUP(I392,'Chart of accounts'!A:H,4,FALSE),"")</f>
        <v>50211990 00 - Other Professional Services (799)</v>
      </c>
      <c r="M392" s="361" t="s">
        <v>7</v>
      </c>
      <c r="N392" s="355" t="s">
        <v>843</v>
      </c>
      <c r="O392" s="355" t="s">
        <v>1076</v>
      </c>
      <c r="P392" s="355"/>
      <c r="Q392" s="428">
        <v>10000</v>
      </c>
      <c r="R392" s="319">
        <f t="shared" si="6"/>
        <v>-10000</v>
      </c>
      <c r="S392" s="428" t="str">
        <f>VLOOKUP(H392,'Fund Utilization Report'!$A$4:$U$1800,13,FALSE)</f>
        <v>MOOE</v>
      </c>
      <c r="T392" s="428" t="str">
        <f>VLOOKUP(H392,'Fund Utilization Report'!$A$4:$U$1800,2,FALSE)</f>
        <v>GAA</v>
      </c>
      <c r="U392" s="428" t="str">
        <f>VLOOKUP(H392,'Fund Utilization Report'!$A$4:$U$1800,3,FALSE)</f>
        <v>FY2021, RA11518</v>
      </c>
      <c r="V392" s="428" t="str">
        <f>VLOOKUP(H392,'Fund Utilization Report'!$A$4:$U$1800,4,FALSE)</f>
        <v>LSP-PBG</v>
      </c>
      <c r="W392" s="428" t="str">
        <f>VLOOKUP(H392,'Fund Utilization Report'!$A$4:$U$1800,5,FALSE)</f>
        <v>01101101</v>
      </c>
      <c r="X392" s="428" t="str">
        <f>VLOOKUP(H392,'Fund Utilization Report'!$A$4:$U$1800,6,FALSE)</f>
        <v>GOP</v>
      </c>
      <c r="Y392" s="320" t="str">
        <f>VLOOKUP(H392,'Fund Utilization Report'!$A$4:$U$1800,7,FALSE)</f>
        <v>MOOE</v>
      </c>
      <c r="Z392" s="425">
        <f>VLOOKUP(H392,'Fund Utilization Report'!$A$4:$U$1800,8,FALSE)</f>
        <v>5020000000</v>
      </c>
      <c r="AA392" s="428" t="str">
        <f>VLOOKUP(H392,'Fund Utilization Report'!$A$4:$U$1800,14,FALSE)</f>
        <v>330100200004000</v>
      </c>
      <c r="AB392" s="349" t="str">
        <f>VLOOKUP(H392,'Fund Utilization Report'!$A$4:$U$1800,15,FALSE)</f>
        <v>MSME Development Program : Livelihood Seeding Program and Pangkabuhayan sa Pagbangon at Ginhawa</v>
      </c>
      <c r="AC392" s="39"/>
      <c r="AD392" s="34"/>
      <c r="AE392" s="39"/>
      <c r="AF392" s="51"/>
      <c r="AG392" s="40"/>
      <c r="AH392" s="40"/>
    </row>
    <row r="393" spans="1:34" s="32" customFormat="1" ht="27.6">
      <c r="A393" s="338" t="s">
        <v>942</v>
      </c>
      <c r="B393" s="338" t="s">
        <v>945</v>
      </c>
      <c r="C393" s="358">
        <v>44231</v>
      </c>
      <c r="D393" s="351" t="s">
        <v>1028</v>
      </c>
      <c r="E393" s="352" t="s">
        <v>1087</v>
      </c>
      <c r="F393" s="338">
        <v>0.65486111111111112</v>
      </c>
      <c r="G393" s="338">
        <v>0.65625</v>
      </c>
      <c r="H393" s="338" t="s">
        <v>971</v>
      </c>
      <c r="I393" s="353">
        <v>795</v>
      </c>
      <c r="J393" s="338" t="str">
        <f>IFERROR(VLOOKUP(I393,'Chart of accounts'!A:H,2,FALSE),"")</f>
        <v>50212990 00</v>
      </c>
      <c r="K393" s="338" t="str">
        <f>IFERROR(VLOOKUP(I393,'Chart of accounts'!A:H,3,FALSE),"")</f>
        <v>Other General Services</v>
      </c>
      <c r="L393" s="338" t="str">
        <f>IFERROR(VLOOKUP(I393,'Chart of accounts'!A:H,4,FALSE),"")</f>
        <v>50212990 00 - Other General Services (795)</v>
      </c>
      <c r="M393" s="361" t="s">
        <v>812</v>
      </c>
      <c r="N393" s="355" t="s">
        <v>843</v>
      </c>
      <c r="O393" s="355" t="s">
        <v>1076</v>
      </c>
      <c r="P393" s="355"/>
      <c r="Q393" s="428">
        <v>15000</v>
      </c>
      <c r="R393" s="319">
        <f t="shared" si="6"/>
        <v>-15000</v>
      </c>
      <c r="S393" s="428" t="str">
        <f>VLOOKUP(H393,'Fund Utilization Report'!$A$4:$U$1800,13,FALSE)</f>
        <v>MOOE</v>
      </c>
      <c r="T393" s="428" t="str">
        <f>VLOOKUP(H393,'Fund Utilization Report'!$A$4:$U$1800,2,FALSE)</f>
        <v>GAA</v>
      </c>
      <c r="U393" s="428" t="str">
        <f>VLOOKUP(H393,'Fund Utilization Report'!$A$4:$U$1800,3,FALSE)</f>
        <v>FY2021, RA11518</v>
      </c>
      <c r="V393" s="428" t="str">
        <f>VLOOKUP(H393,'Fund Utilization Report'!$A$4:$U$1800,4,FALSE)</f>
        <v>OO3</v>
      </c>
      <c r="W393" s="428" t="str">
        <f>VLOOKUP(H393,'Fund Utilization Report'!$A$4:$U$1800,5,FALSE)</f>
        <v>01101101</v>
      </c>
      <c r="X393" s="428" t="str">
        <f>VLOOKUP(H393,'Fund Utilization Report'!$A$4:$U$1800,6,FALSE)</f>
        <v>GOP</v>
      </c>
      <c r="Y393" s="320" t="str">
        <f>VLOOKUP(H393,'Fund Utilization Report'!$A$4:$U$1800,7,FALSE)</f>
        <v>MOOE</v>
      </c>
      <c r="Z393" s="425">
        <f>VLOOKUP(H393,'Fund Utilization Report'!$A$4:$U$1800,8,FALSE)</f>
        <v>5020000000</v>
      </c>
      <c r="AA393" s="428" t="str">
        <f>VLOOKUP(H393,'Fund Utilization Report'!$A$4:$U$1800,14,FALSE)</f>
        <v>330100100002000</v>
      </c>
      <c r="AB393" s="349" t="str">
        <f>VLOOKUP(H393,'Fund Utilization Report'!$A$4:$U$1800,15,FALSE)</f>
        <v>Implementation of the MSME Development Plan and other initiatives to promote the growth of Micro, Small and Medium Enterprises</v>
      </c>
      <c r="AC393" s="39"/>
      <c r="AD393" s="34"/>
      <c r="AE393" s="39"/>
      <c r="AF393" s="51"/>
      <c r="AG393" s="40"/>
      <c r="AH393" s="40"/>
    </row>
    <row r="394" spans="1:34" s="32" customFormat="1">
      <c r="A394" s="338" t="s">
        <v>942</v>
      </c>
      <c r="B394" s="338" t="s">
        <v>945</v>
      </c>
      <c r="C394" s="358">
        <v>44231</v>
      </c>
      <c r="D394" s="351" t="s">
        <v>1028</v>
      </c>
      <c r="E394" s="352" t="s">
        <v>1088</v>
      </c>
      <c r="F394" s="338">
        <v>0.70277777777777783</v>
      </c>
      <c r="G394" s="338">
        <v>0.70624999999999993</v>
      </c>
      <c r="H394" s="338" t="s">
        <v>980</v>
      </c>
      <c r="I394" s="353">
        <v>799</v>
      </c>
      <c r="J394" s="338" t="str">
        <f>IFERROR(VLOOKUP(I394,'Chart of accounts'!A:H,2,FALSE),"")</f>
        <v>50211990 00</v>
      </c>
      <c r="K394" s="338" t="str">
        <f>IFERROR(VLOOKUP(I394,'Chart of accounts'!A:H,3,FALSE),"")</f>
        <v>Other Professional Services</v>
      </c>
      <c r="L394" s="338" t="str">
        <f>IFERROR(VLOOKUP(I394,'Chart of accounts'!A:H,4,FALSE),"")</f>
        <v>50211990 00 - Other Professional Services (799)</v>
      </c>
      <c r="M394" s="361">
        <v>2</v>
      </c>
      <c r="N394" s="355" t="s">
        <v>818</v>
      </c>
      <c r="O394" s="355" t="s">
        <v>1089</v>
      </c>
      <c r="P394" s="355"/>
      <c r="Q394" s="363">
        <v>546300</v>
      </c>
      <c r="R394" s="319">
        <f t="shared" si="6"/>
        <v>-546300</v>
      </c>
      <c r="S394" s="428" t="str">
        <f>VLOOKUP(H394,'Fund Utilization Report'!$A$4:$U$1800,13,FALSE)</f>
        <v>MOOE</v>
      </c>
      <c r="T394" s="428" t="str">
        <f>VLOOKUP(H394,'Fund Utilization Report'!$A$4:$U$1800,2,FALSE)</f>
        <v>GAA</v>
      </c>
      <c r="U394" s="428" t="str">
        <f>VLOOKUP(H394,'Fund Utilization Report'!$A$4:$U$1800,3,FALSE)</f>
        <v>FY2021, RA11518</v>
      </c>
      <c r="V394" s="428" t="str">
        <f>VLOOKUP(H394,'Fund Utilization Report'!$A$4:$U$1800,4,FALSE)</f>
        <v>NC</v>
      </c>
      <c r="W394" s="428" t="str">
        <f>VLOOKUP(H394,'Fund Utilization Report'!$A$4:$U$1800,5,FALSE)</f>
        <v>01101101</v>
      </c>
      <c r="X394" s="428" t="str">
        <f>VLOOKUP(H394,'Fund Utilization Report'!$A$4:$U$1800,6,FALSE)</f>
        <v>GOP</v>
      </c>
      <c r="Y394" s="320" t="str">
        <f>VLOOKUP(H394,'Fund Utilization Report'!$A$4:$U$1800,7,FALSE)</f>
        <v>MOOE</v>
      </c>
      <c r="Z394" s="425">
        <f>VLOOKUP(H394,'Fund Utilization Report'!$A$4:$U$1800,8,FALSE)</f>
        <v>5020000000</v>
      </c>
      <c r="AA394" s="428" t="str">
        <f>VLOOKUP(H394,'Fund Utilization Report'!$A$4:$U$1800,14,FALSE)</f>
        <v>330100200001000</v>
      </c>
      <c r="AB394" s="349" t="str">
        <f>VLOOKUP(H394,'Fund Utilization Report'!$A$4:$U$1800,15,FALSE)</f>
        <v>Establishment of Negosyo Centers</v>
      </c>
      <c r="AC394" s="39"/>
      <c r="AD394" s="34"/>
      <c r="AE394" s="39"/>
      <c r="AF394" s="51"/>
      <c r="AG394" s="40"/>
      <c r="AH394" s="40"/>
    </row>
    <row r="395" spans="1:34" s="32" customFormat="1">
      <c r="A395" s="338" t="s">
        <v>942</v>
      </c>
      <c r="B395" s="338" t="s">
        <v>945</v>
      </c>
      <c r="C395" s="358">
        <v>44231</v>
      </c>
      <c r="D395" s="351" t="s">
        <v>1028</v>
      </c>
      <c r="E395" s="352" t="s">
        <v>1088</v>
      </c>
      <c r="F395" s="338">
        <v>0.70277777777777783</v>
      </c>
      <c r="G395" s="338">
        <v>0.70624999999999993</v>
      </c>
      <c r="H395" s="338" t="s">
        <v>981</v>
      </c>
      <c r="I395" s="353">
        <v>221</v>
      </c>
      <c r="J395" s="338" t="str">
        <f>IFERROR(VLOOKUP(I395,'Chart of accounts'!A:H,2,FALSE),"")</f>
        <v>10605020 00</v>
      </c>
      <c r="K395" s="338" t="str">
        <f>IFERROR(VLOOKUP(I395,'Chart of accounts'!A:H,3,FALSE),"")</f>
        <v>Office Equipment</v>
      </c>
      <c r="L395" s="338" t="str">
        <f>IFERROR(VLOOKUP(I395,'Chart of accounts'!A:H,4,FALSE),"")</f>
        <v>10605020 00 - Office Equipment (221)</v>
      </c>
      <c r="M395" s="361">
        <v>2</v>
      </c>
      <c r="N395" s="355" t="s">
        <v>818</v>
      </c>
      <c r="O395" s="355" t="s">
        <v>1089</v>
      </c>
      <c r="P395" s="355"/>
      <c r="Q395" s="363">
        <v>500000</v>
      </c>
      <c r="R395" s="319">
        <f t="shared" si="6"/>
        <v>-500000</v>
      </c>
      <c r="S395" s="428" t="str">
        <f>VLOOKUP(H395,'Fund Utilization Report'!$A$4:$U$1800,13,FALSE)</f>
        <v>CO</v>
      </c>
      <c r="T395" s="428" t="str">
        <f>VLOOKUP(H395,'Fund Utilization Report'!$A$4:$U$1800,2,FALSE)</f>
        <v>GAA</v>
      </c>
      <c r="U395" s="428" t="str">
        <f>VLOOKUP(H395,'Fund Utilization Report'!$A$4:$U$1800,3,FALSE)</f>
        <v>FY2021, RA11518</v>
      </c>
      <c r="V395" s="428" t="str">
        <f>VLOOKUP(H395,'Fund Utilization Report'!$A$4:$U$1800,4,FALSE)</f>
        <v>NC</v>
      </c>
      <c r="W395" s="428" t="str">
        <f>VLOOKUP(H395,'Fund Utilization Report'!$A$4:$U$1800,5,FALSE)</f>
        <v>01101101</v>
      </c>
      <c r="X395" s="428" t="str">
        <f>VLOOKUP(H395,'Fund Utilization Report'!$A$4:$U$1800,6,FALSE)</f>
        <v>GOP</v>
      </c>
      <c r="Y395" s="320" t="str">
        <f>VLOOKUP(H395,'Fund Utilization Report'!$A$4:$U$1800,7,FALSE)</f>
        <v>CO</v>
      </c>
      <c r="Z395" s="425">
        <f>VLOOKUP(H395,'Fund Utilization Report'!$A$4:$U$1800,8,FALSE)</f>
        <v>5060000000</v>
      </c>
      <c r="AA395" s="428" t="str">
        <f>VLOOKUP(H395,'Fund Utilization Report'!$A$4:$U$1800,14,FALSE)</f>
        <v>330100200001000</v>
      </c>
      <c r="AB395" s="349" t="str">
        <f>VLOOKUP(H395,'Fund Utilization Report'!$A$4:$U$1800,15,FALSE)</f>
        <v>Establishment of Negosyo Centers</v>
      </c>
      <c r="AC395" s="39"/>
      <c r="AD395" s="34"/>
      <c r="AE395" s="39"/>
      <c r="AF395" s="51"/>
      <c r="AG395" s="40"/>
      <c r="AH395" s="40"/>
    </row>
    <row r="396" spans="1:34" s="32" customFormat="1">
      <c r="A396" s="338" t="s">
        <v>942</v>
      </c>
      <c r="B396" s="338" t="s">
        <v>945</v>
      </c>
      <c r="C396" s="358">
        <v>44231</v>
      </c>
      <c r="D396" s="351" t="s">
        <v>1028</v>
      </c>
      <c r="E396" s="352" t="s">
        <v>1090</v>
      </c>
      <c r="F396" s="338">
        <v>0.70624999999999993</v>
      </c>
      <c r="G396" s="338">
        <v>0.70624999999999993</v>
      </c>
      <c r="H396" s="338" t="s">
        <v>980</v>
      </c>
      <c r="I396" s="353">
        <v>799</v>
      </c>
      <c r="J396" s="338" t="str">
        <f>IFERROR(VLOOKUP(I396,'Chart of accounts'!A:H,2,FALSE),"")</f>
        <v>50211990 00</v>
      </c>
      <c r="K396" s="338" t="str">
        <f>IFERROR(VLOOKUP(I396,'Chart of accounts'!A:H,3,FALSE),"")</f>
        <v>Other Professional Services</v>
      </c>
      <c r="L396" s="338" t="str">
        <f>IFERROR(VLOOKUP(I396,'Chart of accounts'!A:H,4,FALSE),"")</f>
        <v>50211990 00 - Other Professional Services (799)</v>
      </c>
      <c r="M396" s="361">
        <v>3</v>
      </c>
      <c r="N396" s="355" t="s">
        <v>820</v>
      </c>
      <c r="O396" s="355" t="s">
        <v>1089</v>
      </c>
      <c r="P396" s="355"/>
      <c r="Q396" s="363">
        <v>535050</v>
      </c>
      <c r="R396" s="319">
        <f t="shared" si="6"/>
        <v>-535050</v>
      </c>
      <c r="S396" s="428" t="str">
        <f>VLOOKUP(H396,'Fund Utilization Report'!$A$4:$U$1800,13,FALSE)</f>
        <v>MOOE</v>
      </c>
      <c r="T396" s="428" t="str">
        <f>VLOOKUP(H396,'Fund Utilization Report'!$A$4:$U$1800,2,FALSE)</f>
        <v>GAA</v>
      </c>
      <c r="U396" s="428" t="str">
        <f>VLOOKUP(H396,'Fund Utilization Report'!$A$4:$U$1800,3,FALSE)</f>
        <v>FY2021, RA11518</v>
      </c>
      <c r="V396" s="428" t="str">
        <f>VLOOKUP(H396,'Fund Utilization Report'!$A$4:$U$1800,4,FALSE)</f>
        <v>NC</v>
      </c>
      <c r="W396" s="428" t="str">
        <f>VLOOKUP(H396,'Fund Utilization Report'!$A$4:$U$1800,5,FALSE)</f>
        <v>01101101</v>
      </c>
      <c r="X396" s="428" t="str">
        <f>VLOOKUP(H396,'Fund Utilization Report'!$A$4:$U$1800,6,FALSE)</f>
        <v>GOP</v>
      </c>
      <c r="Y396" s="320" t="str">
        <f>VLOOKUP(H396,'Fund Utilization Report'!$A$4:$U$1800,7,FALSE)</f>
        <v>MOOE</v>
      </c>
      <c r="Z396" s="425">
        <f>VLOOKUP(H396,'Fund Utilization Report'!$A$4:$U$1800,8,FALSE)</f>
        <v>5020000000</v>
      </c>
      <c r="AA396" s="428" t="str">
        <f>VLOOKUP(H396,'Fund Utilization Report'!$A$4:$U$1800,14,FALSE)</f>
        <v>330100200001000</v>
      </c>
      <c r="AB396" s="349" t="str">
        <f>VLOOKUP(H396,'Fund Utilization Report'!$A$4:$U$1800,15,FALSE)</f>
        <v>Establishment of Negosyo Centers</v>
      </c>
      <c r="AC396" s="39"/>
      <c r="AD396" s="34"/>
      <c r="AE396" s="39"/>
      <c r="AF396" s="51"/>
      <c r="AG396" s="40"/>
      <c r="AH396" s="40"/>
    </row>
    <row r="397" spans="1:34" s="32" customFormat="1">
      <c r="A397" s="338" t="s">
        <v>942</v>
      </c>
      <c r="B397" s="338" t="s">
        <v>945</v>
      </c>
      <c r="C397" s="358">
        <v>44231</v>
      </c>
      <c r="D397" s="351" t="s">
        <v>1028</v>
      </c>
      <c r="E397" s="352" t="s">
        <v>1091</v>
      </c>
      <c r="F397" s="338">
        <v>0.70624999999999993</v>
      </c>
      <c r="G397" s="338">
        <v>0.70694444444444438</v>
      </c>
      <c r="H397" s="338" t="s">
        <v>980</v>
      </c>
      <c r="I397" s="353">
        <v>799</v>
      </c>
      <c r="J397" s="338" t="str">
        <f>IFERROR(VLOOKUP(I397,'Chart of accounts'!A:H,2,FALSE),"")</f>
        <v>50211990 00</v>
      </c>
      <c r="K397" s="338" t="str">
        <f>IFERROR(VLOOKUP(I397,'Chart of accounts'!A:H,3,FALSE),"")</f>
        <v>Other Professional Services</v>
      </c>
      <c r="L397" s="338" t="str">
        <f>IFERROR(VLOOKUP(I397,'Chart of accounts'!A:H,4,FALSE),"")</f>
        <v>50211990 00 - Other Professional Services (799)</v>
      </c>
      <c r="M397" s="361">
        <v>68</v>
      </c>
      <c r="N397" s="355" t="s">
        <v>821</v>
      </c>
      <c r="O397" s="355" t="s">
        <v>1089</v>
      </c>
      <c r="P397" s="355"/>
      <c r="Q397" s="363">
        <v>463500</v>
      </c>
      <c r="R397" s="319">
        <f t="shared" si="6"/>
        <v>-463500</v>
      </c>
      <c r="S397" s="428" t="str">
        <f>VLOOKUP(H397,'Fund Utilization Report'!$A$4:$U$1800,13,FALSE)</f>
        <v>MOOE</v>
      </c>
      <c r="T397" s="428" t="str">
        <f>VLOOKUP(H397,'Fund Utilization Report'!$A$4:$U$1800,2,FALSE)</f>
        <v>GAA</v>
      </c>
      <c r="U397" s="428" t="str">
        <f>VLOOKUP(H397,'Fund Utilization Report'!$A$4:$U$1800,3,FALSE)</f>
        <v>FY2021, RA11518</v>
      </c>
      <c r="V397" s="428" t="str">
        <f>VLOOKUP(H397,'Fund Utilization Report'!$A$4:$U$1800,4,FALSE)</f>
        <v>NC</v>
      </c>
      <c r="W397" s="428" t="str">
        <f>VLOOKUP(H397,'Fund Utilization Report'!$A$4:$U$1800,5,FALSE)</f>
        <v>01101101</v>
      </c>
      <c r="X397" s="428" t="str">
        <f>VLOOKUP(H397,'Fund Utilization Report'!$A$4:$U$1800,6,FALSE)</f>
        <v>GOP</v>
      </c>
      <c r="Y397" s="320" t="str">
        <f>VLOOKUP(H397,'Fund Utilization Report'!$A$4:$U$1800,7,FALSE)</f>
        <v>MOOE</v>
      </c>
      <c r="Z397" s="425">
        <f>VLOOKUP(H397,'Fund Utilization Report'!$A$4:$U$1800,8,FALSE)</f>
        <v>5020000000</v>
      </c>
      <c r="AA397" s="428" t="str">
        <f>VLOOKUP(H397,'Fund Utilization Report'!$A$4:$U$1800,14,FALSE)</f>
        <v>330100200001000</v>
      </c>
      <c r="AB397" s="349" t="str">
        <f>VLOOKUP(H397,'Fund Utilization Report'!$A$4:$U$1800,15,FALSE)</f>
        <v>Establishment of Negosyo Centers</v>
      </c>
      <c r="AC397" s="39"/>
      <c r="AD397" s="34"/>
      <c r="AE397" s="39"/>
      <c r="AF397" s="51"/>
      <c r="AG397" s="40"/>
      <c r="AH397" s="40"/>
    </row>
    <row r="398" spans="1:34" s="32" customFormat="1">
      <c r="A398" s="338" t="s">
        <v>942</v>
      </c>
      <c r="B398" s="338" t="s">
        <v>945</v>
      </c>
      <c r="C398" s="358">
        <v>44231</v>
      </c>
      <c r="D398" s="351" t="s">
        <v>1028</v>
      </c>
      <c r="E398" s="352" t="s">
        <v>1091</v>
      </c>
      <c r="F398" s="338">
        <v>0.70624999999999993</v>
      </c>
      <c r="G398" s="338">
        <v>0.70694444444444438</v>
      </c>
      <c r="H398" s="338" t="s">
        <v>981</v>
      </c>
      <c r="I398" s="353">
        <v>221</v>
      </c>
      <c r="J398" s="338" t="str">
        <f>IFERROR(VLOOKUP(I398,'Chart of accounts'!A:H,2,FALSE),"")</f>
        <v>10605020 00</v>
      </c>
      <c r="K398" s="338" t="str">
        <f>IFERROR(VLOOKUP(I398,'Chart of accounts'!A:H,3,FALSE),"")</f>
        <v>Office Equipment</v>
      </c>
      <c r="L398" s="338" t="str">
        <f>IFERROR(VLOOKUP(I398,'Chart of accounts'!A:H,4,FALSE),"")</f>
        <v>10605020 00 - Office Equipment (221)</v>
      </c>
      <c r="M398" s="361">
        <v>68</v>
      </c>
      <c r="N398" s="355" t="s">
        <v>821</v>
      </c>
      <c r="O398" s="355" t="s">
        <v>1089</v>
      </c>
      <c r="P398" s="355"/>
      <c r="Q398" s="363">
        <v>500000</v>
      </c>
      <c r="R398" s="319">
        <f t="shared" si="6"/>
        <v>-500000</v>
      </c>
      <c r="S398" s="428" t="str">
        <f>VLOOKUP(H398,'Fund Utilization Report'!$A$4:$U$1800,13,FALSE)</f>
        <v>CO</v>
      </c>
      <c r="T398" s="428" t="str">
        <f>VLOOKUP(H398,'Fund Utilization Report'!$A$4:$U$1800,2,FALSE)</f>
        <v>GAA</v>
      </c>
      <c r="U398" s="428" t="str">
        <f>VLOOKUP(H398,'Fund Utilization Report'!$A$4:$U$1800,3,FALSE)</f>
        <v>FY2021, RA11518</v>
      </c>
      <c r="V398" s="428" t="str">
        <f>VLOOKUP(H398,'Fund Utilization Report'!$A$4:$U$1800,4,FALSE)</f>
        <v>NC</v>
      </c>
      <c r="W398" s="428" t="str">
        <f>VLOOKUP(H398,'Fund Utilization Report'!$A$4:$U$1800,5,FALSE)</f>
        <v>01101101</v>
      </c>
      <c r="X398" s="428" t="str">
        <f>VLOOKUP(H398,'Fund Utilization Report'!$A$4:$U$1800,6,FALSE)</f>
        <v>GOP</v>
      </c>
      <c r="Y398" s="320" t="str">
        <f>VLOOKUP(H398,'Fund Utilization Report'!$A$4:$U$1800,7,FALSE)</f>
        <v>CO</v>
      </c>
      <c r="Z398" s="425">
        <f>VLOOKUP(H398,'Fund Utilization Report'!$A$4:$U$1800,8,FALSE)</f>
        <v>5060000000</v>
      </c>
      <c r="AA398" s="428" t="str">
        <f>VLOOKUP(H398,'Fund Utilization Report'!$A$4:$U$1800,14,FALSE)</f>
        <v>330100200001000</v>
      </c>
      <c r="AB398" s="349" t="str">
        <f>VLOOKUP(H398,'Fund Utilization Report'!$A$4:$U$1800,15,FALSE)</f>
        <v>Establishment of Negosyo Centers</v>
      </c>
      <c r="AC398" s="39"/>
      <c r="AD398" s="34"/>
      <c r="AE398" s="39"/>
      <c r="AF398" s="51"/>
      <c r="AG398" s="40"/>
      <c r="AH398" s="40"/>
    </row>
    <row r="399" spans="1:34" s="32" customFormat="1">
      <c r="A399" s="338" t="s">
        <v>942</v>
      </c>
      <c r="B399" s="338" t="s">
        <v>945</v>
      </c>
      <c r="C399" s="358">
        <v>44231</v>
      </c>
      <c r="D399" s="351" t="s">
        <v>1028</v>
      </c>
      <c r="E399" s="352" t="s">
        <v>1092</v>
      </c>
      <c r="F399" s="338">
        <v>0.70694444444444438</v>
      </c>
      <c r="G399" s="338">
        <v>0.70833333333333337</v>
      </c>
      <c r="H399" s="338" t="s">
        <v>980</v>
      </c>
      <c r="I399" s="353">
        <v>799</v>
      </c>
      <c r="J399" s="338" t="str">
        <f>IFERROR(VLOOKUP(I399,'Chart of accounts'!A:H,2,FALSE),"")</f>
        <v>50211990 00</v>
      </c>
      <c r="K399" s="338" t="str">
        <f>IFERROR(VLOOKUP(I399,'Chart of accounts'!A:H,3,FALSE),"")</f>
        <v>Other Professional Services</v>
      </c>
      <c r="L399" s="338" t="str">
        <f>IFERROR(VLOOKUP(I399,'Chart of accounts'!A:H,4,FALSE),"")</f>
        <v>50211990 00 - Other Professional Services (799)</v>
      </c>
      <c r="M399" s="361">
        <v>67</v>
      </c>
      <c r="N399" s="355" t="s">
        <v>822</v>
      </c>
      <c r="O399" s="355" t="s">
        <v>1089</v>
      </c>
      <c r="P399" s="355"/>
      <c r="Q399" s="363">
        <v>370350</v>
      </c>
      <c r="R399" s="319">
        <f t="shared" si="6"/>
        <v>-370350</v>
      </c>
      <c r="S399" s="428" t="str">
        <f>VLOOKUP(H399,'Fund Utilization Report'!$A$4:$U$1800,13,FALSE)</f>
        <v>MOOE</v>
      </c>
      <c r="T399" s="428" t="str">
        <f>VLOOKUP(H399,'Fund Utilization Report'!$A$4:$U$1800,2,FALSE)</f>
        <v>GAA</v>
      </c>
      <c r="U399" s="428" t="str">
        <f>VLOOKUP(H399,'Fund Utilization Report'!$A$4:$U$1800,3,FALSE)</f>
        <v>FY2021, RA11518</v>
      </c>
      <c r="V399" s="428" t="str">
        <f>VLOOKUP(H399,'Fund Utilization Report'!$A$4:$U$1800,4,FALSE)</f>
        <v>NC</v>
      </c>
      <c r="W399" s="428" t="str">
        <f>VLOOKUP(H399,'Fund Utilization Report'!$A$4:$U$1800,5,FALSE)</f>
        <v>01101101</v>
      </c>
      <c r="X399" s="428" t="str">
        <f>VLOOKUP(H399,'Fund Utilization Report'!$A$4:$U$1800,6,FALSE)</f>
        <v>GOP</v>
      </c>
      <c r="Y399" s="320" t="str">
        <f>VLOOKUP(H399,'Fund Utilization Report'!$A$4:$U$1800,7,FALSE)</f>
        <v>MOOE</v>
      </c>
      <c r="Z399" s="425">
        <f>VLOOKUP(H399,'Fund Utilization Report'!$A$4:$U$1800,8,FALSE)</f>
        <v>5020000000</v>
      </c>
      <c r="AA399" s="428" t="str">
        <f>VLOOKUP(H399,'Fund Utilization Report'!$A$4:$U$1800,14,FALSE)</f>
        <v>330100200001000</v>
      </c>
      <c r="AB399" s="349" t="str">
        <f>VLOOKUP(H399,'Fund Utilization Report'!$A$4:$U$1800,15,FALSE)</f>
        <v>Establishment of Negosyo Centers</v>
      </c>
      <c r="AC399" s="39"/>
      <c r="AD399" s="34"/>
      <c r="AE399" s="39"/>
      <c r="AF399" s="51"/>
      <c r="AG399" s="40"/>
      <c r="AH399" s="40"/>
    </row>
    <row r="400" spans="1:34" s="32" customFormat="1">
      <c r="A400" s="338" t="s">
        <v>942</v>
      </c>
      <c r="B400" s="338" t="s">
        <v>945</v>
      </c>
      <c r="C400" s="358">
        <v>44231</v>
      </c>
      <c r="D400" s="351" t="s">
        <v>1028</v>
      </c>
      <c r="E400" s="352" t="s">
        <v>1092</v>
      </c>
      <c r="F400" s="338">
        <v>0.70694444444444438</v>
      </c>
      <c r="G400" s="338">
        <v>0.70833333333333337</v>
      </c>
      <c r="H400" s="338" t="s">
        <v>981</v>
      </c>
      <c r="I400" s="353">
        <v>221</v>
      </c>
      <c r="J400" s="338" t="str">
        <f>IFERROR(VLOOKUP(I400,'Chart of accounts'!A:H,2,FALSE),"")</f>
        <v>10605020 00</v>
      </c>
      <c r="K400" s="338" t="str">
        <f>IFERROR(VLOOKUP(I400,'Chart of accounts'!A:H,3,FALSE),"")</f>
        <v>Office Equipment</v>
      </c>
      <c r="L400" s="338" t="str">
        <f>IFERROR(VLOOKUP(I400,'Chart of accounts'!A:H,4,FALSE),"")</f>
        <v>10605020 00 - Office Equipment (221)</v>
      </c>
      <c r="M400" s="361">
        <v>67</v>
      </c>
      <c r="N400" s="355" t="s">
        <v>822</v>
      </c>
      <c r="O400" s="355" t="s">
        <v>1089</v>
      </c>
      <c r="P400" s="355"/>
      <c r="Q400" s="363">
        <v>500000</v>
      </c>
      <c r="R400" s="319">
        <f t="shared" si="6"/>
        <v>-500000</v>
      </c>
      <c r="S400" s="428" t="str">
        <f>VLOOKUP(H400,'Fund Utilization Report'!$A$4:$U$1800,13,FALSE)</f>
        <v>CO</v>
      </c>
      <c r="T400" s="428" t="str">
        <f>VLOOKUP(H400,'Fund Utilization Report'!$A$4:$U$1800,2,FALSE)</f>
        <v>GAA</v>
      </c>
      <c r="U400" s="428" t="str">
        <f>VLOOKUP(H400,'Fund Utilization Report'!$A$4:$U$1800,3,FALSE)</f>
        <v>FY2021, RA11518</v>
      </c>
      <c r="V400" s="428" t="str">
        <f>VLOOKUP(H400,'Fund Utilization Report'!$A$4:$U$1800,4,FALSE)</f>
        <v>NC</v>
      </c>
      <c r="W400" s="428" t="str">
        <f>VLOOKUP(H400,'Fund Utilization Report'!$A$4:$U$1800,5,FALSE)</f>
        <v>01101101</v>
      </c>
      <c r="X400" s="428" t="str">
        <f>VLOOKUP(H400,'Fund Utilization Report'!$A$4:$U$1800,6,FALSE)</f>
        <v>GOP</v>
      </c>
      <c r="Y400" s="320" t="str">
        <f>VLOOKUP(H400,'Fund Utilization Report'!$A$4:$U$1800,7,FALSE)</f>
        <v>CO</v>
      </c>
      <c r="Z400" s="425">
        <f>VLOOKUP(H400,'Fund Utilization Report'!$A$4:$U$1800,8,FALSE)</f>
        <v>5060000000</v>
      </c>
      <c r="AA400" s="428" t="str">
        <f>VLOOKUP(H400,'Fund Utilization Report'!$A$4:$U$1800,14,FALSE)</f>
        <v>330100200001000</v>
      </c>
      <c r="AB400" s="349" t="str">
        <f>VLOOKUP(H400,'Fund Utilization Report'!$A$4:$U$1800,15,FALSE)</f>
        <v>Establishment of Negosyo Centers</v>
      </c>
      <c r="AC400" s="39"/>
      <c r="AD400" s="34"/>
      <c r="AE400" s="39"/>
      <c r="AF400" s="51"/>
      <c r="AG400" s="40"/>
      <c r="AH400" s="40"/>
    </row>
    <row r="401" spans="1:34" s="32" customFormat="1">
      <c r="A401" s="338" t="s">
        <v>942</v>
      </c>
      <c r="B401" s="338" t="s">
        <v>945</v>
      </c>
      <c r="C401" s="358">
        <v>44231</v>
      </c>
      <c r="D401" s="351" t="s">
        <v>1028</v>
      </c>
      <c r="E401" s="352" t="s">
        <v>1093</v>
      </c>
      <c r="F401" s="338">
        <v>0.70833333333333337</v>
      </c>
      <c r="G401" s="338">
        <v>0.7090277777777777</v>
      </c>
      <c r="H401" s="338" t="s">
        <v>980</v>
      </c>
      <c r="I401" s="353">
        <v>799</v>
      </c>
      <c r="J401" s="338" t="str">
        <f>IFERROR(VLOOKUP(I401,'Chart of accounts'!A:H,2,FALSE),"")</f>
        <v>50211990 00</v>
      </c>
      <c r="K401" s="338" t="str">
        <f>IFERROR(VLOOKUP(I401,'Chart of accounts'!A:H,3,FALSE),"")</f>
        <v>Other Professional Services</v>
      </c>
      <c r="L401" s="338" t="str">
        <f>IFERROR(VLOOKUP(I401,'Chart of accounts'!A:H,4,FALSE),"")</f>
        <v>50211990 00 - Other Professional Services (799)</v>
      </c>
      <c r="M401" s="361">
        <v>85</v>
      </c>
      <c r="N401" s="355" t="s">
        <v>823</v>
      </c>
      <c r="O401" s="355" t="s">
        <v>1089</v>
      </c>
      <c r="P401" s="355"/>
      <c r="Q401" s="363">
        <v>315900</v>
      </c>
      <c r="R401" s="319">
        <f t="shared" si="6"/>
        <v>-315900</v>
      </c>
      <c r="S401" s="428" t="str">
        <f>VLOOKUP(H401,'Fund Utilization Report'!$A$4:$U$1800,13,FALSE)</f>
        <v>MOOE</v>
      </c>
      <c r="T401" s="428" t="str">
        <f>VLOOKUP(H401,'Fund Utilization Report'!$A$4:$U$1800,2,FALSE)</f>
        <v>GAA</v>
      </c>
      <c r="U401" s="428" t="str">
        <f>VLOOKUP(H401,'Fund Utilization Report'!$A$4:$U$1800,3,FALSE)</f>
        <v>FY2021, RA11518</v>
      </c>
      <c r="V401" s="428" t="str">
        <f>VLOOKUP(H401,'Fund Utilization Report'!$A$4:$U$1800,4,FALSE)</f>
        <v>NC</v>
      </c>
      <c r="W401" s="428" t="str">
        <f>VLOOKUP(H401,'Fund Utilization Report'!$A$4:$U$1800,5,FALSE)</f>
        <v>01101101</v>
      </c>
      <c r="X401" s="428" t="str">
        <f>VLOOKUP(H401,'Fund Utilization Report'!$A$4:$U$1800,6,FALSE)</f>
        <v>GOP</v>
      </c>
      <c r="Y401" s="320" t="str">
        <f>VLOOKUP(H401,'Fund Utilization Report'!$A$4:$U$1800,7,FALSE)</f>
        <v>MOOE</v>
      </c>
      <c r="Z401" s="425">
        <f>VLOOKUP(H401,'Fund Utilization Report'!$A$4:$U$1800,8,FALSE)</f>
        <v>5020000000</v>
      </c>
      <c r="AA401" s="428" t="str">
        <f>VLOOKUP(H401,'Fund Utilization Report'!$A$4:$U$1800,14,FALSE)</f>
        <v>330100200001000</v>
      </c>
      <c r="AB401" s="349" t="str">
        <f>VLOOKUP(H401,'Fund Utilization Report'!$A$4:$U$1800,15,FALSE)</f>
        <v>Establishment of Negosyo Centers</v>
      </c>
      <c r="AC401" s="39"/>
      <c r="AD401" s="34"/>
      <c r="AE401" s="39"/>
      <c r="AF401" s="51"/>
      <c r="AG401" s="40"/>
      <c r="AH401" s="40"/>
    </row>
    <row r="402" spans="1:34" s="32" customFormat="1">
      <c r="A402" s="338" t="s">
        <v>942</v>
      </c>
      <c r="B402" s="338" t="s">
        <v>945</v>
      </c>
      <c r="C402" s="358">
        <v>44231</v>
      </c>
      <c r="D402" s="351" t="s">
        <v>1028</v>
      </c>
      <c r="E402" s="352" t="s">
        <v>1093</v>
      </c>
      <c r="F402" s="338">
        <v>0.70833333333333337</v>
      </c>
      <c r="G402" s="338">
        <v>0.7090277777777777</v>
      </c>
      <c r="H402" s="338" t="s">
        <v>981</v>
      </c>
      <c r="I402" s="353">
        <v>221</v>
      </c>
      <c r="J402" s="338" t="str">
        <f>IFERROR(VLOOKUP(I402,'Chart of accounts'!A:H,2,FALSE),"")</f>
        <v>10605020 00</v>
      </c>
      <c r="K402" s="338" t="str">
        <f>IFERROR(VLOOKUP(I402,'Chart of accounts'!A:H,3,FALSE),"")</f>
        <v>Office Equipment</v>
      </c>
      <c r="L402" s="338" t="str">
        <f>IFERROR(VLOOKUP(I402,'Chart of accounts'!A:H,4,FALSE),"")</f>
        <v>10605020 00 - Office Equipment (221)</v>
      </c>
      <c r="M402" s="361">
        <v>85</v>
      </c>
      <c r="N402" s="355" t="s">
        <v>823</v>
      </c>
      <c r="O402" s="355" t="s">
        <v>1089</v>
      </c>
      <c r="P402" s="355"/>
      <c r="Q402" s="363">
        <v>500000</v>
      </c>
      <c r="R402" s="319">
        <f t="shared" si="6"/>
        <v>-500000</v>
      </c>
      <c r="S402" s="428" t="str">
        <f>VLOOKUP(H402,'Fund Utilization Report'!$A$4:$U$1800,13,FALSE)</f>
        <v>CO</v>
      </c>
      <c r="T402" s="428" t="str">
        <f>VLOOKUP(H402,'Fund Utilization Report'!$A$4:$U$1800,2,FALSE)</f>
        <v>GAA</v>
      </c>
      <c r="U402" s="428" t="str">
        <f>VLOOKUP(H402,'Fund Utilization Report'!$A$4:$U$1800,3,FALSE)</f>
        <v>FY2021, RA11518</v>
      </c>
      <c r="V402" s="428" t="str">
        <f>VLOOKUP(H402,'Fund Utilization Report'!$A$4:$U$1800,4,FALSE)</f>
        <v>NC</v>
      </c>
      <c r="W402" s="428" t="str">
        <f>VLOOKUP(H402,'Fund Utilization Report'!$A$4:$U$1800,5,FALSE)</f>
        <v>01101101</v>
      </c>
      <c r="X402" s="428" t="str">
        <f>VLOOKUP(H402,'Fund Utilization Report'!$A$4:$U$1800,6,FALSE)</f>
        <v>GOP</v>
      </c>
      <c r="Y402" s="320" t="str">
        <f>VLOOKUP(H402,'Fund Utilization Report'!$A$4:$U$1800,7,FALSE)</f>
        <v>CO</v>
      </c>
      <c r="Z402" s="425">
        <f>VLOOKUP(H402,'Fund Utilization Report'!$A$4:$U$1800,8,FALSE)</f>
        <v>5060000000</v>
      </c>
      <c r="AA402" s="428" t="str">
        <f>VLOOKUP(H402,'Fund Utilization Report'!$A$4:$U$1800,14,FALSE)</f>
        <v>330100200001000</v>
      </c>
      <c r="AB402" s="349" t="str">
        <f>VLOOKUP(H402,'Fund Utilization Report'!$A$4:$U$1800,15,FALSE)</f>
        <v>Establishment of Negosyo Centers</v>
      </c>
      <c r="AC402" s="39"/>
      <c r="AD402" s="34"/>
      <c r="AE402" s="39"/>
      <c r="AF402" s="51"/>
      <c r="AG402" s="40"/>
      <c r="AH402" s="40"/>
    </row>
    <row r="403" spans="1:34" s="32" customFormat="1" ht="27.6">
      <c r="A403" s="338" t="s">
        <v>942</v>
      </c>
      <c r="B403" s="338" t="s">
        <v>945</v>
      </c>
      <c r="C403" s="358">
        <v>44235</v>
      </c>
      <c r="D403" s="351" t="s">
        <v>1028</v>
      </c>
      <c r="E403" s="352" t="s">
        <v>1094</v>
      </c>
      <c r="F403" s="338">
        <v>0.62291666666666667</v>
      </c>
      <c r="G403" s="338">
        <v>0.625</v>
      </c>
      <c r="H403" s="338" t="s">
        <v>960</v>
      </c>
      <c r="I403" s="353">
        <v>701</v>
      </c>
      <c r="J403" s="338" t="str">
        <f>IFERROR(VLOOKUP(I403,'Chart of accounts'!A:H,2,FALSE),"")</f>
        <v>50101010 01</v>
      </c>
      <c r="K403" s="338" t="str">
        <f>IFERROR(VLOOKUP(I403,'Chart of accounts'!A:H,3,FALSE),"")</f>
        <v>Basic Salary - Civilian</v>
      </c>
      <c r="L403" s="338" t="str">
        <f>IFERROR(VLOOKUP(I403,'Chart of accounts'!A:H,4,FALSE),"")</f>
        <v>50101010 01 - Basic Salary - Civilian (701)</v>
      </c>
      <c r="M403" s="360" t="s">
        <v>2</v>
      </c>
      <c r="N403" s="355" t="s">
        <v>10</v>
      </c>
      <c r="O403" s="355" t="s">
        <v>1095</v>
      </c>
      <c r="P403" s="355"/>
      <c r="Q403" s="363">
        <v>54795</v>
      </c>
      <c r="R403" s="319">
        <f t="shared" si="6"/>
        <v>-54795</v>
      </c>
      <c r="S403" s="428" t="str">
        <f>VLOOKUP(H403,'Fund Utilization Report'!$A$4:$U$1800,13,FALSE)</f>
        <v>PS</v>
      </c>
      <c r="T403" s="428" t="str">
        <f>VLOOKUP(H403,'Fund Utilization Report'!$A$4:$U$1800,2,FALSE)</f>
        <v>GAA</v>
      </c>
      <c r="U403" s="428" t="str">
        <f>VLOOKUP(H403,'Fund Utilization Report'!$A$4:$U$1800,3,FALSE)</f>
        <v>FY2021, RA11518</v>
      </c>
      <c r="V403" s="428" t="str">
        <f>VLOOKUP(H403,'Fund Utilization Report'!$A$4:$U$1800,4,FALSE)</f>
        <v>GAS(GMS)</v>
      </c>
      <c r="W403" s="428" t="str">
        <f>VLOOKUP(H403,'Fund Utilization Report'!$A$4:$U$1800,5,FALSE)</f>
        <v>01101101</v>
      </c>
      <c r="X403" s="428" t="str">
        <f>VLOOKUP(H403,'Fund Utilization Report'!$A$4:$U$1800,6,FALSE)</f>
        <v>GOP</v>
      </c>
      <c r="Y403" s="320" t="str">
        <f>VLOOKUP(H403,'Fund Utilization Report'!$A$4:$U$1800,7,FALSE)</f>
        <v>PS</v>
      </c>
      <c r="Z403" s="425">
        <f>VLOOKUP(H403,'Fund Utilization Report'!$A$4:$U$1800,8,FALSE)</f>
        <v>5010000000</v>
      </c>
      <c r="AA403" s="428" t="str">
        <f>VLOOKUP(H403,'Fund Utilization Report'!$A$4:$U$1800,14,FALSE)</f>
        <v>100000100001000</v>
      </c>
      <c r="AB403" s="349" t="str">
        <f>VLOOKUP(H403,'Fund Utilization Report'!$A$4:$U$1800,15,FALSE)</f>
        <v>General Administration and Supervision - General Management and Supervision</v>
      </c>
      <c r="AC403" s="39"/>
      <c r="AD403" s="34"/>
      <c r="AE403" s="39"/>
      <c r="AF403" s="51"/>
      <c r="AG403" s="40"/>
      <c r="AH403" s="40"/>
    </row>
    <row r="404" spans="1:34" s="32" customFormat="1" ht="27.6">
      <c r="A404" s="338" t="s">
        <v>942</v>
      </c>
      <c r="B404" s="338" t="s">
        <v>945</v>
      </c>
      <c r="C404" s="358">
        <v>44235</v>
      </c>
      <c r="D404" s="351" t="s">
        <v>1028</v>
      </c>
      <c r="E404" s="352" t="s">
        <v>1094</v>
      </c>
      <c r="F404" s="338">
        <v>0.62291666666666667</v>
      </c>
      <c r="G404" s="338">
        <v>0.625</v>
      </c>
      <c r="H404" s="338" t="s">
        <v>962</v>
      </c>
      <c r="I404" s="353">
        <v>731</v>
      </c>
      <c r="J404" s="338" t="str">
        <f>IFERROR(VLOOKUP(I404,'Chart of accounts'!A:H,2,FALSE),"")</f>
        <v>50103010 00</v>
      </c>
      <c r="K404" s="338" t="str">
        <f>IFERROR(VLOOKUP(I404,'Chart of accounts'!A:H,3,FALSE),"")</f>
        <v>Retirement and Life Insurance Premiums</v>
      </c>
      <c r="L404" s="338" t="str">
        <f>IFERROR(VLOOKUP(I404,'Chart of accounts'!A:H,4,FALSE),"")</f>
        <v>50103010 00 - Retirement and Life Insurance Premiums (731)</v>
      </c>
      <c r="M404" s="360" t="s">
        <v>2</v>
      </c>
      <c r="N404" s="355" t="s">
        <v>10</v>
      </c>
      <c r="O404" s="355" t="s">
        <v>1095</v>
      </c>
      <c r="P404" s="355"/>
      <c r="Q404" s="363">
        <v>6575.4</v>
      </c>
      <c r="R404" s="319">
        <f t="shared" si="6"/>
        <v>-6575.4</v>
      </c>
      <c r="S404" s="428" t="str">
        <f>VLOOKUP(H404,'Fund Utilization Report'!$A$4:$U$1800,13,FALSE)</f>
        <v>PS</v>
      </c>
      <c r="T404" s="428" t="str">
        <f>VLOOKUP(H404,'Fund Utilization Report'!$A$4:$U$1800,2,FALSE)</f>
        <v>GAA</v>
      </c>
      <c r="U404" s="428" t="str">
        <f>VLOOKUP(H404,'Fund Utilization Report'!$A$4:$U$1800,3,FALSE)</f>
        <v>FY2021, RA11518</v>
      </c>
      <c r="V404" s="428" t="str">
        <f>VLOOKUP(H404,'Fund Utilization Report'!$A$4:$U$1800,4,FALSE)</f>
        <v>GAS(GMS)</v>
      </c>
      <c r="W404" s="428" t="str">
        <f>VLOOKUP(H404,'Fund Utilization Report'!$A$4:$U$1800,5,FALSE)</f>
        <v>01101101</v>
      </c>
      <c r="X404" s="428" t="str">
        <f>VLOOKUP(H404,'Fund Utilization Report'!$A$4:$U$1800,6,FALSE)</f>
        <v>GOP</v>
      </c>
      <c r="Y404" s="320" t="str">
        <f>VLOOKUP(H404,'Fund Utilization Report'!$A$4:$U$1800,7,FALSE)</f>
        <v>RLIP</v>
      </c>
      <c r="Z404" s="425" t="str">
        <f>VLOOKUP(H404,'Fund Utilization Report'!$A$4:$U$1800,8,FALSE)</f>
        <v>50103010-00</v>
      </c>
      <c r="AA404" s="428" t="str">
        <f>VLOOKUP(H404,'Fund Utilization Report'!$A$4:$U$1800,14,FALSE)</f>
        <v>100000100001000</v>
      </c>
      <c r="AB404" s="349" t="str">
        <f>VLOOKUP(H404,'Fund Utilization Report'!$A$4:$U$1800,15,FALSE)</f>
        <v>General Administration and Supervision - General Management and Supervision</v>
      </c>
      <c r="AC404" s="39"/>
      <c r="AD404" s="34"/>
      <c r="AE404" s="39"/>
      <c r="AF404" s="51"/>
      <c r="AG404" s="40"/>
      <c r="AH404" s="40"/>
    </row>
    <row r="405" spans="1:34" s="32" customFormat="1" ht="27.6">
      <c r="A405" s="338" t="s">
        <v>942</v>
      </c>
      <c r="B405" s="338" t="s">
        <v>945</v>
      </c>
      <c r="C405" s="358">
        <v>44235</v>
      </c>
      <c r="D405" s="351" t="s">
        <v>1028</v>
      </c>
      <c r="E405" s="352" t="s">
        <v>1094</v>
      </c>
      <c r="F405" s="338">
        <v>0.62291666666666667</v>
      </c>
      <c r="G405" s="338">
        <v>0.625</v>
      </c>
      <c r="H405" s="338" t="s">
        <v>960</v>
      </c>
      <c r="I405" s="353">
        <v>733</v>
      </c>
      <c r="J405" s="338" t="str">
        <f>IFERROR(VLOOKUP(I405,'Chart of accounts'!A:H,2,FALSE),"")</f>
        <v>50103030 01</v>
      </c>
      <c r="K405" s="338" t="str">
        <f>IFERROR(VLOOKUP(I405,'Chart of accounts'!A:H,3,FALSE),"")</f>
        <v>PhilHealth - Civilian</v>
      </c>
      <c r="L405" s="338" t="str">
        <f>IFERROR(VLOOKUP(I405,'Chart of accounts'!A:H,4,FALSE),"")</f>
        <v>50103030 01 - PhilHealth - Civilian (733)</v>
      </c>
      <c r="M405" s="360" t="s">
        <v>2</v>
      </c>
      <c r="N405" s="355" t="s">
        <v>10</v>
      </c>
      <c r="O405" s="355" t="s">
        <v>1095</v>
      </c>
      <c r="P405" s="355"/>
      <c r="Q405" s="363">
        <v>643.82000000000005</v>
      </c>
      <c r="R405" s="319">
        <f t="shared" si="6"/>
        <v>-643.82000000000005</v>
      </c>
      <c r="S405" s="428" t="str">
        <f>VLOOKUP(H405,'Fund Utilization Report'!$A$4:$U$1800,13,FALSE)</f>
        <v>PS</v>
      </c>
      <c r="T405" s="428" t="str">
        <f>VLOOKUP(H405,'Fund Utilization Report'!$A$4:$U$1800,2,FALSE)</f>
        <v>GAA</v>
      </c>
      <c r="U405" s="428" t="str">
        <f>VLOOKUP(H405,'Fund Utilization Report'!$A$4:$U$1800,3,FALSE)</f>
        <v>FY2021, RA11518</v>
      </c>
      <c r="V405" s="428" t="str">
        <f>VLOOKUP(H405,'Fund Utilization Report'!$A$4:$U$1800,4,FALSE)</f>
        <v>GAS(GMS)</v>
      </c>
      <c r="W405" s="428" t="str">
        <f>VLOOKUP(H405,'Fund Utilization Report'!$A$4:$U$1800,5,FALSE)</f>
        <v>01101101</v>
      </c>
      <c r="X405" s="428" t="str">
        <f>VLOOKUP(H405,'Fund Utilization Report'!$A$4:$U$1800,6,FALSE)</f>
        <v>GOP</v>
      </c>
      <c r="Y405" s="320" t="str">
        <f>VLOOKUP(H405,'Fund Utilization Report'!$A$4:$U$1800,7,FALSE)</f>
        <v>PS</v>
      </c>
      <c r="Z405" s="425">
        <f>VLOOKUP(H405,'Fund Utilization Report'!$A$4:$U$1800,8,FALSE)</f>
        <v>5010000000</v>
      </c>
      <c r="AA405" s="428" t="str">
        <f>VLOOKUP(H405,'Fund Utilization Report'!$A$4:$U$1800,14,FALSE)</f>
        <v>100000100001000</v>
      </c>
      <c r="AB405" s="349" t="str">
        <f>VLOOKUP(H405,'Fund Utilization Report'!$A$4:$U$1800,15,FALSE)</f>
        <v>General Administration and Supervision - General Management and Supervision</v>
      </c>
      <c r="AC405" s="39"/>
      <c r="AD405" s="34"/>
      <c r="AE405" s="39"/>
      <c r="AF405" s="51"/>
      <c r="AG405" s="40"/>
      <c r="AH405" s="40"/>
    </row>
    <row r="406" spans="1:34" s="32" customFormat="1" ht="27.6">
      <c r="A406" s="338" t="s">
        <v>942</v>
      </c>
      <c r="B406" s="338" t="s">
        <v>945</v>
      </c>
      <c r="C406" s="358">
        <v>44235</v>
      </c>
      <c r="D406" s="351" t="s">
        <v>1028</v>
      </c>
      <c r="E406" s="352" t="s">
        <v>1096</v>
      </c>
      <c r="F406" s="338">
        <v>0.625</v>
      </c>
      <c r="G406" s="338">
        <v>0.62847222222222221</v>
      </c>
      <c r="H406" s="338" t="s">
        <v>960</v>
      </c>
      <c r="I406" s="353">
        <v>701</v>
      </c>
      <c r="J406" s="338" t="str">
        <f>IFERROR(VLOOKUP(I406,'Chart of accounts'!A:H,2,FALSE),"")</f>
        <v>50101010 01</v>
      </c>
      <c r="K406" s="338" t="str">
        <f>IFERROR(VLOOKUP(I406,'Chart of accounts'!A:H,3,FALSE),"")</f>
        <v>Basic Salary - Civilian</v>
      </c>
      <c r="L406" s="338" t="str">
        <f>IFERROR(VLOOKUP(I406,'Chart of accounts'!A:H,4,FALSE),"")</f>
        <v>50101010 01 - Basic Salary - Civilian (701)</v>
      </c>
      <c r="M406" s="361">
        <v>2</v>
      </c>
      <c r="N406" s="355" t="s">
        <v>789</v>
      </c>
      <c r="O406" s="355" t="s">
        <v>1095</v>
      </c>
      <c r="P406" s="355"/>
      <c r="Q406" s="363">
        <v>15120</v>
      </c>
      <c r="R406" s="319">
        <f t="shared" si="6"/>
        <v>-15120</v>
      </c>
      <c r="S406" s="428" t="str">
        <f>VLOOKUP(H406,'Fund Utilization Report'!$A$4:$U$1800,13,FALSE)</f>
        <v>PS</v>
      </c>
      <c r="T406" s="428" t="str">
        <f>VLOOKUP(H406,'Fund Utilization Report'!$A$4:$U$1800,2,FALSE)</f>
        <v>GAA</v>
      </c>
      <c r="U406" s="428" t="str">
        <f>VLOOKUP(H406,'Fund Utilization Report'!$A$4:$U$1800,3,FALSE)</f>
        <v>FY2021, RA11518</v>
      </c>
      <c r="V406" s="428" t="str">
        <f>VLOOKUP(H406,'Fund Utilization Report'!$A$4:$U$1800,4,FALSE)</f>
        <v>GAS(GMS)</v>
      </c>
      <c r="W406" s="428" t="str">
        <f>VLOOKUP(H406,'Fund Utilization Report'!$A$4:$U$1800,5,FALSE)</f>
        <v>01101101</v>
      </c>
      <c r="X406" s="428" t="str">
        <f>VLOOKUP(H406,'Fund Utilization Report'!$A$4:$U$1800,6,FALSE)</f>
        <v>GOP</v>
      </c>
      <c r="Y406" s="320" t="str">
        <f>VLOOKUP(H406,'Fund Utilization Report'!$A$4:$U$1800,7,FALSE)</f>
        <v>PS</v>
      </c>
      <c r="Z406" s="425">
        <f>VLOOKUP(H406,'Fund Utilization Report'!$A$4:$U$1800,8,FALSE)</f>
        <v>5010000000</v>
      </c>
      <c r="AA406" s="428" t="str">
        <f>VLOOKUP(H406,'Fund Utilization Report'!$A$4:$U$1800,14,FALSE)</f>
        <v>100000100001000</v>
      </c>
      <c r="AB406" s="349" t="str">
        <f>VLOOKUP(H406,'Fund Utilization Report'!$A$4:$U$1800,15,FALSE)</f>
        <v>General Administration and Supervision - General Management and Supervision</v>
      </c>
      <c r="AC406" s="39"/>
      <c r="AD406" s="34"/>
      <c r="AE406" s="39"/>
      <c r="AF406" s="51"/>
      <c r="AG406" s="40"/>
      <c r="AH406" s="40"/>
    </row>
    <row r="407" spans="1:34" s="32" customFormat="1" ht="27.6">
      <c r="A407" s="338" t="s">
        <v>942</v>
      </c>
      <c r="B407" s="338" t="s">
        <v>945</v>
      </c>
      <c r="C407" s="358">
        <v>44235</v>
      </c>
      <c r="D407" s="351" t="s">
        <v>1028</v>
      </c>
      <c r="E407" s="352" t="s">
        <v>1096</v>
      </c>
      <c r="F407" s="338">
        <v>0.625</v>
      </c>
      <c r="G407" s="338">
        <v>0.62847222222222221</v>
      </c>
      <c r="H407" s="338" t="s">
        <v>962</v>
      </c>
      <c r="I407" s="353">
        <v>731</v>
      </c>
      <c r="J407" s="338" t="str">
        <f>IFERROR(VLOOKUP(I407,'Chart of accounts'!A:H,2,FALSE),"")</f>
        <v>50103010 00</v>
      </c>
      <c r="K407" s="338" t="str">
        <f>IFERROR(VLOOKUP(I407,'Chart of accounts'!A:H,3,FALSE),"")</f>
        <v>Retirement and Life Insurance Premiums</v>
      </c>
      <c r="L407" s="338" t="str">
        <f>IFERROR(VLOOKUP(I407,'Chart of accounts'!A:H,4,FALSE),"")</f>
        <v>50103010 00 - Retirement and Life Insurance Premiums (731)</v>
      </c>
      <c r="M407" s="361">
        <v>2</v>
      </c>
      <c r="N407" s="355" t="s">
        <v>789</v>
      </c>
      <c r="O407" s="355" t="s">
        <v>1095</v>
      </c>
      <c r="P407" s="355"/>
      <c r="Q407" s="363">
        <v>1878.6</v>
      </c>
      <c r="R407" s="319">
        <f t="shared" si="6"/>
        <v>-1878.6</v>
      </c>
      <c r="S407" s="319" t="str">
        <f>VLOOKUP(H407,'Fund Utilization Report'!$A$4:$U$1800,13,FALSE)</f>
        <v>PS</v>
      </c>
      <c r="T407" s="319" t="str">
        <f>VLOOKUP(H407,'Fund Utilization Report'!$A$4:$U$1800,2,FALSE)</f>
        <v>GAA</v>
      </c>
      <c r="U407" s="319" t="str">
        <f>VLOOKUP(H407,'Fund Utilization Report'!$A$4:$U$1800,3,FALSE)</f>
        <v>FY2021, RA11518</v>
      </c>
      <c r="V407" s="319" t="str">
        <f>VLOOKUP(H407,'Fund Utilization Report'!$A$4:$U$1800,4,FALSE)</f>
        <v>GAS(GMS)</v>
      </c>
      <c r="W407" s="319" t="str">
        <f>VLOOKUP(H407,'Fund Utilization Report'!$A$4:$U$1800,5,FALSE)</f>
        <v>01101101</v>
      </c>
      <c r="X407" s="319" t="str">
        <f>VLOOKUP(H407,'Fund Utilization Report'!$A$4:$U$1800,6,FALSE)</f>
        <v>GOP</v>
      </c>
      <c r="Y407" s="320" t="str">
        <f>VLOOKUP(H407,'Fund Utilization Report'!$A$4:$U$1800,7,FALSE)</f>
        <v>RLIP</v>
      </c>
      <c r="Z407" s="321" t="str">
        <f>VLOOKUP(H407,'Fund Utilization Report'!$A$4:$U$1800,8,FALSE)</f>
        <v>50103010-00</v>
      </c>
      <c r="AA407" s="319" t="str">
        <f>VLOOKUP(H407,'Fund Utilization Report'!$A$4:$U$1800,14,FALSE)</f>
        <v>100000100001000</v>
      </c>
      <c r="AB407" s="349" t="str">
        <f>VLOOKUP(H407,'Fund Utilization Report'!$A$4:$U$1800,15,FALSE)</f>
        <v>General Administration and Supervision - General Management and Supervision</v>
      </c>
      <c r="AC407" s="39"/>
      <c r="AD407" s="34"/>
      <c r="AE407" s="39"/>
      <c r="AF407" s="51"/>
      <c r="AG407" s="40"/>
      <c r="AH407" s="40"/>
    </row>
    <row r="408" spans="1:34" s="32" customFormat="1" ht="27.6">
      <c r="A408" s="338" t="s">
        <v>942</v>
      </c>
      <c r="B408" s="338" t="s">
        <v>945</v>
      </c>
      <c r="C408" s="358">
        <v>44235</v>
      </c>
      <c r="D408" s="351" t="s">
        <v>1028</v>
      </c>
      <c r="E408" s="352" t="s">
        <v>1096</v>
      </c>
      <c r="F408" s="338">
        <v>0.625</v>
      </c>
      <c r="G408" s="338">
        <v>0.62847222222222221</v>
      </c>
      <c r="H408" s="338" t="s">
        <v>960</v>
      </c>
      <c r="I408" s="353">
        <v>733</v>
      </c>
      <c r="J408" s="338" t="str">
        <f>IFERROR(VLOOKUP(I408,'Chart of accounts'!A:H,2,FALSE),"")</f>
        <v>50103030 01</v>
      </c>
      <c r="K408" s="338" t="str">
        <f>IFERROR(VLOOKUP(I408,'Chart of accounts'!A:H,3,FALSE),"")</f>
        <v>PhilHealth - Civilian</v>
      </c>
      <c r="L408" s="338" t="str">
        <f>IFERROR(VLOOKUP(I408,'Chart of accounts'!A:H,4,FALSE),"")</f>
        <v>50103030 01 - PhilHealth - Civilian (733)</v>
      </c>
      <c r="M408" s="361">
        <v>2</v>
      </c>
      <c r="N408" s="355" t="s">
        <v>789</v>
      </c>
      <c r="O408" s="355" t="s">
        <v>1095</v>
      </c>
      <c r="P408" s="355"/>
      <c r="Q408" s="363">
        <v>169.13</v>
      </c>
      <c r="R408" s="319">
        <f t="shared" si="6"/>
        <v>-169.13</v>
      </c>
      <c r="S408" s="319" t="str">
        <f>VLOOKUP(H408,'Fund Utilization Report'!$A$4:$U$1800,13,FALSE)</f>
        <v>PS</v>
      </c>
      <c r="T408" s="319" t="str">
        <f>VLOOKUP(H408,'Fund Utilization Report'!$A$4:$U$1800,2,FALSE)</f>
        <v>GAA</v>
      </c>
      <c r="U408" s="319" t="str">
        <f>VLOOKUP(H408,'Fund Utilization Report'!$A$4:$U$1800,3,FALSE)</f>
        <v>FY2021, RA11518</v>
      </c>
      <c r="V408" s="319" t="str">
        <f>VLOOKUP(H408,'Fund Utilization Report'!$A$4:$U$1800,4,FALSE)</f>
        <v>GAS(GMS)</v>
      </c>
      <c r="W408" s="319" t="str">
        <f>VLOOKUP(H408,'Fund Utilization Report'!$A$4:$U$1800,5,FALSE)</f>
        <v>01101101</v>
      </c>
      <c r="X408" s="319" t="str">
        <f>VLOOKUP(H408,'Fund Utilization Report'!$A$4:$U$1800,6,FALSE)</f>
        <v>GOP</v>
      </c>
      <c r="Y408" s="320" t="str">
        <f>VLOOKUP(H408,'Fund Utilization Report'!$A$4:$U$1800,7,FALSE)</f>
        <v>PS</v>
      </c>
      <c r="Z408" s="321">
        <f>VLOOKUP(H408,'Fund Utilization Report'!$A$4:$U$1800,8,FALSE)</f>
        <v>5010000000</v>
      </c>
      <c r="AA408" s="319" t="str">
        <f>VLOOKUP(H408,'Fund Utilization Report'!$A$4:$U$1800,14,FALSE)</f>
        <v>100000100001000</v>
      </c>
      <c r="AB408" s="349" t="str">
        <f>VLOOKUP(H408,'Fund Utilization Report'!$A$4:$U$1800,15,FALSE)</f>
        <v>General Administration and Supervision - General Management and Supervision</v>
      </c>
      <c r="AC408" s="39"/>
      <c r="AD408" s="34"/>
      <c r="AE408" s="39"/>
      <c r="AF408" s="51"/>
      <c r="AG408" s="40"/>
      <c r="AH408" s="40"/>
    </row>
    <row r="409" spans="1:34" s="32" customFormat="1" ht="27.6">
      <c r="A409" s="338" t="s">
        <v>942</v>
      </c>
      <c r="B409" s="338" t="s">
        <v>945</v>
      </c>
      <c r="C409" s="358">
        <v>44235</v>
      </c>
      <c r="D409" s="351" t="s">
        <v>1028</v>
      </c>
      <c r="E409" s="352" t="s">
        <v>1097</v>
      </c>
      <c r="F409" s="338">
        <v>0.62847222222222221</v>
      </c>
      <c r="G409" s="338">
        <v>0.6333333333333333</v>
      </c>
      <c r="H409" s="338" t="s">
        <v>960</v>
      </c>
      <c r="I409" s="353">
        <v>701</v>
      </c>
      <c r="J409" s="338" t="str">
        <f>IFERROR(VLOOKUP(I409,'Chart of accounts'!A:H,2,FALSE),"")</f>
        <v>50101010 01</v>
      </c>
      <c r="K409" s="338" t="str">
        <f>IFERROR(VLOOKUP(I409,'Chart of accounts'!A:H,3,FALSE),"")</f>
        <v>Basic Salary - Civilian</v>
      </c>
      <c r="L409" s="338" t="str">
        <f>IFERROR(VLOOKUP(I409,'Chart of accounts'!A:H,4,FALSE),"")</f>
        <v>50101010 01 - Basic Salary - Civilian (701)</v>
      </c>
      <c r="M409" s="361">
        <v>3</v>
      </c>
      <c r="N409" s="355" t="s">
        <v>777</v>
      </c>
      <c r="O409" s="355" t="s">
        <v>1095</v>
      </c>
      <c r="P409" s="355"/>
      <c r="Q409" s="363">
        <v>15614</v>
      </c>
      <c r="R409" s="319">
        <f t="shared" si="6"/>
        <v>-15614</v>
      </c>
      <c r="S409" s="319" t="str">
        <f>VLOOKUP(H409,'Fund Utilization Report'!$A$4:$U$1800,13,FALSE)</f>
        <v>PS</v>
      </c>
      <c r="T409" s="319" t="str">
        <f>VLOOKUP(H409,'Fund Utilization Report'!$A$4:$U$1800,2,FALSE)</f>
        <v>GAA</v>
      </c>
      <c r="U409" s="319" t="str">
        <f>VLOOKUP(H409,'Fund Utilization Report'!$A$4:$U$1800,3,FALSE)</f>
        <v>FY2021, RA11518</v>
      </c>
      <c r="V409" s="319" t="str">
        <f>VLOOKUP(H409,'Fund Utilization Report'!$A$4:$U$1800,4,FALSE)</f>
        <v>GAS(GMS)</v>
      </c>
      <c r="W409" s="319" t="str">
        <f>VLOOKUP(H409,'Fund Utilization Report'!$A$4:$U$1800,5,FALSE)</f>
        <v>01101101</v>
      </c>
      <c r="X409" s="319" t="str">
        <f>VLOOKUP(H409,'Fund Utilization Report'!$A$4:$U$1800,6,FALSE)</f>
        <v>GOP</v>
      </c>
      <c r="Y409" s="320" t="str">
        <f>VLOOKUP(H409,'Fund Utilization Report'!$A$4:$U$1800,7,FALSE)</f>
        <v>PS</v>
      </c>
      <c r="Z409" s="321">
        <f>VLOOKUP(H409,'Fund Utilization Report'!$A$4:$U$1800,8,FALSE)</f>
        <v>5010000000</v>
      </c>
      <c r="AA409" s="319" t="str">
        <f>VLOOKUP(H409,'Fund Utilization Report'!$A$4:$U$1800,14,FALSE)</f>
        <v>100000100001000</v>
      </c>
      <c r="AB409" s="349" t="str">
        <f>VLOOKUP(H409,'Fund Utilization Report'!$A$4:$U$1800,15,FALSE)</f>
        <v>General Administration and Supervision - General Management and Supervision</v>
      </c>
      <c r="AC409" s="39"/>
      <c r="AD409" s="34"/>
      <c r="AE409" s="39"/>
      <c r="AF409" s="51"/>
      <c r="AG409" s="40"/>
      <c r="AH409" s="40"/>
    </row>
    <row r="410" spans="1:34" s="32" customFormat="1" ht="27.6">
      <c r="A410" s="338" t="s">
        <v>942</v>
      </c>
      <c r="B410" s="338" t="s">
        <v>945</v>
      </c>
      <c r="C410" s="358">
        <v>44235</v>
      </c>
      <c r="D410" s="351" t="s">
        <v>1028</v>
      </c>
      <c r="E410" s="352" t="s">
        <v>1097</v>
      </c>
      <c r="F410" s="338">
        <v>0.62847222222222221</v>
      </c>
      <c r="G410" s="338">
        <v>0.6333333333333333</v>
      </c>
      <c r="H410" s="338" t="s">
        <v>962</v>
      </c>
      <c r="I410" s="353">
        <v>731</v>
      </c>
      <c r="J410" s="338" t="str">
        <f>IFERROR(VLOOKUP(I410,'Chart of accounts'!A:H,2,FALSE),"")</f>
        <v>50103010 00</v>
      </c>
      <c r="K410" s="338" t="str">
        <f>IFERROR(VLOOKUP(I410,'Chart of accounts'!A:H,3,FALSE),"")</f>
        <v>Retirement and Life Insurance Premiums</v>
      </c>
      <c r="L410" s="338" t="str">
        <f>IFERROR(VLOOKUP(I410,'Chart of accounts'!A:H,4,FALSE),"")</f>
        <v>50103010 00 - Retirement and Life Insurance Premiums (731)</v>
      </c>
      <c r="M410" s="361">
        <v>3</v>
      </c>
      <c r="N410" s="355" t="s">
        <v>777</v>
      </c>
      <c r="O410" s="355" t="s">
        <v>1095</v>
      </c>
      <c r="P410" s="355"/>
      <c r="Q410" s="363">
        <v>1873.68</v>
      </c>
      <c r="R410" s="319">
        <f t="shared" si="6"/>
        <v>-1873.68</v>
      </c>
      <c r="S410" s="319" t="str">
        <f>VLOOKUP(H410,'Fund Utilization Report'!$A$4:$U$1800,13,FALSE)</f>
        <v>PS</v>
      </c>
      <c r="T410" s="319" t="str">
        <f>VLOOKUP(H410,'Fund Utilization Report'!$A$4:$U$1800,2,FALSE)</f>
        <v>GAA</v>
      </c>
      <c r="U410" s="319" t="str">
        <f>VLOOKUP(H410,'Fund Utilization Report'!$A$4:$U$1800,3,FALSE)</f>
        <v>FY2021, RA11518</v>
      </c>
      <c r="V410" s="319" t="str">
        <f>VLOOKUP(H410,'Fund Utilization Report'!$A$4:$U$1800,4,FALSE)</f>
        <v>GAS(GMS)</v>
      </c>
      <c r="W410" s="319" t="str">
        <f>VLOOKUP(H410,'Fund Utilization Report'!$A$4:$U$1800,5,FALSE)</f>
        <v>01101101</v>
      </c>
      <c r="X410" s="319" t="str">
        <f>VLOOKUP(H410,'Fund Utilization Report'!$A$4:$U$1800,6,FALSE)</f>
        <v>GOP</v>
      </c>
      <c r="Y410" s="320" t="str">
        <f>VLOOKUP(H410,'Fund Utilization Report'!$A$4:$U$1800,7,FALSE)</f>
        <v>RLIP</v>
      </c>
      <c r="Z410" s="321" t="str">
        <f>VLOOKUP(H410,'Fund Utilization Report'!$A$4:$U$1800,8,FALSE)</f>
        <v>50103010-00</v>
      </c>
      <c r="AA410" s="319" t="str">
        <f>VLOOKUP(H410,'Fund Utilization Report'!$A$4:$U$1800,14,FALSE)</f>
        <v>100000100001000</v>
      </c>
      <c r="AB410" s="349" t="str">
        <f>VLOOKUP(H410,'Fund Utilization Report'!$A$4:$U$1800,15,FALSE)</f>
        <v>General Administration and Supervision - General Management and Supervision</v>
      </c>
      <c r="AC410" s="39"/>
      <c r="AD410" s="34"/>
      <c r="AE410" s="39"/>
      <c r="AF410" s="51"/>
      <c r="AG410" s="40"/>
      <c r="AH410" s="40"/>
    </row>
    <row r="411" spans="1:34" s="32" customFormat="1" ht="27.6">
      <c r="A411" s="338" t="s">
        <v>942</v>
      </c>
      <c r="B411" s="338" t="s">
        <v>945</v>
      </c>
      <c r="C411" s="358">
        <v>44235</v>
      </c>
      <c r="D411" s="351" t="s">
        <v>1028</v>
      </c>
      <c r="E411" s="352" t="s">
        <v>1097</v>
      </c>
      <c r="F411" s="338">
        <v>0.62847222222222221</v>
      </c>
      <c r="G411" s="338">
        <v>0.6333333333333333</v>
      </c>
      <c r="H411" s="338" t="s">
        <v>960</v>
      </c>
      <c r="I411" s="353">
        <v>733</v>
      </c>
      <c r="J411" s="338" t="str">
        <f>IFERROR(VLOOKUP(I411,'Chart of accounts'!A:H,2,FALSE),"")</f>
        <v>50103030 01</v>
      </c>
      <c r="K411" s="338" t="str">
        <f>IFERROR(VLOOKUP(I411,'Chart of accounts'!A:H,3,FALSE),"")</f>
        <v>PhilHealth - Civilian</v>
      </c>
      <c r="L411" s="338" t="str">
        <f>IFERROR(VLOOKUP(I411,'Chart of accounts'!A:H,4,FALSE),"")</f>
        <v>50103030 01 - PhilHealth - Civilian (733)</v>
      </c>
      <c r="M411" s="361">
        <v>3</v>
      </c>
      <c r="N411" s="355" t="s">
        <v>777</v>
      </c>
      <c r="O411" s="355" t="s">
        <v>1095</v>
      </c>
      <c r="P411" s="355"/>
      <c r="Q411" s="363">
        <v>211</v>
      </c>
      <c r="R411" s="319">
        <f t="shared" si="6"/>
        <v>-211</v>
      </c>
      <c r="S411" s="319" t="str">
        <f>VLOOKUP(H411,'Fund Utilization Report'!$A$4:$U$1800,13,FALSE)</f>
        <v>PS</v>
      </c>
      <c r="T411" s="319" t="str">
        <f>VLOOKUP(H411,'Fund Utilization Report'!$A$4:$U$1800,2,FALSE)</f>
        <v>GAA</v>
      </c>
      <c r="U411" s="319" t="str">
        <f>VLOOKUP(H411,'Fund Utilization Report'!$A$4:$U$1800,3,FALSE)</f>
        <v>FY2021, RA11518</v>
      </c>
      <c r="V411" s="319" t="str">
        <f>VLOOKUP(H411,'Fund Utilization Report'!$A$4:$U$1800,4,FALSE)</f>
        <v>GAS(GMS)</v>
      </c>
      <c r="W411" s="319" t="str">
        <f>VLOOKUP(H411,'Fund Utilization Report'!$A$4:$U$1800,5,FALSE)</f>
        <v>01101101</v>
      </c>
      <c r="X411" s="319" t="str">
        <f>VLOOKUP(H411,'Fund Utilization Report'!$A$4:$U$1800,6,FALSE)</f>
        <v>GOP</v>
      </c>
      <c r="Y411" s="320" t="str">
        <f>VLOOKUP(H411,'Fund Utilization Report'!$A$4:$U$1800,7,FALSE)</f>
        <v>PS</v>
      </c>
      <c r="Z411" s="321">
        <f>VLOOKUP(H411,'Fund Utilization Report'!$A$4:$U$1800,8,FALSE)</f>
        <v>5010000000</v>
      </c>
      <c r="AA411" s="319" t="str">
        <f>VLOOKUP(H411,'Fund Utilization Report'!$A$4:$U$1800,14,FALSE)</f>
        <v>100000100001000</v>
      </c>
      <c r="AB411" s="349" t="str">
        <f>VLOOKUP(H411,'Fund Utilization Report'!$A$4:$U$1800,15,FALSE)</f>
        <v>General Administration and Supervision - General Management and Supervision</v>
      </c>
      <c r="AC411" s="39"/>
      <c r="AD411" s="34"/>
      <c r="AE411" s="39"/>
      <c r="AF411" s="51"/>
      <c r="AG411" s="40"/>
      <c r="AH411" s="40"/>
    </row>
    <row r="412" spans="1:34" s="32" customFormat="1" ht="27.6">
      <c r="A412" s="338" t="s">
        <v>942</v>
      </c>
      <c r="B412" s="338" t="s">
        <v>945</v>
      </c>
      <c r="C412" s="358">
        <v>44235</v>
      </c>
      <c r="D412" s="351" t="s">
        <v>1028</v>
      </c>
      <c r="E412" s="352" t="s">
        <v>1098</v>
      </c>
      <c r="F412" s="338">
        <v>0.6333333333333333</v>
      </c>
      <c r="G412" s="338">
        <v>0.63680555555555551</v>
      </c>
      <c r="H412" s="338" t="s">
        <v>960</v>
      </c>
      <c r="I412" s="353">
        <v>701</v>
      </c>
      <c r="J412" s="338" t="str">
        <f>IFERROR(VLOOKUP(I412,'Chart of accounts'!A:H,2,FALSE),"")</f>
        <v>50101010 01</v>
      </c>
      <c r="K412" s="338" t="str">
        <f>IFERROR(VLOOKUP(I412,'Chart of accounts'!A:H,3,FALSE),"")</f>
        <v>Basic Salary - Civilian</v>
      </c>
      <c r="L412" s="338" t="str">
        <f>IFERROR(VLOOKUP(I412,'Chart of accounts'!A:H,4,FALSE),"")</f>
        <v>50101010 01 - Basic Salary - Civilian (701)</v>
      </c>
      <c r="M412" s="361">
        <v>68</v>
      </c>
      <c r="N412" s="355" t="s">
        <v>764</v>
      </c>
      <c r="O412" s="355" t="s">
        <v>1095</v>
      </c>
      <c r="P412" s="355"/>
      <c r="Q412" s="363">
        <v>16027</v>
      </c>
      <c r="R412" s="319">
        <f t="shared" si="6"/>
        <v>-16027</v>
      </c>
      <c r="S412" s="319" t="str">
        <f>VLOOKUP(H412,'Fund Utilization Report'!$A$4:$U$1800,13,FALSE)</f>
        <v>PS</v>
      </c>
      <c r="T412" s="319" t="str">
        <f>VLOOKUP(H412,'Fund Utilization Report'!$A$4:$U$1800,2,FALSE)</f>
        <v>GAA</v>
      </c>
      <c r="U412" s="319" t="str">
        <f>VLOOKUP(H412,'Fund Utilization Report'!$A$4:$U$1800,3,FALSE)</f>
        <v>FY2021, RA11518</v>
      </c>
      <c r="V412" s="319" t="str">
        <f>VLOOKUP(H412,'Fund Utilization Report'!$A$4:$U$1800,4,FALSE)</f>
        <v>GAS(GMS)</v>
      </c>
      <c r="W412" s="319" t="str">
        <f>VLOOKUP(H412,'Fund Utilization Report'!$A$4:$U$1800,5,FALSE)</f>
        <v>01101101</v>
      </c>
      <c r="X412" s="319" t="str">
        <f>VLOOKUP(H412,'Fund Utilization Report'!$A$4:$U$1800,6,FALSE)</f>
        <v>GOP</v>
      </c>
      <c r="Y412" s="320" t="str">
        <f>VLOOKUP(H412,'Fund Utilization Report'!$A$4:$U$1800,7,FALSE)</f>
        <v>PS</v>
      </c>
      <c r="Z412" s="321">
        <f>VLOOKUP(H412,'Fund Utilization Report'!$A$4:$U$1800,8,FALSE)</f>
        <v>5010000000</v>
      </c>
      <c r="AA412" s="319" t="str">
        <f>VLOOKUP(H412,'Fund Utilization Report'!$A$4:$U$1800,14,FALSE)</f>
        <v>100000100001000</v>
      </c>
      <c r="AB412" s="349" t="str">
        <f>VLOOKUP(H412,'Fund Utilization Report'!$A$4:$U$1800,15,FALSE)</f>
        <v>General Administration and Supervision - General Management and Supervision</v>
      </c>
      <c r="AC412" s="39"/>
      <c r="AD412" s="34"/>
      <c r="AE412" s="39"/>
      <c r="AF412" s="51"/>
      <c r="AG412" s="40"/>
      <c r="AH412" s="40"/>
    </row>
    <row r="413" spans="1:34" s="32" customFormat="1" ht="27.6">
      <c r="A413" s="338" t="s">
        <v>942</v>
      </c>
      <c r="B413" s="338" t="s">
        <v>945</v>
      </c>
      <c r="C413" s="358">
        <v>44235</v>
      </c>
      <c r="D413" s="351" t="s">
        <v>1028</v>
      </c>
      <c r="E413" s="352" t="s">
        <v>1098</v>
      </c>
      <c r="F413" s="338">
        <v>0.6333333333333333</v>
      </c>
      <c r="G413" s="338">
        <v>0.63680555555555551</v>
      </c>
      <c r="H413" s="338" t="s">
        <v>962</v>
      </c>
      <c r="I413" s="353">
        <v>731</v>
      </c>
      <c r="J413" s="338" t="str">
        <f>IFERROR(VLOOKUP(I413,'Chart of accounts'!A:H,2,FALSE),"")</f>
        <v>50103010 00</v>
      </c>
      <c r="K413" s="338" t="str">
        <f>IFERROR(VLOOKUP(I413,'Chart of accounts'!A:H,3,FALSE),"")</f>
        <v>Retirement and Life Insurance Premiums</v>
      </c>
      <c r="L413" s="338" t="str">
        <f>IFERROR(VLOOKUP(I413,'Chart of accounts'!A:H,4,FALSE),"")</f>
        <v>50103010 00 - Retirement and Life Insurance Premiums (731)</v>
      </c>
      <c r="M413" s="361">
        <v>68</v>
      </c>
      <c r="N413" s="355" t="s">
        <v>764</v>
      </c>
      <c r="O413" s="355" t="s">
        <v>1095</v>
      </c>
      <c r="P413" s="355"/>
      <c r="Q413" s="363">
        <v>1923.24</v>
      </c>
      <c r="R413" s="319">
        <f t="shared" si="6"/>
        <v>-1923.24</v>
      </c>
      <c r="S413" s="319" t="str">
        <f>VLOOKUP(H413,'Fund Utilization Report'!$A$4:$U$1800,13,FALSE)</f>
        <v>PS</v>
      </c>
      <c r="T413" s="319" t="str">
        <f>VLOOKUP(H413,'Fund Utilization Report'!$A$4:$U$1800,2,FALSE)</f>
        <v>GAA</v>
      </c>
      <c r="U413" s="319" t="str">
        <f>VLOOKUP(H413,'Fund Utilization Report'!$A$4:$U$1800,3,FALSE)</f>
        <v>FY2021, RA11518</v>
      </c>
      <c r="V413" s="319" t="str">
        <f>VLOOKUP(H413,'Fund Utilization Report'!$A$4:$U$1800,4,FALSE)</f>
        <v>GAS(GMS)</v>
      </c>
      <c r="W413" s="319" t="str">
        <f>VLOOKUP(H413,'Fund Utilization Report'!$A$4:$U$1800,5,FALSE)</f>
        <v>01101101</v>
      </c>
      <c r="X413" s="319" t="str">
        <f>VLOOKUP(H413,'Fund Utilization Report'!$A$4:$U$1800,6,FALSE)</f>
        <v>GOP</v>
      </c>
      <c r="Y413" s="320" t="str">
        <f>VLOOKUP(H413,'Fund Utilization Report'!$A$4:$U$1800,7,FALSE)</f>
        <v>RLIP</v>
      </c>
      <c r="Z413" s="321" t="str">
        <f>VLOOKUP(H413,'Fund Utilization Report'!$A$4:$U$1800,8,FALSE)</f>
        <v>50103010-00</v>
      </c>
      <c r="AA413" s="319" t="str">
        <f>VLOOKUP(H413,'Fund Utilization Report'!$A$4:$U$1800,14,FALSE)</f>
        <v>100000100001000</v>
      </c>
      <c r="AB413" s="349" t="str">
        <f>VLOOKUP(H413,'Fund Utilization Report'!$A$4:$U$1800,15,FALSE)</f>
        <v>General Administration and Supervision - General Management and Supervision</v>
      </c>
      <c r="AC413" s="39"/>
      <c r="AD413" s="34"/>
      <c r="AE413" s="39"/>
      <c r="AF413" s="51"/>
      <c r="AG413" s="40"/>
      <c r="AH413" s="40"/>
    </row>
    <row r="414" spans="1:34" s="32" customFormat="1" ht="27.6">
      <c r="A414" s="338" t="s">
        <v>942</v>
      </c>
      <c r="B414" s="338" t="s">
        <v>945</v>
      </c>
      <c r="C414" s="358">
        <v>44235</v>
      </c>
      <c r="D414" s="351" t="s">
        <v>1028</v>
      </c>
      <c r="E414" s="352" t="s">
        <v>1098</v>
      </c>
      <c r="F414" s="338">
        <v>0.6333333333333333</v>
      </c>
      <c r="G414" s="338">
        <v>0.63680555555555551</v>
      </c>
      <c r="H414" s="338" t="s">
        <v>960</v>
      </c>
      <c r="I414" s="353">
        <v>733</v>
      </c>
      <c r="J414" s="338" t="str">
        <f>IFERROR(VLOOKUP(I414,'Chart of accounts'!A:H,2,FALSE),"")</f>
        <v>50103030 01</v>
      </c>
      <c r="K414" s="338" t="str">
        <f>IFERROR(VLOOKUP(I414,'Chart of accounts'!A:H,3,FALSE),"")</f>
        <v>PhilHealth - Civilian</v>
      </c>
      <c r="L414" s="338" t="str">
        <f>IFERROR(VLOOKUP(I414,'Chart of accounts'!A:H,4,FALSE),"")</f>
        <v>50103030 01 - PhilHealth - Civilian (733)</v>
      </c>
      <c r="M414" s="361">
        <v>68</v>
      </c>
      <c r="N414" s="355" t="s">
        <v>764</v>
      </c>
      <c r="O414" s="355" t="s">
        <v>1095</v>
      </c>
      <c r="P414" s="355"/>
      <c r="Q414" s="363">
        <v>217.2</v>
      </c>
      <c r="R414" s="319">
        <f t="shared" si="6"/>
        <v>-217.2</v>
      </c>
      <c r="S414" s="319" t="str">
        <f>VLOOKUP(H414,'Fund Utilization Report'!$A$4:$U$1800,13,FALSE)</f>
        <v>PS</v>
      </c>
      <c r="T414" s="319" t="str">
        <f>VLOOKUP(H414,'Fund Utilization Report'!$A$4:$U$1800,2,FALSE)</f>
        <v>GAA</v>
      </c>
      <c r="U414" s="319" t="str">
        <f>VLOOKUP(H414,'Fund Utilization Report'!$A$4:$U$1800,3,FALSE)</f>
        <v>FY2021, RA11518</v>
      </c>
      <c r="V414" s="319" t="str">
        <f>VLOOKUP(H414,'Fund Utilization Report'!$A$4:$U$1800,4,FALSE)</f>
        <v>GAS(GMS)</v>
      </c>
      <c r="W414" s="319" t="str">
        <f>VLOOKUP(H414,'Fund Utilization Report'!$A$4:$U$1800,5,FALSE)</f>
        <v>01101101</v>
      </c>
      <c r="X414" s="319" t="str">
        <f>VLOOKUP(H414,'Fund Utilization Report'!$A$4:$U$1800,6,FALSE)</f>
        <v>GOP</v>
      </c>
      <c r="Y414" s="320" t="str">
        <f>VLOOKUP(H414,'Fund Utilization Report'!$A$4:$U$1800,7,FALSE)</f>
        <v>PS</v>
      </c>
      <c r="Z414" s="321">
        <f>VLOOKUP(H414,'Fund Utilization Report'!$A$4:$U$1800,8,FALSE)</f>
        <v>5010000000</v>
      </c>
      <c r="AA414" s="319" t="str">
        <f>VLOOKUP(H414,'Fund Utilization Report'!$A$4:$U$1800,14,FALSE)</f>
        <v>100000100001000</v>
      </c>
      <c r="AB414" s="349" t="str">
        <f>VLOOKUP(H414,'Fund Utilization Report'!$A$4:$U$1800,15,FALSE)</f>
        <v>General Administration and Supervision - General Management and Supervision</v>
      </c>
      <c r="AC414" s="39"/>
      <c r="AD414" s="34"/>
      <c r="AE414" s="39"/>
      <c r="AF414" s="51"/>
      <c r="AG414" s="40"/>
      <c r="AH414" s="40"/>
    </row>
    <row r="415" spans="1:34" s="32" customFormat="1" ht="27.6">
      <c r="A415" s="338" t="s">
        <v>942</v>
      </c>
      <c r="B415" s="338" t="s">
        <v>945</v>
      </c>
      <c r="C415" s="358">
        <v>44235</v>
      </c>
      <c r="D415" s="351" t="s">
        <v>1028</v>
      </c>
      <c r="E415" s="352" t="s">
        <v>1099</v>
      </c>
      <c r="F415" s="338">
        <v>0.63680555555555551</v>
      </c>
      <c r="G415" s="338">
        <v>0.63888888888888895</v>
      </c>
      <c r="H415" s="338" t="s">
        <v>960</v>
      </c>
      <c r="I415" s="353">
        <v>701</v>
      </c>
      <c r="J415" s="338" t="str">
        <f>IFERROR(VLOOKUP(I415,'Chart of accounts'!A:H,2,FALSE),"")</f>
        <v>50101010 01</v>
      </c>
      <c r="K415" s="338" t="str">
        <f>IFERROR(VLOOKUP(I415,'Chart of accounts'!A:H,3,FALSE),"")</f>
        <v>Basic Salary - Civilian</v>
      </c>
      <c r="L415" s="338" t="str">
        <f>IFERROR(VLOOKUP(I415,'Chart of accounts'!A:H,4,FALSE),"")</f>
        <v>50101010 01 - Basic Salary - Civilian (701)</v>
      </c>
      <c r="M415" s="361">
        <v>67</v>
      </c>
      <c r="N415" s="355" t="s">
        <v>768</v>
      </c>
      <c r="O415" s="355" t="s">
        <v>1095</v>
      </c>
      <c r="P415" s="355"/>
      <c r="Q415" s="363">
        <v>19076</v>
      </c>
      <c r="R415" s="319">
        <f t="shared" si="6"/>
        <v>-19076</v>
      </c>
      <c r="S415" s="319" t="str">
        <f>VLOOKUP(H415,'Fund Utilization Report'!$A$4:$U$1800,13,FALSE)</f>
        <v>PS</v>
      </c>
      <c r="T415" s="319" t="str">
        <f>VLOOKUP(H415,'Fund Utilization Report'!$A$4:$U$1800,2,FALSE)</f>
        <v>GAA</v>
      </c>
      <c r="U415" s="319" t="str">
        <f>VLOOKUP(H415,'Fund Utilization Report'!$A$4:$U$1800,3,FALSE)</f>
        <v>FY2021, RA11518</v>
      </c>
      <c r="V415" s="319" t="str">
        <f>VLOOKUP(H415,'Fund Utilization Report'!$A$4:$U$1800,4,FALSE)</f>
        <v>GAS(GMS)</v>
      </c>
      <c r="W415" s="319" t="str">
        <f>VLOOKUP(H415,'Fund Utilization Report'!$A$4:$U$1800,5,FALSE)</f>
        <v>01101101</v>
      </c>
      <c r="X415" s="319" t="str">
        <f>VLOOKUP(H415,'Fund Utilization Report'!$A$4:$U$1800,6,FALSE)</f>
        <v>GOP</v>
      </c>
      <c r="Y415" s="320" t="str">
        <f>VLOOKUP(H415,'Fund Utilization Report'!$A$4:$U$1800,7,FALSE)</f>
        <v>PS</v>
      </c>
      <c r="Z415" s="321">
        <f>VLOOKUP(H415,'Fund Utilization Report'!$A$4:$U$1800,8,FALSE)</f>
        <v>5010000000</v>
      </c>
      <c r="AA415" s="319" t="str">
        <f>VLOOKUP(H415,'Fund Utilization Report'!$A$4:$U$1800,14,FALSE)</f>
        <v>100000100001000</v>
      </c>
      <c r="AB415" s="349" t="str">
        <f>VLOOKUP(H415,'Fund Utilization Report'!$A$4:$U$1800,15,FALSE)</f>
        <v>General Administration and Supervision - General Management and Supervision</v>
      </c>
      <c r="AC415" s="39"/>
      <c r="AD415" s="34"/>
      <c r="AE415" s="39"/>
      <c r="AF415" s="51"/>
      <c r="AG415" s="40"/>
      <c r="AH415" s="40"/>
    </row>
    <row r="416" spans="1:34" s="32" customFormat="1" ht="27.6">
      <c r="A416" s="338" t="s">
        <v>942</v>
      </c>
      <c r="B416" s="338" t="s">
        <v>945</v>
      </c>
      <c r="C416" s="358">
        <v>44235</v>
      </c>
      <c r="D416" s="351" t="s">
        <v>1028</v>
      </c>
      <c r="E416" s="352" t="s">
        <v>1099</v>
      </c>
      <c r="F416" s="338">
        <v>0.63680555555555551</v>
      </c>
      <c r="G416" s="338">
        <v>0.63888888888888895</v>
      </c>
      <c r="H416" s="338" t="s">
        <v>962</v>
      </c>
      <c r="I416" s="353">
        <v>731</v>
      </c>
      <c r="J416" s="338" t="str">
        <f>IFERROR(VLOOKUP(I416,'Chart of accounts'!A:H,2,FALSE),"")</f>
        <v>50103010 00</v>
      </c>
      <c r="K416" s="338" t="str">
        <f>IFERROR(VLOOKUP(I416,'Chart of accounts'!A:H,3,FALSE),"")</f>
        <v>Retirement and Life Insurance Premiums</v>
      </c>
      <c r="L416" s="338" t="str">
        <f>IFERROR(VLOOKUP(I416,'Chart of accounts'!A:H,4,FALSE),"")</f>
        <v>50103010 00 - Retirement and Life Insurance Premiums (731)</v>
      </c>
      <c r="M416" s="361">
        <v>67</v>
      </c>
      <c r="N416" s="355" t="s">
        <v>768</v>
      </c>
      <c r="O416" s="355" t="s">
        <v>1095</v>
      </c>
      <c r="P416" s="355"/>
      <c r="Q416" s="363">
        <v>2289.12</v>
      </c>
      <c r="R416" s="319">
        <f t="shared" si="6"/>
        <v>-2289.12</v>
      </c>
      <c r="S416" s="319" t="str">
        <f>VLOOKUP(H416,'Fund Utilization Report'!$A$4:$U$1800,13,FALSE)</f>
        <v>PS</v>
      </c>
      <c r="T416" s="319" t="str">
        <f>VLOOKUP(H416,'Fund Utilization Report'!$A$4:$U$1800,2,FALSE)</f>
        <v>GAA</v>
      </c>
      <c r="U416" s="319" t="str">
        <f>VLOOKUP(H416,'Fund Utilization Report'!$A$4:$U$1800,3,FALSE)</f>
        <v>FY2021, RA11518</v>
      </c>
      <c r="V416" s="319" t="str">
        <f>VLOOKUP(H416,'Fund Utilization Report'!$A$4:$U$1800,4,FALSE)</f>
        <v>GAS(GMS)</v>
      </c>
      <c r="W416" s="319" t="str">
        <f>VLOOKUP(H416,'Fund Utilization Report'!$A$4:$U$1800,5,FALSE)</f>
        <v>01101101</v>
      </c>
      <c r="X416" s="319" t="str">
        <f>VLOOKUP(H416,'Fund Utilization Report'!$A$4:$U$1800,6,FALSE)</f>
        <v>GOP</v>
      </c>
      <c r="Y416" s="320" t="str">
        <f>VLOOKUP(H416,'Fund Utilization Report'!$A$4:$U$1800,7,FALSE)</f>
        <v>RLIP</v>
      </c>
      <c r="Z416" s="321" t="str">
        <f>VLOOKUP(H416,'Fund Utilization Report'!$A$4:$U$1800,8,FALSE)</f>
        <v>50103010-00</v>
      </c>
      <c r="AA416" s="319" t="str">
        <f>VLOOKUP(H416,'Fund Utilization Report'!$A$4:$U$1800,14,FALSE)</f>
        <v>100000100001000</v>
      </c>
      <c r="AB416" s="349" t="str">
        <f>VLOOKUP(H416,'Fund Utilization Report'!$A$4:$U$1800,15,FALSE)</f>
        <v>General Administration and Supervision - General Management and Supervision</v>
      </c>
      <c r="AC416" s="39"/>
      <c r="AD416" s="34"/>
      <c r="AE416" s="39"/>
      <c r="AF416" s="51"/>
      <c r="AG416" s="40"/>
      <c r="AH416" s="40"/>
    </row>
    <row r="417" spans="1:34" s="32" customFormat="1" ht="27.6">
      <c r="A417" s="338" t="s">
        <v>942</v>
      </c>
      <c r="B417" s="338" t="s">
        <v>945</v>
      </c>
      <c r="C417" s="358">
        <v>44235</v>
      </c>
      <c r="D417" s="351" t="s">
        <v>1028</v>
      </c>
      <c r="E417" s="352" t="s">
        <v>1099</v>
      </c>
      <c r="F417" s="338">
        <v>0.63680555555555551</v>
      </c>
      <c r="G417" s="338">
        <v>0.63888888888888895</v>
      </c>
      <c r="H417" s="338" t="s">
        <v>960</v>
      </c>
      <c r="I417" s="353">
        <v>733</v>
      </c>
      <c r="J417" s="338" t="str">
        <f>IFERROR(VLOOKUP(I417,'Chart of accounts'!A:H,2,FALSE),"")</f>
        <v>50103030 01</v>
      </c>
      <c r="K417" s="338" t="str">
        <f>IFERROR(VLOOKUP(I417,'Chart of accounts'!A:H,3,FALSE),"")</f>
        <v>PhilHealth - Civilian</v>
      </c>
      <c r="L417" s="338" t="str">
        <f>IFERROR(VLOOKUP(I417,'Chart of accounts'!A:H,4,FALSE),"")</f>
        <v>50103030 01 - PhilHealth - Civilian (733)</v>
      </c>
      <c r="M417" s="361">
        <v>67</v>
      </c>
      <c r="N417" s="355" t="s">
        <v>768</v>
      </c>
      <c r="O417" s="355" t="s">
        <v>1095</v>
      </c>
      <c r="P417" s="355"/>
      <c r="Q417" s="363">
        <v>228.89</v>
      </c>
      <c r="R417" s="319">
        <f t="shared" si="6"/>
        <v>-228.89</v>
      </c>
      <c r="S417" s="319" t="str">
        <f>VLOOKUP(H417,'Fund Utilization Report'!$A$4:$U$1800,13,FALSE)</f>
        <v>PS</v>
      </c>
      <c r="T417" s="319" t="str">
        <f>VLOOKUP(H417,'Fund Utilization Report'!$A$4:$U$1800,2,FALSE)</f>
        <v>GAA</v>
      </c>
      <c r="U417" s="319" t="str">
        <f>VLOOKUP(H417,'Fund Utilization Report'!$A$4:$U$1800,3,FALSE)</f>
        <v>FY2021, RA11518</v>
      </c>
      <c r="V417" s="319" t="str">
        <f>VLOOKUP(H417,'Fund Utilization Report'!$A$4:$U$1800,4,FALSE)</f>
        <v>GAS(GMS)</v>
      </c>
      <c r="W417" s="319" t="str">
        <f>VLOOKUP(H417,'Fund Utilization Report'!$A$4:$U$1800,5,FALSE)</f>
        <v>01101101</v>
      </c>
      <c r="X417" s="319" t="str">
        <f>VLOOKUP(H417,'Fund Utilization Report'!$A$4:$U$1800,6,FALSE)</f>
        <v>GOP</v>
      </c>
      <c r="Y417" s="320" t="str">
        <f>VLOOKUP(H417,'Fund Utilization Report'!$A$4:$U$1800,7,FALSE)</f>
        <v>PS</v>
      </c>
      <c r="Z417" s="321">
        <f>VLOOKUP(H417,'Fund Utilization Report'!$A$4:$U$1800,8,FALSE)</f>
        <v>5010000000</v>
      </c>
      <c r="AA417" s="319" t="str">
        <f>VLOOKUP(H417,'Fund Utilization Report'!$A$4:$U$1800,14,FALSE)</f>
        <v>100000100001000</v>
      </c>
      <c r="AB417" s="349" t="str">
        <f>VLOOKUP(H417,'Fund Utilization Report'!$A$4:$U$1800,15,FALSE)</f>
        <v>General Administration and Supervision - General Management and Supervision</v>
      </c>
      <c r="AC417" s="39"/>
      <c r="AD417" s="34"/>
      <c r="AE417" s="39"/>
      <c r="AF417" s="51"/>
      <c r="AG417" s="40"/>
      <c r="AH417" s="40"/>
    </row>
    <row r="418" spans="1:34" s="32" customFormat="1" ht="27.6">
      <c r="A418" s="338" t="s">
        <v>942</v>
      </c>
      <c r="B418" s="338" t="s">
        <v>945</v>
      </c>
      <c r="C418" s="358">
        <v>44235</v>
      </c>
      <c r="D418" s="351" t="s">
        <v>1028</v>
      </c>
      <c r="E418" s="352" t="s">
        <v>1100</v>
      </c>
      <c r="F418" s="338">
        <v>0.63888888888888895</v>
      </c>
      <c r="G418" s="338">
        <v>0.64027777777777783</v>
      </c>
      <c r="H418" s="338" t="s">
        <v>960</v>
      </c>
      <c r="I418" s="353">
        <v>701</v>
      </c>
      <c r="J418" s="338" t="str">
        <f>IFERROR(VLOOKUP(I418,'Chart of accounts'!A:H,2,FALSE),"")</f>
        <v>50101010 01</v>
      </c>
      <c r="K418" s="338" t="str">
        <f>IFERROR(VLOOKUP(I418,'Chart of accounts'!A:H,3,FALSE),"")</f>
        <v>Basic Salary - Civilian</v>
      </c>
      <c r="L418" s="338" t="str">
        <f>IFERROR(VLOOKUP(I418,'Chart of accounts'!A:H,4,FALSE),"")</f>
        <v>50101010 01 - Basic Salary - Civilian (701)</v>
      </c>
      <c r="M418" s="361">
        <v>85</v>
      </c>
      <c r="N418" s="355" t="s">
        <v>765</v>
      </c>
      <c r="O418" s="355" t="s">
        <v>1095</v>
      </c>
      <c r="P418" s="355"/>
      <c r="Q418" s="363">
        <v>11398</v>
      </c>
      <c r="R418" s="319">
        <f t="shared" si="6"/>
        <v>-11398</v>
      </c>
      <c r="S418" s="319" t="str">
        <f>VLOOKUP(H418,'Fund Utilization Report'!$A$4:$U$1800,13,FALSE)</f>
        <v>PS</v>
      </c>
      <c r="T418" s="319" t="str">
        <f>VLOOKUP(H418,'Fund Utilization Report'!$A$4:$U$1800,2,FALSE)</f>
        <v>GAA</v>
      </c>
      <c r="U418" s="319" t="str">
        <f>VLOOKUP(H418,'Fund Utilization Report'!$A$4:$U$1800,3,FALSE)</f>
        <v>FY2021, RA11518</v>
      </c>
      <c r="V418" s="319" t="str">
        <f>VLOOKUP(H418,'Fund Utilization Report'!$A$4:$U$1800,4,FALSE)</f>
        <v>GAS(GMS)</v>
      </c>
      <c r="W418" s="319" t="str">
        <f>VLOOKUP(H418,'Fund Utilization Report'!$A$4:$U$1800,5,FALSE)</f>
        <v>01101101</v>
      </c>
      <c r="X418" s="319" t="str">
        <f>VLOOKUP(H418,'Fund Utilization Report'!$A$4:$U$1800,6,FALSE)</f>
        <v>GOP</v>
      </c>
      <c r="Y418" s="320" t="str">
        <f>VLOOKUP(H418,'Fund Utilization Report'!$A$4:$U$1800,7,FALSE)</f>
        <v>PS</v>
      </c>
      <c r="Z418" s="321">
        <f>VLOOKUP(H418,'Fund Utilization Report'!$A$4:$U$1800,8,FALSE)</f>
        <v>5010000000</v>
      </c>
      <c r="AA418" s="319" t="str">
        <f>VLOOKUP(H418,'Fund Utilization Report'!$A$4:$U$1800,14,FALSE)</f>
        <v>100000100001000</v>
      </c>
      <c r="AB418" s="349" t="str">
        <f>VLOOKUP(H418,'Fund Utilization Report'!$A$4:$U$1800,15,FALSE)</f>
        <v>General Administration and Supervision - General Management and Supervision</v>
      </c>
      <c r="AC418" s="39"/>
      <c r="AD418" s="34"/>
      <c r="AE418" s="39"/>
      <c r="AF418" s="51"/>
      <c r="AG418" s="40"/>
      <c r="AH418" s="40"/>
    </row>
    <row r="419" spans="1:34" s="32" customFormat="1" ht="27.6">
      <c r="A419" s="338" t="s">
        <v>942</v>
      </c>
      <c r="B419" s="338" t="s">
        <v>945</v>
      </c>
      <c r="C419" s="358">
        <v>44235</v>
      </c>
      <c r="D419" s="351" t="s">
        <v>1028</v>
      </c>
      <c r="E419" s="352" t="s">
        <v>1100</v>
      </c>
      <c r="F419" s="338">
        <v>0.63888888888888895</v>
      </c>
      <c r="G419" s="338">
        <v>0.64027777777777783</v>
      </c>
      <c r="H419" s="338" t="s">
        <v>962</v>
      </c>
      <c r="I419" s="353">
        <v>731</v>
      </c>
      <c r="J419" s="338" t="str">
        <f>IFERROR(VLOOKUP(I419,'Chart of accounts'!A:H,2,FALSE),"")</f>
        <v>50103010 00</v>
      </c>
      <c r="K419" s="338" t="str">
        <f>IFERROR(VLOOKUP(I419,'Chart of accounts'!A:H,3,FALSE),"")</f>
        <v>Retirement and Life Insurance Premiums</v>
      </c>
      <c r="L419" s="338" t="str">
        <f>IFERROR(VLOOKUP(I419,'Chart of accounts'!A:H,4,FALSE),"")</f>
        <v>50103010 00 - Retirement and Life Insurance Premiums (731)</v>
      </c>
      <c r="M419" s="361">
        <v>85</v>
      </c>
      <c r="N419" s="355" t="s">
        <v>765</v>
      </c>
      <c r="O419" s="355" t="s">
        <v>1095</v>
      </c>
      <c r="P419" s="355"/>
      <c r="Q419" s="363">
        <v>1367.76</v>
      </c>
      <c r="R419" s="319">
        <f t="shared" si="6"/>
        <v>-1367.76</v>
      </c>
      <c r="S419" s="319" t="str">
        <f>VLOOKUP(H419,'Fund Utilization Report'!$A$4:$U$1800,13,FALSE)</f>
        <v>PS</v>
      </c>
      <c r="T419" s="319" t="str">
        <f>VLOOKUP(H419,'Fund Utilization Report'!$A$4:$U$1800,2,FALSE)</f>
        <v>GAA</v>
      </c>
      <c r="U419" s="319" t="str">
        <f>VLOOKUP(H419,'Fund Utilization Report'!$A$4:$U$1800,3,FALSE)</f>
        <v>FY2021, RA11518</v>
      </c>
      <c r="V419" s="319" t="str">
        <f>VLOOKUP(H419,'Fund Utilization Report'!$A$4:$U$1800,4,FALSE)</f>
        <v>GAS(GMS)</v>
      </c>
      <c r="W419" s="319" t="str">
        <f>VLOOKUP(H419,'Fund Utilization Report'!$A$4:$U$1800,5,FALSE)</f>
        <v>01101101</v>
      </c>
      <c r="X419" s="319" t="str">
        <f>VLOOKUP(H419,'Fund Utilization Report'!$A$4:$U$1800,6,FALSE)</f>
        <v>GOP</v>
      </c>
      <c r="Y419" s="320" t="str">
        <f>VLOOKUP(H419,'Fund Utilization Report'!$A$4:$U$1800,7,FALSE)</f>
        <v>RLIP</v>
      </c>
      <c r="Z419" s="321" t="str">
        <f>VLOOKUP(H419,'Fund Utilization Report'!$A$4:$U$1800,8,FALSE)</f>
        <v>50103010-00</v>
      </c>
      <c r="AA419" s="319" t="str">
        <f>VLOOKUP(H419,'Fund Utilization Report'!$A$4:$U$1800,14,FALSE)</f>
        <v>100000100001000</v>
      </c>
      <c r="AB419" s="349" t="str">
        <f>VLOOKUP(H419,'Fund Utilization Report'!$A$4:$U$1800,15,FALSE)</f>
        <v>General Administration and Supervision - General Management and Supervision</v>
      </c>
      <c r="AC419" s="39"/>
      <c r="AD419" s="34"/>
      <c r="AE419" s="39"/>
      <c r="AF419" s="51"/>
      <c r="AG419" s="40"/>
      <c r="AH419" s="40"/>
    </row>
    <row r="420" spans="1:34" s="32" customFormat="1" ht="27.6">
      <c r="A420" s="338" t="s">
        <v>942</v>
      </c>
      <c r="B420" s="338" t="s">
        <v>945</v>
      </c>
      <c r="C420" s="358">
        <v>44235</v>
      </c>
      <c r="D420" s="351" t="s">
        <v>1028</v>
      </c>
      <c r="E420" s="352" t="s">
        <v>1100</v>
      </c>
      <c r="F420" s="338">
        <v>0.63888888888888895</v>
      </c>
      <c r="G420" s="338">
        <v>0.64027777777777783</v>
      </c>
      <c r="H420" s="338" t="s">
        <v>960</v>
      </c>
      <c r="I420" s="353">
        <v>733</v>
      </c>
      <c r="J420" s="338" t="str">
        <f>IFERROR(VLOOKUP(I420,'Chart of accounts'!A:H,2,FALSE),"")</f>
        <v>50103030 01</v>
      </c>
      <c r="K420" s="338" t="str">
        <f>IFERROR(VLOOKUP(I420,'Chart of accounts'!A:H,3,FALSE),"")</f>
        <v>PhilHealth - Civilian</v>
      </c>
      <c r="L420" s="338" t="str">
        <f>IFERROR(VLOOKUP(I420,'Chart of accounts'!A:H,4,FALSE),"")</f>
        <v>50103030 01 - PhilHealth - Civilian (733)</v>
      </c>
      <c r="M420" s="361">
        <v>85</v>
      </c>
      <c r="N420" s="355" t="s">
        <v>765</v>
      </c>
      <c r="O420" s="355" t="s">
        <v>1095</v>
      </c>
      <c r="P420" s="355"/>
      <c r="Q420" s="363">
        <v>138.75</v>
      </c>
      <c r="R420" s="319">
        <f t="shared" si="6"/>
        <v>-138.75</v>
      </c>
      <c r="S420" s="319" t="str">
        <f>VLOOKUP(H420,'Fund Utilization Report'!$A$4:$U$1800,13,FALSE)</f>
        <v>PS</v>
      </c>
      <c r="T420" s="319" t="str">
        <f>VLOOKUP(H420,'Fund Utilization Report'!$A$4:$U$1800,2,FALSE)</f>
        <v>GAA</v>
      </c>
      <c r="U420" s="319" t="str">
        <f>VLOOKUP(H420,'Fund Utilization Report'!$A$4:$U$1800,3,FALSE)</f>
        <v>FY2021, RA11518</v>
      </c>
      <c r="V420" s="319" t="str">
        <f>VLOOKUP(H420,'Fund Utilization Report'!$A$4:$U$1800,4,FALSE)</f>
        <v>GAS(GMS)</v>
      </c>
      <c r="W420" s="319" t="str">
        <f>VLOOKUP(H420,'Fund Utilization Report'!$A$4:$U$1800,5,FALSE)</f>
        <v>01101101</v>
      </c>
      <c r="X420" s="319" t="str">
        <f>VLOOKUP(H420,'Fund Utilization Report'!$A$4:$U$1800,6,FALSE)</f>
        <v>GOP</v>
      </c>
      <c r="Y420" s="320" t="str">
        <f>VLOOKUP(H420,'Fund Utilization Report'!$A$4:$U$1800,7,FALSE)</f>
        <v>PS</v>
      </c>
      <c r="Z420" s="321">
        <f>VLOOKUP(H420,'Fund Utilization Report'!$A$4:$U$1800,8,FALSE)</f>
        <v>5010000000</v>
      </c>
      <c r="AA420" s="319" t="str">
        <f>VLOOKUP(H420,'Fund Utilization Report'!$A$4:$U$1800,14,FALSE)</f>
        <v>100000100001000</v>
      </c>
      <c r="AB420" s="349" t="str">
        <f>VLOOKUP(H420,'Fund Utilization Report'!$A$4:$U$1800,15,FALSE)</f>
        <v>General Administration and Supervision - General Management and Supervision</v>
      </c>
      <c r="AC420" s="39"/>
      <c r="AD420" s="34"/>
      <c r="AE420" s="39"/>
      <c r="AF420" s="51"/>
      <c r="AG420" s="40"/>
      <c r="AH420" s="40"/>
    </row>
    <row r="421" spans="1:34" s="32" customFormat="1" ht="27.6">
      <c r="A421" s="338" t="s">
        <v>942</v>
      </c>
      <c r="B421" s="338" t="s">
        <v>945</v>
      </c>
      <c r="C421" s="358">
        <v>44235</v>
      </c>
      <c r="D421" s="351" t="s">
        <v>1028</v>
      </c>
      <c r="E421" s="352" t="s">
        <v>1101</v>
      </c>
      <c r="F421" s="338">
        <v>0.64513888888888882</v>
      </c>
      <c r="G421" s="338">
        <v>0.64652777777777781</v>
      </c>
      <c r="H421" s="338" t="s">
        <v>974</v>
      </c>
      <c r="I421" s="353">
        <v>773</v>
      </c>
      <c r="J421" s="338" t="str">
        <f>IFERROR(VLOOKUP(I421,'Chart of accounts'!A:H,2,FALSE),"")</f>
        <v>50205020 01</v>
      </c>
      <c r="K421" s="338" t="str">
        <f>IFERROR(VLOOKUP(I421,'Chart of accounts'!A:H,3,FALSE),"")</f>
        <v xml:space="preserve">Telephone Expenses - Mobile </v>
      </c>
      <c r="L421" s="338" t="str">
        <f>IFERROR(VLOOKUP(I421,'Chart of accounts'!A:H,4,FALSE),"")</f>
        <v>50205020 01 - Telephone Expenses - Mobile  (773)</v>
      </c>
      <c r="M421" s="361">
        <v>1</v>
      </c>
      <c r="N421" s="355" t="s">
        <v>1102</v>
      </c>
      <c r="O421" s="355" t="s">
        <v>1103</v>
      </c>
      <c r="P421" s="355"/>
      <c r="Q421" s="363">
        <v>1200</v>
      </c>
      <c r="R421" s="319">
        <f t="shared" si="6"/>
        <v>-1200</v>
      </c>
      <c r="S421" s="319" t="str">
        <f>VLOOKUP(H421,'Fund Utilization Report'!$A$4:$U$1800,13,FALSE)</f>
        <v>MOOE</v>
      </c>
      <c r="T421" s="319" t="str">
        <f>VLOOKUP(H421,'Fund Utilization Report'!$A$4:$U$1800,2,FALSE)</f>
        <v>GAA</v>
      </c>
      <c r="U421" s="319" t="str">
        <f>VLOOKUP(H421,'Fund Utilization Report'!$A$4:$U$1800,3,FALSE)</f>
        <v>FY2021, RA11518</v>
      </c>
      <c r="V421" s="319" t="str">
        <f>VLOOKUP(H421,'Fund Utilization Report'!$A$4:$U$1800,4,FALSE)</f>
        <v>OO4.1(FTL)</v>
      </c>
      <c r="W421" s="319" t="str">
        <f>VLOOKUP(H421,'Fund Utilization Report'!$A$4:$U$1800,5,FALSE)</f>
        <v>01101101</v>
      </c>
      <c r="X421" s="319" t="str">
        <f>VLOOKUP(H421,'Fund Utilization Report'!$A$4:$U$1800,6,FALSE)</f>
        <v>GOP</v>
      </c>
      <c r="Y421" s="320" t="str">
        <f>VLOOKUP(H421,'Fund Utilization Report'!$A$4:$U$1800,7,FALSE)</f>
        <v>MOOE</v>
      </c>
      <c r="Z421" s="321">
        <f>VLOOKUP(H421,'Fund Utilization Report'!$A$4:$U$1800,8,FALSE)</f>
        <v>5020000000</v>
      </c>
      <c r="AA421" s="319" t="str">
        <f>VLOOKUP(H421,'Fund Utilization Report'!$A$4:$U$1800,14,FALSE)</f>
        <v>340100100002000</v>
      </c>
      <c r="AB421" s="349" t="str">
        <f>VLOOKUP(H421,'Fund Utilization Report'!$A$4:$U$1800,15,FALSE)</f>
        <v>Monitoring and Enforcement of FTL including consumer complaints handling</v>
      </c>
      <c r="AC421" s="39"/>
      <c r="AD421" s="34"/>
      <c r="AE421" s="39"/>
      <c r="AF421" s="51"/>
      <c r="AG421" s="40"/>
      <c r="AH421" s="40"/>
    </row>
    <row r="422" spans="1:34" s="32" customFormat="1" ht="27.6">
      <c r="A422" s="338" t="s">
        <v>942</v>
      </c>
      <c r="B422" s="338" t="s">
        <v>945</v>
      </c>
      <c r="C422" s="358">
        <v>44235</v>
      </c>
      <c r="D422" s="351" t="s">
        <v>1028</v>
      </c>
      <c r="E422" s="352" t="s">
        <v>1104</v>
      </c>
      <c r="F422" s="338">
        <v>0.64652777777777781</v>
      </c>
      <c r="G422" s="338">
        <v>0.64722222222222225</v>
      </c>
      <c r="H422" s="338" t="s">
        <v>961</v>
      </c>
      <c r="I422" s="353">
        <v>893</v>
      </c>
      <c r="J422" s="338" t="str">
        <f>IFERROR(VLOOKUP(I422,'Chart of accounts'!A:H,2,FALSE),"")</f>
        <v>50215030 00</v>
      </c>
      <c r="K422" s="338" t="str">
        <f>IFERROR(VLOOKUP(I422,'Chart of accounts'!A:H,3,FALSE),"")</f>
        <v>Insurance Expense</v>
      </c>
      <c r="L422" s="338" t="str">
        <f>IFERROR(VLOOKUP(I422,'Chart of accounts'!A:H,4,FALSE),"")</f>
        <v>50215030 00 - Insurance Expense (893)</v>
      </c>
      <c r="M422" s="361">
        <v>1</v>
      </c>
      <c r="N422" s="355" t="s">
        <v>1105</v>
      </c>
      <c r="O422" s="355" t="s">
        <v>1106</v>
      </c>
      <c r="P422" s="355"/>
      <c r="Q422" s="363">
        <v>8885.08</v>
      </c>
      <c r="R422" s="319">
        <f t="shared" si="6"/>
        <v>-8885.08</v>
      </c>
      <c r="S422" s="319" t="str">
        <f>VLOOKUP(H422,'Fund Utilization Report'!$A$4:$U$1800,13,FALSE)</f>
        <v>MOOE</v>
      </c>
      <c r="T422" s="319" t="str">
        <f>VLOOKUP(H422,'Fund Utilization Report'!$A$4:$U$1800,2,FALSE)</f>
        <v>GAA</v>
      </c>
      <c r="U422" s="319" t="str">
        <f>VLOOKUP(H422,'Fund Utilization Report'!$A$4:$U$1800,3,FALSE)</f>
        <v>FY2021, RA11518</v>
      </c>
      <c r="V422" s="319" t="str">
        <f>VLOOKUP(H422,'Fund Utilization Report'!$A$4:$U$1800,4,FALSE)</f>
        <v>GAS(GMS)</v>
      </c>
      <c r="W422" s="319" t="str">
        <f>VLOOKUP(H422,'Fund Utilization Report'!$A$4:$U$1800,5,FALSE)</f>
        <v>01101101</v>
      </c>
      <c r="X422" s="319" t="str">
        <f>VLOOKUP(H422,'Fund Utilization Report'!$A$4:$U$1800,6,FALSE)</f>
        <v>GOP</v>
      </c>
      <c r="Y422" s="320" t="str">
        <f>VLOOKUP(H422,'Fund Utilization Report'!$A$4:$U$1800,7,FALSE)</f>
        <v>MOOE</v>
      </c>
      <c r="Z422" s="321">
        <f>VLOOKUP(H422,'Fund Utilization Report'!$A$4:$U$1800,8,FALSE)</f>
        <v>5020000000</v>
      </c>
      <c r="AA422" s="319" t="str">
        <f>VLOOKUP(H422,'Fund Utilization Report'!$A$4:$U$1800,14,FALSE)</f>
        <v>100000100001000</v>
      </c>
      <c r="AB422" s="349" t="str">
        <f>VLOOKUP(H422,'Fund Utilization Report'!$A$4:$U$1800,15,FALSE)</f>
        <v>General Administration and Supervision - General Management and Supervision</v>
      </c>
      <c r="AC422" s="39"/>
      <c r="AD422" s="34"/>
      <c r="AE422" s="39"/>
      <c r="AF422" s="51"/>
      <c r="AG422" s="40"/>
      <c r="AH422" s="40"/>
    </row>
    <row r="423" spans="1:34" s="32" customFormat="1" ht="27.6">
      <c r="A423" s="338" t="s">
        <v>942</v>
      </c>
      <c r="B423" s="338" t="s">
        <v>945</v>
      </c>
      <c r="C423" s="358">
        <v>44235</v>
      </c>
      <c r="D423" s="351" t="s">
        <v>1028</v>
      </c>
      <c r="E423" s="352" t="s">
        <v>1107</v>
      </c>
      <c r="F423" s="338">
        <v>0.64722222222222225</v>
      </c>
      <c r="G423" s="338">
        <v>0.64930555555555558</v>
      </c>
      <c r="H423" s="338" t="s">
        <v>971</v>
      </c>
      <c r="I423" s="353">
        <v>783</v>
      </c>
      <c r="J423" s="338" t="str">
        <f>IFERROR(VLOOKUP(I423,'Chart of accounts'!A:H,2,FALSE),"")</f>
        <v>50299030 00</v>
      </c>
      <c r="K423" s="338" t="str">
        <f>IFERROR(VLOOKUP(I423,'Chart of accounts'!A:H,3,FALSE),"")</f>
        <v>Representation Expenses</v>
      </c>
      <c r="L423" s="338" t="str">
        <f>IFERROR(VLOOKUP(I423,'Chart of accounts'!A:H,4,FALSE),"")</f>
        <v>50299030 00 - Representation Expenses (783)</v>
      </c>
      <c r="M423" s="361" t="s">
        <v>813</v>
      </c>
      <c r="N423" s="355" t="s">
        <v>1108</v>
      </c>
      <c r="O423" s="355" t="s">
        <v>1109</v>
      </c>
      <c r="P423" s="355"/>
      <c r="Q423" s="363">
        <v>10600</v>
      </c>
      <c r="R423" s="319">
        <f t="shared" si="6"/>
        <v>-10600</v>
      </c>
      <c r="S423" s="319" t="str">
        <f>VLOOKUP(H423,'Fund Utilization Report'!$A$4:$U$1800,13,FALSE)</f>
        <v>MOOE</v>
      </c>
      <c r="T423" s="319" t="str">
        <f>VLOOKUP(H423,'Fund Utilization Report'!$A$4:$U$1800,2,FALSE)</f>
        <v>GAA</v>
      </c>
      <c r="U423" s="319" t="str">
        <f>VLOOKUP(H423,'Fund Utilization Report'!$A$4:$U$1800,3,FALSE)</f>
        <v>FY2021, RA11518</v>
      </c>
      <c r="V423" s="319" t="str">
        <f>VLOOKUP(H423,'Fund Utilization Report'!$A$4:$U$1800,4,FALSE)</f>
        <v>OO3</v>
      </c>
      <c r="W423" s="319" t="str">
        <f>VLOOKUP(H423,'Fund Utilization Report'!$A$4:$U$1800,5,FALSE)</f>
        <v>01101101</v>
      </c>
      <c r="X423" s="319" t="str">
        <f>VLOOKUP(H423,'Fund Utilization Report'!$A$4:$U$1800,6,FALSE)</f>
        <v>GOP</v>
      </c>
      <c r="Y423" s="320" t="str">
        <f>VLOOKUP(H423,'Fund Utilization Report'!$A$4:$U$1800,7,FALSE)</f>
        <v>MOOE</v>
      </c>
      <c r="Z423" s="321">
        <f>VLOOKUP(H423,'Fund Utilization Report'!$A$4:$U$1800,8,FALSE)</f>
        <v>5020000000</v>
      </c>
      <c r="AA423" s="319" t="str">
        <f>VLOOKUP(H423,'Fund Utilization Report'!$A$4:$U$1800,14,FALSE)</f>
        <v>330100100002000</v>
      </c>
      <c r="AB423" s="349" t="str">
        <f>VLOOKUP(H423,'Fund Utilization Report'!$A$4:$U$1800,15,FALSE)</f>
        <v>Implementation of the MSME Development Plan and other initiatives to promote the growth of Micro, Small and Medium Enterprises</v>
      </c>
      <c r="AC423" s="39"/>
      <c r="AD423" s="34"/>
      <c r="AE423" s="39"/>
      <c r="AF423" s="51"/>
      <c r="AG423" s="40"/>
      <c r="AH423" s="40"/>
    </row>
    <row r="424" spans="1:34" s="32" customFormat="1" ht="41.4">
      <c r="A424" s="338" t="s">
        <v>942</v>
      </c>
      <c r="B424" s="338" t="s">
        <v>945</v>
      </c>
      <c r="C424" s="358">
        <v>44235</v>
      </c>
      <c r="D424" s="351" t="s">
        <v>1028</v>
      </c>
      <c r="E424" s="352" t="s">
        <v>1110</v>
      </c>
      <c r="F424" s="338">
        <v>0.64930555555555558</v>
      </c>
      <c r="G424" s="338">
        <v>0.65138888888888891</v>
      </c>
      <c r="H424" s="338" t="s">
        <v>971</v>
      </c>
      <c r="I424" s="353">
        <v>773</v>
      </c>
      <c r="J424" s="338" t="str">
        <f>IFERROR(VLOOKUP(I424,'Chart of accounts'!A:H,2,FALSE),"")</f>
        <v>50205020 01</v>
      </c>
      <c r="K424" s="338" t="str">
        <f>IFERROR(VLOOKUP(I424,'Chart of accounts'!A:H,3,FALSE),"")</f>
        <v xml:space="preserve">Telephone Expenses - Mobile </v>
      </c>
      <c r="L424" s="338" t="str">
        <f>IFERROR(VLOOKUP(I424,'Chart of accounts'!A:H,4,FALSE),"")</f>
        <v>50205020 01 - Telephone Expenses - Mobile  (773)</v>
      </c>
      <c r="M424" s="361">
        <v>1</v>
      </c>
      <c r="N424" s="355" t="s">
        <v>1102</v>
      </c>
      <c r="O424" s="355" t="s">
        <v>1111</v>
      </c>
      <c r="P424" s="355"/>
      <c r="Q424" s="363">
        <v>2400</v>
      </c>
      <c r="R424" s="319">
        <f t="shared" si="6"/>
        <v>-2400</v>
      </c>
      <c r="S424" s="319" t="str">
        <f>VLOOKUP(H424,'Fund Utilization Report'!$A$4:$U$1800,13,FALSE)</f>
        <v>MOOE</v>
      </c>
      <c r="T424" s="319" t="str">
        <f>VLOOKUP(H424,'Fund Utilization Report'!$A$4:$U$1800,2,FALSE)</f>
        <v>GAA</v>
      </c>
      <c r="U424" s="319" t="str">
        <f>VLOOKUP(H424,'Fund Utilization Report'!$A$4:$U$1800,3,FALSE)</f>
        <v>FY2021, RA11518</v>
      </c>
      <c r="V424" s="319" t="str">
        <f>VLOOKUP(H424,'Fund Utilization Report'!$A$4:$U$1800,4,FALSE)</f>
        <v>OO3</v>
      </c>
      <c r="W424" s="319" t="str">
        <f>VLOOKUP(H424,'Fund Utilization Report'!$A$4:$U$1800,5,FALSE)</f>
        <v>01101101</v>
      </c>
      <c r="X424" s="319" t="str">
        <f>VLOOKUP(H424,'Fund Utilization Report'!$A$4:$U$1800,6,FALSE)</f>
        <v>GOP</v>
      </c>
      <c r="Y424" s="320" t="str">
        <f>VLOOKUP(H424,'Fund Utilization Report'!$A$4:$U$1800,7,FALSE)</f>
        <v>MOOE</v>
      </c>
      <c r="Z424" s="321">
        <f>VLOOKUP(H424,'Fund Utilization Report'!$A$4:$U$1800,8,FALSE)</f>
        <v>5020000000</v>
      </c>
      <c r="AA424" s="319" t="str">
        <f>VLOOKUP(H424,'Fund Utilization Report'!$A$4:$U$1800,14,FALSE)</f>
        <v>330100100002000</v>
      </c>
      <c r="AB424" s="349" t="str">
        <f>VLOOKUP(H424,'Fund Utilization Report'!$A$4:$U$1800,15,FALSE)</f>
        <v>Implementation of the MSME Development Plan and other initiatives to promote the growth of Micro, Small and Medium Enterprises</v>
      </c>
      <c r="AC424" s="39"/>
      <c r="AD424" s="34"/>
      <c r="AE424" s="39"/>
      <c r="AF424" s="51"/>
      <c r="AG424" s="40"/>
      <c r="AH424" s="40"/>
    </row>
    <row r="425" spans="1:34" s="32" customFormat="1" ht="27.6">
      <c r="A425" s="338" t="s">
        <v>942</v>
      </c>
      <c r="B425" s="338" t="s">
        <v>945</v>
      </c>
      <c r="C425" s="358">
        <v>44237</v>
      </c>
      <c r="D425" s="351" t="s">
        <v>1028</v>
      </c>
      <c r="E425" s="352" t="s">
        <v>1112</v>
      </c>
      <c r="F425" s="338">
        <v>0.45416666666666666</v>
      </c>
      <c r="G425" s="338">
        <v>0.46111111111111108</v>
      </c>
      <c r="H425" s="338" t="s">
        <v>960</v>
      </c>
      <c r="I425" s="353">
        <v>701</v>
      </c>
      <c r="J425" s="338" t="str">
        <f>IFERROR(VLOOKUP(I425,'Chart of accounts'!A:H,2,FALSE),"")</f>
        <v>50101010 01</v>
      </c>
      <c r="K425" s="338" t="str">
        <f>IFERROR(VLOOKUP(I425,'Chart of accounts'!A:H,3,FALSE),"")</f>
        <v>Basic Salary - Civilian</v>
      </c>
      <c r="L425" s="338" t="str">
        <f>IFERROR(VLOOKUP(I425,'Chart of accounts'!A:H,4,FALSE),"")</f>
        <v>50101010 01 - Basic Salary - Civilian (701)</v>
      </c>
      <c r="M425" s="361">
        <v>1</v>
      </c>
      <c r="N425" s="355" t="s">
        <v>10</v>
      </c>
      <c r="O425" s="355" t="s">
        <v>1113</v>
      </c>
      <c r="P425" s="355"/>
      <c r="Q425" s="363">
        <v>1057756</v>
      </c>
      <c r="R425" s="319">
        <f t="shared" si="6"/>
        <v>-1057756</v>
      </c>
      <c r="S425" s="319" t="str">
        <f>VLOOKUP(H425,'Fund Utilization Report'!$A$4:$U$1800,13,FALSE)</f>
        <v>PS</v>
      </c>
      <c r="T425" s="319" t="str">
        <f>VLOOKUP(H425,'Fund Utilization Report'!$A$4:$U$1800,2,FALSE)</f>
        <v>GAA</v>
      </c>
      <c r="U425" s="319" t="str">
        <f>VLOOKUP(H425,'Fund Utilization Report'!$A$4:$U$1800,3,FALSE)</f>
        <v>FY2021, RA11518</v>
      </c>
      <c r="V425" s="319" t="str">
        <f>VLOOKUP(H425,'Fund Utilization Report'!$A$4:$U$1800,4,FALSE)</f>
        <v>GAS(GMS)</v>
      </c>
      <c r="W425" s="319" t="str">
        <f>VLOOKUP(H425,'Fund Utilization Report'!$A$4:$U$1800,5,FALSE)</f>
        <v>01101101</v>
      </c>
      <c r="X425" s="319" t="str">
        <f>VLOOKUP(H425,'Fund Utilization Report'!$A$4:$U$1800,6,FALSE)</f>
        <v>GOP</v>
      </c>
      <c r="Y425" s="320" t="str">
        <f>VLOOKUP(H425,'Fund Utilization Report'!$A$4:$U$1800,7,FALSE)</f>
        <v>PS</v>
      </c>
      <c r="Z425" s="321">
        <f>VLOOKUP(H425,'Fund Utilization Report'!$A$4:$U$1800,8,FALSE)</f>
        <v>5010000000</v>
      </c>
      <c r="AA425" s="319" t="str">
        <f>VLOOKUP(H425,'Fund Utilization Report'!$A$4:$U$1800,14,FALSE)</f>
        <v>100000100001000</v>
      </c>
      <c r="AB425" s="349" t="str">
        <f>VLOOKUP(H425,'Fund Utilization Report'!$A$4:$U$1800,15,FALSE)</f>
        <v>General Administration and Supervision - General Management and Supervision</v>
      </c>
      <c r="AC425" s="39"/>
      <c r="AD425" s="34"/>
      <c r="AE425" s="39"/>
      <c r="AF425" s="51"/>
      <c r="AG425" s="40"/>
      <c r="AH425" s="40"/>
    </row>
    <row r="426" spans="1:34" s="32" customFormat="1" ht="27.6">
      <c r="A426" s="338" t="s">
        <v>942</v>
      </c>
      <c r="B426" s="338" t="s">
        <v>945</v>
      </c>
      <c r="C426" s="358">
        <v>44237</v>
      </c>
      <c r="D426" s="351" t="s">
        <v>1028</v>
      </c>
      <c r="E426" s="352" t="s">
        <v>1112</v>
      </c>
      <c r="F426" s="338">
        <v>0.45416666666666666</v>
      </c>
      <c r="G426" s="338">
        <v>0.46111111111111108</v>
      </c>
      <c r="H426" s="338" t="s">
        <v>960</v>
      </c>
      <c r="I426" s="353">
        <v>711</v>
      </c>
      <c r="J426" s="338" t="str">
        <f>IFERROR(VLOOKUP(I426,'Chart of accounts'!A:H,2,FALSE),"")</f>
        <v>50102010 01</v>
      </c>
      <c r="K426" s="338" t="str">
        <f>IFERROR(VLOOKUP(I426,'Chart of accounts'!A:H,3,FALSE),"")</f>
        <v>PERA - Civilian</v>
      </c>
      <c r="L426" s="338" t="str">
        <f>IFERROR(VLOOKUP(I426,'Chart of accounts'!A:H,4,FALSE),"")</f>
        <v>50102010 01 - PERA - Civilian (711)</v>
      </c>
      <c r="M426" s="361">
        <v>1</v>
      </c>
      <c r="N426" s="355" t="s">
        <v>10</v>
      </c>
      <c r="O426" s="355" t="s">
        <v>1113</v>
      </c>
      <c r="P426" s="355"/>
      <c r="Q426" s="363">
        <v>44000</v>
      </c>
      <c r="R426" s="319">
        <f>P426-Q426</f>
        <v>-44000</v>
      </c>
      <c r="S426" s="319" t="str">
        <f>VLOOKUP(H426,'Fund Utilization Report'!$A$4:$U$1800,13,FALSE)</f>
        <v>PS</v>
      </c>
      <c r="T426" s="319" t="str">
        <f>VLOOKUP(H426,'Fund Utilization Report'!$A$4:$U$1800,2,FALSE)</f>
        <v>GAA</v>
      </c>
      <c r="U426" s="319" t="str">
        <f>VLOOKUP(H426,'Fund Utilization Report'!$A$4:$U$1800,3,FALSE)</f>
        <v>FY2021, RA11518</v>
      </c>
      <c r="V426" s="319" t="str">
        <f>VLOOKUP(H426,'Fund Utilization Report'!$A$4:$U$1800,4,FALSE)</f>
        <v>GAS(GMS)</v>
      </c>
      <c r="W426" s="319" t="str">
        <f>VLOOKUP(H426,'Fund Utilization Report'!$A$4:$U$1800,5,FALSE)</f>
        <v>01101101</v>
      </c>
      <c r="X426" s="319" t="str">
        <f>VLOOKUP(H426,'Fund Utilization Report'!$A$4:$U$1800,6,FALSE)</f>
        <v>GOP</v>
      </c>
      <c r="Y426" s="320" t="str">
        <f>VLOOKUP(H426,'Fund Utilization Report'!$A$4:$U$1800,7,FALSE)</f>
        <v>PS</v>
      </c>
      <c r="Z426" s="321">
        <f>VLOOKUP(H426,'Fund Utilization Report'!$A$4:$U$1800,8,FALSE)</f>
        <v>5010000000</v>
      </c>
      <c r="AA426" s="319" t="str">
        <f>VLOOKUP(H426,'Fund Utilization Report'!$A$4:$U$1800,14,FALSE)</f>
        <v>100000100001000</v>
      </c>
      <c r="AB426" s="349" t="str">
        <f>VLOOKUP(H426,'Fund Utilization Report'!$A$4:$U$1800,15,FALSE)</f>
        <v>General Administration and Supervision - General Management and Supervision</v>
      </c>
      <c r="AC426" s="39"/>
      <c r="AD426" s="34"/>
      <c r="AE426" s="39"/>
      <c r="AF426" s="51"/>
      <c r="AG426" s="40"/>
      <c r="AH426" s="40"/>
    </row>
    <row r="427" spans="1:34" s="32" customFormat="1" ht="27.6">
      <c r="A427" s="338" t="s">
        <v>942</v>
      </c>
      <c r="B427" s="338" t="s">
        <v>945</v>
      </c>
      <c r="C427" s="358">
        <v>44237</v>
      </c>
      <c r="D427" s="351" t="s">
        <v>1028</v>
      </c>
      <c r="E427" s="352" t="s">
        <v>1112</v>
      </c>
      <c r="F427" s="338">
        <v>0.45416666666666666</v>
      </c>
      <c r="G427" s="338">
        <v>0.46111111111111108</v>
      </c>
      <c r="H427" s="338" t="s">
        <v>962</v>
      </c>
      <c r="I427" s="353">
        <v>731</v>
      </c>
      <c r="J427" s="338" t="str">
        <f>IFERROR(VLOOKUP(I427,'Chart of accounts'!A:H,2,FALSE),"")</f>
        <v>50103010 00</v>
      </c>
      <c r="K427" s="338" t="str">
        <f>IFERROR(VLOOKUP(I427,'Chart of accounts'!A:H,3,FALSE),"")</f>
        <v>Retirement and Life Insurance Premiums</v>
      </c>
      <c r="L427" s="338" t="str">
        <f>IFERROR(VLOOKUP(I427,'Chart of accounts'!A:H,4,FALSE),"")</f>
        <v>50103010 00 - Retirement and Life Insurance Premiums (731)</v>
      </c>
      <c r="M427" s="361">
        <v>1</v>
      </c>
      <c r="N427" s="355" t="s">
        <v>10</v>
      </c>
      <c r="O427" s="355" t="s">
        <v>1113</v>
      </c>
      <c r="P427" s="355"/>
      <c r="Q427" s="363">
        <v>126930.72</v>
      </c>
      <c r="R427" s="319">
        <f>P427-Q427</f>
        <v>-126930.72</v>
      </c>
      <c r="S427" s="319" t="str">
        <f>VLOOKUP(H427,'Fund Utilization Report'!$A$4:$U$1800,13,FALSE)</f>
        <v>PS</v>
      </c>
      <c r="T427" s="319" t="str">
        <f>VLOOKUP(H427,'Fund Utilization Report'!$A$4:$U$1800,2,FALSE)</f>
        <v>GAA</v>
      </c>
      <c r="U427" s="319" t="str">
        <f>VLOOKUP(H427,'Fund Utilization Report'!$A$4:$U$1800,3,FALSE)</f>
        <v>FY2021, RA11518</v>
      </c>
      <c r="V427" s="319" t="str">
        <f>VLOOKUP(H427,'Fund Utilization Report'!$A$4:$U$1800,4,FALSE)</f>
        <v>GAS(GMS)</v>
      </c>
      <c r="W427" s="319" t="str">
        <f>VLOOKUP(H427,'Fund Utilization Report'!$A$4:$U$1800,5,FALSE)</f>
        <v>01101101</v>
      </c>
      <c r="X427" s="319" t="str">
        <f>VLOOKUP(H427,'Fund Utilization Report'!$A$4:$U$1800,6,FALSE)</f>
        <v>GOP</v>
      </c>
      <c r="Y427" s="320" t="str">
        <f>VLOOKUP(H427,'Fund Utilization Report'!$A$4:$U$1800,7,FALSE)</f>
        <v>RLIP</v>
      </c>
      <c r="Z427" s="321" t="str">
        <f>VLOOKUP(H427,'Fund Utilization Report'!$A$4:$U$1800,8,FALSE)</f>
        <v>50103010-00</v>
      </c>
      <c r="AA427" s="319" t="str">
        <f>VLOOKUP(H427,'Fund Utilization Report'!$A$4:$U$1800,14,FALSE)</f>
        <v>100000100001000</v>
      </c>
      <c r="AB427" s="349" t="str">
        <f>VLOOKUP(H427,'Fund Utilization Report'!$A$4:$U$1800,15,FALSE)</f>
        <v>General Administration and Supervision - General Management and Supervision</v>
      </c>
      <c r="AC427" s="39"/>
      <c r="AD427" s="34"/>
      <c r="AE427" s="39"/>
      <c r="AF427" s="51"/>
      <c r="AG427" s="40"/>
      <c r="AH427" s="40"/>
    </row>
    <row r="428" spans="1:34" s="32" customFormat="1" ht="27.6">
      <c r="A428" s="338" t="s">
        <v>942</v>
      </c>
      <c r="B428" s="338" t="s">
        <v>945</v>
      </c>
      <c r="C428" s="358">
        <v>44237</v>
      </c>
      <c r="D428" s="351" t="s">
        <v>1028</v>
      </c>
      <c r="E428" s="352" t="s">
        <v>1112</v>
      </c>
      <c r="F428" s="338">
        <v>0.45416666666666666</v>
      </c>
      <c r="G428" s="338">
        <v>0.46111111111111108</v>
      </c>
      <c r="H428" s="338" t="s">
        <v>960</v>
      </c>
      <c r="I428" s="353">
        <v>732</v>
      </c>
      <c r="J428" s="338" t="str">
        <f>IFERROR(VLOOKUP(I428,'Chart of accounts'!A:H,2,FALSE),"")</f>
        <v>50103020 01</v>
      </c>
      <c r="K428" s="338" t="str">
        <f>IFERROR(VLOOKUP(I428,'Chart of accounts'!A:H,3,FALSE),"")</f>
        <v>Pag-IBIG - Civilian</v>
      </c>
      <c r="L428" s="338" t="str">
        <f>IFERROR(VLOOKUP(I428,'Chart of accounts'!A:H,4,FALSE),"")</f>
        <v>50103020 01 - Pag-IBIG - Civilian (732)</v>
      </c>
      <c r="M428" s="361">
        <v>1</v>
      </c>
      <c r="N428" s="355" t="s">
        <v>10</v>
      </c>
      <c r="O428" s="355" t="s">
        <v>1113</v>
      </c>
      <c r="P428" s="355"/>
      <c r="Q428" s="363">
        <v>2200</v>
      </c>
      <c r="R428" s="319">
        <f>P428-Q428</f>
        <v>-2200</v>
      </c>
      <c r="S428" s="319" t="str">
        <f>VLOOKUP(H428,'Fund Utilization Report'!$A$4:$U$1800,13,FALSE)</f>
        <v>PS</v>
      </c>
      <c r="T428" s="319" t="str">
        <f>VLOOKUP(H428,'Fund Utilization Report'!$A$4:$U$1800,2,FALSE)</f>
        <v>GAA</v>
      </c>
      <c r="U428" s="319" t="str">
        <f>VLOOKUP(H428,'Fund Utilization Report'!$A$4:$U$1800,3,FALSE)</f>
        <v>FY2021, RA11518</v>
      </c>
      <c r="V428" s="319" t="str">
        <f>VLOOKUP(H428,'Fund Utilization Report'!$A$4:$U$1800,4,FALSE)</f>
        <v>GAS(GMS)</v>
      </c>
      <c r="W428" s="319" t="str">
        <f>VLOOKUP(H428,'Fund Utilization Report'!$A$4:$U$1800,5,FALSE)</f>
        <v>01101101</v>
      </c>
      <c r="X428" s="319" t="str">
        <f>VLOOKUP(H428,'Fund Utilization Report'!$A$4:$U$1800,6,FALSE)</f>
        <v>GOP</v>
      </c>
      <c r="Y428" s="320" t="str">
        <f>VLOOKUP(H428,'Fund Utilization Report'!$A$4:$U$1800,7,FALSE)</f>
        <v>PS</v>
      </c>
      <c r="Z428" s="321">
        <f>VLOOKUP(H428,'Fund Utilization Report'!$A$4:$U$1800,8,FALSE)</f>
        <v>5010000000</v>
      </c>
      <c r="AA428" s="319" t="str">
        <f>VLOOKUP(H428,'Fund Utilization Report'!$A$4:$U$1800,14,FALSE)</f>
        <v>100000100001000</v>
      </c>
      <c r="AB428" s="349" t="str">
        <f>VLOOKUP(H428,'Fund Utilization Report'!$A$4:$U$1800,15,FALSE)</f>
        <v>General Administration and Supervision - General Management and Supervision</v>
      </c>
      <c r="AC428" s="39"/>
      <c r="AD428" s="34"/>
      <c r="AE428" s="39"/>
      <c r="AF428" s="51"/>
      <c r="AG428" s="40"/>
      <c r="AH428" s="40"/>
    </row>
    <row r="429" spans="1:34" s="32" customFormat="1" ht="27.6">
      <c r="A429" s="338" t="s">
        <v>942</v>
      </c>
      <c r="B429" s="338" t="s">
        <v>945</v>
      </c>
      <c r="C429" s="358">
        <v>44237</v>
      </c>
      <c r="D429" s="351" t="s">
        <v>1028</v>
      </c>
      <c r="E429" s="352" t="s">
        <v>1112</v>
      </c>
      <c r="F429" s="338">
        <v>0.45416666666666666</v>
      </c>
      <c r="G429" s="338">
        <v>0.46111111111111108</v>
      </c>
      <c r="H429" s="338" t="s">
        <v>960</v>
      </c>
      <c r="I429" s="353">
        <v>733</v>
      </c>
      <c r="J429" s="338" t="str">
        <f>IFERROR(VLOOKUP(I429,'Chart of accounts'!A:H,2,FALSE),"")</f>
        <v>50103030 01</v>
      </c>
      <c r="K429" s="338" t="str">
        <f>IFERROR(VLOOKUP(I429,'Chart of accounts'!A:H,3,FALSE),"")</f>
        <v>PhilHealth - Civilian</v>
      </c>
      <c r="L429" s="338" t="str">
        <f>IFERROR(VLOOKUP(I429,'Chart of accounts'!A:H,4,FALSE),"")</f>
        <v>50103030 01 - PhilHealth - Civilian (733)</v>
      </c>
      <c r="M429" s="361">
        <v>1</v>
      </c>
      <c r="N429" s="355" t="s">
        <v>10</v>
      </c>
      <c r="O429" s="355" t="s">
        <v>1113</v>
      </c>
      <c r="P429" s="355"/>
      <c r="Q429" s="363">
        <v>12310.77</v>
      </c>
      <c r="R429" s="319">
        <f>P429-Q429</f>
        <v>-12310.77</v>
      </c>
      <c r="S429" s="319" t="str">
        <f>VLOOKUP(H429,'Fund Utilization Report'!$A$4:$U$1800,13,FALSE)</f>
        <v>PS</v>
      </c>
      <c r="T429" s="319" t="str">
        <f>VLOOKUP(H429,'Fund Utilization Report'!$A$4:$U$1800,2,FALSE)</f>
        <v>GAA</v>
      </c>
      <c r="U429" s="319" t="str">
        <f>VLOOKUP(H429,'Fund Utilization Report'!$A$4:$U$1800,3,FALSE)</f>
        <v>FY2021, RA11518</v>
      </c>
      <c r="V429" s="319" t="str">
        <f>VLOOKUP(H429,'Fund Utilization Report'!$A$4:$U$1800,4,FALSE)</f>
        <v>GAS(GMS)</v>
      </c>
      <c r="W429" s="319" t="str">
        <f>VLOOKUP(H429,'Fund Utilization Report'!$A$4:$U$1800,5,FALSE)</f>
        <v>01101101</v>
      </c>
      <c r="X429" s="319" t="str">
        <f>VLOOKUP(H429,'Fund Utilization Report'!$A$4:$U$1800,6,FALSE)</f>
        <v>GOP</v>
      </c>
      <c r="Y429" s="320" t="str">
        <f>VLOOKUP(H429,'Fund Utilization Report'!$A$4:$U$1800,7,FALSE)</f>
        <v>PS</v>
      </c>
      <c r="Z429" s="321">
        <f>VLOOKUP(H429,'Fund Utilization Report'!$A$4:$U$1800,8,FALSE)</f>
        <v>5010000000</v>
      </c>
      <c r="AA429" s="319" t="str">
        <f>VLOOKUP(H429,'Fund Utilization Report'!$A$4:$U$1800,14,FALSE)</f>
        <v>100000100001000</v>
      </c>
      <c r="AB429" s="349" t="str">
        <f>VLOOKUP(H429,'Fund Utilization Report'!$A$4:$U$1800,15,FALSE)</f>
        <v>General Administration and Supervision - General Management and Supervision</v>
      </c>
      <c r="AC429" s="39"/>
      <c r="AD429" s="34"/>
      <c r="AE429" s="39"/>
      <c r="AF429" s="51"/>
      <c r="AG429" s="40"/>
      <c r="AH429" s="40"/>
    </row>
    <row r="430" spans="1:34" s="32" customFormat="1" ht="27.6">
      <c r="A430" s="338" t="s">
        <v>942</v>
      </c>
      <c r="B430" s="338" t="s">
        <v>945</v>
      </c>
      <c r="C430" s="358">
        <v>44237</v>
      </c>
      <c r="D430" s="351" t="s">
        <v>1028</v>
      </c>
      <c r="E430" s="352" t="s">
        <v>1112</v>
      </c>
      <c r="F430" s="338">
        <v>0.45416666666666666</v>
      </c>
      <c r="G430" s="338">
        <v>0.46111111111111108</v>
      </c>
      <c r="H430" s="338" t="s">
        <v>960</v>
      </c>
      <c r="I430" s="353">
        <v>734</v>
      </c>
      <c r="J430" s="338" t="str">
        <f>IFERROR(VLOOKUP(I430,'Chart of accounts'!A:H,2,FALSE),"")</f>
        <v>50103040 01</v>
      </c>
      <c r="K430" s="338" t="str">
        <f>IFERROR(VLOOKUP(I430,'Chart of accounts'!A:H,3,FALSE),"")</f>
        <v>ECIP - Civilian</v>
      </c>
      <c r="L430" s="338" t="str">
        <f>IFERROR(VLOOKUP(I430,'Chart of accounts'!A:H,4,FALSE),"")</f>
        <v>50103040 01 - ECIP - Civilian (734)</v>
      </c>
      <c r="M430" s="361">
        <v>1</v>
      </c>
      <c r="N430" s="355" t="s">
        <v>10</v>
      </c>
      <c r="O430" s="355" t="s">
        <v>1113</v>
      </c>
      <c r="P430" s="355"/>
      <c r="Q430" s="363">
        <v>2200</v>
      </c>
      <c r="R430" s="319">
        <f>P430-Q430</f>
        <v>-2200</v>
      </c>
      <c r="S430" s="319" t="str">
        <f>VLOOKUP(H430,'Fund Utilization Report'!$A$4:$U$1800,13,FALSE)</f>
        <v>PS</v>
      </c>
      <c r="T430" s="319" t="str">
        <f>VLOOKUP(H430,'Fund Utilization Report'!$A$4:$U$1800,2,FALSE)</f>
        <v>GAA</v>
      </c>
      <c r="U430" s="319" t="str">
        <f>VLOOKUP(H430,'Fund Utilization Report'!$A$4:$U$1800,3,FALSE)</f>
        <v>FY2021, RA11518</v>
      </c>
      <c r="V430" s="319" t="str">
        <f>VLOOKUP(H430,'Fund Utilization Report'!$A$4:$U$1800,4,FALSE)</f>
        <v>GAS(GMS)</v>
      </c>
      <c r="W430" s="319" t="str">
        <f>VLOOKUP(H430,'Fund Utilization Report'!$A$4:$U$1800,5,FALSE)</f>
        <v>01101101</v>
      </c>
      <c r="X430" s="319" t="str">
        <f>VLOOKUP(H430,'Fund Utilization Report'!$A$4:$U$1800,6,FALSE)</f>
        <v>GOP</v>
      </c>
      <c r="Y430" s="320" t="str">
        <f>VLOOKUP(H430,'Fund Utilization Report'!$A$4:$U$1800,7,FALSE)</f>
        <v>PS</v>
      </c>
      <c r="Z430" s="321">
        <f>VLOOKUP(H430,'Fund Utilization Report'!$A$4:$U$1800,8,FALSE)</f>
        <v>5010000000</v>
      </c>
      <c r="AA430" s="319" t="str">
        <f>VLOOKUP(H430,'Fund Utilization Report'!$A$4:$U$1800,14,FALSE)</f>
        <v>100000100001000</v>
      </c>
      <c r="AB430" s="349" t="str">
        <f>VLOOKUP(H430,'Fund Utilization Report'!$A$4:$U$1800,15,FALSE)</f>
        <v>General Administration and Supervision - General Management and Supervision</v>
      </c>
      <c r="AC430" s="39"/>
      <c r="AD430" s="34"/>
      <c r="AE430" s="39"/>
      <c r="AF430" s="51"/>
      <c r="AG430" s="40"/>
      <c r="AH430" s="40"/>
    </row>
    <row r="431" spans="1:34" s="32" customFormat="1" ht="27.6">
      <c r="A431" s="338" t="s">
        <v>942</v>
      </c>
      <c r="B431" s="338" t="s">
        <v>945</v>
      </c>
      <c r="C431" s="358">
        <v>44237</v>
      </c>
      <c r="D431" s="351" t="s">
        <v>1028</v>
      </c>
      <c r="E431" s="352" t="s">
        <v>1112</v>
      </c>
      <c r="F431" s="338">
        <v>0.45416666666666666</v>
      </c>
      <c r="G431" s="338">
        <v>0.46111111111111108</v>
      </c>
      <c r="H431" s="338" t="s">
        <v>964</v>
      </c>
      <c r="I431" s="353">
        <v>701</v>
      </c>
      <c r="J431" s="338" t="str">
        <f>IFERROR(VLOOKUP(I431,'Chart of accounts'!A:H,2,FALSE),"")</f>
        <v>50101010 01</v>
      </c>
      <c r="K431" s="338" t="str">
        <f>IFERROR(VLOOKUP(I431,'Chart of accounts'!A:H,3,FALSE),"")</f>
        <v>Basic Salary - Civilian</v>
      </c>
      <c r="L431" s="338" t="str">
        <f>IFERROR(VLOOKUP(I431,'Chart of accounts'!A:H,4,FALSE),"")</f>
        <v>50101010 01 - Basic Salary - Civilian (701)</v>
      </c>
      <c r="M431" s="361">
        <v>1</v>
      </c>
      <c r="N431" s="355" t="s">
        <v>10</v>
      </c>
      <c r="O431" s="355" t="s">
        <v>1113</v>
      </c>
      <c r="P431" s="355"/>
      <c r="Q431" s="363">
        <v>80214</v>
      </c>
      <c r="R431" s="319">
        <f t="shared" si="6"/>
        <v>-80214</v>
      </c>
      <c r="S431" s="319" t="str">
        <f>VLOOKUP(H431,'Fund Utilization Report'!$A$4:$U$1800,13,FALSE)</f>
        <v>PS</v>
      </c>
      <c r="T431" s="319" t="str">
        <f>VLOOKUP(H431,'Fund Utilization Report'!$A$4:$U$1800,2,FALSE)</f>
        <v>GAA</v>
      </c>
      <c r="U431" s="319" t="str">
        <f>VLOOKUP(H431,'Fund Utilization Report'!$A$4:$U$1800,3,FALSE)</f>
        <v>FY2021, RA11518</v>
      </c>
      <c r="V431" s="319" t="str">
        <f>VLOOKUP(H431,'Fund Utilization Report'!$A$4:$U$1800,4,FALSE)</f>
        <v>OO1</v>
      </c>
      <c r="W431" s="319" t="str">
        <f>VLOOKUP(H431,'Fund Utilization Report'!$A$4:$U$1800,5,FALSE)</f>
        <v>01101101</v>
      </c>
      <c r="X431" s="319" t="str">
        <f>VLOOKUP(H431,'Fund Utilization Report'!$A$4:$U$1800,6,FALSE)</f>
        <v>GOP</v>
      </c>
      <c r="Y431" s="320" t="str">
        <f>VLOOKUP(H431,'Fund Utilization Report'!$A$4:$U$1800,7,FALSE)</f>
        <v>PS</v>
      </c>
      <c r="Z431" s="321">
        <f>VLOOKUP(H431,'Fund Utilization Report'!$A$4:$U$1800,8,FALSE)</f>
        <v>5010000000</v>
      </c>
      <c r="AA431" s="319" t="str">
        <f>VLOOKUP(H431,'Fund Utilization Report'!$A$4:$U$1800,14,FALSE)</f>
        <v>310100100002000</v>
      </c>
      <c r="AB431" s="349" t="str">
        <f>VLOOKUP(H431,'Fund Utilization Report'!$A$4:$U$1800,15,FALSE)</f>
        <v>Development,Facilitation, and promotion of exports and investment, domestic and foreign</v>
      </c>
      <c r="AC431" s="39"/>
      <c r="AD431" s="34"/>
      <c r="AE431" s="39"/>
      <c r="AF431" s="51"/>
      <c r="AG431" s="40"/>
      <c r="AH431" s="40"/>
    </row>
    <row r="432" spans="1:34" s="32" customFormat="1" ht="27.6">
      <c r="A432" s="338" t="s">
        <v>942</v>
      </c>
      <c r="B432" s="338" t="s">
        <v>945</v>
      </c>
      <c r="C432" s="358">
        <v>44237</v>
      </c>
      <c r="D432" s="351" t="s">
        <v>1028</v>
      </c>
      <c r="E432" s="352" t="s">
        <v>1112</v>
      </c>
      <c r="F432" s="338">
        <v>0.45416666666666666</v>
      </c>
      <c r="G432" s="338">
        <v>0.46111111111111108</v>
      </c>
      <c r="H432" s="338" t="s">
        <v>964</v>
      </c>
      <c r="I432" s="353">
        <v>711</v>
      </c>
      <c r="J432" s="338" t="str">
        <f>IFERROR(VLOOKUP(I432,'Chart of accounts'!A:H,2,FALSE),"")</f>
        <v>50102010 01</v>
      </c>
      <c r="K432" s="338" t="str">
        <f>IFERROR(VLOOKUP(I432,'Chart of accounts'!A:H,3,FALSE),"")</f>
        <v>PERA - Civilian</v>
      </c>
      <c r="L432" s="338" t="str">
        <f>IFERROR(VLOOKUP(I432,'Chart of accounts'!A:H,4,FALSE),"")</f>
        <v>50102010 01 - PERA - Civilian (711)</v>
      </c>
      <c r="M432" s="361">
        <v>1</v>
      </c>
      <c r="N432" s="355" t="s">
        <v>10</v>
      </c>
      <c r="O432" s="355" t="s">
        <v>1113</v>
      </c>
      <c r="P432" s="355"/>
      <c r="Q432" s="363">
        <v>4000</v>
      </c>
      <c r="R432" s="319">
        <f>P432-Q432</f>
        <v>-4000</v>
      </c>
      <c r="S432" s="319" t="str">
        <f>VLOOKUP(H432,'Fund Utilization Report'!$A$4:$U$1800,13,FALSE)</f>
        <v>PS</v>
      </c>
      <c r="T432" s="319" t="str">
        <f>VLOOKUP(H432,'Fund Utilization Report'!$A$4:$U$1800,2,FALSE)</f>
        <v>GAA</v>
      </c>
      <c r="U432" s="319" t="str">
        <f>VLOOKUP(H432,'Fund Utilization Report'!$A$4:$U$1800,3,FALSE)</f>
        <v>FY2021, RA11518</v>
      </c>
      <c r="V432" s="319" t="str">
        <f>VLOOKUP(H432,'Fund Utilization Report'!$A$4:$U$1800,4,FALSE)</f>
        <v>OO1</v>
      </c>
      <c r="W432" s="319" t="str">
        <f>VLOOKUP(H432,'Fund Utilization Report'!$A$4:$U$1800,5,FALSE)</f>
        <v>01101101</v>
      </c>
      <c r="X432" s="319" t="str">
        <f>VLOOKUP(H432,'Fund Utilization Report'!$A$4:$U$1800,6,FALSE)</f>
        <v>GOP</v>
      </c>
      <c r="Y432" s="320" t="str">
        <f>VLOOKUP(H432,'Fund Utilization Report'!$A$4:$U$1800,7,FALSE)</f>
        <v>PS</v>
      </c>
      <c r="Z432" s="321">
        <f>VLOOKUP(H432,'Fund Utilization Report'!$A$4:$U$1800,8,FALSE)</f>
        <v>5010000000</v>
      </c>
      <c r="AA432" s="319" t="str">
        <f>VLOOKUP(H432,'Fund Utilization Report'!$A$4:$U$1800,14,FALSE)</f>
        <v>310100100002000</v>
      </c>
      <c r="AB432" s="349" t="str">
        <f>VLOOKUP(H432,'Fund Utilization Report'!$A$4:$U$1800,15,FALSE)</f>
        <v>Development,Facilitation, and promotion of exports and investment, domestic and foreign</v>
      </c>
      <c r="AC432" s="39"/>
      <c r="AD432" s="34"/>
      <c r="AE432" s="39"/>
      <c r="AF432" s="51"/>
      <c r="AG432" s="40"/>
      <c r="AH432" s="40"/>
    </row>
    <row r="433" spans="1:34" s="32" customFormat="1" ht="27.6">
      <c r="A433" s="338" t="s">
        <v>942</v>
      </c>
      <c r="B433" s="338" t="s">
        <v>945</v>
      </c>
      <c r="C433" s="358">
        <v>44237</v>
      </c>
      <c r="D433" s="351" t="s">
        <v>1028</v>
      </c>
      <c r="E433" s="352" t="s">
        <v>1112</v>
      </c>
      <c r="F433" s="338">
        <v>0.45416666666666666</v>
      </c>
      <c r="G433" s="338">
        <v>0.46111111111111108</v>
      </c>
      <c r="H433" s="338" t="s">
        <v>966</v>
      </c>
      <c r="I433" s="353">
        <v>731</v>
      </c>
      <c r="J433" s="338" t="str">
        <f>IFERROR(VLOOKUP(I433,'Chart of accounts'!A:H,2,FALSE),"")</f>
        <v>50103010 00</v>
      </c>
      <c r="K433" s="338" t="str">
        <f>IFERROR(VLOOKUP(I433,'Chart of accounts'!A:H,3,FALSE),"")</f>
        <v>Retirement and Life Insurance Premiums</v>
      </c>
      <c r="L433" s="338" t="str">
        <f>IFERROR(VLOOKUP(I433,'Chart of accounts'!A:H,4,FALSE),"")</f>
        <v>50103010 00 - Retirement and Life Insurance Premiums (731)</v>
      </c>
      <c r="M433" s="361">
        <v>1</v>
      </c>
      <c r="N433" s="355" t="s">
        <v>10</v>
      </c>
      <c r="O433" s="355" t="s">
        <v>1113</v>
      </c>
      <c r="P433" s="355"/>
      <c r="Q433" s="363">
        <v>9625.68</v>
      </c>
      <c r="R433" s="319">
        <f>P433-Q433</f>
        <v>-9625.68</v>
      </c>
      <c r="S433" s="319" t="str">
        <f>VLOOKUP(H433,'Fund Utilization Report'!$A$4:$U$1800,13,FALSE)</f>
        <v>PS</v>
      </c>
      <c r="T433" s="319" t="str">
        <f>VLOOKUP(H433,'Fund Utilization Report'!$A$4:$U$1800,2,FALSE)</f>
        <v>GAA</v>
      </c>
      <c r="U433" s="319" t="str">
        <f>VLOOKUP(H433,'Fund Utilization Report'!$A$4:$U$1800,3,FALSE)</f>
        <v>FY2021, RA11518</v>
      </c>
      <c r="V433" s="319" t="str">
        <f>VLOOKUP(H433,'Fund Utilization Report'!$A$4:$U$1800,4,FALSE)</f>
        <v>OO1</v>
      </c>
      <c r="W433" s="319" t="str">
        <f>VLOOKUP(H433,'Fund Utilization Report'!$A$4:$U$1800,5,FALSE)</f>
        <v>01101101</v>
      </c>
      <c r="X433" s="319" t="str">
        <f>VLOOKUP(H433,'Fund Utilization Report'!$A$4:$U$1800,6,FALSE)</f>
        <v>GOP</v>
      </c>
      <c r="Y433" s="320" t="str">
        <f>VLOOKUP(H433,'Fund Utilization Report'!$A$4:$U$1800,7,FALSE)</f>
        <v>RLIP</v>
      </c>
      <c r="Z433" s="321" t="str">
        <f>VLOOKUP(H433,'Fund Utilization Report'!$A$4:$U$1800,8,FALSE)</f>
        <v>50103010-00</v>
      </c>
      <c r="AA433" s="319" t="str">
        <f>VLOOKUP(H433,'Fund Utilization Report'!$A$4:$U$1800,14,FALSE)</f>
        <v>310100100002000</v>
      </c>
      <c r="AB433" s="349" t="str">
        <f>VLOOKUP(H433,'Fund Utilization Report'!$A$4:$U$1800,15,FALSE)</f>
        <v>Development,Facilitation, and promotion of exports and investment, domestic and foreign</v>
      </c>
      <c r="AC433" s="39"/>
      <c r="AD433" s="34"/>
      <c r="AE433" s="39"/>
      <c r="AF433" s="51"/>
      <c r="AG433" s="40"/>
      <c r="AH433" s="40"/>
    </row>
    <row r="434" spans="1:34" s="32" customFormat="1" ht="27.6">
      <c r="A434" s="338" t="s">
        <v>942</v>
      </c>
      <c r="B434" s="338" t="s">
        <v>945</v>
      </c>
      <c r="C434" s="358">
        <v>44237</v>
      </c>
      <c r="D434" s="351" t="s">
        <v>1028</v>
      </c>
      <c r="E434" s="352" t="s">
        <v>1112</v>
      </c>
      <c r="F434" s="338">
        <v>0.45416666666666666</v>
      </c>
      <c r="G434" s="338">
        <v>0.46111111111111108</v>
      </c>
      <c r="H434" s="338" t="s">
        <v>964</v>
      </c>
      <c r="I434" s="353">
        <v>732</v>
      </c>
      <c r="J434" s="338" t="str">
        <f>IFERROR(VLOOKUP(I434,'Chart of accounts'!A:H,2,FALSE),"")</f>
        <v>50103020 01</v>
      </c>
      <c r="K434" s="338" t="str">
        <f>IFERROR(VLOOKUP(I434,'Chart of accounts'!A:H,3,FALSE),"")</f>
        <v>Pag-IBIG - Civilian</v>
      </c>
      <c r="L434" s="338" t="str">
        <f>IFERROR(VLOOKUP(I434,'Chart of accounts'!A:H,4,FALSE),"")</f>
        <v>50103020 01 - Pag-IBIG - Civilian (732)</v>
      </c>
      <c r="M434" s="361">
        <v>1</v>
      </c>
      <c r="N434" s="355" t="s">
        <v>10</v>
      </c>
      <c r="O434" s="355" t="s">
        <v>1113</v>
      </c>
      <c r="P434" s="355"/>
      <c r="Q434" s="363">
        <v>200</v>
      </c>
      <c r="R434" s="319">
        <f>P434-Q434</f>
        <v>-200</v>
      </c>
      <c r="S434" s="319" t="str">
        <f>VLOOKUP(H434,'Fund Utilization Report'!$A$4:$U$1800,13,FALSE)</f>
        <v>PS</v>
      </c>
      <c r="T434" s="319" t="str">
        <f>VLOOKUP(H434,'Fund Utilization Report'!$A$4:$U$1800,2,FALSE)</f>
        <v>GAA</v>
      </c>
      <c r="U434" s="319" t="str">
        <f>VLOOKUP(H434,'Fund Utilization Report'!$A$4:$U$1800,3,FALSE)</f>
        <v>FY2021, RA11518</v>
      </c>
      <c r="V434" s="319" t="str">
        <f>VLOOKUP(H434,'Fund Utilization Report'!$A$4:$U$1800,4,FALSE)</f>
        <v>OO1</v>
      </c>
      <c r="W434" s="319" t="str">
        <f>VLOOKUP(H434,'Fund Utilization Report'!$A$4:$U$1800,5,FALSE)</f>
        <v>01101101</v>
      </c>
      <c r="X434" s="319" t="str">
        <f>VLOOKUP(H434,'Fund Utilization Report'!$A$4:$U$1800,6,FALSE)</f>
        <v>GOP</v>
      </c>
      <c r="Y434" s="320" t="str">
        <f>VLOOKUP(H434,'Fund Utilization Report'!$A$4:$U$1800,7,FALSE)</f>
        <v>PS</v>
      </c>
      <c r="Z434" s="321">
        <f>VLOOKUP(H434,'Fund Utilization Report'!$A$4:$U$1800,8,FALSE)</f>
        <v>5010000000</v>
      </c>
      <c r="AA434" s="319" t="str">
        <f>VLOOKUP(H434,'Fund Utilization Report'!$A$4:$U$1800,14,FALSE)</f>
        <v>310100100002000</v>
      </c>
      <c r="AB434" s="349" t="str">
        <f>VLOOKUP(H434,'Fund Utilization Report'!$A$4:$U$1800,15,FALSE)</f>
        <v>Development,Facilitation, and promotion of exports and investment, domestic and foreign</v>
      </c>
      <c r="AC434" s="39"/>
      <c r="AD434" s="34"/>
      <c r="AE434" s="39"/>
      <c r="AF434" s="51"/>
      <c r="AG434" s="40"/>
      <c r="AH434" s="40"/>
    </row>
    <row r="435" spans="1:34" s="32" customFormat="1" ht="27.6">
      <c r="A435" s="338" t="s">
        <v>942</v>
      </c>
      <c r="B435" s="338" t="s">
        <v>945</v>
      </c>
      <c r="C435" s="358">
        <v>44237</v>
      </c>
      <c r="D435" s="351" t="s">
        <v>1028</v>
      </c>
      <c r="E435" s="352" t="s">
        <v>1112</v>
      </c>
      <c r="F435" s="338">
        <v>0.45416666666666666</v>
      </c>
      <c r="G435" s="338">
        <v>0.46111111111111108</v>
      </c>
      <c r="H435" s="338" t="s">
        <v>964</v>
      </c>
      <c r="I435" s="353">
        <v>733</v>
      </c>
      <c r="J435" s="338" t="str">
        <f>IFERROR(VLOOKUP(I435,'Chart of accounts'!A:H,2,FALSE),"")</f>
        <v>50103030 01</v>
      </c>
      <c r="K435" s="338" t="str">
        <f>IFERROR(VLOOKUP(I435,'Chart of accounts'!A:H,3,FALSE),"")</f>
        <v>PhilHealth - Civilian</v>
      </c>
      <c r="L435" s="338" t="str">
        <f>IFERROR(VLOOKUP(I435,'Chart of accounts'!A:H,4,FALSE),"")</f>
        <v>50103030 01 - PhilHealth - Civilian (733)</v>
      </c>
      <c r="M435" s="361">
        <v>1</v>
      </c>
      <c r="N435" s="355" t="s">
        <v>10</v>
      </c>
      <c r="O435" s="355" t="s">
        <v>1113</v>
      </c>
      <c r="P435" s="355"/>
      <c r="Q435" s="363">
        <v>1203.22</v>
      </c>
      <c r="R435" s="319">
        <f>P435-Q435</f>
        <v>-1203.22</v>
      </c>
      <c r="S435" s="319" t="str">
        <f>VLOOKUP(H435,'Fund Utilization Report'!$A$4:$U$1800,13,FALSE)</f>
        <v>PS</v>
      </c>
      <c r="T435" s="319" t="str">
        <f>VLOOKUP(H435,'Fund Utilization Report'!$A$4:$U$1800,2,FALSE)</f>
        <v>GAA</v>
      </c>
      <c r="U435" s="319" t="str">
        <f>VLOOKUP(H435,'Fund Utilization Report'!$A$4:$U$1800,3,FALSE)</f>
        <v>FY2021, RA11518</v>
      </c>
      <c r="V435" s="319" t="str">
        <f>VLOOKUP(H435,'Fund Utilization Report'!$A$4:$U$1800,4,FALSE)</f>
        <v>OO1</v>
      </c>
      <c r="W435" s="319" t="str">
        <f>VLOOKUP(H435,'Fund Utilization Report'!$A$4:$U$1800,5,FALSE)</f>
        <v>01101101</v>
      </c>
      <c r="X435" s="319" t="str">
        <f>VLOOKUP(H435,'Fund Utilization Report'!$A$4:$U$1800,6,FALSE)</f>
        <v>GOP</v>
      </c>
      <c r="Y435" s="320" t="str">
        <f>VLOOKUP(H435,'Fund Utilization Report'!$A$4:$U$1800,7,FALSE)</f>
        <v>PS</v>
      </c>
      <c r="Z435" s="321">
        <f>VLOOKUP(H435,'Fund Utilization Report'!$A$4:$U$1800,8,FALSE)</f>
        <v>5010000000</v>
      </c>
      <c r="AA435" s="319" t="str">
        <f>VLOOKUP(H435,'Fund Utilization Report'!$A$4:$U$1800,14,FALSE)</f>
        <v>310100100002000</v>
      </c>
      <c r="AB435" s="349" t="str">
        <f>VLOOKUP(H435,'Fund Utilization Report'!$A$4:$U$1800,15,FALSE)</f>
        <v>Development,Facilitation, and promotion of exports and investment, domestic and foreign</v>
      </c>
      <c r="AC435" s="39"/>
      <c r="AD435" s="34"/>
      <c r="AE435" s="39"/>
      <c r="AF435" s="51"/>
      <c r="AG435" s="40"/>
      <c r="AH435" s="40"/>
    </row>
    <row r="436" spans="1:34" s="32" customFormat="1" ht="27.6">
      <c r="A436" s="338" t="s">
        <v>942</v>
      </c>
      <c r="B436" s="338" t="s">
        <v>945</v>
      </c>
      <c r="C436" s="358">
        <v>44237</v>
      </c>
      <c r="D436" s="351" t="s">
        <v>1028</v>
      </c>
      <c r="E436" s="352" t="s">
        <v>1112</v>
      </c>
      <c r="F436" s="338">
        <v>0.45416666666666666</v>
      </c>
      <c r="G436" s="338">
        <v>0.46111111111111108</v>
      </c>
      <c r="H436" s="338" t="s">
        <v>964</v>
      </c>
      <c r="I436" s="353">
        <v>734</v>
      </c>
      <c r="J436" s="338" t="str">
        <f>IFERROR(VLOOKUP(I436,'Chart of accounts'!A:H,2,FALSE),"")</f>
        <v>50103040 01</v>
      </c>
      <c r="K436" s="338" t="str">
        <f>IFERROR(VLOOKUP(I436,'Chart of accounts'!A:H,3,FALSE),"")</f>
        <v>ECIP - Civilian</v>
      </c>
      <c r="L436" s="338" t="str">
        <f>IFERROR(VLOOKUP(I436,'Chart of accounts'!A:H,4,FALSE),"")</f>
        <v>50103040 01 - ECIP - Civilian (734)</v>
      </c>
      <c r="M436" s="361">
        <v>1</v>
      </c>
      <c r="N436" s="355" t="s">
        <v>10</v>
      </c>
      <c r="O436" s="355" t="s">
        <v>1113</v>
      </c>
      <c r="P436" s="355"/>
      <c r="Q436" s="363">
        <v>200</v>
      </c>
      <c r="R436" s="319">
        <f>P436-Q436</f>
        <v>-200</v>
      </c>
      <c r="S436" s="319" t="str">
        <f>VLOOKUP(H436,'Fund Utilization Report'!$A$4:$U$1800,13,FALSE)</f>
        <v>PS</v>
      </c>
      <c r="T436" s="319" t="str">
        <f>VLOOKUP(H436,'Fund Utilization Report'!$A$4:$U$1800,2,FALSE)</f>
        <v>GAA</v>
      </c>
      <c r="U436" s="319" t="str">
        <f>VLOOKUP(H436,'Fund Utilization Report'!$A$4:$U$1800,3,FALSE)</f>
        <v>FY2021, RA11518</v>
      </c>
      <c r="V436" s="319" t="str">
        <f>VLOOKUP(H436,'Fund Utilization Report'!$A$4:$U$1800,4,FALSE)</f>
        <v>OO1</v>
      </c>
      <c r="W436" s="319" t="str">
        <f>VLOOKUP(H436,'Fund Utilization Report'!$A$4:$U$1800,5,FALSE)</f>
        <v>01101101</v>
      </c>
      <c r="X436" s="319" t="str">
        <f>VLOOKUP(H436,'Fund Utilization Report'!$A$4:$U$1800,6,FALSE)</f>
        <v>GOP</v>
      </c>
      <c r="Y436" s="320" t="str">
        <f>VLOOKUP(H436,'Fund Utilization Report'!$A$4:$U$1800,7,FALSE)</f>
        <v>PS</v>
      </c>
      <c r="Z436" s="321">
        <f>VLOOKUP(H436,'Fund Utilization Report'!$A$4:$U$1800,8,FALSE)</f>
        <v>5010000000</v>
      </c>
      <c r="AA436" s="319" t="str">
        <f>VLOOKUP(H436,'Fund Utilization Report'!$A$4:$U$1800,14,FALSE)</f>
        <v>310100100002000</v>
      </c>
      <c r="AB436" s="349" t="str">
        <f>VLOOKUP(H436,'Fund Utilization Report'!$A$4:$U$1800,15,FALSE)</f>
        <v>Development,Facilitation, and promotion of exports and investment, domestic and foreign</v>
      </c>
      <c r="AC436" s="39"/>
      <c r="AD436" s="34"/>
      <c r="AE436" s="39"/>
      <c r="AF436" s="51"/>
      <c r="AG436" s="40"/>
      <c r="AH436" s="40"/>
    </row>
    <row r="437" spans="1:34" s="32" customFormat="1" ht="27.6">
      <c r="A437" s="338" t="s">
        <v>942</v>
      </c>
      <c r="B437" s="338" t="s">
        <v>945</v>
      </c>
      <c r="C437" s="358">
        <v>44237</v>
      </c>
      <c r="D437" s="351" t="s">
        <v>1028</v>
      </c>
      <c r="E437" s="352" t="s">
        <v>1112</v>
      </c>
      <c r="F437" s="338">
        <v>0.45416666666666666</v>
      </c>
      <c r="G437" s="338">
        <v>0.46111111111111108</v>
      </c>
      <c r="H437" s="338" t="s">
        <v>967</v>
      </c>
      <c r="I437" s="353">
        <v>701</v>
      </c>
      <c r="J437" s="338" t="str">
        <f>IFERROR(VLOOKUP(I437,'Chart of accounts'!A:H,2,FALSE),"")</f>
        <v>50101010 01</v>
      </c>
      <c r="K437" s="338" t="str">
        <f>IFERROR(VLOOKUP(I437,'Chart of accounts'!A:H,3,FALSE),"")</f>
        <v>Basic Salary - Civilian</v>
      </c>
      <c r="L437" s="338" t="str">
        <f>IFERROR(VLOOKUP(I437,'Chart of accounts'!A:H,4,FALSE),"")</f>
        <v>50101010 01 - Basic Salary - Civilian (701)</v>
      </c>
      <c r="M437" s="361">
        <v>1</v>
      </c>
      <c r="N437" s="355" t="s">
        <v>10</v>
      </c>
      <c r="O437" s="355" t="s">
        <v>1113</v>
      </c>
      <c r="P437" s="355"/>
      <c r="Q437" s="363">
        <v>199631</v>
      </c>
      <c r="R437" s="319">
        <f t="shared" si="6"/>
        <v>-199631</v>
      </c>
      <c r="S437" s="319" t="str">
        <f>VLOOKUP(H437,'Fund Utilization Report'!$A$4:$U$1800,13,FALSE)</f>
        <v>PS</v>
      </c>
      <c r="T437" s="319" t="str">
        <f>VLOOKUP(H437,'Fund Utilization Report'!$A$4:$U$1800,2,FALSE)</f>
        <v>GAA</v>
      </c>
      <c r="U437" s="319" t="str">
        <f>VLOOKUP(H437,'Fund Utilization Report'!$A$4:$U$1800,3,FALSE)</f>
        <v>FY2021, RA11518</v>
      </c>
      <c r="V437" s="319" t="str">
        <f>VLOOKUP(H437,'Fund Utilization Report'!$A$4:$U$1800,4,FALSE)</f>
        <v>OO2</v>
      </c>
      <c r="W437" s="319" t="str">
        <f>VLOOKUP(H437,'Fund Utilization Report'!$A$4:$U$1800,5,FALSE)</f>
        <v>01101101</v>
      </c>
      <c r="X437" s="319" t="str">
        <f>VLOOKUP(H437,'Fund Utilization Report'!$A$4:$U$1800,6,FALSE)</f>
        <v>GOP</v>
      </c>
      <c r="Y437" s="320" t="str">
        <f>VLOOKUP(H437,'Fund Utilization Report'!$A$4:$U$1800,7,FALSE)</f>
        <v>PS</v>
      </c>
      <c r="Z437" s="321">
        <f>VLOOKUP(H437,'Fund Utilization Report'!$A$4:$U$1800,8,FALSE)</f>
        <v>5010000000</v>
      </c>
      <c r="AA437" s="319" t="str">
        <f>VLOOKUP(H437,'Fund Utilization Report'!$A$4:$U$1800,14,FALSE)</f>
        <v>320100100001000</v>
      </c>
      <c r="AB437" s="349" t="str">
        <f>VLOOKUP(H437,'Fund Utilization Report'!$A$4:$U$1800,15,FALSE)</f>
        <v>Formulation of Strategic plans,programs, and policies to develop competitve industries</v>
      </c>
      <c r="AC437" s="39"/>
      <c r="AD437" s="34"/>
      <c r="AE437" s="39"/>
      <c r="AF437" s="51"/>
      <c r="AG437" s="40"/>
      <c r="AH437" s="40"/>
    </row>
    <row r="438" spans="1:34" s="32" customFormat="1" ht="27.6">
      <c r="A438" s="338" t="s">
        <v>942</v>
      </c>
      <c r="B438" s="338" t="s">
        <v>945</v>
      </c>
      <c r="C438" s="358">
        <v>44237</v>
      </c>
      <c r="D438" s="351" t="s">
        <v>1028</v>
      </c>
      <c r="E438" s="352" t="s">
        <v>1112</v>
      </c>
      <c r="F438" s="338">
        <v>0.45416666666666666</v>
      </c>
      <c r="G438" s="338">
        <v>0.46111111111111108</v>
      </c>
      <c r="H438" s="338" t="s">
        <v>967</v>
      </c>
      <c r="I438" s="353">
        <v>711</v>
      </c>
      <c r="J438" s="338" t="str">
        <f>IFERROR(VLOOKUP(I438,'Chart of accounts'!A:H,2,FALSE),"")</f>
        <v>50102010 01</v>
      </c>
      <c r="K438" s="338" t="str">
        <f>IFERROR(VLOOKUP(I438,'Chart of accounts'!A:H,3,FALSE),"")</f>
        <v>PERA - Civilian</v>
      </c>
      <c r="L438" s="338" t="str">
        <f>IFERROR(VLOOKUP(I438,'Chart of accounts'!A:H,4,FALSE),"")</f>
        <v>50102010 01 - PERA - Civilian (711)</v>
      </c>
      <c r="M438" s="361">
        <v>1</v>
      </c>
      <c r="N438" s="355" t="s">
        <v>10</v>
      </c>
      <c r="O438" s="355" t="s">
        <v>1113</v>
      </c>
      <c r="P438" s="355"/>
      <c r="Q438" s="363">
        <v>10000</v>
      </c>
      <c r="R438" s="319">
        <f>P438-Q438</f>
        <v>-10000</v>
      </c>
      <c r="S438" s="319" t="str">
        <f>VLOOKUP(H438,'Fund Utilization Report'!$A$4:$U$1800,13,FALSE)</f>
        <v>PS</v>
      </c>
      <c r="T438" s="319" t="str">
        <f>VLOOKUP(H438,'Fund Utilization Report'!$A$4:$U$1800,2,FALSE)</f>
        <v>GAA</v>
      </c>
      <c r="U438" s="319" t="str">
        <f>VLOOKUP(H438,'Fund Utilization Report'!$A$4:$U$1800,3,FALSE)</f>
        <v>FY2021, RA11518</v>
      </c>
      <c r="V438" s="319" t="str">
        <f>VLOOKUP(H438,'Fund Utilization Report'!$A$4:$U$1800,4,FALSE)</f>
        <v>OO2</v>
      </c>
      <c r="W438" s="319" t="str">
        <f>VLOOKUP(H438,'Fund Utilization Report'!$A$4:$U$1800,5,FALSE)</f>
        <v>01101101</v>
      </c>
      <c r="X438" s="319" t="str">
        <f>VLOOKUP(H438,'Fund Utilization Report'!$A$4:$U$1800,6,FALSE)</f>
        <v>GOP</v>
      </c>
      <c r="Y438" s="320" t="str">
        <f>VLOOKUP(H438,'Fund Utilization Report'!$A$4:$U$1800,7,FALSE)</f>
        <v>PS</v>
      </c>
      <c r="Z438" s="321">
        <f>VLOOKUP(H438,'Fund Utilization Report'!$A$4:$U$1800,8,FALSE)</f>
        <v>5010000000</v>
      </c>
      <c r="AA438" s="319" t="str">
        <f>VLOOKUP(H438,'Fund Utilization Report'!$A$4:$U$1800,14,FALSE)</f>
        <v>320100100001000</v>
      </c>
      <c r="AB438" s="349" t="str">
        <f>VLOOKUP(H438,'Fund Utilization Report'!$A$4:$U$1800,15,FALSE)</f>
        <v>Formulation of Strategic plans,programs, and policies to develop competitve industries</v>
      </c>
      <c r="AC438" s="39"/>
      <c r="AD438" s="34"/>
      <c r="AE438" s="39"/>
      <c r="AF438" s="51"/>
      <c r="AG438" s="40"/>
      <c r="AH438" s="40"/>
    </row>
    <row r="439" spans="1:34" s="32" customFormat="1" ht="27.6">
      <c r="A439" s="338" t="s">
        <v>942</v>
      </c>
      <c r="B439" s="338" t="s">
        <v>945</v>
      </c>
      <c r="C439" s="358">
        <v>44237</v>
      </c>
      <c r="D439" s="351" t="s">
        <v>1028</v>
      </c>
      <c r="E439" s="352" t="s">
        <v>1112</v>
      </c>
      <c r="F439" s="338">
        <v>0.45416666666666666</v>
      </c>
      <c r="G439" s="338">
        <v>0.46111111111111108</v>
      </c>
      <c r="H439" s="338" t="s">
        <v>969</v>
      </c>
      <c r="I439" s="353">
        <v>731</v>
      </c>
      <c r="J439" s="338" t="str">
        <f>IFERROR(VLOOKUP(I439,'Chart of accounts'!A:H,2,FALSE),"")</f>
        <v>50103010 00</v>
      </c>
      <c r="K439" s="338" t="str">
        <f>IFERROR(VLOOKUP(I439,'Chart of accounts'!A:H,3,FALSE),"")</f>
        <v>Retirement and Life Insurance Premiums</v>
      </c>
      <c r="L439" s="338" t="str">
        <f>IFERROR(VLOOKUP(I439,'Chart of accounts'!A:H,4,FALSE),"")</f>
        <v>50103010 00 - Retirement and Life Insurance Premiums (731)</v>
      </c>
      <c r="M439" s="361">
        <v>1</v>
      </c>
      <c r="N439" s="355" t="s">
        <v>10</v>
      </c>
      <c r="O439" s="355" t="s">
        <v>1113</v>
      </c>
      <c r="P439" s="355"/>
      <c r="Q439" s="363">
        <v>23955.72</v>
      </c>
      <c r="R439" s="319">
        <f>P439-Q439</f>
        <v>-23955.72</v>
      </c>
      <c r="S439" s="319" t="str">
        <f>VLOOKUP(H439,'Fund Utilization Report'!$A$4:$U$1800,13,FALSE)</f>
        <v>PS</v>
      </c>
      <c r="T439" s="319" t="str">
        <f>VLOOKUP(H439,'Fund Utilization Report'!$A$4:$U$1800,2,FALSE)</f>
        <v>GAA</v>
      </c>
      <c r="U439" s="319" t="str">
        <f>VLOOKUP(H439,'Fund Utilization Report'!$A$4:$U$1800,3,FALSE)</f>
        <v>FY2021, RA11518</v>
      </c>
      <c r="V439" s="319" t="str">
        <f>VLOOKUP(H439,'Fund Utilization Report'!$A$4:$U$1800,4,FALSE)</f>
        <v>OO2</v>
      </c>
      <c r="W439" s="319" t="str">
        <f>VLOOKUP(H439,'Fund Utilization Report'!$A$4:$U$1800,5,FALSE)</f>
        <v>01101101</v>
      </c>
      <c r="X439" s="319" t="str">
        <f>VLOOKUP(H439,'Fund Utilization Report'!$A$4:$U$1800,6,FALSE)</f>
        <v>GOP</v>
      </c>
      <c r="Y439" s="320" t="str">
        <f>VLOOKUP(H439,'Fund Utilization Report'!$A$4:$U$1800,7,FALSE)</f>
        <v>RLIP</v>
      </c>
      <c r="Z439" s="321" t="str">
        <f>VLOOKUP(H439,'Fund Utilization Report'!$A$4:$U$1800,8,FALSE)</f>
        <v>50103010-00</v>
      </c>
      <c r="AA439" s="319" t="str">
        <f>VLOOKUP(H439,'Fund Utilization Report'!$A$4:$U$1800,14,FALSE)</f>
        <v>320100100001000</v>
      </c>
      <c r="AB439" s="349" t="str">
        <f>VLOOKUP(H439,'Fund Utilization Report'!$A$4:$U$1800,15,FALSE)</f>
        <v>Formulation of Strategic plans,programs, and policies to develop competitve industries</v>
      </c>
      <c r="AC439" s="39"/>
      <c r="AD439" s="34"/>
      <c r="AE439" s="39"/>
      <c r="AF439" s="51"/>
      <c r="AG439" s="40"/>
      <c r="AH439" s="40"/>
    </row>
    <row r="440" spans="1:34" s="32" customFormat="1" ht="27.6">
      <c r="A440" s="338" t="s">
        <v>942</v>
      </c>
      <c r="B440" s="338" t="s">
        <v>945</v>
      </c>
      <c r="C440" s="358">
        <v>44237</v>
      </c>
      <c r="D440" s="351" t="s">
        <v>1028</v>
      </c>
      <c r="E440" s="352" t="s">
        <v>1112</v>
      </c>
      <c r="F440" s="338">
        <v>0.45416666666666666</v>
      </c>
      <c r="G440" s="338">
        <v>0.46111111111111108</v>
      </c>
      <c r="H440" s="338" t="s">
        <v>967</v>
      </c>
      <c r="I440" s="353">
        <v>732</v>
      </c>
      <c r="J440" s="338" t="str">
        <f>IFERROR(VLOOKUP(I440,'Chart of accounts'!A:H,2,FALSE),"")</f>
        <v>50103020 01</v>
      </c>
      <c r="K440" s="338" t="str">
        <f>IFERROR(VLOOKUP(I440,'Chart of accounts'!A:H,3,FALSE),"")</f>
        <v>Pag-IBIG - Civilian</v>
      </c>
      <c r="L440" s="338" t="str">
        <f>IFERROR(VLOOKUP(I440,'Chart of accounts'!A:H,4,FALSE),"")</f>
        <v>50103020 01 - Pag-IBIG - Civilian (732)</v>
      </c>
      <c r="M440" s="361">
        <v>1</v>
      </c>
      <c r="N440" s="355" t="s">
        <v>10</v>
      </c>
      <c r="O440" s="355" t="s">
        <v>1113</v>
      </c>
      <c r="P440" s="355"/>
      <c r="Q440" s="363">
        <v>500</v>
      </c>
      <c r="R440" s="319">
        <f>P440-Q440</f>
        <v>-500</v>
      </c>
      <c r="S440" s="319" t="str">
        <f>VLOOKUP(H440,'Fund Utilization Report'!$A$4:$U$1800,13,FALSE)</f>
        <v>PS</v>
      </c>
      <c r="T440" s="319" t="str">
        <f>VLOOKUP(H440,'Fund Utilization Report'!$A$4:$U$1800,2,FALSE)</f>
        <v>GAA</v>
      </c>
      <c r="U440" s="319" t="str">
        <f>VLOOKUP(H440,'Fund Utilization Report'!$A$4:$U$1800,3,FALSE)</f>
        <v>FY2021, RA11518</v>
      </c>
      <c r="V440" s="319" t="str">
        <f>VLOOKUP(H440,'Fund Utilization Report'!$A$4:$U$1800,4,FALSE)</f>
        <v>OO2</v>
      </c>
      <c r="W440" s="319" t="str">
        <f>VLOOKUP(H440,'Fund Utilization Report'!$A$4:$U$1800,5,FALSE)</f>
        <v>01101101</v>
      </c>
      <c r="X440" s="319" t="str">
        <f>VLOOKUP(H440,'Fund Utilization Report'!$A$4:$U$1800,6,FALSE)</f>
        <v>GOP</v>
      </c>
      <c r="Y440" s="320" t="str">
        <f>VLOOKUP(H440,'Fund Utilization Report'!$A$4:$U$1800,7,FALSE)</f>
        <v>PS</v>
      </c>
      <c r="Z440" s="321">
        <f>VLOOKUP(H440,'Fund Utilization Report'!$A$4:$U$1800,8,FALSE)</f>
        <v>5010000000</v>
      </c>
      <c r="AA440" s="319" t="str">
        <f>VLOOKUP(H440,'Fund Utilization Report'!$A$4:$U$1800,14,FALSE)</f>
        <v>320100100001000</v>
      </c>
      <c r="AB440" s="349" t="str">
        <f>VLOOKUP(H440,'Fund Utilization Report'!$A$4:$U$1800,15,FALSE)</f>
        <v>Formulation of Strategic plans,programs, and policies to develop competitve industries</v>
      </c>
      <c r="AC440" s="39"/>
      <c r="AD440" s="34"/>
      <c r="AE440" s="39"/>
      <c r="AF440" s="51"/>
      <c r="AG440" s="40"/>
      <c r="AH440" s="40"/>
    </row>
    <row r="441" spans="1:34" s="32" customFormat="1" ht="27.6">
      <c r="A441" s="338" t="s">
        <v>942</v>
      </c>
      <c r="B441" s="338" t="s">
        <v>945</v>
      </c>
      <c r="C441" s="358">
        <v>44237</v>
      </c>
      <c r="D441" s="351" t="s">
        <v>1028</v>
      </c>
      <c r="E441" s="352" t="s">
        <v>1112</v>
      </c>
      <c r="F441" s="338">
        <v>0.45416666666666666</v>
      </c>
      <c r="G441" s="338">
        <v>0.46111111111111108</v>
      </c>
      <c r="H441" s="338" t="s">
        <v>967</v>
      </c>
      <c r="I441" s="353">
        <v>733</v>
      </c>
      <c r="J441" s="338" t="str">
        <f>IFERROR(VLOOKUP(I441,'Chart of accounts'!A:H,2,FALSE),"")</f>
        <v>50103030 01</v>
      </c>
      <c r="K441" s="338" t="str">
        <f>IFERROR(VLOOKUP(I441,'Chart of accounts'!A:H,3,FALSE),"")</f>
        <v>PhilHealth - Civilian</v>
      </c>
      <c r="L441" s="338" t="str">
        <f>IFERROR(VLOOKUP(I441,'Chart of accounts'!A:H,4,FALSE),"")</f>
        <v>50103030 01 - PhilHealth - Civilian (733)</v>
      </c>
      <c r="M441" s="361">
        <v>1</v>
      </c>
      <c r="N441" s="355" t="s">
        <v>10</v>
      </c>
      <c r="O441" s="355" t="s">
        <v>1113</v>
      </c>
      <c r="P441" s="355"/>
      <c r="Q441" s="363">
        <v>2593.35</v>
      </c>
      <c r="R441" s="319">
        <f>P441-Q441</f>
        <v>-2593.35</v>
      </c>
      <c r="S441" s="319" t="str">
        <f>VLOOKUP(H441,'Fund Utilization Report'!$A$4:$U$1800,13,FALSE)</f>
        <v>PS</v>
      </c>
      <c r="T441" s="319" t="str">
        <f>VLOOKUP(H441,'Fund Utilization Report'!$A$4:$U$1800,2,FALSE)</f>
        <v>GAA</v>
      </c>
      <c r="U441" s="319" t="str">
        <f>VLOOKUP(H441,'Fund Utilization Report'!$A$4:$U$1800,3,FALSE)</f>
        <v>FY2021, RA11518</v>
      </c>
      <c r="V441" s="319" t="str">
        <f>VLOOKUP(H441,'Fund Utilization Report'!$A$4:$U$1800,4,FALSE)</f>
        <v>OO2</v>
      </c>
      <c r="W441" s="319" t="str">
        <f>VLOOKUP(H441,'Fund Utilization Report'!$A$4:$U$1800,5,FALSE)</f>
        <v>01101101</v>
      </c>
      <c r="X441" s="319" t="str">
        <f>VLOOKUP(H441,'Fund Utilization Report'!$A$4:$U$1800,6,FALSE)</f>
        <v>GOP</v>
      </c>
      <c r="Y441" s="320" t="str">
        <f>VLOOKUP(H441,'Fund Utilization Report'!$A$4:$U$1800,7,FALSE)</f>
        <v>PS</v>
      </c>
      <c r="Z441" s="321">
        <f>VLOOKUP(H441,'Fund Utilization Report'!$A$4:$U$1800,8,FALSE)</f>
        <v>5010000000</v>
      </c>
      <c r="AA441" s="319" t="str">
        <f>VLOOKUP(H441,'Fund Utilization Report'!$A$4:$U$1800,14,FALSE)</f>
        <v>320100100001000</v>
      </c>
      <c r="AB441" s="349" t="str">
        <f>VLOOKUP(H441,'Fund Utilization Report'!$A$4:$U$1800,15,FALSE)</f>
        <v>Formulation of Strategic plans,programs, and policies to develop competitve industries</v>
      </c>
      <c r="AC441" s="39"/>
      <c r="AD441" s="34"/>
      <c r="AE441" s="39"/>
      <c r="AF441" s="51"/>
      <c r="AG441" s="40"/>
      <c r="AH441" s="40"/>
    </row>
    <row r="442" spans="1:34" s="32" customFormat="1" ht="27.6">
      <c r="A442" s="338" t="s">
        <v>942</v>
      </c>
      <c r="B442" s="338" t="s">
        <v>945</v>
      </c>
      <c r="C442" s="358">
        <v>44237</v>
      </c>
      <c r="D442" s="351" t="s">
        <v>1028</v>
      </c>
      <c r="E442" s="352" t="s">
        <v>1112</v>
      </c>
      <c r="F442" s="338">
        <v>0.45416666666666666</v>
      </c>
      <c r="G442" s="338">
        <v>0.46111111111111108</v>
      </c>
      <c r="H442" s="338" t="s">
        <v>967</v>
      </c>
      <c r="I442" s="353">
        <v>734</v>
      </c>
      <c r="J442" s="338" t="str">
        <f>IFERROR(VLOOKUP(I442,'Chart of accounts'!A:H,2,FALSE),"")</f>
        <v>50103040 01</v>
      </c>
      <c r="K442" s="338" t="str">
        <f>IFERROR(VLOOKUP(I442,'Chart of accounts'!A:H,3,FALSE),"")</f>
        <v>ECIP - Civilian</v>
      </c>
      <c r="L442" s="338" t="str">
        <f>IFERROR(VLOOKUP(I442,'Chart of accounts'!A:H,4,FALSE),"")</f>
        <v>50103040 01 - ECIP - Civilian (734)</v>
      </c>
      <c r="M442" s="361">
        <v>1</v>
      </c>
      <c r="N442" s="355" t="s">
        <v>10</v>
      </c>
      <c r="O442" s="355" t="s">
        <v>1113</v>
      </c>
      <c r="P442" s="355"/>
      <c r="Q442" s="363">
        <v>500</v>
      </c>
      <c r="R442" s="319">
        <f>P442-Q442</f>
        <v>-500</v>
      </c>
      <c r="S442" s="319" t="str">
        <f>VLOOKUP(H442,'Fund Utilization Report'!$A$4:$U$1800,13,FALSE)</f>
        <v>PS</v>
      </c>
      <c r="T442" s="319" t="str">
        <f>VLOOKUP(H442,'Fund Utilization Report'!$A$4:$U$1800,2,FALSE)</f>
        <v>GAA</v>
      </c>
      <c r="U442" s="319" t="str">
        <f>VLOOKUP(H442,'Fund Utilization Report'!$A$4:$U$1800,3,FALSE)</f>
        <v>FY2021, RA11518</v>
      </c>
      <c r="V442" s="319" t="str">
        <f>VLOOKUP(H442,'Fund Utilization Report'!$A$4:$U$1800,4,FALSE)</f>
        <v>OO2</v>
      </c>
      <c r="W442" s="319" t="str">
        <f>VLOOKUP(H442,'Fund Utilization Report'!$A$4:$U$1800,5,FALSE)</f>
        <v>01101101</v>
      </c>
      <c r="X442" s="319" t="str">
        <f>VLOOKUP(H442,'Fund Utilization Report'!$A$4:$U$1800,6,FALSE)</f>
        <v>GOP</v>
      </c>
      <c r="Y442" s="320" t="str">
        <f>VLOOKUP(H442,'Fund Utilization Report'!$A$4:$U$1800,7,FALSE)</f>
        <v>PS</v>
      </c>
      <c r="Z442" s="321">
        <f>VLOOKUP(H442,'Fund Utilization Report'!$A$4:$U$1800,8,FALSE)</f>
        <v>5010000000</v>
      </c>
      <c r="AA442" s="319" t="str">
        <f>VLOOKUP(H442,'Fund Utilization Report'!$A$4:$U$1800,14,FALSE)</f>
        <v>320100100001000</v>
      </c>
      <c r="AB442" s="349" t="str">
        <f>VLOOKUP(H442,'Fund Utilization Report'!$A$4:$U$1800,15,FALSE)</f>
        <v>Formulation of Strategic plans,programs, and policies to develop competitve industries</v>
      </c>
      <c r="AC442" s="39"/>
      <c r="AD442" s="34"/>
      <c r="AE442" s="39"/>
      <c r="AF442" s="51"/>
      <c r="AG442" s="40"/>
      <c r="AH442" s="40"/>
    </row>
    <row r="443" spans="1:34" s="32" customFormat="1" ht="27.6">
      <c r="A443" s="338" t="s">
        <v>942</v>
      </c>
      <c r="B443" s="338" t="s">
        <v>945</v>
      </c>
      <c r="C443" s="358">
        <v>44237</v>
      </c>
      <c r="D443" s="351" t="s">
        <v>1028</v>
      </c>
      <c r="E443" s="352" t="s">
        <v>1112</v>
      </c>
      <c r="F443" s="338">
        <v>0.45416666666666666</v>
      </c>
      <c r="G443" s="338">
        <v>0.46111111111111108</v>
      </c>
      <c r="H443" s="338" t="s">
        <v>970</v>
      </c>
      <c r="I443" s="353">
        <v>701</v>
      </c>
      <c r="J443" s="338" t="str">
        <f>IFERROR(VLOOKUP(I443,'Chart of accounts'!A:H,2,FALSE),"")</f>
        <v>50101010 01</v>
      </c>
      <c r="K443" s="338" t="str">
        <f>IFERROR(VLOOKUP(I443,'Chart of accounts'!A:H,3,FALSE),"")</f>
        <v>Basic Salary - Civilian</v>
      </c>
      <c r="L443" s="338" t="str">
        <f>IFERROR(VLOOKUP(I443,'Chart of accounts'!A:H,4,FALSE),"")</f>
        <v>50101010 01 - Basic Salary - Civilian (701)</v>
      </c>
      <c r="M443" s="361">
        <v>1</v>
      </c>
      <c r="N443" s="355" t="s">
        <v>10</v>
      </c>
      <c r="O443" s="355" t="s">
        <v>1113</v>
      </c>
      <c r="P443" s="355"/>
      <c r="Q443" s="363">
        <v>190370</v>
      </c>
      <c r="R443" s="319">
        <f t="shared" si="6"/>
        <v>-190370</v>
      </c>
      <c r="S443" s="319" t="str">
        <f>VLOOKUP(H443,'Fund Utilization Report'!$A$4:$U$1800,13,FALSE)</f>
        <v>PS</v>
      </c>
      <c r="T443" s="319" t="str">
        <f>VLOOKUP(H443,'Fund Utilization Report'!$A$4:$U$1800,2,FALSE)</f>
        <v>GAA</v>
      </c>
      <c r="U443" s="319" t="str">
        <f>VLOOKUP(H443,'Fund Utilization Report'!$A$4:$U$1800,3,FALSE)</f>
        <v>FY2021, RA11518</v>
      </c>
      <c r="V443" s="319" t="str">
        <f>VLOOKUP(H443,'Fund Utilization Report'!$A$4:$U$1800,4,FALSE)</f>
        <v>OO3</v>
      </c>
      <c r="W443" s="319" t="str">
        <f>VLOOKUP(H443,'Fund Utilization Report'!$A$4:$U$1800,5,FALSE)</f>
        <v>01101101</v>
      </c>
      <c r="X443" s="319" t="str">
        <f>VLOOKUP(H443,'Fund Utilization Report'!$A$4:$U$1800,6,FALSE)</f>
        <v>GOP</v>
      </c>
      <c r="Y443" s="320" t="str">
        <f>VLOOKUP(H443,'Fund Utilization Report'!$A$4:$U$1800,7,FALSE)</f>
        <v>PS</v>
      </c>
      <c r="Z443" s="321">
        <f>VLOOKUP(H443,'Fund Utilization Report'!$A$4:$U$1800,8,FALSE)</f>
        <v>5010000000</v>
      </c>
      <c r="AA443" s="319" t="str">
        <f>VLOOKUP(H443,'Fund Utilization Report'!$A$4:$U$1800,14,FALSE)</f>
        <v>330100100002000</v>
      </c>
      <c r="AB443" s="349" t="str">
        <f>VLOOKUP(H443,'Fund Utilization Report'!$A$4:$U$1800,15,FALSE)</f>
        <v>Implementation of the MSME Development Plan and other initiatives to promote the growth of Micro, Small and Medium Enterprises</v>
      </c>
      <c r="AC443" s="39"/>
      <c r="AD443" s="34"/>
      <c r="AE443" s="39"/>
      <c r="AF443" s="51"/>
      <c r="AG443" s="40"/>
      <c r="AH443" s="40"/>
    </row>
    <row r="444" spans="1:34" s="32" customFormat="1" ht="27.6">
      <c r="A444" s="338" t="s">
        <v>942</v>
      </c>
      <c r="B444" s="338" t="s">
        <v>945</v>
      </c>
      <c r="C444" s="358">
        <v>44237</v>
      </c>
      <c r="D444" s="351" t="s">
        <v>1028</v>
      </c>
      <c r="E444" s="352" t="s">
        <v>1112</v>
      </c>
      <c r="F444" s="338">
        <v>0.45416666666666666</v>
      </c>
      <c r="G444" s="338">
        <v>0.46111111111111108</v>
      </c>
      <c r="H444" s="338" t="s">
        <v>970</v>
      </c>
      <c r="I444" s="353">
        <v>711</v>
      </c>
      <c r="J444" s="338" t="str">
        <f>IFERROR(VLOOKUP(I444,'Chart of accounts'!A:H,2,FALSE),"")</f>
        <v>50102010 01</v>
      </c>
      <c r="K444" s="338" t="str">
        <f>IFERROR(VLOOKUP(I444,'Chart of accounts'!A:H,3,FALSE),"")</f>
        <v>PERA - Civilian</v>
      </c>
      <c r="L444" s="338" t="str">
        <f>IFERROR(VLOOKUP(I444,'Chart of accounts'!A:H,4,FALSE),"")</f>
        <v>50102010 01 - PERA - Civilian (711)</v>
      </c>
      <c r="M444" s="361">
        <v>1</v>
      </c>
      <c r="N444" s="355" t="s">
        <v>10</v>
      </c>
      <c r="O444" s="355" t="s">
        <v>1113</v>
      </c>
      <c r="P444" s="355"/>
      <c r="Q444" s="363">
        <v>10000</v>
      </c>
      <c r="R444" s="319">
        <f>P444-Q444</f>
        <v>-10000</v>
      </c>
      <c r="S444" s="319" t="str">
        <f>VLOOKUP(H444,'Fund Utilization Report'!$A$4:$U$1800,13,FALSE)</f>
        <v>PS</v>
      </c>
      <c r="T444" s="319" t="str">
        <f>VLOOKUP(H444,'Fund Utilization Report'!$A$4:$U$1800,2,FALSE)</f>
        <v>GAA</v>
      </c>
      <c r="U444" s="319" t="str">
        <f>VLOOKUP(H444,'Fund Utilization Report'!$A$4:$U$1800,3,FALSE)</f>
        <v>FY2021, RA11518</v>
      </c>
      <c r="V444" s="319" t="str">
        <f>VLOOKUP(H444,'Fund Utilization Report'!$A$4:$U$1800,4,FALSE)</f>
        <v>OO3</v>
      </c>
      <c r="W444" s="319" t="str">
        <f>VLOOKUP(H444,'Fund Utilization Report'!$A$4:$U$1800,5,FALSE)</f>
        <v>01101101</v>
      </c>
      <c r="X444" s="319" t="str">
        <f>VLOOKUP(H444,'Fund Utilization Report'!$A$4:$U$1800,6,FALSE)</f>
        <v>GOP</v>
      </c>
      <c r="Y444" s="320" t="str">
        <f>VLOOKUP(H444,'Fund Utilization Report'!$A$4:$U$1800,7,FALSE)</f>
        <v>PS</v>
      </c>
      <c r="Z444" s="321">
        <f>VLOOKUP(H444,'Fund Utilization Report'!$A$4:$U$1800,8,FALSE)</f>
        <v>5010000000</v>
      </c>
      <c r="AA444" s="319" t="str">
        <f>VLOOKUP(H444,'Fund Utilization Report'!$A$4:$U$1800,14,FALSE)</f>
        <v>330100100002000</v>
      </c>
      <c r="AB444" s="349" t="str">
        <f>VLOOKUP(H444,'Fund Utilization Report'!$A$4:$U$1800,15,FALSE)</f>
        <v>Implementation of the MSME Development Plan and other initiatives to promote the growth of Micro, Small and Medium Enterprises</v>
      </c>
      <c r="AC444" s="39"/>
      <c r="AD444" s="34"/>
      <c r="AE444" s="39"/>
      <c r="AF444" s="51"/>
      <c r="AG444" s="40"/>
      <c r="AH444" s="40"/>
    </row>
    <row r="445" spans="1:34" s="32" customFormat="1" ht="27.6">
      <c r="A445" s="338" t="s">
        <v>942</v>
      </c>
      <c r="B445" s="338" t="s">
        <v>945</v>
      </c>
      <c r="C445" s="358">
        <v>44237</v>
      </c>
      <c r="D445" s="351" t="s">
        <v>1028</v>
      </c>
      <c r="E445" s="352" t="s">
        <v>1112</v>
      </c>
      <c r="F445" s="338">
        <v>0.45416666666666666</v>
      </c>
      <c r="G445" s="338">
        <v>0.46111111111111108</v>
      </c>
      <c r="H445" s="338" t="s">
        <v>972</v>
      </c>
      <c r="I445" s="353">
        <v>731</v>
      </c>
      <c r="J445" s="338" t="str">
        <f>IFERROR(VLOOKUP(I445,'Chart of accounts'!A:H,2,FALSE),"")</f>
        <v>50103010 00</v>
      </c>
      <c r="K445" s="338" t="str">
        <f>IFERROR(VLOOKUP(I445,'Chart of accounts'!A:H,3,FALSE),"")</f>
        <v>Retirement and Life Insurance Premiums</v>
      </c>
      <c r="L445" s="338" t="str">
        <f>IFERROR(VLOOKUP(I445,'Chart of accounts'!A:H,4,FALSE),"")</f>
        <v>50103010 00 - Retirement and Life Insurance Premiums (731)</v>
      </c>
      <c r="M445" s="361">
        <v>1</v>
      </c>
      <c r="N445" s="355" t="s">
        <v>10</v>
      </c>
      <c r="O445" s="355" t="s">
        <v>1113</v>
      </c>
      <c r="P445" s="355"/>
      <c r="Q445" s="363">
        <v>22844.400000000001</v>
      </c>
      <c r="R445" s="319">
        <f>P445-Q445</f>
        <v>-22844.400000000001</v>
      </c>
      <c r="S445" s="319" t="str">
        <f>VLOOKUP(H445,'Fund Utilization Report'!$A$4:$U$1800,13,FALSE)</f>
        <v>PS</v>
      </c>
      <c r="T445" s="319" t="str">
        <f>VLOOKUP(H445,'Fund Utilization Report'!$A$4:$U$1800,2,FALSE)</f>
        <v>GAA</v>
      </c>
      <c r="U445" s="319" t="str">
        <f>VLOOKUP(H445,'Fund Utilization Report'!$A$4:$U$1800,3,FALSE)</f>
        <v>FY2021, RA11518</v>
      </c>
      <c r="V445" s="319" t="str">
        <f>VLOOKUP(H445,'Fund Utilization Report'!$A$4:$U$1800,4,FALSE)</f>
        <v>OO3</v>
      </c>
      <c r="W445" s="319" t="str">
        <f>VLOOKUP(H445,'Fund Utilization Report'!$A$4:$U$1800,5,FALSE)</f>
        <v>01101101</v>
      </c>
      <c r="X445" s="319" t="str">
        <f>VLOOKUP(H445,'Fund Utilization Report'!$A$4:$U$1800,6,FALSE)</f>
        <v>GOP</v>
      </c>
      <c r="Y445" s="320" t="str">
        <f>VLOOKUP(H445,'Fund Utilization Report'!$A$4:$U$1800,7,FALSE)</f>
        <v>RLIP</v>
      </c>
      <c r="Z445" s="321" t="str">
        <f>VLOOKUP(H445,'Fund Utilization Report'!$A$4:$U$1800,8,FALSE)</f>
        <v>50103010-00</v>
      </c>
      <c r="AA445" s="319" t="str">
        <f>VLOOKUP(H445,'Fund Utilization Report'!$A$4:$U$1800,14,FALSE)</f>
        <v>330100100002000</v>
      </c>
      <c r="AB445" s="349" t="str">
        <f>VLOOKUP(H445,'Fund Utilization Report'!$A$4:$U$1800,15,FALSE)</f>
        <v>Implementation of the MSME Development Plan and other initiatives to promote the growth of Micro, Small and Medium Enterprises</v>
      </c>
      <c r="AC445" s="39"/>
      <c r="AD445" s="34"/>
      <c r="AE445" s="39"/>
      <c r="AF445" s="51"/>
      <c r="AG445" s="40"/>
      <c r="AH445" s="40"/>
    </row>
    <row r="446" spans="1:34" s="32" customFormat="1" ht="27.6">
      <c r="A446" s="338" t="s">
        <v>942</v>
      </c>
      <c r="B446" s="338" t="s">
        <v>945</v>
      </c>
      <c r="C446" s="358">
        <v>44237</v>
      </c>
      <c r="D446" s="351" t="s">
        <v>1028</v>
      </c>
      <c r="E446" s="352" t="s">
        <v>1112</v>
      </c>
      <c r="F446" s="338">
        <v>0.45416666666666666</v>
      </c>
      <c r="G446" s="338">
        <v>0.46111111111111108</v>
      </c>
      <c r="H446" s="338" t="s">
        <v>970</v>
      </c>
      <c r="I446" s="353">
        <v>732</v>
      </c>
      <c r="J446" s="338" t="str">
        <f>IFERROR(VLOOKUP(I446,'Chart of accounts'!A:H,2,FALSE),"")</f>
        <v>50103020 01</v>
      </c>
      <c r="K446" s="338" t="str">
        <f>IFERROR(VLOOKUP(I446,'Chart of accounts'!A:H,3,FALSE),"")</f>
        <v>Pag-IBIG - Civilian</v>
      </c>
      <c r="L446" s="338" t="str">
        <f>IFERROR(VLOOKUP(I446,'Chart of accounts'!A:H,4,FALSE),"")</f>
        <v>50103020 01 - Pag-IBIG - Civilian (732)</v>
      </c>
      <c r="M446" s="361">
        <v>1</v>
      </c>
      <c r="N446" s="355" t="s">
        <v>10</v>
      </c>
      <c r="O446" s="355" t="s">
        <v>1113</v>
      </c>
      <c r="P446" s="355"/>
      <c r="Q446" s="363">
        <v>500</v>
      </c>
      <c r="R446" s="319">
        <f>P446-Q446</f>
        <v>-500</v>
      </c>
      <c r="S446" s="319" t="str">
        <f>VLOOKUP(H446,'Fund Utilization Report'!$A$4:$U$1800,13,FALSE)</f>
        <v>PS</v>
      </c>
      <c r="T446" s="319" t="str">
        <f>VLOOKUP(H446,'Fund Utilization Report'!$A$4:$U$1800,2,FALSE)</f>
        <v>GAA</v>
      </c>
      <c r="U446" s="319" t="str">
        <f>VLOOKUP(H446,'Fund Utilization Report'!$A$4:$U$1800,3,FALSE)</f>
        <v>FY2021, RA11518</v>
      </c>
      <c r="V446" s="319" t="str">
        <f>VLOOKUP(H446,'Fund Utilization Report'!$A$4:$U$1800,4,FALSE)</f>
        <v>OO3</v>
      </c>
      <c r="W446" s="319" t="str">
        <f>VLOOKUP(H446,'Fund Utilization Report'!$A$4:$U$1800,5,FALSE)</f>
        <v>01101101</v>
      </c>
      <c r="X446" s="319" t="str">
        <f>VLOOKUP(H446,'Fund Utilization Report'!$A$4:$U$1800,6,FALSE)</f>
        <v>GOP</v>
      </c>
      <c r="Y446" s="320" t="str">
        <f>VLOOKUP(H446,'Fund Utilization Report'!$A$4:$U$1800,7,FALSE)</f>
        <v>PS</v>
      </c>
      <c r="Z446" s="321">
        <f>VLOOKUP(H446,'Fund Utilization Report'!$A$4:$U$1800,8,FALSE)</f>
        <v>5010000000</v>
      </c>
      <c r="AA446" s="319" t="str">
        <f>VLOOKUP(H446,'Fund Utilization Report'!$A$4:$U$1800,14,FALSE)</f>
        <v>330100100002000</v>
      </c>
      <c r="AB446" s="349" t="str">
        <f>VLOOKUP(H446,'Fund Utilization Report'!$A$4:$U$1800,15,FALSE)</f>
        <v>Implementation of the MSME Development Plan and other initiatives to promote the growth of Micro, Small and Medium Enterprises</v>
      </c>
      <c r="AC446" s="39"/>
      <c r="AD446" s="34"/>
      <c r="AE446" s="39"/>
      <c r="AF446" s="51"/>
      <c r="AG446" s="40"/>
      <c r="AH446" s="40"/>
    </row>
    <row r="447" spans="1:34" s="32" customFormat="1" ht="27.6">
      <c r="A447" s="338" t="s">
        <v>942</v>
      </c>
      <c r="B447" s="338" t="s">
        <v>945</v>
      </c>
      <c r="C447" s="358">
        <v>44237</v>
      </c>
      <c r="D447" s="351" t="s">
        <v>1028</v>
      </c>
      <c r="E447" s="352" t="s">
        <v>1112</v>
      </c>
      <c r="F447" s="338">
        <v>0.45416666666666666</v>
      </c>
      <c r="G447" s="338">
        <v>0.46111111111111108</v>
      </c>
      <c r="H447" s="338" t="s">
        <v>970</v>
      </c>
      <c r="I447" s="353">
        <v>733</v>
      </c>
      <c r="J447" s="338" t="str">
        <f>IFERROR(VLOOKUP(I447,'Chart of accounts'!A:H,2,FALSE),"")</f>
        <v>50103030 01</v>
      </c>
      <c r="K447" s="338" t="str">
        <f>IFERROR(VLOOKUP(I447,'Chart of accounts'!A:H,3,FALSE),"")</f>
        <v>PhilHealth - Civilian</v>
      </c>
      <c r="L447" s="338" t="str">
        <f>IFERROR(VLOOKUP(I447,'Chart of accounts'!A:H,4,FALSE),"")</f>
        <v>50103030 01 - PhilHealth - Civilian (733)</v>
      </c>
      <c r="M447" s="361">
        <v>1</v>
      </c>
      <c r="N447" s="355" t="s">
        <v>10</v>
      </c>
      <c r="O447" s="355" t="s">
        <v>1113</v>
      </c>
      <c r="P447" s="355"/>
      <c r="Q447" s="363">
        <v>2855.56</v>
      </c>
      <c r="R447" s="319">
        <f>P447-Q447</f>
        <v>-2855.56</v>
      </c>
      <c r="S447" s="319" t="str">
        <f>VLOOKUP(H447,'Fund Utilization Report'!$A$4:$U$1800,13,FALSE)</f>
        <v>PS</v>
      </c>
      <c r="T447" s="319" t="str">
        <f>VLOOKUP(H447,'Fund Utilization Report'!$A$4:$U$1800,2,FALSE)</f>
        <v>GAA</v>
      </c>
      <c r="U447" s="319" t="str">
        <f>VLOOKUP(H447,'Fund Utilization Report'!$A$4:$U$1800,3,FALSE)</f>
        <v>FY2021, RA11518</v>
      </c>
      <c r="V447" s="319" t="str">
        <f>VLOOKUP(H447,'Fund Utilization Report'!$A$4:$U$1800,4,FALSE)</f>
        <v>OO3</v>
      </c>
      <c r="W447" s="319" t="str">
        <f>VLOOKUP(H447,'Fund Utilization Report'!$A$4:$U$1800,5,FALSE)</f>
        <v>01101101</v>
      </c>
      <c r="X447" s="319" t="str">
        <f>VLOOKUP(H447,'Fund Utilization Report'!$A$4:$U$1800,6,FALSE)</f>
        <v>GOP</v>
      </c>
      <c r="Y447" s="320" t="str">
        <f>VLOOKUP(H447,'Fund Utilization Report'!$A$4:$U$1800,7,FALSE)</f>
        <v>PS</v>
      </c>
      <c r="Z447" s="321">
        <f>VLOOKUP(H447,'Fund Utilization Report'!$A$4:$U$1800,8,FALSE)</f>
        <v>5010000000</v>
      </c>
      <c r="AA447" s="319" t="str">
        <f>VLOOKUP(H447,'Fund Utilization Report'!$A$4:$U$1800,14,FALSE)</f>
        <v>330100100002000</v>
      </c>
      <c r="AB447" s="349" t="str">
        <f>VLOOKUP(H447,'Fund Utilization Report'!$A$4:$U$1800,15,FALSE)</f>
        <v>Implementation of the MSME Development Plan and other initiatives to promote the growth of Micro, Small and Medium Enterprises</v>
      </c>
      <c r="AC447" s="39"/>
      <c r="AD447" s="34"/>
      <c r="AE447" s="39"/>
      <c r="AF447" s="51"/>
      <c r="AG447" s="40"/>
      <c r="AH447" s="40"/>
    </row>
    <row r="448" spans="1:34" s="32" customFormat="1" ht="27.6">
      <c r="A448" s="338" t="s">
        <v>942</v>
      </c>
      <c r="B448" s="338" t="s">
        <v>945</v>
      </c>
      <c r="C448" s="358">
        <v>44237</v>
      </c>
      <c r="D448" s="351" t="s">
        <v>1028</v>
      </c>
      <c r="E448" s="352" t="s">
        <v>1112</v>
      </c>
      <c r="F448" s="338">
        <v>0.45416666666666666</v>
      </c>
      <c r="G448" s="338">
        <v>0.46111111111111108</v>
      </c>
      <c r="H448" s="338" t="s">
        <v>970</v>
      </c>
      <c r="I448" s="353">
        <v>734</v>
      </c>
      <c r="J448" s="338" t="str">
        <f>IFERROR(VLOOKUP(I448,'Chart of accounts'!A:H,2,FALSE),"")</f>
        <v>50103040 01</v>
      </c>
      <c r="K448" s="338" t="str">
        <f>IFERROR(VLOOKUP(I448,'Chart of accounts'!A:H,3,FALSE),"")</f>
        <v>ECIP - Civilian</v>
      </c>
      <c r="L448" s="338" t="str">
        <f>IFERROR(VLOOKUP(I448,'Chart of accounts'!A:H,4,FALSE),"")</f>
        <v>50103040 01 - ECIP - Civilian (734)</v>
      </c>
      <c r="M448" s="361">
        <v>1</v>
      </c>
      <c r="N448" s="355" t="s">
        <v>10</v>
      </c>
      <c r="O448" s="355" t="s">
        <v>1113</v>
      </c>
      <c r="P448" s="355"/>
      <c r="Q448" s="363">
        <v>500</v>
      </c>
      <c r="R448" s="319">
        <f>P448-Q448</f>
        <v>-500</v>
      </c>
      <c r="S448" s="319" t="str">
        <f>VLOOKUP(H448,'Fund Utilization Report'!$A$4:$U$1800,13,FALSE)</f>
        <v>PS</v>
      </c>
      <c r="T448" s="319" t="str">
        <f>VLOOKUP(H448,'Fund Utilization Report'!$A$4:$U$1800,2,FALSE)</f>
        <v>GAA</v>
      </c>
      <c r="U448" s="319" t="str">
        <f>VLOOKUP(H448,'Fund Utilization Report'!$A$4:$U$1800,3,FALSE)</f>
        <v>FY2021, RA11518</v>
      </c>
      <c r="V448" s="319" t="str">
        <f>VLOOKUP(H448,'Fund Utilization Report'!$A$4:$U$1800,4,FALSE)</f>
        <v>OO3</v>
      </c>
      <c r="W448" s="319" t="str">
        <f>VLOOKUP(H448,'Fund Utilization Report'!$A$4:$U$1800,5,FALSE)</f>
        <v>01101101</v>
      </c>
      <c r="X448" s="319" t="str">
        <f>VLOOKUP(H448,'Fund Utilization Report'!$A$4:$U$1800,6,FALSE)</f>
        <v>GOP</v>
      </c>
      <c r="Y448" s="320" t="str">
        <f>VLOOKUP(H448,'Fund Utilization Report'!$A$4:$U$1800,7,FALSE)</f>
        <v>PS</v>
      </c>
      <c r="Z448" s="321">
        <f>VLOOKUP(H448,'Fund Utilization Report'!$A$4:$U$1800,8,FALSE)</f>
        <v>5010000000</v>
      </c>
      <c r="AA448" s="319" t="str">
        <f>VLOOKUP(H448,'Fund Utilization Report'!$A$4:$U$1800,14,FALSE)</f>
        <v>330100100002000</v>
      </c>
      <c r="AB448" s="349" t="str">
        <f>VLOOKUP(H448,'Fund Utilization Report'!$A$4:$U$1800,15,FALSE)</f>
        <v>Implementation of the MSME Development Plan and other initiatives to promote the growth of Micro, Small and Medium Enterprises</v>
      </c>
      <c r="AC448" s="39"/>
      <c r="AD448" s="34"/>
      <c r="AE448" s="39"/>
      <c r="AF448" s="51"/>
      <c r="AG448" s="40"/>
      <c r="AH448" s="40"/>
    </row>
    <row r="449" spans="1:34" s="32" customFormat="1" ht="27.6">
      <c r="A449" s="338" t="s">
        <v>942</v>
      </c>
      <c r="B449" s="338" t="s">
        <v>945</v>
      </c>
      <c r="C449" s="358">
        <v>44237</v>
      </c>
      <c r="D449" s="351" t="s">
        <v>1028</v>
      </c>
      <c r="E449" s="352" t="s">
        <v>1112</v>
      </c>
      <c r="F449" s="338">
        <v>0.45416666666666666</v>
      </c>
      <c r="G449" s="338">
        <v>0.46111111111111108</v>
      </c>
      <c r="H449" s="338" t="s">
        <v>973</v>
      </c>
      <c r="I449" s="353">
        <v>701</v>
      </c>
      <c r="J449" s="338" t="str">
        <f>IFERROR(VLOOKUP(I449,'Chart of accounts'!A:H,2,FALSE),"")</f>
        <v>50101010 01</v>
      </c>
      <c r="K449" s="338" t="str">
        <f>IFERROR(VLOOKUP(I449,'Chart of accounts'!A:H,3,FALSE),"")</f>
        <v>Basic Salary - Civilian</v>
      </c>
      <c r="L449" s="338" t="str">
        <f>IFERROR(VLOOKUP(I449,'Chart of accounts'!A:H,4,FALSE),"")</f>
        <v>50101010 01 - Basic Salary - Civilian (701)</v>
      </c>
      <c r="M449" s="361">
        <v>1</v>
      </c>
      <c r="N449" s="355" t="s">
        <v>10</v>
      </c>
      <c r="O449" s="355" t="s">
        <v>1113</v>
      </c>
      <c r="P449" s="355"/>
      <c r="Q449" s="363">
        <v>206068</v>
      </c>
      <c r="R449" s="319">
        <f t="shared" si="6"/>
        <v>-206068</v>
      </c>
      <c r="S449" s="319" t="str">
        <f>VLOOKUP(H449,'Fund Utilization Report'!$A$4:$U$1800,13,FALSE)</f>
        <v>PS</v>
      </c>
      <c r="T449" s="319" t="str">
        <f>VLOOKUP(H449,'Fund Utilization Report'!$A$4:$U$1800,2,FALSE)</f>
        <v>GAA</v>
      </c>
      <c r="U449" s="319" t="str">
        <f>VLOOKUP(H449,'Fund Utilization Report'!$A$4:$U$1800,3,FALSE)</f>
        <v>FY2021, RA11518</v>
      </c>
      <c r="V449" s="319" t="str">
        <f>VLOOKUP(H449,'Fund Utilization Report'!$A$4:$U$1800,4,FALSE)</f>
        <v>OO4.1(FTL)</v>
      </c>
      <c r="W449" s="319" t="str">
        <f>VLOOKUP(H449,'Fund Utilization Report'!$A$4:$U$1800,5,FALSE)</f>
        <v>01101101</v>
      </c>
      <c r="X449" s="319" t="str">
        <f>VLOOKUP(H449,'Fund Utilization Report'!$A$4:$U$1800,6,FALSE)</f>
        <v>GOP</v>
      </c>
      <c r="Y449" s="320" t="str">
        <f>VLOOKUP(H449,'Fund Utilization Report'!$A$4:$U$1800,7,FALSE)</f>
        <v>PS</v>
      </c>
      <c r="Z449" s="321">
        <f>VLOOKUP(H449,'Fund Utilization Report'!$A$4:$U$1800,8,FALSE)</f>
        <v>5010000000</v>
      </c>
      <c r="AA449" s="319" t="str">
        <f>VLOOKUP(H449,'Fund Utilization Report'!$A$4:$U$1800,14,FALSE)</f>
        <v>340100100002000</v>
      </c>
      <c r="AB449" s="349" t="str">
        <f>VLOOKUP(H449,'Fund Utilization Report'!$A$4:$U$1800,15,FALSE)</f>
        <v>Monitoring and Enforcement of FTL including consumer complaints handling</v>
      </c>
      <c r="AC449" s="39"/>
      <c r="AD449" s="34"/>
      <c r="AE449" s="39"/>
      <c r="AF449" s="51"/>
      <c r="AG449" s="40"/>
      <c r="AH449" s="40"/>
    </row>
    <row r="450" spans="1:34" s="32" customFormat="1" ht="27.6">
      <c r="A450" s="338" t="s">
        <v>942</v>
      </c>
      <c r="B450" s="338" t="s">
        <v>945</v>
      </c>
      <c r="C450" s="358">
        <v>44237</v>
      </c>
      <c r="D450" s="351" t="s">
        <v>1028</v>
      </c>
      <c r="E450" s="352" t="s">
        <v>1112</v>
      </c>
      <c r="F450" s="338">
        <v>0.45416666666666666</v>
      </c>
      <c r="G450" s="338">
        <v>0.46111111111111108</v>
      </c>
      <c r="H450" s="338" t="s">
        <v>973</v>
      </c>
      <c r="I450" s="353">
        <v>711</v>
      </c>
      <c r="J450" s="338" t="str">
        <f>IFERROR(VLOOKUP(I450,'Chart of accounts'!A:H,2,FALSE),"")</f>
        <v>50102010 01</v>
      </c>
      <c r="K450" s="338" t="str">
        <f>IFERROR(VLOOKUP(I450,'Chart of accounts'!A:H,3,FALSE),"")</f>
        <v>PERA - Civilian</v>
      </c>
      <c r="L450" s="338" t="str">
        <f>IFERROR(VLOOKUP(I450,'Chart of accounts'!A:H,4,FALSE),"")</f>
        <v>50102010 01 - PERA - Civilian (711)</v>
      </c>
      <c r="M450" s="361">
        <v>1</v>
      </c>
      <c r="N450" s="355" t="s">
        <v>10</v>
      </c>
      <c r="O450" s="355" t="s">
        <v>1113</v>
      </c>
      <c r="P450" s="355"/>
      <c r="Q450" s="363">
        <v>10000</v>
      </c>
      <c r="R450" s="319">
        <f t="shared" si="6"/>
        <v>-10000</v>
      </c>
      <c r="S450" s="319" t="str">
        <f>VLOOKUP(H450,'Fund Utilization Report'!$A$4:$U$1800,13,FALSE)</f>
        <v>PS</v>
      </c>
      <c r="T450" s="319" t="str">
        <f>VLOOKUP(H450,'Fund Utilization Report'!$A$4:$U$1800,2,FALSE)</f>
        <v>GAA</v>
      </c>
      <c r="U450" s="319" t="str">
        <f>VLOOKUP(H450,'Fund Utilization Report'!$A$4:$U$1800,3,FALSE)</f>
        <v>FY2021, RA11518</v>
      </c>
      <c r="V450" s="319" t="str">
        <f>VLOOKUP(H450,'Fund Utilization Report'!$A$4:$U$1800,4,FALSE)</f>
        <v>OO4.1(FTL)</v>
      </c>
      <c r="W450" s="319" t="str">
        <f>VLOOKUP(H450,'Fund Utilization Report'!$A$4:$U$1800,5,FALSE)</f>
        <v>01101101</v>
      </c>
      <c r="X450" s="319" t="str">
        <f>VLOOKUP(H450,'Fund Utilization Report'!$A$4:$U$1800,6,FALSE)</f>
        <v>GOP</v>
      </c>
      <c r="Y450" s="320" t="str">
        <f>VLOOKUP(H450,'Fund Utilization Report'!$A$4:$U$1800,7,FALSE)</f>
        <v>PS</v>
      </c>
      <c r="Z450" s="321">
        <f>VLOOKUP(H450,'Fund Utilization Report'!$A$4:$U$1800,8,FALSE)</f>
        <v>5010000000</v>
      </c>
      <c r="AA450" s="319" t="str">
        <f>VLOOKUP(H450,'Fund Utilization Report'!$A$4:$U$1800,14,FALSE)</f>
        <v>340100100002000</v>
      </c>
      <c r="AB450" s="349" t="str">
        <f>VLOOKUP(H450,'Fund Utilization Report'!$A$4:$U$1800,15,FALSE)</f>
        <v>Monitoring and Enforcement of FTL including consumer complaints handling</v>
      </c>
      <c r="AC450" s="39"/>
      <c r="AD450" s="34"/>
      <c r="AE450" s="39"/>
      <c r="AF450" s="51"/>
      <c r="AG450" s="40"/>
      <c r="AH450" s="40"/>
    </row>
    <row r="451" spans="1:34" s="32" customFormat="1" ht="27.6">
      <c r="A451" s="338" t="s">
        <v>942</v>
      </c>
      <c r="B451" s="338" t="s">
        <v>945</v>
      </c>
      <c r="C451" s="358">
        <v>44237</v>
      </c>
      <c r="D451" s="351" t="s">
        <v>1028</v>
      </c>
      <c r="E451" s="352" t="s">
        <v>1112</v>
      </c>
      <c r="F451" s="338">
        <v>0.45416666666666666</v>
      </c>
      <c r="G451" s="338">
        <v>0.46111111111111108</v>
      </c>
      <c r="H451" s="338" t="s">
        <v>975</v>
      </c>
      <c r="I451" s="353">
        <v>731</v>
      </c>
      <c r="J451" s="338" t="str">
        <f>IFERROR(VLOOKUP(I451,'Chart of accounts'!A:H,2,FALSE),"")</f>
        <v>50103010 00</v>
      </c>
      <c r="K451" s="338" t="str">
        <f>IFERROR(VLOOKUP(I451,'Chart of accounts'!A:H,3,FALSE),"")</f>
        <v>Retirement and Life Insurance Premiums</v>
      </c>
      <c r="L451" s="338" t="str">
        <f>IFERROR(VLOOKUP(I451,'Chart of accounts'!A:H,4,FALSE),"")</f>
        <v>50103010 00 - Retirement and Life Insurance Premiums (731)</v>
      </c>
      <c r="M451" s="361">
        <v>1</v>
      </c>
      <c r="N451" s="355" t="s">
        <v>10</v>
      </c>
      <c r="O451" s="355" t="s">
        <v>1113</v>
      </c>
      <c r="P451" s="355"/>
      <c r="Q451" s="363">
        <v>24728.16</v>
      </c>
      <c r="R451" s="319">
        <f t="shared" si="6"/>
        <v>-24728.16</v>
      </c>
      <c r="S451" s="319" t="str">
        <f>VLOOKUP(H451,'Fund Utilization Report'!$A$4:$U$1800,13,FALSE)</f>
        <v>PS</v>
      </c>
      <c r="T451" s="319" t="str">
        <f>VLOOKUP(H451,'Fund Utilization Report'!$A$4:$U$1800,2,FALSE)</f>
        <v>GAA</v>
      </c>
      <c r="U451" s="319" t="str">
        <f>VLOOKUP(H451,'Fund Utilization Report'!$A$4:$U$1800,3,FALSE)</f>
        <v>FY2021, RA11518</v>
      </c>
      <c r="V451" s="319" t="str">
        <f>VLOOKUP(H451,'Fund Utilization Report'!$A$4:$U$1800,4,FALSE)</f>
        <v>OO4.1(FTL)</v>
      </c>
      <c r="W451" s="319" t="str">
        <f>VLOOKUP(H451,'Fund Utilization Report'!$A$4:$U$1800,5,FALSE)</f>
        <v>01101101</v>
      </c>
      <c r="X451" s="319" t="str">
        <f>VLOOKUP(H451,'Fund Utilization Report'!$A$4:$U$1800,6,FALSE)</f>
        <v>GOP</v>
      </c>
      <c r="Y451" s="320" t="str">
        <f>VLOOKUP(H451,'Fund Utilization Report'!$A$4:$U$1800,7,FALSE)</f>
        <v>RLIP</v>
      </c>
      <c r="Z451" s="321" t="str">
        <f>VLOOKUP(H451,'Fund Utilization Report'!$A$4:$U$1800,8,FALSE)</f>
        <v>50103010-00</v>
      </c>
      <c r="AA451" s="319" t="str">
        <f>VLOOKUP(H451,'Fund Utilization Report'!$A$4:$U$1800,14,FALSE)</f>
        <v>340100100002000</v>
      </c>
      <c r="AB451" s="349" t="str">
        <f>VLOOKUP(H451,'Fund Utilization Report'!$A$4:$U$1800,15,FALSE)</f>
        <v>Monitoring and Enforcement of FTL including consumer complaints handling</v>
      </c>
      <c r="AC451" s="39"/>
      <c r="AD451" s="34"/>
      <c r="AE451" s="39"/>
      <c r="AF451" s="51"/>
      <c r="AG451" s="40"/>
      <c r="AH451" s="40"/>
    </row>
    <row r="452" spans="1:34" s="32" customFormat="1" ht="27.6">
      <c r="A452" s="338" t="s">
        <v>942</v>
      </c>
      <c r="B452" s="338" t="s">
        <v>945</v>
      </c>
      <c r="C452" s="358">
        <v>44237</v>
      </c>
      <c r="D452" s="351" t="s">
        <v>1028</v>
      </c>
      <c r="E452" s="352" t="s">
        <v>1112</v>
      </c>
      <c r="F452" s="338">
        <v>0.45416666666666666</v>
      </c>
      <c r="G452" s="338">
        <v>0.46111111111111108</v>
      </c>
      <c r="H452" s="338" t="s">
        <v>973</v>
      </c>
      <c r="I452" s="353">
        <v>732</v>
      </c>
      <c r="J452" s="338" t="str">
        <f>IFERROR(VLOOKUP(I452,'Chart of accounts'!A:H,2,FALSE),"")</f>
        <v>50103020 01</v>
      </c>
      <c r="K452" s="338" t="str">
        <f>IFERROR(VLOOKUP(I452,'Chart of accounts'!A:H,3,FALSE),"")</f>
        <v>Pag-IBIG - Civilian</v>
      </c>
      <c r="L452" s="338" t="str">
        <f>IFERROR(VLOOKUP(I452,'Chart of accounts'!A:H,4,FALSE),"")</f>
        <v>50103020 01 - Pag-IBIG - Civilian (732)</v>
      </c>
      <c r="M452" s="361">
        <v>1</v>
      </c>
      <c r="N452" s="355" t="s">
        <v>10</v>
      </c>
      <c r="O452" s="355" t="s">
        <v>1113</v>
      </c>
      <c r="P452" s="355"/>
      <c r="Q452" s="363">
        <v>500</v>
      </c>
      <c r="R452" s="319">
        <f t="shared" si="6"/>
        <v>-500</v>
      </c>
      <c r="S452" s="319" t="str">
        <f>VLOOKUP(H452,'Fund Utilization Report'!$A$4:$U$1800,13,FALSE)</f>
        <v>PS</v>
      </c>
      <c r="T452" s="319" t="str">
        <f>VLOOKUP(H452,'Fund Utilization Report'!$A$4:$U$1800,2,FALSE)</f>
        <v>GAA</v>
      </c>
      <c r="U452" s="319" t="str">
        <f>VLOOKUP(H452,'Fund Utilization Report'!$A$4:$U$1800,3,FALSE)</f>
        <v>FY2021, RA11518</v>
      </c>
      <c r="V452" s="319" t="str">
        <f>VLOOKUP(H452,'Fund Utilization Report'!$A$4:$U$1800,4,FALSE)</f>
        <v>OO4.1(FTL)</v>
      </c>
      <c r="W452" s="319" t="str">
        <f>VLOOKUP(H452,'Fund Utilization Report'!$A$4:$U$1800,5,FALSE)</f>
        <v>01101101</v>
      </c>
      <c r="X452" s="319" t="str">
        <f>VLOOKUP(H452,'Fund Utilization Report'!$A$4:$U$1800,6,FALSE)</f>
        <v>GOP</v>
      </c>
      <c r="Y452" s="320" t="str">
        <f>VLOOKUP(H452,'Fund Utilization Report'!$A$4:$U$1800,7,FALSE)</f>
        <v>PS</v>
      </c>
      <c r="Z452" s="321">
        <f>VLOOKUP(H452,'Fund Utilization Report'!$A$4:$U$1800,8,FALSE)</f>
        <v>5010000000</v>
      </c>
      <c r="AA452" s="319" t="str">
        <f>VLOOKUP(H452,'Fund Utilization Report'!$A$4:$U$1800,14,FALSE)</f>
        <v>340100100002000</v>
      </c>
      <c r="AB452" s="349" t="str">
        <f>VLOOKUP(H452,'Fund Utilization Report'!$A$4:$U$1800,15,FALSE)</f>
        <v>Monitoring and Enforcement of FTL including consumer complaints handling</v>
      </c>
      <c r="AC452" s="39"/>
      <c r="AD452" s="34"/>
      <c r="AE452" s="39"/>
      <c r="AF452" s="51"/>
      <c r="AG452" s="40"/>
      <c r="AH452" s="40"/>
    </row>
    <row r="453" spans="1:34" s="32" customFormat="1" ht="27.6">
      <c r="A453" s="338" t="s">
        <v>942</v>
      </c>
      <c r="B453" s="338" t="s">
        <v>945</v>
      </c>
      <c r="C453" s="358">
        <v>44237</v>
      </c>
      <c r="D453" s="351" t="s">
        <v>1028</v>
      </c>
      <c r="E453" s="352" t="s">
        <v>1112</v>
      </c>
      <c r="F453" s="338">
        <v>0.45416666666666666</v>
      </c>
      <c r="G453" s="338">
        <v>0.46111111111111108</v>
      </c>
      <c r="H453" s="338" t="s">
        <v>973</v>
      </c>
      <c r="I453" s="353">
        <v>733</v>
      </c>
      <c r="J453" s="338" t="str">
        <f>IFERROR(VLOOKUP(I453,'Chart of accounts'!A:H,2,FALSE),"")</f>
        <v>50103030 01</v>
      </c>
      <c r="K453" s="338" t="str">
        <f>IFERROR(VLOOKUP(I453,'Chart of accounts'!A:H,3,FALSE),"")</f>
        <v>PhilHealth - Civilian</v>
      </c>
      <c r="L453" s="338" t="str">
        <f>IFERROR(VLOOKUP(I453,'Chart of accounts'!A:H,4,FALSE),"")</f>
        <v>50103030 01 - PhilHealth - Civilian (733)</v>
      </c>
      <c r="M453" s="361">
        <v>1</v>
      </c>
      <c r="N453" s="355" t="s">
        <v>10</v>
      </c>
      <c r="O453" s="355" t="s">
        <v>1113</v>
      </c>
      <c r="P453" s="355"/>
      <c r="Q453" s="363">
        <v>3077.52</v>
      </c>
      <c r="R453" s="319">
        <f t="shared" si="6"/>
        <v>-3077.52</v>
      </c>
      <c r="S453" s="319" t="str">
        <f>VLOOKUP(H453,'Fund Utilization Report'!$A$4:$U$1800,13,FALSE)</f>
        <v>PS</v>
      </c>
      <c r="T453" s="319" t="str">
        <f>VLOOKUP(H453,'Fund Utilization Report'!$A$4:$U$1800,2,FALSE)</f>
        <v>GAA</v>
      </c>
      <c r="U453" s="319" t="str">
        <f>VLOOKUP(H453,'Fund Utilization Report'!$A$4:$U$1800,3,FALSE)</f>
        <v>FY2021, RA11518</v>
      </c>
      <c r="V453" s="319" t="str">
        <f>VLOOKUP(H453,'Fund Utilization Report'!$A$4:$U$1800,4,FALSE)</f>
        <v>OO4.1(FTL)</v>
      </c>
      <c r="W453" s="319" t="str">
        <f>VLOOKUP(H453,'Fund Utilization Report'!$A$4:$U$1800,5,FALSE)</f>
        <v>01101101</v>
      </c>
      <c r="X453" s="319" t="str">
        <f>VLOOKUP(H453,'Fund Utilization Report'!$A$4:$U$1800,6,FALSE)</f>
        <v>GOP</v>
      </c>
      <c r="Y453" s="320" t="str">
        <f>VLOOKUP(H453,'Fund Utilization Report'!$A$4:$U$1800,7,FALSE)</f>
        <v>PS</v>
      </c>
      <c r="Z453" s="321">
        <f>VLOOKUP(H453,'Fund Utilization Report'!$A$4:$U$1800,8,FALSE)</f>
        <v>5010000000</v>
      </c>
      <c r="AA453" s="319" t="str">
        <f>VLOOKUP(H453,'Fund Utilization Report'!$A$4:$U$1800,14,FALSE)</f>
        <v>340100100002000</v>
      </c>
      <c r="AB453" s="349" t="str">
        <f>VLOOKUP(H453,'Fund Utilization Report'!$A$4:$U$1800,15,FALSE)</f>
        <v>Monitoring and Enforcement of FTL including consumer complaints handling</v>
      </c>
      <c r="AC453" s="39"/>
      <c r="AD453" s="34"/>
      <c r="AE453" s="39"/>
      <c r="AF453" s="51"/>
      <c r="AG453" s="40"/>
      <c r="AH453" s="40"/>
    </row>
    <row r="454" spans="1:34" s="32" customFormat="1" ht="27.6">
      <c r="A454" s="338" t="s">
        <v>942</v>
      </c>
      <c r="B454" s="338" t="s">
        <v>945</v>
      </c>
      <c r="C454" s="358">
        <v>44237</v>
      </c>
      <c r="D454" s="351" t="s">
        <v>1028</v>
      </c>
      <c r="E454" s="352" t="s">
        <v>1112</v>
      </c>
      <c r="F454" s="338">
        <v>0.45416666666666666</v>
      </c>
      <c r="G454" s="338">
        <v>0.46111111111111108</v>
      </c>
      <c r="H454" s="338" t="s">
        <v>973</v>
      </c>
      <c r="I454" s="353">
        <v>734</v>
      </c>
      <c r="J454" s="338" t="str">
        <f>IFERROR(VLOOKUP(I454,'Chart of accounts'!A:H,2,FALSE),"")</f>
        <v>50103040 01</v>
      </c>
      <c r="K454" s="338" t="str">
        <f>IFERROR(VLOOKUP(I454,'Chart of accounts'!A:H,3,FALSE),"")</f>
        <v>ECIP - Civilian</v>
      </c>
      <c r="L454" s="338" t="str">
        <f>IFERROR(VLOOKUP(I454,'Chart of accounts'!A:H,4,FALSE),"")</f>
        <v>50103040 01 - ECIP - Civilian (734)</v>
      </c>
      <c r="M454" s="361">
        <v>1</v>
      </c>
      <c r="N454" s="355" t="s">
        <v>10</v>
      </c>
      <c r="O454" s="355" t="s">
        <v>1113</v>
      </c>
      <c r="P454" s="355"/>
      <c r="Q454" s="363">
        <v>500</v>
      </c>
      <c r="R454" s="319">
        <f t="shared" si="6"/>
        <v>-500</v>
      </c>
      <c r="S454" s="319" t="str">
        <f>VLOOKUP(H454,'Fund Utilization Report'!$A$4:$U$1800,13,FALSE)</f>
        <v>PS</v>
      </c>
      <c r="T454" s="319" t="str">
        <f>VLOOKUP(H454,'Fund Utilization Report'!$A$4:$U$1800,2,FALSE)</f>
        <v>GAA</v>
      </c>
      <c r="U454" s="319" t="str">
        <f>VLOOKUP(H454,'Fund Utilization Report'!$A$4:$U$1800,3,FALSE)</f>
        <v>FY2021, RA11518</v>
      </c>
      <c r="V454" s="319" t="str">
        <f>VLOOKUP(H454,'Fund Utilization Report'!$A$4:$U$1800,4,FALSE)</f>
        <v>OO4.1(FTL)</v>
      </c>
      <c r="W454" s="319" t="str">
        <f>VLOOKUP(H454,'Fund Utilization Report'!$A$4:$U$1800,5,FALSE)</f>
        <v>01101101</v>
      </c>
      <c r="X454" s="319" t="str">
        <f>VLOOKUP(H454,'Fund Utilization Report'!$A$4:$U$1800,6,FALSE)</f>
        <v>GOP</v>
      </c>
      <c r="Y454" s="320" t="str">
        <f>VLOOKUP(H454,'Fund Utilization Report'!$A$4:$U$1800,7,FALSE)</f>
        <v>PS</v>
      </c>
      <c r="Z454" s="321">
        <f>VLOOKUP(H454,'Fund Utilization Report'!$A$4:$U$1800,8,FALSE)</f>
        <v>5010000000</v>
      </c>
      <c r="AA454" s="319" t="str">
        <f>VLOOKUP(H454,'Fund Utilization Report'!$A$4:$U$1800,14,FALSE)</f>
        <v>340100100002000</v>
      </c>
      <c r="AB454" s="349" t="str">
        <f>VLOOKUP(H454,'Fund Utilization Report'!$A$4:$U$1800,15,FALSE)</f>
        <v>Monitoring and Enforcement of FTL including consumer complaints handling</v>
      </c>
      <c r="AC454" s="39"/>
      <c r="AD454" s="34"/>
      <c r="AE454" s="39"/>
      <c r="AF454" s="51"/>
      <c r="AG454" s="40"/>
      <c r="AH454" s="40"/>
    </row>
    <row r="455" spans="1:34" s="32" customFormat="1" ht="27.6">
      <c r="A455" s="338" t="s">
        <v>942</v>
      </c>
      <c r="B455" s="338" t="s">
        <v>945</v>
      </c>
      <c r="C455" s="358">
        <v>44237</v>
      </c>
      <c r="D455" s="351" t="s">
        <v>1028</v>
      </c>
      <c r="E455" s="352" t="s">
        <v>1114</v>
      </c>
      <c r="F455" s="338">
        <v>0.46111111111111108</v>
      </c>
      <c r="G455" s="338">
        <v>0.46458333333333335</v>
      </c>
      <c r="H455" s="338" t="s">
        <v>960</v>
      </c>
      <c r="I455" s="353">
        <v>701</v>
      </c>
      <c r="J455" s="338" t="str">
        <f>IFERROR(VLOOKUP(I455,'Chart of accounts'!A:H,2,FALSE),"")</f>
        <v>50101010 01</v>
      </c>
      <c r="K455" s="338" t="str">
        <f>IFERROR(VLOOKUP(I455,'Chart of accounts'!A:H,3,FALSE),"")</f>
        <v>Basic Salary - Civilian</v>
      </c>
      <c r="L455" s="338" t="str">
        <f>IFERROR(VLOOKUP(I455,'Chart of accounts'!A:H,4,FALSE),"")</f>
        <v>50101010 01 - Basic Salary - Civilian (701)</v>
      </c>
      <c r="M455" s="361">
        <v>3</v>
      </c>
      <c r="N455" s="355" t="s">
        <v>777</v>
      </c>
      <c r="O455" s="355" t="s">
        <v>1113</v>
      </c>
      <c r="P455" s="355"/>
      <c r="Q455" s="363">
        <v>97270</v>
      </c>
      <c r="R455" s="319">
        <f t="shared" si="6"/>
        <v>-97270</v>
      </c>
      <c r="S455" s="319" t="str">
        <f>VLOOKUP(H455,'Fund Utilization Report'!$A$4:$U$1800,13,FALSE)</f>
        <v>PS</v>
      </c>
      <c r="T455" s="319" t="str">
        <f>VLOOKUP(H455,'Fund Utilization Report'!$A$4:$U$1800,2,FALSE)</f>
        <v>GAA</v>
      </c>
      <c r="U455" s="319" t="str">
        <f>VLOOKUP(H455,'Fund Utilization Report'!$A$4:$U$1800,3,FALSE)</f>
        <v>FY2021, RA11518</v>
      </c>
      <c r="V455" s="319" t="str">
        <f>VLOOKUP(H455,'Fund Utilization Report'!$A$4:$U$1800,4,FALSE)</f>
        <v>GAS(GMS)</v>
      </c>
      <c r="W455" s="319" t="str">
        <f>VLOOKUP(H455,'Fund Utilization Report'!$A$4:$U$1800,5,FALSE)</f>
        <v>01101101</v>
      </c>
      <c r="X455" s="319" t="str">
        <f>VLOOKUP(H455,'Fund Utilization Report'!$A$4:$U$1800,6,FALSE)</f>
        <v>GOP</v>
      </c>
      <c r="Y455" s="320" t="str">
        <f>VLOOKUP(H455,'Fund Utilization Report'!$A$4:$U$1800,7,FALSE)</f>
        <v>PS</v>
      </c>
      <c r="Z455" s="321">
        <f>VLOOKUP(H455,'Fund Utilization Report'!$A$4:$U$1800,8,FALSE)</f>
        <v>5010000000</v>
      </c>
      <c r="AA455" s="319" t="str">
        <f>VLOOKUP(H455,'Fund Utilization Report'!$A$4:$U$1800,14,FALSE)</f>
        <v>100000100001000</v>
      </c>
      <c r="AB455" s="349" t="str">
        <f>VLOOKUP(H455,'Fund Utilization Report'!$A$4:$U$1800,15,FALSE)</f>
        <v>General Administration and Supervision - General Management and Supervision</v>
      </c>
      <c r="AC455" s="39"/>
      <c r="AD455" s="34"/>
      <c r="AE455" s="39"/>
      <c r="AF455" s="51"/>
      <c r="AG455" s="40"/>
      <c r="AH455" s="40"/>
    </row>
    <row r="456" spans="1:34" s="32" customFormat="1" ht="27.6">
      <c r="A456" s="338" t="s">
        <v>942</v>
      </c>
      <c r="B456" s="338" t="s">
        <v>945</v>
      </c>
      <c r="C456" s="358">
        <v>44237</v>
      </c>
      <c r="D456" s="351" t="s">
        <v>1028</v>
      </c>
      <c r="E456" s="352" t="s">
        <v>1114</v>
      </c>
      <c r="F456" s="338">
        <v>0.46111111111111108</v>
      </c>
      <c r="G456" s="338">
        <v>0.46458333333333335</v>
      </c>
      <c r="H456" s="338" t="s">
        <v>960</v>
      </c>
      <c r="I456" s="353">
        <v>711</v>
      </c>
      <c r="J456" s="338" t="str">
        <f>IFERROR(VLOOKUP(I456,'Chart of accounts'!A:H,2,FALSE),"")</f>
        <v>50102010 01</v>
      </c>
      <c r="K456" s="338" t="str">
        <f>IFERROR(VLOOKUP(I456,'Chart of accounts'!A:H,3,FALSE),"")</f>
        <v>PERA - Civilian</v>
      </c>
      <c r="L456" s="338" t="str">
        <f>IFERROR(VLOOKUP(I456,'Chart of accounts'!A:H,4,FALSE),"")</f>
        <v>50102010 01 - PERA - Civilian (711)</v>
      </c>
      <c r="M456" s="361">
        <v>3</v>
      </c>
      <c r="N456" s="355" t="s">
        <v>777</v>
      </c>
      <c r="O456" s="355" t="s">
        <v>1113</v>
      </c>
      <c r="P456" s="355"/>
      <c r="Q456" s="363">
        <v>8000</v>
      </c>
      <c r="R456" s="319">
        <f t="shared" si="6"/>
        <v>-8000</v>
      </c>
      <c r="S456" s="319" t="str">
        <f>VLOOKUP(H456,'Fund Utilization Report'!$A$4:$U$1800,13,FALSE)</f>
        <v>PS</v>
      </c>
      <c r="T456" s="319" t="str">
        <f>VLOOKUP(H456,'Fund Utilization Report'!$A$4:$U$1800,2,FALSE)</f>
        <v>GAA</v>
      </c>
      <c r="U456" s="319" t="str">
        <f>VLOOKUP(H456,'Fund Utilization Report'!$A$4:$U$1800,3,FALSE)</f>
        <v>FY2021, RA11518</v>
      </c>
      <c r="V456" s="319" t="str">
        <f>VLOOKUP(H456,'Fund Utilization Report'!$A$4:$U$1800,4,FALSE)</f>
        <v>GAS(GMS)</v>
      </c>
      <c r="W456" s="319" t="str">
        <f>VLOOKUP(H456,'Fund Utilization Report'!$A$4:$U$1800,5,FALSE)</f>
        <v>01101101</v>
      </c>
      <c r="X456" s="319" t="str">
        <f>VLOOKUP(H456,'Fund Utilization Report'!$A$4:$U$1800,6,FALSE)</f>
        <v>GOP</v>
      </c>
      <c r="Y456" s="320" t="str">
        <f>VLOOKUP(H456,'Fund Utilization Report'!$A$4:$U$1800,7,FALSE)</f>
        <v>PS</v>
      </c>
      <c r="Z456" s="321">
        <f>VLOOKUP(H456,'Fund Utilization Report'!$A$4:$U$1800,8,FALSE)</f>
        <v>5010000000</v>
      </c>
      <c r="AA456" s="319" t="str">
        <f>VLOOKUP(H456,'Fund Utilization Report'!$A$4:$U$1800,14,FALSE)</f>
        <v>100000100001000</v>
      </c>
      <c r="AB456" s="349" t="str">
        <f>VLOOKUP(H456,'Fund Utilization Report'!$A$4:$U$1800,15,FALSE)</f>
        <v>General Administration and Supervision - General Management and Supervision</v>
      </c>
      <c r="AC456" s="39"/>
      <c r="AD456" s="34"/>
      <c r="AE456" s="39"/>
      <c r="AF456" s="51"/>
      <c r="AG456" s="40"/>
      <c r="AH456" s="40"/>
    </row>
    <row r="457" spans="1:34" s="32" customFormat="1" ht="27.6">
      <c r="A457" s="338" t="s">
        <v>942</v>
      </c>
      <c r="B457" s="338" t="s">
        <v>945</v>
      </c>
      <c r="C457" s="358">
        <v>44237</v>
      </c>
      <c r="D457" s="351" t="s">
        <v>1028</v>
      </c>
      <c r="E457" s="352" t="s">
        <v>1114</v>
      </c>
      <c r="F457" s="338">
        <v>0.46111111111111108</v>
      </c>
      <c r="G457" s="338">
        <v>0.46458333333333335</v>
      </c>
      <c r="H457" s="338" t="s">
        <v>962</v>
      </c>
      <c r="I457" s="353">
        <v>731</v>
      </c>
      <c r="J457" s="338" t="str">
        <f>IFERROR(VLOOKUP(I457,'Chart of accounts'!A:H,2,FALSE),"")</f>
        <v>50103010 00</v>
      </c>
      <c r="K457" s="338" t="str">
        <f>IFERROR(VLOOKUP(I457,'Chart of accounts'!A:H,3,FALSE),"")</f>
        <v>Retirement and Life Insurance Premiums</v>
      </c>
      <c r="L457" s="338" t="str">
        <f>IFERROR(VLOOKUP(I457,'Chart of accounts'!A:H,4,FALSE),"")</f>
        <v>50103010 00 - Retirement and Life Insurance Premiums (731)</v>
      </c>
      <c r="M457" s="361">
        <v>3</v>
      </c>
      <c r="N457" s="355" t="s">
        <v>777</v>
      </c>
      <c r="O457" s="355" t="s">
        <v>1113</v>
      </c>
      <c r="P457" s="355"/>
      <c r="Q457" s="363">
        <v>11672.4</v>
      </c>
      <c r="R457" s="319">
        <f t="shared" si="6"/>
        <v>-11672.4</v>
      </c>
      <c r="S457" s="319" t="str">
        <f>VLOOKUP(H457,'Fund Utilization Report'!$A$4:$U$1800,13,FALSE)</f>
        <v>PS</v>
      </c>
      <c r="T457" s="319" t="str">
        <f>VLOOKUP(H457,'Fund Utilization Report'!$A$4:$U$1800,2,FALSE)</f>
        <v>GAA</v>
      </c>
      <c r="U457" s="319" t="str">
        <f>VLOOKUP(H457,'Fund Utilization Report'!$A$4:$U$1800,3,FALSE)</f>
        <v>FY2021, RA11518</v>
      </c>
      <c r="V457" s="319" t="str">
        <f>VLOOKUP(H457,'Fund Utilization Report'!$A$4:$U$1800,4,FALSE)</f>
        <v>GAS(GMS)</v>
      </c>
      <c r="W457" s="319" t="str">
        <f>VLOOKUP(H457,'Fund Utilization Report'!$A$4:$U$1800,5,FALSE)</f>
        <v>01101101</v>
      </c>
      <c r="X457" s="319" t="str">
        <f>VLOOKUP(H457,'Fund Utilization Report'!$A$4:$U$1800,6,FALSE)</f>
        <v>GOP</v>
      </c>
      <c r="Y457" s="320" t="str">
        <f>VLOOKUP(H457,'Fund Utilization Report'!$A$4:$U$1800,7,FALSE)</f>
        <v>RLIP</v>
      </c>
      <c r="Z457" s="321" t="str">
        <f>VLOOKUP(H457,'Fund Utilization Report'!$A$4:$U$1800,8,FALSE)</f>
        <v>50103010-00</v>
      </c>
      <c r="AA457" s="319" t="str">
        <f>VLOOKUP(H457,'Fund Utilization Report'!$A$4:$U$1800,14,FALSE)</f>
        <v>100000100001000</v>
      </c>
      <c r="AB457" s="349" t="str">
        <f>VLOOKUP(H457,'Fund Utilization Report'!$A$4:$U$1800,15,FALSE)</f>
        <v>General Administration and Supervision - General Management and Supervision</v>
      </c>
      <c r="AC457" s="39"/>
      <c r="AD457" s="34"/>
      <c r="AE457" s="39"/>
      <c r="AF457" s="51"/>
      <c r="AG457" s="40"/>
      <c r="AH457" s="40"/>
    </row>
    <row r="458" spans="1:34" s="32" customFormat="1" ht="27.6">
      <c r="A458" s="338" t="s">
        <v>942</v>
      </c>
      <c r="B458" s="338" t="s">
        <v>945</v>
      </c>
      <c r="C458" s="358">
        <v>44237</v>
      </c>
      <c r="D458" s="351" t="s">
        <v>1028</v>
      </c>
      <c r="E458" s="352" t="s">
        <v>1114</v>
      </c>
      <c r="F458" s="338">
        <v>0.46111111111111108</v>
      </c>
      <c r="G458" s="338">
        <v>0.46458333333333335</v>
      </c>
      <c r="H458" s="338" t="s">
        <v>960</v>
      </c>
      <c r="I458" s="353">
        <v>732</v>
      </c>
      <c r="J458" s="338" t="str">
        <f>IFERROR(VLOOKUP(I458,'Chart of accounts'!A:H,2,FALSE),"")</f>
        <v>50103020 01</v>
      </c>
      <c r="K458" s="338" t="str">
        <f>IFERROR(VLOOKUP(I458,'Chart of accounts'!A:H,3,FALSE),"")</f>
        <v>Pag-IBIG - Civilian</v>
      </c>
      <c r="L458" s="338" t="str">
        <f>IFERROR(VLOOKUP(I458,'Chart of accounts'!A:H,4,FALSE),"")</f>
        <v>50103020 01 - Pag-IBIG - Civilian (732)</v>
      </c>
      <c r="M458" s="361">
        <v>3</v>
      </c>
      <c r="N458" s="355" t="s">
        <v>777</v>
      </c>
      <c r="O458" s="355" t="s">
        <v>1113</v>
      </c>
      <c r="P458" s="355"/>
      <c r="Q458" s="363">
        <v>400</v>
      </c>
      <c r="R458" s="319">
        <f t="shared" si="6"/>
        <v>-400</v>
      </c>
      <c r="S458" s="319" t="str">
        <f>VLOOKUP(H458,'Fund Utilization Report'!$A$4:$U$1800,13,FALSE)</f>
        <v>PS</v>
      </c>
      <c r="T458" s="319" t="str">
        <f>VLOOKUP(H458,'Fund Utilization Report'!$A$4:$U$1800,2,FALSE)</f>
        <v>GAA</v>
      </c>
      <c r="U458" s="319" t="str">
        <f>VLOOKUP(H458,'Fund Utilization Report'!$A$4:$U$1800,3,FALSE)</f>
        <v>FY2021, RA11518</v>
      </c>
      <c r="V458" s="319" t="str">
        <f>VLOOKUP(H458,'Fund Utilization Report'!$A$4:$U$1800,4,FALSE)</f>
        <v>GAS(GMS)</v>
      </c>
      <c r="W458" s="319" t="str">
        <f>VLOOKUP(H458,'Fund Utilization Report'!$A$4:$U$1800,5,FALSE)</f>
        <v>01101101</v>
      </c>
      <c r="X458" s="319" t="str">
        <f>VLOOKUP(H458,'Fund Utilization Report'!$A$4:$U$1800,6,FALSE)</f>
        <v>GOP</v>
      </c>
      <c r="Y458" s="320" t="str">
        <f>VLOOKUP(H458,'Fund Utilization Report'!$A$4:$U$1800,7,FALSE)</f>
        <v>PS</v>
      </c>
      <c r="Z458" s="321">
        <f>VLOOKUP(H458,'Fund Utilization Report'!$A$4:$U$1800,8,FALSE)</f>
        <v>5010000000</v>
      </c>
      <c r="AA458" s="319" t="str">
        <f>VLOOKUP(H458,'Fund Utilization Report'!$A$4:$U$1800,14,FALSE)</f>
        <v>100000100001000</v>
      </c>
      <c r="AB458" s="349" t="str">
        <f>VLOOKUP(H458,'Fund Utilization Report'!$A$4:$U$1800,15,FALSE)</f>
        <v>General Administration and Supervision - General Management and Supervision</v>
      </c>
      <c r="AC458" s="39"/>
      <c r="AD458" s="34"/>
      <c r="AE458" s="39"/>
      <c r="AF458" s="51"/>
      <c r="AG458" s="40"/>
      <c r="AH458" s="40"/>
    </row>
    <row r="459" spans="1:34" s="32" customFormat="1" ht="27.6">
      <c r="A459" s="338" t="s">
        <v>942</v>
      </c>
      <c r="B459" s="338" t="s">
        <v>945</v>
      </c>
      <c r="C459" s="358">
        <v>44237</v>
      </c>
      <c r="D459" s="351" t="s">
        <v>1028</v>
      </c>
      <c r="E459" s="352" t="s">
        <v>1114</v>
      </c>
      <c r="F459" s="338">
        <v>0.46111111111111108</v>
      </c>
      <c r="G459" s="338">
        <v>0.46458333333333335</v>
      </c>
      <c r="H459" s="338" t="s">
        <v>960</v>
      </c>
      <c r="I459" s="353">
        <v>733</v>
      </c>
      <c r="J459" s="338" t="str">
        <f>IFERROR(VLOOKUP(I459,'Chart of accounts'!A:H,2,FALSE),"")</f>
        <v>50103030 01</v>
      </c>
      <c r="K459" s="338" t="str">
        <f>IFERROR(VLOOKUP(I459,'Chart of accounts'!A:H,3,FALSE),"")</f>
        <v>PhilHealth - Civilian</v>
      </c>
      <c r="L459" s="338" t="str">
        <f>IFERROR(VLOOKUP(I459,'Chart of accounts'!A:H,4,FALSE),"")</f>
        <v>50103030 01 - PhilHealth - Civilian (733)</v>
      </c>
      <c r="M459" s="361">
        <v>3</v>
      </c>
      <c r="N459" s="355" t="s">
        <v>777</v>
      </c>
      <c r="O459" s="355" t="s">
        <v>1113</v>
      </c>
      <c r="P459" s="355"/>
      <c r="Q459" s="363">
        <v>1450.46</v>
      </c>
      <c r="R459" s="319">
        <f t="shared" si="6"/>
        <v>-1450.46</v>
      </c>
      <c r="S459" s="319" t="str">
        <f>VLOOKUP(H459,'Fund Utilization Report'!$A$4:$U$1800,13,FALSE)</f>
        <v>PS</v>
      </c>
      <c r="T459" s="319" t="str">
        <f>VLOOKUP(H459,'Fund Utilization Report'!$A$4:$U$1800,2,FALSE)</f>
        <v>GAA</v>
      </c>
      <c r="U459" s="319" t="str">
        <f>VLOOKUP(H459,'Fund Utilization Report'!$A$4:$U$1800,3,FALSE)</f>
        <v>FY2021, RA11518</v>
      </c>
      <c r="V459" s="319" t="str">
        <f>VLOOKUP(H459,'Fund Utilization Report'!$A$4:$U$1800,4,FALSE)</f>
        <v>GAS(GMS)</v>
      </c>
      <c r="W459" s="319" t="str">
        <f>VLOOKUP(H459,'Fund Utilization Report'!$A$4:$U$1800,5,FALSE)</f>
        <v>01101101</v>
      </c>
      <c r="X459" s="319" t="str">
        <f>VLOOKUP(H459,'Fund Utilization Report'!$A$4:$U$1800,6,FALSE)</f>
        <v>GOP</v>
      </c>
      <c r="Y459" s="320" t="str">
        <f>VLOOKUP(H459,'Fund Utilization Report'!$A$4:$U$1800,7,FALSE)</f>
        <v>PS</v>
      </c>
      <c r="Z459" s="321">
        <f>VLOOKUP(H459,'Fund Utilization Report'!$A$4:$U$1800,8,FALSE)</f>
        <v>5010000000</v>
      </c>
      <c r="AA459" s="319" t="str">
        <f>VLOOKUP(H459,'Fund Utilization Report'!$A$4:$U$1800,14,FALSE)</f>
        <v>100000100001000</v>
      </c>
      <c r="AB459" s="349" t="str">
        <f>VLOOKUP(H459,'Fund Utilization Report'!$A$4:$U$1800,15,FALSE)</f>
        <v>General Administration and Supervision - General Management and Supervision</v>
      </c>
      <c r="AC459" s="39"/>
      <c r="AD459" s="34"/>
      <c r="AE459" s="39"/>
      <c r="AF459" s="51"/>
      <c r="AG459" s="40"/>
      <c r="AH459" s="40"/>
    </row>
    <row r="460" spans="1:34" s="32" customFormat="1" ht="27.6">
      <c r="A460" s="338" t="s">
        <v>942</v>
      </c>
      <c r="B460" s="338" t="s">
        <v>945</v>
      </c>
      <c r="C460" s="358">
        <v>44237</v>
      </c>
      <c r="D460" s="351" t="s">
        <v>1028</v>
      </c>
      <c r="E460" s="352" t="s">
        <v>1114</v>
      </c>
      <c r="F460" s="338">
        <v>0.46111111111111108</v>
      </c>
      <c r="G460" s="338">
        <v>0.46458333333333335</v>
      </c>
      <c r="H460" s="338" t="s">
        <v>960</v>
      </c>
      <c r="I460" s="353">
        <v>734</v>
      </c>
      <c r="J460" s="338" t="str">
        <f>IFERROR(VLOOKUP(I460,'Chart of accounts'!A:H,2,FALSE),"")</f>
        <v>50103040 01</v>
      </c>
      <c r="K460" s="338" t="str">
        <f>IFERROR(VLOOKUP(I460,'Chart of accounts'!A:H,3,FALSE),"")</f>
        <v>ECIP - Civilian</v>
      </c>
      <c r="L460" s="338" t="str">
        <f>IFERROR(VLOOKUP(I460,'Chart of accounts'!A:H,4,FALSE),"")</f>
        <v>50103040 01 - ECIP - Civilian (734)</v>
      </c>
      <c r="M460" s="361">
        <v>3</v>
      </c>
      <c r="N460" s="355" t="s">
        <v>777</v>
      </c>
      <c r="O460" s="355" t="s">
        <v>1113</v>
      </c>
      <c r="P460" s="355"/>
      <c r="Q460" s="363">
        <v>400</v>
      </c>
      <c r="R460" s="319">
        <f t="shared" si="6"/>
        <v>-400</v>
      </c>
      <c r="S460" s="319" t="str">
        <f>VLOOKUP(H460,'Fund Utilization Report'!$A$4:$U$1800,13,FALSE)</f>
        <v>PS</v>
      </c>
      <c r="T460" s="319" t="str">
        <f>VLOOKUP(H460,'Fund Utilization Report'!$A$4:$U$1800,2,FALSE)</f>
        <v>GAA</v>
      </c>
      <c r="U460" s="319" t="str">
        <f>VLOOKUP(H460,'Fund Utilization Report'!$A$4:$U$1800,3,FALSE)</f>
        <v>FY2021, RA11518</v>
      </c>
      <c r="V460" s="319" t="str">
        <f>VLOOKUP(H460,'Fund Utilization Report'!$A$4:$U$1800,4,FALSE)</f>
        <v>GAS(GMS)</v>
      </c>
      <c r="W460" s="319" t="str">
        <f>VLOOKUP(H460,'Fund Utilization Report'!$A$4:$U$1800,5,FALSE)</f>
        <v>01101101</v>
      </c>
      <c r="X460" s="319" t="str">
        <f>VLOOKUP(H460,'Fund Utilization Report'!$A$4:$U$1800,6,FALSE)</f>
        <v>GOP</v>
      </c>
      <c r="Y460" s="320" t="str">
        <f>VLOOKUP(H460,'Fund Utilization Report'!$A$4:$U$1800,7,FALSE)</f>
        <v>PS</v>
      </c>
      <c r="Z460" s="321">
        <f>VLOOKUP(H460,'Fund Utilization Report'!$A$4:$U$1800,8,FALSE)</f>
        <v>5010000000</v>
      </c>
      <c r="AA460" s="319" t="str">
        <f>VLOOKUP(H460,'Fund Utilization Report'!$A$4:$U$1800,14,FALSE)</f>
        <v>100000100001000</v>
      </c>
      <c r="AB460" s="349" t="str">
        <f>VLOOKUP(H460,'Fund Utilization Report'!$A$4:$U$1800,15,FALSE)</f>
        <v>General Administration and Supervision - General Management and Supervision</v>
      </c>
      <c r="AC460" s="39"/>
      <c r="AD460" s="34"/>
      <c r="AE460" s="39"/>
      <c r="AF460" s="51"/>
      <c r="AG460" s="40"/>
      <c r="AH460" s="40"/>
    </row>
    <row r="461" spans="1:34" s="32" customFormat="1" ht="27.6">
      <c r="A461" s="338" t="s">
        <v>942</v>
      </c>
      <c r="B461" s="338" t="s">
        <v>945</v>
      </c>
      <c r="C461" s="358">
        <v>44237</v>
      </c>
      <c r="D461" s="351" t="s">
        <v>1028</v>
      </c>
      <c r="E461" s="352" t="s">
        <v>1114</v>
      </c>
      <c r="F461" s="338">
        <v>0.46111111111111108</v>
      </c>
      <c r="G461" s="338">
        <v>0.46458333333333335</v>
      </c>
      <c r="H461" s="338" t="s">
        <v>964</v>
      </c>
      <c r="I461" s="353">
        <v>701</v>
      </c>
      <c r="J461" s="338" t="str">
        <f>IFERROR(VLOOKUP(I461,'Chart of accounts'!A:H,2,FALSE),"")</f>
        <v>50101010 01</v>
      </c>
      <c r="K461" s="338" t="str">
        <f>IFERROR(VLOOKUP(I461,'Chart of accounts'!A:H,3,FALSE),"")</f>
        <v>Basic Salary - Civilian</v>
      </c>
      <c r="L461" s="338" t="str">
        <f>IFERROR(VLOOKUP(I461,'Chart of accounts'!A:H,4,FALSE),"")</f>
        <v>50101010 01 - Basic Salary - Civilian (701)</v>
      </c>
      <c r="M461" s="361">
        <v>3</v>
      </c>
      <c r="N461" s="355" t="s">
        <v>777</v>
      </c>
      <c r="O461" s="355" t="s">
        <v>1113</v>
      </c>
      <c r="P461" s="355"/>
      <c r="Q461" s="363">
        <v>44184</v>
      </c>
      <c r="R461" s="319">
        <f t="shared" si="6"/>
        <v>-44184</v>
      </c>
      <c r="S461" s="319" t="str">
        <f>VLOOKUP(H461,'Fund Utilization Report'!$A$4:$U$1800,13,FALSE)</f>
        <v>PS</v>
      </c>
      <c r="T461" s="319" t="str">
        <f>VLOOKUP(H461,'Fund Utilization Report'!$A$4:$U$1800,2,FALSE)</f>
        <v>GAA</v>
      </c>
      <c r="U461" s="319" t="str">
        <f>VLOOKUP(H461,'Fund Utilization Report'!$A$4:$U$1800,3,FALSE)</f>
        <v>FY2021, RA11518</v>
      </c>
      <c r="V461" s="319" t="str">
        <f>VLOOKUP(H461,'Fund Utilization Report'!$A$4:$U$1800,4,FALSE)</f>
        <v>OO1</v>
      </c>
      <c r="W461" s="319" t="str">
        <f>VLOOKUP(H461,'Fund Utilization Report'!$A$4:$U$1800,5,FALSE)</f>
        <v>01101101</v>
      </c>
      <c r="X461" s="319" t="str">
        <f>VLOOKUP(H461,'Fund Utilization Report'!$A$4:$U$1800,6,FALSE)</f>
        <v>GOP</v>
      </c>
      <c r="Y461" s="320" t="str">
        <f>VLOOKUP(H461,'Fund Utilization Report'!$A$4:$U$1800,7,FALSE)</f>
        <v>PS</v>
      </c>
      <c r="Z461" s="321">
        <f>VLOOKUP(H461,'Fund Utilization Report'!$A$4:$U$1800,8,FALSE)</f>
        <v>5010000000</v>
      </c>
      <c r="AA461" s="319" t="str">
        <f>VLOOKUP(H461,'Fund Utilization Report'!$A$4:$U$1800,14,FALSE)</f>
        <v>310100100002000</v>
      </c>
      <c r="AB461" s="349" t="str">
        <f>VLOOKUP(H461,'Fund Utilization Report'!$A$4:$U$1800,15,FALSE)</f>
        <v>Development,Facilitation, and promotion of exports and investment, domestic and foreign</v>
      </c>
      <c r="AC461" s="39"/>
      <c r="AD461" s="34"/>
      <c r="AE461" s="39"/>
      <c r="AF461" s="51"/>
      <c r="AG461" s="40"/>
      <c r="AH461" s="40"/>
    </row>
    <row r="462" spans="1:34" s="32" customFormat="1" ht="27.6">
      <c r="A462" s="338" t="s">
        <v>942</v>
      </c>
      <c r="B462" s="338" t="s">
        <v>945</v>
      </c>
      <c r="C462" s="358">
        <v>44237</v>
      </c>
      <c r="D462" s="351" t="s">
        <v>1028</v>
      </c>
      <c r="E462" s="352" t="s">
        <v>1114</v>
      </c>
      <c r="F462" s="338">
        <v>0.46111111111111108</v>
      </c>
      <c r="G462" s="338">
        <v>0.46458333333333335</v>
      </c>
      <c r="H462" s="338" t="s">
        <v>964</v>
      </c>
      <c r="I462" s="353">
        <v>711</v>
      </c>
      <c r="J462" s="338" t="str">
        <f>IFERROR(VLOOKUP(I462,'Chart of accounts'!A:H,2,FALSE),"")</f>
        <v>50102010 01</v>
      </c>
      <c r="K462" s="338" t="str">
        <f>IFERROR(VLOOKUP(I462,'Chart of accounts'!A:H,3,FALSE),"")</f>
        <v>PERA - Civilian</v>
      </c>
      <c r="L462" s="338" t="str">
        <f>IFERROR(VLOOKUP(I462,'Chart of accounts'!A:H,4,FALSE),"")</f>
        <v>50102010 01 - PERA - Civilian (711)</v>
      </c>
      <c r="M462" s="361">
        <v>3</v>
      </c>
      <c r="N462" s="355" t="s">
        <v>777</v>
      </c>
      <c r="O462" s="355" t="s">
        <v>1113</v>
      </c>
      <c r="P462" s="355"/>
      <c r="Q462" s="363">
        <v>2000</v>
      </c>
      <c r="R462" s="319">
        <f t="shared" si="6"/>
        <v>-2000</v>
      </c>
      <c r="S462" s="319" t="str">
        <f>VLOOKUP(H462,'Fund Utilization Report'!$A$4:$U$1800,13,FALSE)</f>
        <v>PS</v>
      </c>
      <c r="T462" s="319" t="str">
        <f>VLOOKUP(H462,'Fund Utilization Report'!$A$4:$U$1800,2,FALSE)</f>
        <v>GAA</v>
      </c>
      <c r="U462" s="319" t="str">
        <f>VLOOKUP(H462,'Fund Utilization Report'!$A$4:$U$1800,3,FALSE)</f>
        <v>FY2021, RA11518</v>
      </c>
      <c r="V462" s="319" t="str">
        <f>VLOOKUP(H462,'Fund Utilization Report'!$A$4:$U$1800,4,FALSE)</f>
        <v>OO1</v>
      </c>
      <c r="W462" s="319" t="str">
        <f>VLOOKUP(H462,'Fund Utilization Report'!$A$4:$U$1800,5,FALSE)</f>
        <v>01101101</v>
      </c>
      <c r="X462" s="319" t="str">
        <f>VLOOKUP(H462,'Fund Utilization Report'!$A$4:$U$1800,6,FALSE)</f>
        <v>GOP</v>
      </c>
      <c r="Y462" s="320" t="str">
        <f>VLOOKUP(H462,'Fund Utilization Report'!$A$4:$U$1800,7,FALSE)</f>
        <v>PS</v>
      </c>
      <c r="Z462" s="321">
        <f>VLOOKUP(H462,'Fund Utilization Report'!$A$4:$U$1800,8,FALSE)</f>
        <v>5010000000</v>
      </c>
      <c r="AA462" s="319" t="str">
        <f>VLOOKUP(H462,'Fund Utilization Report'!$A$4:$U$1800,14,FALSE)</f>
        <v>310100100002000</v>
      </c>
      <c r="AB462" s="349" t="str">
        <f>VLOOKUP(H462,'Fund Utilization Report'!$A$4:$U$1800,15,FALSE)</f>
        <v>Development,Facilitation, and promotion of exports and investment, domestic and foreign</v>
      </c>
      <c r="AC462" s="39"/>
      <c r="AD462" s="34"/>
      <c r="AE462" s="39"/>
      <c r="AF462" s="51"/>
      <c r="AG462" s="40"/>
      <c r="AH462" s="40"/>
    </row>
    <row r="463" spans="1:34" s="32" customFormat="1" ht="27.6">
      <c r="A463" s="338" t="s">
        <v>942</v>
      </c>
      <c r="B463" s="338" t="s">
        <v>945</v>
      </c>
      <c r="C463" s="358">
        <v>44237</v>
      </c>
      <c r="D463" s="351" t="s">
        <v>1028</v>
      </c>
      <c r="E463" s="352" t="s">
        <v>1114</v>
      </c>
      <c r="F463" s="338">
        <v>0.46111111111111108</v>
      </c>
      <c r="G463" s="338">
        <v>0.46458333333333335</v>
      </c>
      <c r="H463" s="338" t="s">
        <v>966</v>
      </c>
      <c r="I463" s="353">
        <v>731</v>
      </c>
      <c r="J463" s="338" t="str">
        <f>IFERROR(VLOOKUP(I463,'Chart of accounts'!A:H,2,FALSE),"")</f>
        <v>50103010 00</v>
      </c>
      <c r="K463" s="338" t="str">
        <f>IFERROR(VLOOKUP(I463,'Chart of accounts'!A:H,3,FALSE),"")</f>
        <v>Retirement and Life Insurance Premiums</v>
      </c>
      <c r="L463" s="338" t="str">
        <f>IFERROR(VLOOKUP(I463,'Chart of accounts'!A:H,4,FALSE),"")</f>
        <v>50103010 00 - Retirement and Life Insurance Premiums (731)</v>
      </c>
      <c r="M463" s="361">
        <v>3</v>
      </c>
      <c r="N463" s="355" t="s">
        <v>777</v>
      </c>
      <c r="O463" s="355" t="s">
        <v>1113</v>
      </c>
      <c r="P463" s="355"/>
      <c r="Q463" s="363">
        <v>5302.08</v>
      </c>
      <c r="R463" s="319">
        <f t="shared" si="6"/>
        <v>-5302.08</v>
      </c>
      <c r="S463" s="319" t="str">
        <f>VLOOKUP(H463,'Fund Utilization Report'!$A$4:$U$1800,13,FALSE)</f>
        <v>PS</v>
      </c>
      <c r="T463" s="319" t="str">
        <f>VLOOKUP(H463,'Fund Utilization Report'!$A$4:$U$1800,2,FALSE)</f>
        <v>GAA</v>
      </c>
      <c r="U463" s="319" t="str">
        <f>VLOOKUP(H463,'Fund Utilization Report'!$A$4:$U$1800,3,FALSE)</f>
        <v>FY2021, RA11518</v>
      </c>
      <c r="V463" s="319" t="str">
        <f>VLOOKUP(H463,'Fund Utilization Report'!$A$4:$U$1800,4,FALSE)</f>
        <v>OO1</v>
      </c>
      <c r="W463" s="319" t="str">
        <f>VLOOKUP(H463,'Fund Utilization Report'!$A$4:$U$1800,5,FALSE)</f>
        <v>01101101</v>
      </c>
      <c r="X463" s="319" t="str">
        <f>VLOOKUP(H463,'Fund Utilization Report'!$A$4:$U$1800,6,FALSE)</f>
        <v>GOP</v>
      </c>
      <c r="Y463" s="320" t="str">
        <f>VLOOKUP(H463,'Fund Utilization Report'!$A$4:$U$1800,7,FALSE)</f>
        <v>RLIP</v>
      </c>
      <c r="Z463" s="321" t="str">
        <f>VLOOKUP(H463,'Fund Utilization Report'!$A$4:$U$1800,8,FALSE)</f>
        <v>50103010-00</v>
      </c>
      <c r="AA463" s="319" t="str">
        <f>VLOOKUP(H463,'Fund Utilization Report'!$A$4:$U$1800,14,FALSE)</f>
        <v>310100100002000</v>
      </c>
      <c r="AB463" s="349" t="str">
        <f>VLOOKUP(H463,'Fund Utilization Report'!$A$4:$U$1800,15,FALSE)</f>
        <v>Development,Facilitation, and promotion of exports and investment, domestic and foreign</v>
      </c>
      <c r="AC463" s="39"/>
      <c r="AD463" s="34"/>
      <c r="AE463" s="39"/>
      <c r="AF463" s="51"/>
      <c r="AG463" s="40"/>
      <c r="AH463" s="40"/>
    </row>
    <row r="464" spans="1:34" s="32" customFormat="1" ht="27.6">
      <c r="A464" s="338" t="s">
        <v>942</v>
      </c>
      <c r="B464" s="338" t="s">
        <v>945</v>
      </c>
      <c r="C464" s="358">
        <v>44237</v>
      </c>
      <c r="D464" s="351" t="s">
        <v>1028</v>
      </c>
      <c r="E464" s="352" t="s">
        <v>1114</v>
      </c>
      <c r="F464" s="338">
        <v>0.46111111111111108</v>
      </c>
      <c r="G464" s="338">
        <v>0.46458333333333335</v>
      </c>
      <c r="H464" s="338" t="s">
        <v>964</v>
      </c>
      <c r="I464" s="353">
        <v>732</v>
      </c>
      <c r="J464" s="338" t="str">
        <f>IFERROR(VLOOKUP(I464,'Chart of accounts'!A:H,2,FALSE),"")</f>
        <v>50103020 01</v>
      </c>
      <c r="K464" s="338" t="str">
        <f>IFERROR(VLOOKUP(I464,'Chart of accounts'!A:H,3,FALSE),"")</f>
        <v>Pag-IBIG - Civilian</v>
      </c>
      <c r="L464" s="338" t="str">
        <f>IFERROR(VLOOKUP(I464,'Chart of accounts'!A:H,4,FALSE),"")</f>
        <v>50103020 01 - Pag-IBIG - Civilian (732)</v>
      </c>
      <c r="M464" s="361">
        <v>3</v>
      </c>
      <c r="N464" s="355" t="s">
        <v>777</v>
      </c>
      <c r="O464" s="355" t="s">
        <v>1113</v>
      </c>
      <c r="P464" s="355"/>
      <c r="Q464" s="363">
        <v>100</v>
      </c>
      <c r="R464" s="319">
        <f t="shared" si="6"/>
        <v>-100</v>
      </c>
      <c r="S464" s="319" t="str">
        <f>VLOOKUP(H464,'Fund Utilization Report'!$A$4:$U$1800,13,FALSE)</f>
        <v>PS</v>
      </c>
      <c r="T464" s="319" t="str">
        <f>VLOOKUP(H464,'Fund Utilization Report'!$A$4:$U$1800,2,FALSE)</f>
        <v>GAA</v>
      </c>
      <c r="U464" s="319" t="str">
        <f>VLOOKUP(H464,'Fund Utilization Report'!$A$4:$U$1800,3,FALSE)</f>
        <v>FY2021, RA11518</v>
      </c>
      <c r="V464" s="319" t="str">
        <f>VLOOKUP(H464,'Fund Utilization Report'!$A$4:$U$1800,4,FALSE)</f>
        <v>OO1</v>
      </c>
      <c r="W464" s="319" t="str">
        <f>VLOOKUP(H464,'Fund Utilization Report'!$A$4:$U$1800,5,FALSE)</f>
        <v>01101101</v>
      </c>
      <c r="X464" s="319" t="str">
        <f>VLOOKUP(H464,'Fund Utilization Report'!$A$4:$U$1800,6,FALSE)</f>
        <v>GOP</v>
      </c>
      <c r="Y464" s="320" t="str">
        <f>VLOOKUP(H464,'Fund Utilization Report'!$A$4:$U$1800,7,FALSE)</f>
        <v>PS</v>
      </c>
      <c r="Z464" s="321">
        <f>VLOOKUP(H464,'Fund Utilization Report'!$A$4:$U$1800,8,FALSE)</f>
        <v>5010000000</v>
      </c>
      <c r="AA464" s="319" t="str">
        <f>VLOOKUP(H464,'Fund Utilization Report'!$A$4:$U$1800,14,FALSE)</f>
        <v>310100100002000</v>
      </c>
      <c r="AB464" s="349" t="str">
        <f>VLOOKUP(H464,'Fund Utilization Report'!$A$4:$U$1800,15,FALSE)</f>
        <v>Development,Facilitation, and promotion of exports and investment, domestic and foreign</v>
      </c>
      <c r="AC464" s="39"/>
      <c r="AD464" s="34"/>
      <c r="AE464" s="39"/>
      <c r="AF464" s="51"/>
      <c r="AG464" s="40"/>
      <c r="AH464" s="40"/>
    </row>
    <row r="465" spans="1:34" s="32" customFormat="1" ht="27.6">
      <c r="A465" s="338" t="s">
        <v>942</v>
      </c>
      <c r="B465" s="338" t="s">
        <v>945</v>
      </c>
      <c r="C465" s="358">
        <v>44237</v>
      </c>
      <c r="D465" s="351" t="s">
        <v>1028</v>
      </c>
      <c r="E465" s="352" t="s">
        <v>1114</v>
      </c>
      <c r="F465" s="338">
        <v>0.46111111111111108</v>
      </c>
      <c r="G465" s="338">
        <v>0.46458333333333335</v>
      </c>
      <c r="H465" s="338" t="s">
        <v>964</v>
      </c>
      <c r="I465" s="353">
        <v>733</v>
      </c>
      <c r="J465" s="338" t="str">
        <f>IFERROR(VLOOKUP(I465,'Chart of accounts'!A:H,2,FALSE),"")</f>
        <v>50103030 01</v>
      </c>
      <c r="K465" s="338" t="str">
        <f>IFERROR(VLOOKUP(I465,'Chart of accounts'!A:H,3,FALSE),"")</f>
        <v>PhilHealth - Civilian</v>
      </c>
      <c r="L465" s="338" t="str">
        <f>IFERROR(VLOOKUP(I465,'Chart of accounts'!A:H,4,FALSE),"")</f>
        <v>50103030 01 - PhilHealth - Civilian (733)</v>
      </c>
      <c r="M465" s="361">
        <v>3</v>
      </c>
      <c r="N465" s="355" t="s">
        <v>777</v>
      </c>
      <c r="O465" s="355" t="s">
        <v>1113</v>
      </c>
      <c r="P465" s="355"/>
      <c r="Q465" s="363">
        <v>662.76</v>
      </c>
      <c r="R465" s="319">
        <f t="shared" si="6"/>
        <v>-662.76</v>
      </c>
      <c r="S465" s="319" t="str">
        <f>VLOOKUP(H465,'Fund Utilization Report'!$A$4:$U$1800,13,FALSE)</f>
        <v>PS</v>
      </c>
      <c r="T465" s="319" t="str">
        <f>VLOOKUP(H465,'Fund Utilization Report'!$A$4:$U$1800,2,FALSE)</f>
        <v>GAA</v>
      </c>
      <c r="U465" s="319" t="str">
        <f>VLOOKUP(H465,'Fund Utilization Report'!$A$4:$U$1800,3,FALSE)</f>
        <v>FY2021, RA11518</v>
      </c>
      <c r="V465" s="319" t="str">
        <f>VLOOKUP(H465,'Fund Utilization Report'!$A$4:$U$1800,4,FALSE)</f>
        <v>OO1</v>
      </c>
      <c r="W465" s="319" t="str">
        <f>VLOOKUP(H465,'Fund Utilization Report'!$A$4:$U$1800,5,FALSE)</f>
        <v>01101101</v>
      </c>
      <c r="X465" s="319" t="str">
        <f>VLOOKUP(H465,'Fund Utilization Report'!$A$4:$U$1800,6,FALSE)</f>
        <v>GOP</v>
      </c>
      <c r="Y465" s="320" t="str">
        <f>VLOOKUP(H465,'Fund Utilization Report'!$A$4:$U$1800,7,FALSE)</f>
        <v>PS</v>
      </c>
      <c r="Z465" s="321">
        <f>VLOOKUP(H465,'Fund Utilization Report'!$A$4:$U$1800,8,FALSE)</f>
        <v>5010000000</v>
      </c>
      <c r="AA465" s="319" t="str">
        <f>VLOOKUP(H465,'Fund Utilization Report'!$A$4:$U$1800,14,FALSE)</f>
        <v>310100100002000</v>
      </c>
      <c r="AB465" s="349" t="str">
        <f>VLOOKUP(H465,'Fund Utilization Report'!$A$4:$U$1800,15,FALSE)</f>
        <v>Development,Facilitation, and promotion of exports and investment, domestic and foreign</v>
      </c>
      <c r="AC465" s="39"/>
      <c r="AD465" s="34"/>
      <c r="AE465" s="39"/>
      <c r="AF465" s="51"/>
      <c r="AG465" s="40"/>
      <c r="AH465" s="40"/>
    </row>
    <row r="466" spans="1:34" s="32" customFormat="1" ht="27.6">
      <c r="A466" s="338" t="s">
        <v>942</v>
      </c>
      <c r="B466" s="338" t="s">
        <v>945</v>
      </c>
      <c r="C466" s="358">
        <v>44237</v>
      </c>
      <c r="D466" s="351" t="s">
        <v>1028</v>
      </c>
      <c r="E466" s="352" t="s">
        <v>1114</v>
      </c>
      <c r="F466" s="338">
        <v>0.46111111111111108</v>
      </c>
      <c r="G466" s="338">
        <v>0.46458333333333335</v>
      </c>
      <c r="H466" s="338" t="s">
        <v>964</v>
      </c>
      <c r="I466" s="353">
        <v>734</v>
      </c>
      <c r="J466" s="338" t="str">
        <f>IFERROR(VLOOKUP(I466,'Chart of accounts'!A:H,2,FALSE),"")</f>
        <v>50103040 01</v>
      </c>
      <c r="K466" s="338" t="str">
        <f>IFERROR(VLOOKUP(I466,'Chart of accounts'!A:H,3,FALSE),"")</f>
        <v>ECIP - Civilian</v>
      </c>
      <c r="L466" s="338" t="str">
        <f>IFERROR(VLOOKUP(I466,'Chart of accounts'!A:H,4,FALSE),"")</f>
        <v>50103040 01 - ECIP - Civilian (734)</v>
      </c>
      <c r="M466" s="361">
        <v>3</v>
      </c>
      <c r="N466" s="355" t="s">
        <v>777</v>
      </c>
      <c r="O466" s="355" t="s">
        <v>1113</v>
      </c>
      <c r="P466" s="355"/>
      <c r="Q466" s="363">
        <v>100</v>
      </c>
      <c r="R466" s="319">
        <f t="shared" si="6"/>
        <v>-100</v>
      </c>
      <c r="S466" s="319" t="str">
        <f>VLOOKUP(H466,'Fund Utilization Report'!$A$4:$U$1800,13,FALSE)</f>
        <v>PS</v>
      </c>
      <c r="T466" s="319" t="str">
        <f>VLOOKUP(H466,'Fund Utilization Report'!$A$4:$U$1800,2,FALSE)</f>
        <v>GAA</v>
      </c>
      <c r="U466" s="319" t="str">
        <f>VLOOKUP(H466,'Fund Utilization Report'!$A$4:$U$1800,3,FALSE)</f>
        <v>FY2021, RA11518</v>
      </c>
      <c r="V466" s="319" t="str">
        <f>VLOOKUP(H466,'Fund Utilization Report'!$A$4:$U$1800,4,FALSE)</f>
        <v>OO1</v>
      </c>
      <c r="W466" s="319" t="str">
        <f>VLOOKUP(H466,'Fund Utilization Report'!$A$4:$U$1800,5,FALSE)</f>
        <v>01101101</v>
      </c>
      <c r="X466" s="319" t="str">
        <f>VLOOKUP(H466,'Fund Utilization Report'!$A$4:$U$1800,6,FALSE)</f>
        <v>GOP</v>
      </c>
      <c r="Y466" s="320" t="str">
        <f>VLOOKUP(H466,'Fund Utilization Report'!$A$4:$U$1800,7,FALSE)</f>
        <v>PS</v>
      </c>
      <c r="Z466" s="321">
        <f>VLOOKUP(H466,'Fund Utilization Report'!$A$4:$U$1800,8,FALSE)</f>
        <v>5010000000</v>
      </c>
      <c r="AA466" s="319" t="str">
        <f>VLOOKUP(H466,'Fund Utilization Report'!$A$4:$U$1800,14,FALSE)</f>
        <v>310100100002000</v>
      </c>
      <c r="AB466" s="349" t="str">
        <f>VLOOKUP(H466,'Fund Utilization Report'!$A$4:$U$1800,15,FALSE)</f>
        <v>Development,Facilitation, and promotion of exports and investment, domestic and foreign</v>
      </c>
      <c r="AC466" s="39"/>
      <c r="AD466" s="34"/>
      <c r="AE466" s="39"/>
      <c r="AF466" s="51"/>
      <c r="AG466" s="40"/>
      <c r="AH466" s="40"/>
    </row>
    <row r="467" spans="1:34" s="32" customFormat="1" ht="27.6">
      <c r="A467" s="338" t="s">
        <v>942</v>
      </c>
      <c r="B467" s="338" t="s">
        <v>945</v>
      </c>
      <c r="C467" s="358">
        <v>44237</v>
      </c>
      <c r="D467" s="351" t="s">
        <v>1028</v>
      </c>
      <c r="E467" s="352" t="s">
        <v>1114</v>
      </c>
      <c r="F467" s="338">
        <v>0.46111111111111108</v>
      </c>
      <c r="G467" s="338">
        <v>0.46458333333333335</v>
      </c>
      <c r="H467" s="338" t="s">
        <v>970</v>
      </c>
      <c r="I467" s="353">
        <v>701</v>
      </c>
      <c r="J467" s="338" t="str">
        <f>IFERROR(VLOOKUP(I467,'Chart of accounts'!A:H,2,FALSE),"")</f>
        <v>50101010 01</v>
      </c>
      <c r="K467" s="338" t="str">
        <f>IFERROR(VLOOKUP(I467,'Chart of accounts'!A:H,3,FALSE),"")</f>
        <v>Basic Salary - Civilian</v>
      </c>
      <c r="L467" s="338" t="str">
        <f>IFERROR(VLOOKUP(I467,'Chart of accounts'!A:H,4,FALSE),"")</f>
        <v>50101010 01 - Basic Salary - Civilian (701)</v>
      </c>
      <c r="M467" s="361">
        <v>3</v>
      </c>
      <c r="N467" s="355" t="s">
        <v>777</v>
      </c>
      <c r="O467" s="355" t="s">
        <v>1113</v>
      </c>
      <c r="P467" s="355"/>
      <c r="Q467" s="363">
        <v>67911</v>
      </c>
      <c r="R467" s="319">
        <f t="shared" si="6"/>
        <v>-67911</v>
      </c>
      <c r="S467" s="319" t="str">
        <f>VLOOKUP(H467,'Fund Utilization Report'!$A$4:$U$1800,13,FALSE)</f>
        <v>PS</v>
      </c>
      <c r="T467" s="319" t="str">
        <f>VLOOKUP(H467,'Fund Utilization Report'!$A$4:$U$1800,2,FALSE)</f>
        <v>GAA</v>
      </c>
      <c r="U467" s="319" t="str">
        <f>VLOOKUP(H467,'Fund Utilization Report'!$A$4:$U$1800,3,FALSE)</f>
        <v>FY2021, RA11518</v>
      </c>
      <c r="V467" s="319" t="str">
        <f>VLOOKUP(H467,'Fund Utilization Report'!$A$4:$U$1800,4,FALSE)</f>
        <v>OO3</v>
      </c>
      <c r="W467" s="319" t="str">
        <f>VLOOKUP(H467,'Fund Utilization Report'!$A$4:$U$1800,5,FALSE)</f>
        <v>01101101</v>
      </c>
      <c r="X467" s="319" t="str">
        <f>VLOOKUP(H467,'Fund Utilization Report'!$A$4:$U$1800,6,FALSE)</f>
        <v>GOP</v>
      </c>
      <c r="Y467" s="320" t="str">
        <f>VLOOKUP(H467,'Fund Utilization Report'!$A$4:$U$1800,7,FALSE)</f>
        <v>PS</v>
      </c>
      <c r="Z467" s="321">
        <f>VLOOKUP(H467,'Fund Utilization Report'!$A$4:$U$1800,8,FALSE)</f>
        <v>5010000000</v>
      </c>
      <c r="AA467" s="319" t="str">
        <f>VLOOKUP(H467,'Fund Utilization Report'!$A$4:$U$1800,14,FALSE)</f>
        <v>330100100002000</v>
      </c>
      <c r="AB467" s="349" t="str">
        <f>VLOOKUP(H467,'Fund Utilization Report'!$A$4:$U$1800,15,FALSE)</f>
        <v>Implementation of the MSME Development Plan and other initiatives to promote the growth of Micro, Small and Medium Enterprises</v>
      </c>
      <c r="AC467" s="39"/>
      <c r="AD467" s="34"/>
      <c r="AE467" s="39"/>
      <c r="AF467" s="51"/>
      <c r="AG467" s="40"/>
      <c r="AH467" s="40"/>
    </row>
    <row r="468" spans="1:34" s="32" customFormat="1" ht="27.6">
      <c r="A468" s="338" t="s">
        <v>942</v>
      </c>
      <c r="B468" s="338" t="s">
        <v>945</v>
      </c>
      <c r="C468" s="358">
        <v>44237</v>
      </c>
      <c r="D468" s="351" t="s">
        <v>1028</v>
      </c>
      <c r="E468" s="352" t="s">
        <v>1114</v>
      </c>
      <c r="F468" s="338">
        <v>0.46111111111111108</v>
      </c>
      <c r="G468" s="338">
        <v>0.46458333333333335</v>
      </c>
      <c r="H468" s="338" t="s">
        <v>970</v>
      </c>
      <c r="I468" s="353">
        <v>711</v>
      </c>
      <c r="J468" s="338" t="str">
        <f>IFERROR(VLOOKUP(I468,'Chart of accounts'!A:H,2,FALSE),"")</f>
        <v>50102010 01</v>
      </c>
      <c r="K468" s="338" t="str">
        <f>IFERROR(VLOOKUP(I468,'Chart of accounts'!A:H,3,FALSE),"")</f>
        <v>PERA - Civilian</v>
      </c>
      <c r="L468" s="338" t="str">
        <f>IFERROR(VLOOKUP(I468,'Chart of accounts'!A:H,4,FALSE),"")</f>
        <v>50102010 01 - PERA - Civilian (711)</v>
      </c>
      <c r="M468" s="361">
        <v>3</v>
      </c>
      <c r="N468" s="355" t="s">
        <v>777</v>
      </c>
      <c r="O468" s="355" t="s">
        <v>1113</v>
      </c>
      <c r="P468" s="355"/>
      <c r="Q468" s="363">
        <v>4000</v>
      </c>
      <c r="R468" s="319">
        <f t="shared" si="6"/>
        <v>-4000</v>
      </c>
      <c r="S468" s="319" t="str">
        <f>VLOOKUP(H468,'Fund Utilization Report'!$A$4:$U$1800,13,FALSE)</f>
        <v>PS</v>
      </c>
      <c r="T468" s="319" t="str">
        <f>VLOOKUP(H468,'Fund Utilization Report'!$A$4:$U$1800,2,FALSE)</f>
        <v>GAA</v>
      </c>
      <c r="U468" s="319" t="str">
        <f>VLOOKUP(H468,'Fund Utilization Report'!$A$4:$U$1800,3,FALSE)</f>
        <v>FY2021, RA11518</v>
      </c>
      <c r="V468" s="319" t="str">
        <f>VLOOKUP(H468,'Fund Utilization Report'!$A$4:$U$1800,4,FALSE)</f>
        <v>OO3</v>
      </c>
      <c r="W468" s="319" t="str">
        <f>VLOOKUP(H468,'Fund Utilization Report'!$A$4:$U$1800,5,FALSE)</f>
        <v>01101101</v>
      </c>
      <c r="X468" s="319" t="str">
        <f>VLOOKUP(H468,'Fund Utilization Report'!$A$4:$U$1800,6,FALSE)</f>
        <v>GOP</v>
      </c>
      <c r="Y468" s="320" t="str">
        <f>VLOOKUP(H468,'Fund Utilization Report'!$A$4:$U$1800,7,FALSE)</f>
        <v>PS</v>
      </c>
      <c r="Z468" s="321">
        <f>VLOOKUP(H468,'Fund Utilization Report'!$A$4:$U$1800,8,FALSE)</f>
        <v>5010000000</v>
      </c>
      <c r="AA468" s="319" t="str">
        <f>VLOOKUP(H468,'Fund Utilization Report'!$A$4:$U$1800,14,FALSE)</f>
        <v>330100100002000</v>
      </c>
      <c r="AB468" s="349" t="str">
        <f>VLOOKUP(H468,'Fund Utilization Report'!$A$4:$U$1800,15,FALSE)</f>
        <v>Implementation of the MSME Development Plan and other initiatives to promote the growth of Micro, Small and Medium Enterprises</v>
      </c>
      <c r="AC468" s="39"/>
      <c r="AD468" s="34"/>
      <c r="AE468" s="39"/>
      <c r="AF468" s="51"/>
      <c r="AG468" s="40"/>
      <c r="AH468" s="40"/>
    </row>
    <row r="469" spans="1:34" s="32" customFormat="1" ht="27.6">
      <c r="A469" s="338" t="s">
        <v>942</v>
      </c>
      <c r="B469" s="338" t="s">
        <v>945</v>
      </c>
      <c r="C469" s="358">
        <v>44237</v>
      </c>
      <c r="D469" s="351" t="s">
        <v>1028</v>
      </c>
      <c r="E469" s="352" t="s">
        <v>1114</v>
      </c>
      <c r="F469" s="338">
        <v>0.46111111111111108</v>
      </c>
      <c r="G469" s="338">
        <v>0.46458333333333335</v>
      </c>
      <c r="H469" s="338" t="s">
        <v>972</v>
      </c>
      <c r="I469" s="353">
        <v>731</v>
      </c>
      <c r="J469" s="338" t="str">
        <f>IFERROR(VLOOKUP(I469,'Chart of accounts'!A:H,2,FALSE),"")</f>
        <v>50103010 00</v>
      </c>
      <c r="K469" s="338" t="str">
        <f>IFERROR(VLOOKUP(I469,'Chart of accounts'!A:H,3,FALSE),"")</f>
        <v>Retirement and Life Insurance Premiums</v>
      </c>
      <c r="L469" s="338" t="str">
        <f>IFERROR(VLOOKUP(I469,'Chart of accounts'!A:H,4,FALSE),"")</f>
        <v>50103010 00 - Retirement and Life Insurance Premiums (731)</v>
      </c>
      <c r="M469" s="361">
        <v>3</v>
      </c>
      <c r="N469" s="355" t="s">
        <v>777</v>
      </c>
      <c r="O469" s="355" t="s">
        <v>1113</v>
      </c>
      <c r="P469" s="355"/>
      <c r="Q469" s="363">
        <v>8149.32</v>
      </c>
      <c r="R469" s="319">
        <f t="shared" si="6"/>
        <v>-8149.32</v>
      </c>
      <c r="S469" s="319" t="str">
        <f>VLOOKUP(H469,'Fund Utilization Report'!$A$4:$U$1800,13,FALSE)</f>
        <v>PS</v>
      </c>
      <c r="T469" s="319" t="str">
        <f>VLOOKUP(H469,'Fund Utilization Report'!$A$4:$U$1800,2,FALSE)</f>
        <v>GAA</v>
      </c>
      <c r="U469" s="319" t="str">
        <f>VLOOKUP(H469,'Fund Utilization Report'!$A$4:$U$1800,3,FALSE)</f>
        <v>FY2021, RA11518</v>
      </c>
      <c r="V469" s="319" t="str">
        <f>VLOOKUP(H469,'Fund Utilization Report'!$A$4:$U$1800,4,FALSE)</f>
        <v>OO3</v>
      </c>
      <c r="W469" s="319" t="str">
        <f>VLOOKUP(H469,'Fund Utilization Report'!$A$4:$U$1800,5,FALSE)</f>
        <v>01101101</v>
      </c>
      <c r="X469" s="319" t="str">
        <f>VLOOKUP(H469,'Fund Utilization Report'!$A$4:$U$1800,6,FALSE)</f>
        <v>GOP</v>
      </c>
      <c r="Y469" s="320" t="str">
        <f>VLOOKUP(H469,'Fund Utilization Report'!$A$4:$U$1800,7,FALSE)</f>
        <v>RLIP</v>
      </c>
      <c r="Z469" s="321" t="str">
        <f>VLOOKUP(H469,'Fund Utilization Report'!$A$4:$U$1800,8,FALSE)</f>
        <v>50103010-00</v>
      </c>
      <c r="AA469" s="319" t="str">
        <f>VLOOKUP(H469,'Fund Utilization Report'!$A$4:$U$1800,14,FALSE)</f>
        <v>330100100002000</v>
      </c>
      <c r="AB469" s="349" t="str">
        <f>VLOOKUP(H469,'Fund Utilization Report'!$A$4:$U$1800,15,FALSE)</f>
        <v>Implementation of the MSME Development Plan and other initiatives to promote the growth of Micro, Small and Medium Enterprises</v>
      </c>
      <c r="AC469" s="39"/>
      <c r="AD469" s="34"/>
      <c r="AE469" s="39"/>
      <c r="AF469" s="51"/>
      <c r="AG469" s="40"/>
      <c r="AH469" s="40"/>
    </row>
    <row r="470" spans="1:34" s="32" customFormat="1" ht="27.6">
      <c r="A470" s="338" t="s">
        <v>942</v>
      </c>
      <c r="B470" s="338" t="s">
        <v>945</v>
      </c>
      <c r="C470" s="358">
        <v>44237</v>
      </c>
      <c r="D470" s="351" t="s">
        <v>1028</v>
      </c>
      <c r="E470" s="352" t="s">
        <v>1114</v>
      </c>
      <c r="F470" s="338">
        <v>0.46111111111111108</v>
      </c>
      <c r="G470" s="338">
        <v>0.46458333333333335</v>
      </c>
      <c r="H470" s="338" t="s">
        <v>970</v>
      </c>
      <c r="I470" s="353">
        <v>732</v>
      </c>
      <c r="J470" s="338" t="str">
        <f>IFERROR(VLOOKUP(I470,'Chart of accounts'!A:H,2,FALSE),"")</f>
        <v>50103020 01</v>
      </c>
      <c r="K470" s="338" t="str">
        <f>IFERROR(VLOOKUP(I470,'Chart of accounts'!A:H,3,FALSE),"")</f>
        <v>Pag-IBIG - Civilian</v>
      </c>
      <c r="L470" s="338" t="str">
        <f>IFERROR(VLOOKUP(I470,'Chart of accounts'!A:H,4,FALSE),"")</f>
        <v>50103020 01 - Pag-IBIG - Civilian (732)</v>
      </c>
      <c r="M470" s="361">
        <v>3</v>
      </c>
      <c r="N470" s="355" t="s">
        <v>777</v>
      </c>
      <c r="O470" s="355" t="s">
        <v>1113</v>
      </c>
      <c r="P470" s="355"/>
      <c r="Q470" s="363">
        <v>200</v>
      </c>
      <c r="R470" s="319">
        <f t="shared" si="6"/>
        <v>-200</v>
      </c>
      <c r="S470" s="319" t="str">
        <f>VLOOKUP(H470,'Fund Utilization Report'!$A$4:$U$1800,13,FALSE)</f>
        <v>PS</v>
      </c>
      <c r="T470" s="319" t="str">
        <f>VLOOKUP(H470,'Fund Utilization Report'!$A$4:$U$1800,2,FALSE)</f>
        <v>GAA</v>
      </c>
      <c r="U470" s="319" t="str">
        <f>VLOOKUP(H470,'Fund Utilization Report'!$A$4:$U$1800,3,FALSE)</f>
        <v>FY2021, RA11518</v>
      </c>
      <c r="V470" s="319" t="str">
        <f>VLOOKUP(H470,'Fund Utilization Report'!$A$4:$U$1800,4,FALSE)</f>
        <v>OO3</v>
      </c>
      <c r="W470" s="319" t="str">
        <f>VLOOKUP(H470,'Fund Utilization Report'!$A$4:$U$1800,5,FALSE)</f>
        <v>01101101</v>
      </c>
      <c r="X470" s="319" t="str">
        <f>VLOOKUP(H470,'Fund Utilization Report'!$A$4:$U$1800,6,FALSE)</f>
        <v>GOP</v>
      </c>
      <c r="Y470" s="320" t="str">
        <f>VLOOKUP(H470,'Fund Utilization Report'!$A$4:$U$1800,7,FALSE)</f>
        <v>PS</v>
      </c>
      <c r="Z470" s="321">
        <f>VLOOKUP(H470,'Fund Utilization Report'!$A$4:$U$1800,8,FALSE)</f>
        <v>5010000000</v>
      </c>
      <c r="AA470" s="319" t="str">
        <f>VLOOKUP(H470,'Fund Utilization Report'!$A$4:$U$1800,14,FALSE)</f>
        <v>330100100002000</v>
      </c>
      <c r="AB470" s="349" t="str">
        <f>VLOOKUP(H470,'Fund Utilization Report'!$A$4:$U$1800,15,FALSE)</f>
        <v>Implementation of the MSME Development Plan and other initiatives to promote the growth of Micro, Small and Medium Enterprises</v>
      </c>
      <c r="AC470" s="39"/>
      <c r="AD470" s="34"/>
      <c r="AE470" s="39"/>
      <c r="AF470" s="51"/>
      <c r="AG470" s="40"/>
      <c r="AH470" s="40"/>
    </row>
    <row r="471" spans="1:34" s="32" customFormat="1" ht="27.6">
      <c r="A471" s="338" t="s">
        <v>942</v>
      </c>
      <c r="B471" s="338" t="s">
        <v>945</v>
      </c>
      <c r="C471" s="358">
        <v>44237</v>
      </c>
      <c r="D471" s="351" t="s">
        <v>1028</v>
      </c>
      <c r="E471" s="352" t="s">
        <v>1114</v>
      </c>
      <c r="F471" s="338">
        <v>0.46111111111111108</v>
      </c>
      <c r="G471" s="338">
        <v>0.46458333333333335</v>
      </c>
      <c r="H471" s="338" t="s">
        <v>970</v>
      </c>
      <c r="I471" s="353">
        <v>733</v>
      </c>
      <c r="J471" s="338" t="str">
        <f>IFERROR(VLOOKUP(I471,'Chart of accounts'!A:H,2,FALSE),"")</f>
        <v>50103030 01</v>
      </c>
      <c r="K471" s="338" t="str">
        <f>IFERROR(VLOOKUP(I471,'Chart of accounts'!A:H,3,FALSE),"")</f>
        <v>PhilHealth - Civilian</v>
      </c>
      <c r="L471" s="338" t="str">
        <f>IFERROR(VLOOKUP(I471,'Chart of accounts'!A:H,4,FALSE),"")</f>
        <v>50103030 01 - PhilHealth - Civilian (733)</v>
      </c>
      <c r="M471" s="361">
        <v>3</v>
      </c>
      <c r="N471" s="355" t="s">
        <v>777</v>
      </c>
      <c r="O471" s="355" t="s">
        <v>1113</v>
      </c>
      <c r="P471" s="355"/>
      <c r="Q471" s="363">
        <v>1018.67</v>
      </c>
      <c r="R471" s="319">
        <f t="shared" ref="R471:R531" si="7">P471-Q471</f>
        <v>-1018.67</v>
      </c>
      <c r="S471" s="319" t="str">
        <f>VLOOKUP(H471,'Fund Utilization Report'!$A$4:$U$1800,13,FALSE)</f>
        <v>PS</v>
      </c>
      <c r="T471" s="319" t="str">
        <f>VLOOKUP(H471,'Fund Utilization Report'!$A$4:$U$1800,2,FALSE)</f>
        <v>GAA</v>
      </c>
      <c r="U471" s="319" t="str">
        <f>VLOOKUP(H471,'Fund Utilization Report'!$A$4:$U$1800,3,FALSE)</f>
        <v>FY2021, RA11518</v>
      </c>
      <c r="V471" s="319" t="str">
        <f>VLOOKUP(H471,'Fund Utilization Report'!$A$4:$U$1800,4,FALSE)</f>
        <v>OO3</v>
      </c>
      <c r="W471" s="319" t="str">
        <f>VLOOKUP(H471,'Fund Utilization Report'!$A$4:$U$1800,5,FALSE)</f>
        <v>01101101</v>
      </c>
      <c r="X471" s="319" t="str">
        <f>VLOOKUP(H471,'Fund Utilization Report'!$A$4:$U$1800,6,FALSE)</f>
        <v>GOP</v>
      </c>
      <c r="Y471" s="320" t="str">
        <f>VLOOKUP(H471,'Fund Utilization Report'!$A$4:$U$1800,7,FALSE)</f>
        <v>PS</v>
      </c>
      <c r="Z471" s="321">
        <f>VLOOKUP(H471,'Fund Utilization Report'!$A$4:$U$1800,8,FALSE)</f>
        <v>5010000000</v>
      </c>
      <c r="AA471" s="319" t="str">
        <f>VLOOKUP(H471,'Fund Utilization Report'!$A$4:$U$1800,14,FALSE)</f>
        <v>330100100002000</v>
      </c>
      <c r="AB471" s="349" t="str">
        <f>VLOOKUP(H471,'Fund Utilization Report'!$A$4:$U$1800,15,FALSE)</f>
        <v>Implementation of the MSME Development Plan and other initiatives to promote the growth of Micro, Small and Medium Enterprises</v>
      </c>
      <c r="AC471" s="39"/>
      <c r="AD471" s="34"/>
      <c r="AE471" s="39"/>
      <c r="AF471" s="51"/>
      <c r="AG471" s="40"/>
      <c r="AH471" s="40"/>
    </row>
    <row r="472" spans="1:34" s="32" customFormat="1" ht="27.6">
      <c r="A472" s="338" t="s">
        <v>942</v>
      </c>
      <c r="B472" s="338" t="s">
        <v>945</v>
      </c>
      <c r="C472" s="358">
        <v>44237</v>
      </c>
      <c r="D472" s="351" t="s">
        <v>1028</v>
      </c>
      <c r="E472" s="352" t="s">
        <v>1114</v>
      </c>
      <c r="F472" s="338">
        <v>0.46111111111111108</v>
      </c>
      <c r="G472" s="338">
        <v>0.46458333333333335</v>
      </c>
      <c r="H472" s="338" t="s">
        <v>970</v>
      </c>
      <c r="I472" s="353">
        <v>734</v>
      </c>
      <c r="J472" s="338" t="str">
        <f>IFERROR(VLOOKUP(I472,'Chart of accounts'!A:H,2,FALSE),"")</f>
        <v>50103040 01</v>
      </c>
      <c r="K472" s="338" t="str">
        <f>IFERROR(VLOOKUP(I472,'Chart of accounts'!A:H,3,FALSE),"")</f>
        <v>ECIP - Civilian</v>
      </c>
      <c r="L472" s="338" t="str">
        <f>IFERROR(VLOOKUP(I472,'Chart of accounts'!A:H,4,FALSE),"")</f>
        <v>50103040 01 - ECIP - Civilian (734)</v>
      </c>
      <c r="M472" s="361">
        <v>3</v>
      </c>
      <c r="N472" s="355" t="s">
        <v>777</v>
      </c>
      <c r="O472" s="355" t="s">
        <v>1113</v>
      </c>
      <c r="P472" s="355"/>
      <c r="Q472" s="363">
        <v>200</v>
      </c>
      <c r="R472" s="319">
        <f t="shared" si="7"/>
        <v>-200</v>
      </c>
      <c r="S472" s="319" t="str">
        <f>VLOOKUP(H472,'Fund Utilization Report'!$A$4:$U$1800,13,FALSE)</f>
        <v>PS</v>
      </c>
      <c r="T472" s="319" t="str">
        <f>VLOOKUP(H472,'Fund Utilization Report'!$A$4:$U$1800,2,FALSE)</f>
        <v>GAA</v>
      </c>
      <c r="U472" s="319" t="str">
        <f>VLOOKUP(H472,'Fund Utilization Report'!$A$4:$U$1800,3,FALSE)</f>
        <v>FY2021, RA11518</v>
      </c>
      <c r="V472" s="319" t="str">
        <f>VLOOKUP(H472,'Fund Utilization Report'!$A$4:$U$1800,4,FALSE)</f>
        <v>OO3</v>
      </c>
      <c r="W472" s="319" t="str">
        <f>VLOOKUP(H472,'Fund Utilization Report'!$A$4:$U$1800,5,FALSE)</f>
        <v>01101101</v>
      </c>
      <c r="X472" s="319" t="str">
        <f>VLOOKUP(H472,'Fund Utilization Report'!$A$4:$U$1800,6,FALSE)</f>
        <v>GOP</v>
      </c>
      <c r="Y472" s="320" t="str">
        <f>VLOOKUP(H472,'Fund Utilization Report'!$A$4:$U$1800,7,FALSE)</f>
        <v>PS</v>
      </c>
      <c r="Z472" s="321">
        <f>VLOOKUP(H472,'Fund Utilization Report'!$A$4:$U$1800,8,FALSE)</f>
        <v>5010000000</v>
      </c>
      <c r="AA472" s="319" t="str">
        <f>VLOOKUP(H472,'Fund Utilization Report'!$A$4:$U$1800,14,FALSE)</f>
        <v>330100100002000</v>
      </c>
      <c r="AB472" s="349" t="str">
        <f>VLOOKUP(H472,'Fund Utilization Report'!$A$4:$U$1800,15,FALSE)</f>
        <v>Implementation of the MSME Development Plan and other initiatives to promote the growth of Micro, Small and Medium Enterprises</v>
      </c>
      <c r="AC472" s="39"/>
      <c r="AD472" s="34"/>
      <c r="AE472" s="39"/>
      <c r="AF472" s="51"/>
      <c r="AG472" s="40"/>
      <c r="AH472" s="40"/>
    </row>
    <row r="473" spans="1:34" s="32" customFormat="1" ht="27.6">
      <c r="A473" s="338" t="s">
        <v>942</v>
      </c>
      <c r="B473" s="338" t="s">
        <v>945</v>
      </c>
      <c r="C473" s="358">
        <v>44237</v>
      </c>
      <c r="D473" s="351" t="s">
        <v>1028</v>
      </c>
      <c r="E473" s="352" t="s">
        <v>1114</v>
      </c>
      <c r="F473" s="338">
        <v>0.46111111111111108</v>
      </c>
      <c r="G473" s="338">
        <v>0.46458333333333335</v>
      </c>
      <c r="H473" s="338" t="s">
        <v>973</v>
      </c>
      <c r="I473" s="353">
        <v>701</v>
      </c>
      <c r="J473" s="338" t="str">
        <f>IFERROR(VLOOKUP(I473,'Chart of accounts'!A:H,2,FALSE),"")</f>
        <v>50101010 01</v>
      </c>
      <c r="K473" s="338" t="str">
        <f>IFERROR(VLOOKUP(I473,'Chart of accounts'!A:H,3,FALSE),"")</f>
        <v>Basic Salary - Civilian</v>
      </c>
      <c r="L473" s="338" t="str">
        <f>IFERROR(VLOOKUP(I473,'Chart of accounts'!A:H,4,FALSE),"")</f>
        <v>50101010 01 - Basic Salary - Civilian (701)</v>
      </c>
      <c r="M473" s="361">
        <v>3</v>
      </c>
      <c r="N473" s="355" t="s">
        <v>777</v>
      </c>
      <c r="O473" s="355" t="s">
        <v>1113</v>
      </c>
      <c r="P473" s="355"/>
      <c r="Q473" s="363">
        <v>149727</v>
      </c>
      <c r="R473" s="319">
        <f t="shared" si="7"/>
        <v>-149727</v>
      </c>
      <c r="S473" s="319" t="str">
        <f>VLOOKUP(H473,'Fund Utilization Report'!$A$4:$U$1800,13,FALSE)</f>
        <v>PS</v>
      </c>
      <c r="T473" s="319" t="str">
        <f>VLOOKUP(H473,'Fund Utilization Report'!$A$4:$U$1800,2,FALSE)</f>
        <v>GAA</v>
      </c>
      <c r="U473" s="319" t="str">
        <f>VLOOKUP(H473,'Fund Utilization Report'!$A$4:$U$1800,3,FALSE)</f>
        <v>FY2021, RA11518</v>
      </c>
      <c r="V473" s="319" t="str">
        <f>VLOOKUP(H473,'Fund Utilization Report'!$A$4:$U$1800,4,FALSE)</f>
        <v>OO4.1(FTL)</v>
      </c>
      <c r="W473" s="319" t="str">
        <f>VLOOKUP(H473,'Fund Utilization Report'!$A$4:$U$1800,5,FALSE)</f>
        <v>01101101</v>
      </c>
      <c r="X473" s="319" t="str">
        <f>VLOOKUP(H473,'Fund Utilization Report'!$A$4:$U$1800,6,FALSE)</f>
        <v>GOP</v>
      </c>
      <c r="Y473" s="320" t="str">
        <f>VLOOKUP(H473,'Fund Utilization Report'!$A$4:$U$1800,7,FALSE)</f>
        <v>PS</v>
      </c>
      <c r="Z473" s="321">
        <f>VLOOKUP(H473,'Fund Utilization Report'!$A$4:$U$1800,8,FALSE)</f>
        <v>5010000000</v>
      </c>
      <c r="AA473" s="319" t="str">
        <f>VLOOKUP(H473,'Fund Utilization Report'!$A$4:$U$1800,14,FALSE)</f>
        <v>340100100002000</v>
      </c>
      <c r="AB473" s="349" t="str">
        <f>VLOOKUP(H473,'Fund Utilization Report'!$A$4:$U$1800,15,FALSE)</f>
        <v>Monitoring and Enforcement of FTL including consumer complaints handling</v>
      </c>
      <c r="AC473" s="39"/>
      <c r="AD473" s="34"/>
      <c r="AE473" s="39"/>
      <c r="AF473" s="51"/>
      <c r="AG473" s="40"/>
      <c r="AH473" s="40"/>
    </row>
    <row r="474" spans="1:34" s="32" customFormat="1" ht="27.6">
      <c r="A474" s="338" t="s">
        <v>942</v>
      </c>
      <c r="B474" s="338" t="s">
        <v>945</v>
      </c>
      <c r="C474" s="358">
        <v>44237</v>
      </c>
      <c r="D474" s="351" t="s">
        <v>1028</v>
      </c>
      <c r="E474" s="352" t="s">
        <v>1114</v>
      </c>
      <c r="F474" s="338">
        <v>0.46111111111111108</v>
      </c>
      <c r="G474" s="338">
        <v>0.46458333333333335</v>
      </c>
      <c r="H474" s="338" t="s">
        <v>973</v>
      </c>
      <c r="I474" s="353">
        <v>711</v>
      </c>
      <c r="J474" s="338" t="str">
        <f>IFERROR(VLOOKUP(I474,'Chart of accounts'!A:H,2,FALSE),"")</f>
        <v>50102010 01</v>
      </c>
      <c r="K474" s="338" t="str">
        <f>IFERROR(VLOOKUP(I474,'Chart of accounts'!A:H,3,FALSE),"")</f>
        <v>PERA - Civilian</v>
      </c>
      <c r="L474" s="338" t="str">
        <f>IFERROR(VLOOKUP(I474,'Chart of accounts'!A:H,4,FALSE),"")</f>
        <v>50102010 01 - PERA - Civilian (711)</v>
      </c>
      <c r="M474" s="361">
        <v>3</v>
      </c>
      <c r="N474" s="355" t="s">
        <v>777</v>
      </c>
      <c r="O474" s="355" t="s">
        <v>1113</v>
      </c>
      <c r="P474" s="355"/>
      <c r="Q474" s="363">
        <v>6000</v>
      </c>
      <c r="R474" s="319">
        <f t="shared" si="7"/>
        <v>-6000</v>
      </c>
      <c r="S474" s="319" t="str">
        <f>VLOOKUP(H474,'Fund Utilization Report'!$A$4:$U$1800,13,FALSE)</f>
        <v>PS</v>
      </c>
      <c r="T474" s="319" t="str">
        <f>VLOOKUP(H474,'Fund Utilization Report'!$A$4:$U$1800,2,FALSE)</f>
        <v>GAA</v>
      </c>
      <c r="U474" s="319" t="str">
        <f>VLOOKUP(H474,'Fund Utilization Report'!$A$4:$U$1800,3,FALSE)</f>
        <v>FY2021, RA11518</v>
      </c>
      <c r="V474" s="319" t="str">
        <f>VLOOKUP(H474,'Fund Utilization Report'!$A$4:$U$1800,4,FALSE)</f>
        <v>OO4.1(FTL)</v>
      </c>
      <c r="W474" s="319" t="str">
        <f>VLOOKUP(H474,'Fund Utilization Report'!$A$4:$U$1800,5,FALSE)</f>
        <v>01101101</v>
      </c>
      <c r="X474" s="319" t="str">
        <f>VLOOKUP(H474,'Fund Utilization Report'!$A$4:$U$1800,6,FALSE)</f>
        <v>GOP</v>
      </c>
      <c r="Y474" s="320" t="str">
        <f>VLOOKUP(H474,'Fund Utilization Report'!$A$4:$U$1800,7,FALSE)</f>
        <v>PS</v>
      </c>
      <c r="Z474" s="321">
        <f>VLOOKUP(H474,'Fund Utilization Report'!$A$4:$U$1800,8,FALSE)</f>
        <v>5010000000</v>
      </c>
      <c r="AA474" s="319" t="str">
        <f>VLOOKUP(H474,'Fund Utilization Report'!$A$4:$U$1800,14,FALSE)</f>
        <v>340100100002000</v>
      </c>
      <c r="AB474" s="349" t="str">
        <f>VLOOKUP(H474,'Fund Utilization Report'!$A$4:$U$1800,15,FALSE)</f>
        <v>Monitoring and Enforcement of FTL including consumer complaints handling</v>
      </c>
      <c r="AC474" s="39"/>
      <c r="AD474" s="34"/>
      <c r="AE474" s="39"/>
      <c r="AF474" s="51"/>
      <c r="AG474" s="40"/>
      <c r="AH474" s="40"/>
    </row>
    <row r="475" spans="1:34" s="32" customFormat="1" ht="27.6">
      <c r="A475" s="338" t="s">
        <v>942</v>
      </c>
      <c r="B475" s="338" t="s">
        <v>945</v>
      </c>
      <c r="C475" s="358">
        <v>44237</v>
      </c>
      <c r="D475" s="351" t="s">
        <v>1028</v>
      </c>
      <c r="E475" s="352" t="s">
        <v>1114</v>
      </c>
      <c r="F475" s="338">
        <v>0.46111111111111108</v>
      </c>
      <c r="G475" s="338">
        <v>0.46458333333333335</v>
      </c>
      <c r="H475" s="338" t="s">
        <v>975</v>
      </c>
      <c r="I475" s="353">
        <v>731</v>
      </c>
      <c r="J475" s="338" t="str">
        <f>IFERROR(VLOOKUP(I475,'Chart of accounts'!A:H,2,FALSE),"")</f>
        <v>50103010 00</v>
      </c>
      <c r="K475" s="338" t="str">
        <f>IFERROR(VLOOKUP(I475,'Chart of accounts'!A:H,3,FALSE),"")</f>
        <v>Retirement and Life Insurance Premiums</v>
      </c>
      <c r="L475" s="338" t="str">
        <f>IFERROR(VLOOKUP(I475,'Chart of accounts'!A:H,4,FALSE),"")</f>
        <v>50103010 00 - Retirement and Life Insurance Premiums (731)</v>
      </c>
      <c r="M475" s="361">
        <v>3</v>
      </c>
      <c r="N475" s="355" t="s">
        <v>777</v>
      </c>
      <c r="O475" s="355" t="s">
        <v>1113</v>
      </c>
      <c r="P475" s="355"/>
      <c r="Q475" s="363">
        <v>17967.240000000002</v>
      </c>
      <c r="R475" s="319">
        <f t="shared" si="7"/>
        <v>-17967.240000000002</v>
      </c>
      <c r="S475" s="319" t="str">
        <f>VLOOKUP(H475,'Fund Utilization Report'!$A$4:$U$1800,13,FALSE)</f>
        <v>PS</v>
      </c>
      <c r="T475" s="319" t="str">
        <f>VLOOKUP(H475,'Fund Utilization Report'!$A$4:$U$1800,2,FALSE)</f>
        <v>GAA</v>
      </c>
      <c r="U475" s="319" t="str">
        <f>VLOOKUP(H475,'Fund Utilization Report'!$A$4:$U$1800,3,FALSE)</f>
        <v>FY2021, RA11518</v>
      </c>
      <c r="V475" s="319" t="str">
        <f>VLOOKUP(H475,'Fund Utilization Report'!$A$4:$U$1800,4,FALSE)</f>
        <v>OO4.1(FTL)</v>
      </c>
      <c r="W475" s="319" t="str">
        <f>VLOOKUP(H475,'Fund Utilization Report'!$A$4:$U$1800,5,FALSE)</f>
        <v>01101101</v>
      </c>
      <c r="X475" s="319" t="str">
        <f>VLOOKUP(H475,'Fund Utilization Report'!$A$4:$U$1800,6,FALSE)</f>
        <v>GOP</v>
      </c>
      <c r="Y475" s="320" t="str">
        <f>VLOOKUP(H475,'Fund Utilization Report'!$A$4:$U$1800,7,FALSE)</f>
        <v>RLIP</v>
      </c>
      <c r="Z475" s="321" t="str">
        <f>VLOOKUP(H475,'Fund Utilization Report'!$A$4:$U$1800,8,FALSE)</f>
        <v>50103010-00</v>
      </c>
      <c r="AA475" s="319" t="str">
        <f>VLOOKUP(H475,'Fund Utilization Report'!$A$4:$U$1800,14,FALSE)</f>
        <v>340100100002000</v>
      </c>
      <c r="AB475" s="349" t="str">
        <f>VLOOKUP(H475,'Fund Utilization Report'!$A$4:$U$1800,15,FALSE)</f>
        <v>Monitoring and Enforcement of FTL including consumer complaints handling</v>
      </c>
      <c r="AC475" s="39"/>
      <c r="AD475" s="34"/>
      <c r="AE475" s="39"/>
      <c r="AF475" s="51"/>
      <c r="AG475" s="40"/>
      <c r="AH475" s="40"/>
    </row>
    <row r="476" spans="1:34" s="32" customFormat="1" ht="27.6">
      <c r="A476" s="338" t="s">
        <v>942</v>
      </c>
      <c r="B476" s="338" t="s">
        <v>945</v>
      </c>
      <c r="C476" s="358">
        <v>44237</v>
      </c>
      <c r="D476" s="351" t="s">
        <v>1028</v>
      </c>
      <c r="E476" s="352" t="s">
        <v>1114</v>
      </c>
      <c r="F476" s="338">
        <v>0.46111111111111108</v>
      </c>
      <c r="G476" s="338">
        <v>0.46458333333333335</v>
      </c>
      <c r="H476" s="338" t="s">
        <v>973</v>
      </c>
      <c r="I476" s="353">
        <v>732</v>
      </c>
      <c r="J476" s="338" t="str">
        <f>IFERROR(VLOOKUP(I476,'Chart of accounts'!A:H,2,FALSE),"")</f>
        <v>50103020 01</v>
      </c>
      <c r="K476" s="338" t="str">
        <f>IFERROR(VLOOKUP(I476,'Chart of accounts'!A:H,3,FALSE),"")</f>
        <v>Pag-IBIG - Civilian</v>
      </c>
      <c r="L476" s="338" t="str">
        <f>IFERROR(VLOOKUP(I476,'Chart of accounts'!A:H,4,FALSE),"")</f>
        <v>50103020 01 - Pag-IBIG - Civilian (732)</v>
      </c>
      <c r="M476" s="361">
        <v>3</v>
      </c>
      <c r="N476" s="355" t="s">
        <v>777</v>
      </c>
      <c r="O476" s="355" t="s">
        <v>1113</v>
      </c>
      <c r="P476" s="355"/>
      <c r="Q476" s="363">
        <v>300</v>
      </c>
      <c r="R476" s="319">
        <f t="shared" si="7"/>
        <v>-300</v>
      </c>
      <c r="S476" s="319" t="str">
        <f>VLOOKUP(H476,'Fund Utilization Report'!$A$4:$U$1800,13,FALSE)</f>
        <v>PS</v>
      </c>
      <c r="T476" s="319" t="str">
        <f>VLOOKUP(H476,'Fund Utilization Report'!$A$4:$U$1800,2,FALSE)</f>
        <v>GAA</v>
      </c>
      <c r="U476" s="319" t="str">
        <f>VLOOKUP(H476,'Fund Utilization Report'!$A$4:$U$1800,3,FALSE)</f>
        <v>FY2021, RA11518</v>
      </c>
      <c r="V476" s="319" t="str">
        <f>VLOOKUP(H476,'Fund Utilization Report'!$A$4:$U$1800,4,FALSE)</f>
        <v>OO4.1(FTL)</v>
      </c>
      <c r="W476" s="319" t="str">
        <f>VLOOKUP(H476,'Fund Utilization Report'!$A$4:$U$1800,5,FALSE)</f>
        <v>01101101</v>
      </c>
      <c r="X476" s="319" t="str">
        <f>VLOOKUP(H476,'Fund Utilization Report'!$A$4:$U$1800,6,FALSE)</f>
        <v>GOP</v>
      </c>
      <c r="Y476" s="320" t="str">
        <f>VLOOKUP(H476,'Fund Utilization Report'!$A$4:$U$1800,7,FALSE)</f>
        <v>PS</v>
      </c>
      <c r="Z476" s="321">
        <f>VLOOKUP(H476,'Fund Utilization Report'!$A$4:$U$1800,8,FALSE)</f>
        <v>5010000000</v>
      </c>
      <c r="AA476" s="319" t="str">
        <f>VLOOKUP(H476,'Fund Utilization Report'!$A$4:$U$1800,14,FALSE)</f>
        <v>340100100002000</v>
      </c>
      <c r="AB476" s="349" t="str">
        <f>VLOOKUP(H476,'Fund Utilization Report'!$A$4:$U$1800,15,FALSE)</f>
        <v>Monitoring and Enforcement of FTL including consumer complaints handling</v>
      </c>
      <c r="AC476" s="39"/>
      <c r="AD476" s="34"/>
      <c r="AE476" s="39"/>
      <c r="AF476" s="51"/>
      <c r="AG476" s="40"/>
      <c r="AH476" s="40"/>
    </row>
    <row r="477" spans="1:34" s="32" customFormat="1" ht="27.6">
      <c r="A477" s="338" t="s">
        <v>942</v>
      </c>
      <c r="B477" s="338" t="s">
        <v>945</v>
      </c>
      <c r="C477" s="358">
        <v>44237</v>
      </c>
      <c r="D477" s="351" t="s">
        <v>1028</v>
      </c>
      <c r="E477" s="352" t="s">
        <v>1114</v>
      </c>
      <c r="F477" s="338">
        <v>0.46111111111111108</v>
      </c>
      <c r="G477" s="338">
        <v>0.46458333333333335</v>
      </c>
      <c r="H477" s="338" t="s">
        <v>973</v>
      </c>
      <c r="I477" s="353">
        <v>733</v>
      </c>
      <c r="J477" s="338" t="str">
        <f>IFERROR(VLOOKUP(I477,'Chart of accounts'!A:H,2,FALSE),"")</f>
        <v>50103030 01</v>
      </c>
      <c r="K477" s="338" t="str">
        <f>IFERROR(VLOOKUP(I477,'Chart of accounts'!A:H,3,FALSE),"")</f>
        <v>PhilHealth - Civilian</v>
      </c>
      <c r="L477" s="338" t="str">
        <f>IFERROR(VLOOKUP(I477,'Chart of accounts'!A:H,4,FALSE),"")</f>
        <v>50103030 01 - PhilHealth - Civilian (733)</v>
      </c>
      <c r="M477" s="361">
        <v>3</v>
      </c>
      <c r="N477" s="355" t="s">
        <v>777</v>
      </c>
      <c r="O477" s="355" t="s">
        <v>1113</v>
      </c>
      <c r="P477" s="355"/>
      <c r="Q477" s="363">
        <v>2087.44</v>
      </c>
      <c r="R477" s="319">
        <f t="shared" si="7"/>
        <v>-2087.44</v>
      </c>
      <c r="S477" s="319" t="str">
        <f>VLOOKUP(H477,'Fund Utilization Report'!$A$4:$U$1800,13,FALSE)</f>
        <v>PS</v>
      </c>
      <c r="T477" s="319" t="str">
        <f>VLOOKUP(H477,'Fund Utilization Report'!$A$4:$U$1800,2,FALSE)</f>
        <v>GAA</v>
      </c>
      <c r="U477" s="319" t="str">
        <f>VLOOKUP(H477,'Fund Utilization Report'!$A$4:$U$1800,3,FALSE)</f>
        <v>FY2021, RA11518</v>
      </c>
      <c r="V477" s="319" t="str">
        <f>VLOOKUP(H477,'Fund Utilization Report'!$A$4:$U$1800,4,FALSE)</f>
        <v>OO4.1(FTL)</v>
      </c>
      <c r="W477" s="319" t="str">
        <f>VLOOKUP(H477,'Fund Utilization Report'!$A$4:$U$1800,5,FALSE)</f>
        <v>01101101</v>
      </c>
      <c r="X477" s="319" t="str">
        <f>VLOOKUP(H477,'Fund Utilization Report'!$A$4:$U$1800,6,FALSE)</f>
        <v>GOP</v>
      </c>
      <c r="Y477" s="320" t="str">
        <f>VLOOKUP(H477,'Fund Utilization Report'!$A$4:$U$1800,7,FALSE)</f>
        <v>PS</v>
      </c>
      <c r="Z477" s="321">
        <f>VLOOKUP(H477,'Fund Utilization Report'!$A$4:$U$1800,8,FALSE)</f>
        <v>5010000000</v>
      </c>
      <c r="AA477" s="319" t="str">
        <f>VLOOKUP(H477,'Fund Utilization Report'!$A$4:$U$1800,14,FALSE)</f>
        <v>340100100002000</v>
      </c>
      <c r="AB477" s="349" t="str">
        <f>VLOOKUP(H477,'Fund Utilization Report'!$A$4:$U$1800,15,FALSE)</f>
        <v>Monitoring and Enforcement of FTL including consumer complaints handling</v>
      </c>
      <c r="AC477" s="39"/>
      <c r="AD477" s="34"/>
      <c r="AE477" s="39"/>
      <c r="AF477" s="51"/>
      <c r="AG477" s="40"/>
      <c r="AH477" s="40"/>
    </row>
    <row r="478" spans="1:34" s="32" customFormat="1" ht="27.6">
      <c r="A478" s="338" t="s">
        <v>942</v>
      </c>
      <c r="B478" s="338" t="s">
        <v>945</v>
      </c>
      <c r="C478" s="358">
        <v>44237</v>
      </c>
      <c r="D478" s="351" t="s">
        <v>1028</v>
      </c>
      <c r="E478" s="352" t="s">
        <v>1114</v>
      </c>
      <c r="F478" s="338">
        <v>0.46111111111111108</v>
      </c>
      <c r="G478" s="338">
        <v>0.46458333333333335</v>
      </c>
      <c r="H478" s="338" t="s">
        <v>973</v>
      </c>
      <c r="I478" s="353">
        <v>734</v>
      </c>
      <c r="J478" s="338" t="str">
        <f>IFERROR(VLOOKUP(I478,'Chart of accounts'!A:H,2,FALSE),"")</f>
        <v>50103040 01</v>
      </c>
      <c r="K478" s="338" t="str">
        <f>IFERROR(VLOOKUP(I478,'Chart of accounts'!A:H,3,FALSE),"")</f>
        <v>ECIP - Civilian</v>
      </c>
      <c r="L478" s="338" t="str">
        <f>IFERROR(VLOOKUP(I478,'Chart of accounts'!A:H,4,FALSE),"")</f>
        <v>50103040 01 - ECIP - Civilian (734)</v>
      </c>
      <c r="M478" s="361">
        <v>3</v>
      </c>
      <c r="N478" s="355" t="s">
        <v>777</v>
      </c>
      <c r="O478" s="355" t="s">
        <v>1113</v>
      </c>
      <c r="P478" s="355"/>
      <c r="Q478" s="363">
        <v>300</v>
      </c>
      <c r="R478" s="319">
        <f t="shared" si="7"/>
        <v>-300</v>
      </c>
      <c r="S478" s="319" t="str">
        <f>VLOOKUP(H478,'Fund Utilization Report'!$A$4:$U$1800,13,FALSE)</f>
        <v>PS</v>
      </c>
      <c r="T478" s="319" t="str">
        <f>VLOOKUP(H478,'Fund Utilization Report'!$A$4:$U$1800,2,FALSE)</f>
        <v>GAA</v>
      </c>
      <c r="U478" s="319" t="str">
        <f>VLOOKUP(H478,'Fund Utilization Report'!$A$4:$U$1800,3,FALSE)</f>
        <v>FY2021, RA11518</v>
      </c>
      <c r="V478" s="319" t="str">
        <f>VLOOKUP(H478,'Fund Utilization Report'!$A$4:$U$1800,4,FALSE)</f>
        <v>OO4.1(FTL)</v>
      </c>
      <c r="W478" s="319" t="str">
        <f>VLOOKUP(H478,'Fund Utilization Report'!$A$4:$U$1800,5,FALSE)</f>
        <v>01101101</v>
      </c>
      <c r="X478" s="319" t="str">
        <f>VLOOKUP(H478,'Fund Utilization Report'!$A$4:$U$1800,6,FALSE)</f>
        <v>GOP</v>
      </c>
      <c r="Y478" s="320" t="str">
        <f>VLOOKUP(H478,'Fund Utilization Report'!$A$4:$U$1800,7,FALSE)</f>
        <v>PS</v>
      </c>
      <c r="Z478" s="321">
        <f>VLOOKUP(H478,'Fund Utilization Report'!$A$4:$U$1800,8,FALSE)</f>
        <v>5010000000</v>
      </c>
      <c r="AA478" s="319" t="str">
        <f>VLOOKUP(H478,'Fund Utilization Report'!$A$4:$U$1800,14,FALSE)</f>
        <v>340100100002000</v>
      </c>
      <c r="AB478" s="349" t="str">
        <f>VLOOKUP(H478,'Fund Utilization Report'!$A$4:$U$1800,15,FALSE)</f>
        <v>Monitoring and Enforcement of FTL including consumer complaints handling</v>
      </c>
      <c r="AC478" s="39"/>
      <c r="AD478" s="34"/>
      <c r="AE478" s="39"/>
      <c r="AF478" s="51"/>
      <c r="AG478" s="40"/>
      <c r="AH478" s="40"/>
    </row>
    <row r="479" spans="1:34" s="32" customFormat="1" ht="27.6">
      <c r="A479" s="338" t="s">
        <v>942</v>
      </c>
      <c r="B479" s="338" t="s">
        <v>945</v>
      </c>
      <c r="C479" s="358">
        <v>44237</v>
      </c>
      <c r="D479" s="351" t="s">
        <v>1028</v>
      </c>
      <c r="E479" s="352" t="s">
        <v>1115</v>
      </c>
      <c r="F479" s="338">
        <v>0.46458333333333335</v>
      </c>
      <c r="G479" s="338">
        <v>0.46736111111111112</v>
      </c>
      <c r="H479" s="338" t="s">
        <v>960</v>
      </c>
      <c r="I479" s="353">
        <v>701</v>
      </c>
      <c r="J479" s="338" t="str">
        <f>IFERROR(VLOOKUP(I479,'Chart of accounts'!A:H,2,FALSE),"")</f>
        <v>50101010 01</v>
      </c>
      <c r="K479" s="338" t="str">
        <f>IFERROR(VLOOKUP(I479,'Chart of accounts'!A:H,3,FALSE),"")</f>
        <v>Basic Salary - Civilian</v>
      </c>
      <c r="L479" s="338" t="str">
        <f>IFERROR(VLOOKUP(I479,'Chart of accounts'!A:H,4,FALSE),"")</f>
        <v>50101010 01 - Basic Salary - Civilian (701)</v>
      </c>
      <c r="M479" s="361">
        <v>85</v>
      </c>
      <c r="N479" s="355" t="s">
        <v>765</v>
      </c>
      <c r="O479" s="355" t="s">
        <v>1113</v>
      </c>
      <c r="P479" s="355"/>
      <c r="Q479" s="363">
        <v>57452</v>
      </c>
      <c r="R479" s="319">
        <f t="shared" si="7"/>
        <v>-57452</v>
      </c>
      <c r="S479" s="319" t="str">
        <f>VLOOKUP(H479,'Fund Utilization Report'!$A$4:$U$1800,13,FALSE)</f>
        <v>PS</v>
      </c>
      <c r="T479" s="319" t="str">
        <f>VLOOKUP(H479,'Fund Utilization Report'!$A$4:$U$1800,2,FALSE)</f>
        <v>GAA</v>
      </c>
      <c r="U479" s="319" t="str">
        <f>VLOOKUP(H479,'Fund Utilization Report'!$A$4:$U$1800,3,FALSE)</f>
        <v>FY2021, RA11518</v>
      </c>
      <c r="V479" s="319" t="str">
        <f>VLOOKUP(H479,'Fund Utilization Report'!$A$4:$U$1800,4,FALSE)</f>
        <v>GAS(GMS)</v>
      </c>
      <c r="W479" s="319" t="str">
        <f>VLOOKUP(H479,'Fund Utilization Report'!$A$4:$U$1800,5,FALSE)</f>
        <v>01101101</v>
      </c>
      <c r="X479" s="319" t="str">
        <f>VLOOKUP(H479,'Fund Utilization Report'!$A$4:$U$1800,6,FALSE)</f>
        <v>GOP</v>
      </c>
      <c r="Y479" s="320" t="str">
        <f>VLOOKUP(H479,'Fund Utilization Report'!$A$4:$U$1800,7,FALSE)</f>
        <v>PS</v>
      </c>
      <c r="Z479" s="321">
        <f>VLOOKUP(H479,'Fund Utilization Report'!$A$4:$U$1800,8,FALSE)</f>
        <v>5010000000</v>
      </c>
      <c r="AA479" s="319" t="str">
        <f>VLOOKUP(H479,'Fund Utilization Report'!$A$4:$U$1800,14,FALSE)</f>
        <v>100000100001000</v>
      </c>
      <c r="AB479" s="349" t="str">
        <f>VLOOKUP(H479,'Fund Utilization Report'!$A$4:$U$1800,15,FALSE)</f>
        <v>General Administration and Supervision - General Management and Supervision</v>
      </c>
      <c r="AC479" s="39"/>
      <c r="AD479" s="34"/>
      <c r="AE479" s="39"/>
      <c r="AF479" s="51"/>
      <c r="AG479" s="40"/>
      <c r="AH479" s="40"/>
    </row>
    <row r="480" spans="1:34" s="32" customFormat="1" ht="27.6">
      <c r="A480" s="338" t="s">
        <v>942</v>
      </c>
      <c r="B480" s="338" t="s">
        <v>945</v>
      </c>
      <c r="C480" s="358">
        <v>44237</v>
      </c>
      <c r="D480" s="351" t="s">
        <v>1028</v>
      </c>
      <c r="E480" s="352" t="s">
        <v>1115</v>
      </c>
      <c r="F480" s="338">
        <v>0.46458333333333335</v>
      </c>
      <c r="G480" s="338">
        <v>0.46736111111111112</v>
      </c>
      <c r="H480" s="338" t="s">
        <v>960</v>
      </c>
      <c r="I480" s="353">
        <v>711</v>
      </c>
      <c r="J480" s="338" t="str">
        <f>IFERROR(VLOOKUP(I480,'Chart of accounts'!A:H,2,FALSE),"")</f>
        <v>50102010 01</v>
      </c>
      <c r="K480" s="338" t="str">
        <f>IFERROR(VLOOKUP(I480,'Chart of accounts'!A:H,3,FALSE),"")</f>
        <v>PERA - Civilian</v>
      </c>
      <c r="L480" s="338" t="str">
        <f>IFERROR(VLOOKUP(I480,'Chart of accounts'!A:H,4,FALSE),"")</f>
        <v>50102010 01 - PERA - Civilian (711)</v>
      </c>
      <c r="M480" s="361">
        <v>85</v>
      </c>
      <c r="N480" s="355" t="s">
        <v>765</v>
      </c>
      <c r="O480" s="355" t="s">
        <v>1113</v>
      </c>
      <c r="P480" s="355"/>
      <c r="Q480" s="363">
        <v>4000</v>
      </c>
      <c r="R480" s="319">
        <f t="shared" si="7"/>
        <v>-4000</v>
      </c>
      <c r="S480" s="319" t="str">
        <f>VLOOKUP(H480,'Fund Utilization Report'!$A$4:$U$1800,13,FALSE)</f>
        <v>PS</v>
      </c>
      <c r="T480" s="319" t="str">
        <f>VLOOKUP(H480,'Fund Utilization Report'!$A$4:$U$1800,2,FALSE)</f>
        <v>GAA</v>
      </c>
      <c r="U480" s="319" t="str">
        <f>VLOOKUP(H480,'Fund Utilization Report'!$A$4:$U$1800,3,FALSE)</f>
        <v>FY2021, RA11518</v>
      </c>
      <c r="V480" s="319" t="str">
        <f>VLOOKUP(H480,'Fund Utilization Report'!$A$4:$U$1800,4,FALSE)</f>
        <v>GAS(GMS)</v>
      </c>
      <c r="W480" s="319" t="str">
        <f>VLOOKUP(H480,'Fund Utilization Report'!$A$4:$U$1800,5,FALSE)</f>
        <v>01101101</v>
      </c>
      <c r="X480" s="319" t="str">
        <f>VLOOKUP(H480,'Fund Utilization Report'!$A$4:$U$1800,6,FALSE)</f>
        <v>GOP</v>
      </c>
      <c r="Y480" s="320" t="str">
        <f>VLOOKUP(H480,'Fund Utilization Report'!$A$4:$U$1800,7,FALSE)</f>
        <v>PS</v>
      </c>
      <c r="Z480" s="321">
        <f>VLOOKUP(H480,'Fund Utilization Report'!$A$4:$U$1800,8,FALSE)</f>
        <v>5010000000</v>
      </c>
      <c r="AA480" s="319" t="str">
        <f>VLOOKUP(H480,'Fund Utilization Report'!$A$4:$U$1800,14,FALSE)</f>
        <v>100000100001000</v>
      </c>
      <c r="AB480" s="349" t="str">
        <f>VLOOKUP(H480,'Fund Utilization Report'!$A$4:$U$1800,15,FALSE)</f>
        <v>General Administration and Supervision - General Management and Supervision</v>
      </c>
      <c r="AC480" s="39"/>
      <c r="AD480" s="34"/>
      <c r="AE480" s="39"/>
      <c r="AF480" s="51"/>
      <c r="AG480" s="40"/>
      <c r="AH480" s="40"/>
    </row>
    <row r="481" spans="1:34" s="32" customFormat="1" ht="27.6">
      <c r="A481" s="338" t="s">
        <v>942</v>
      </c>
      <c r="B481" s="338" t="s">
        <v>945</v>
      </c>
      <c r="C481" s="358">
        <v>44237</v>
      </c>
      <c r="D481" s="351" t="s">
        <v>1028</v>
      </c>
      <c r="E481" s="352" t="s">
        <v>1115</v>
      </c>
      <c r="F481" s="338">
        <v>0.46458333333333335</v>
      </c>
      <c r="G481" s="338">
        <v>0.46736111111111112</v>
      </c>
      <c r="H481" s="338" t="s">
        <v>962</v>
      </c>
      <c r="I481" s="353">
        <v>731</v>
      </c>
      <c r="J481" s="338" t="str">
        <f>IFERROR(VLOOKUP(I481,'Chart of accounts'!A:H,2,FALSE),"")</f>
        <v>50103010 00</v>
      </c>
      <c r="K481" s="338" t="str">
        <f>IFERROR(VLOOKUP(I481,'Chart of accounts'!A:H,3,FALSE),"")</f>
        <v>Retirement and Life Insurance Premiums</v>
      </c>
      <c r="L481" s="338" t="str">
        <f>IFERROR(VLOOKUP(I481,'Chart of accounts'!A:H,4,FALSE),"")</f>
        <v>50103010 00 - Retirement and Life Insurance Premiums (731)</v>
      </c>
      <c r="M481" s="361">
        <v>85</v>
      </c>
      <c r="N481" s="355" t="s">
        <v>765</v>
      </c>
      <c r="O481" s="355" t="s">
        <v>1113</v>
      </c>
      <c r="P481" s="355"/>
      <c r="Q481" s="363">
        <v>6894.24</v>
      </c>
      <c r="R481" s="319">
        <f t="shared" si="7"/>
        <v>-6894.24</v>
      </c>
      <c r="S481" s="319" t="str">
        <f>VLOOKUP(H481,'Fund Utilization Report'!$A$4:$U$1800,13,FALSE)</f>
        <v>PS</v>
      </c>
      <c r="T481" s="319" t="str">
        <f>VLOOKUP(H481,'Fund Utilization Report'!$A$4:$U$1800,2,FALSE)</f>
        <v>GAA</v>
      </c>
      <c r="U481" s="319" t="str">
        <f>VLOOKUP(H481,'Fund Utilization Report'!$A$4:$U$1800,3,FALSE)</f>
        <v>FY2021, RA11518</v>
      </c>
      <c r="V481" s="319" t="str">
        <f>VLOOKUP(H481,'Fund Utilization Report'!$A$4:$U$1800,4,FALSE)</f>
        <v>GAS(GMS)</v>
      </c>
      <c r="W481" s="319" t="str">
        <f>VLOOKUP(H481,'Fund Utilization Report'!$A$4:$U$1800,5,FALSE)</f>
        <v>01101101</v>
      </c>
      <c r="X481" s="319" t="str">
        <f>VLOOKUP(H481,'Fund Utilization Report'!$A$4:$U$1800,6,FALSE)</f>
        <v>GOP</v>
      </c>
      <c r="Y481" s="320" t="str">
        <f>VLOOKUP(H481,'Fund Utilization Report'!$A$4:$U$1800,7,FALSE)</f>
        <v>RLIP</v>
      </c>
      <c r="Z481" s="321" t="str">
        <f>VLOOKUP(H481,'Fund Utilization Report'!$A$4:$U$1800,8,FALSE)</f>
        <v>50103010-00</v>
      </c>
      <c r="AA481" s="319" t="str">
        <f>VLOOKUP(H481,'Fund Utilization Report'!$A$4:$U$1800,14,FALSE)</f>
        <v>100000100001000</v>
      </c>
      <c r="AB481" s="349" t="str">
        <f>VLOOKUP(H481,'Fund Utilization Report'!$A$4:$U$1800,15,FALSE)</f>
        <v>General Administration and Supervision - General Management and Supervision</v>
      </c>
      <c r="AC481" s="39"/>
      <c r="AD481" s="34"/>
      <c r="AE481" s="39"/>
      <c r="AF481" s="51"/>
      <c r="AG481" s="40"/>
      <c r="AH481" s="40"/>
    </row>
    <row r="482" spans="1:34" s="32" customFormat="1" ht="27.6">
      <c r="A482" s="338" t="s">
        <v>942</v>
      </c>
      <c r="B482" s="338" t="s">
        <v>945</v>
      </c>
      <c r="C482" s="358">
        <v>44237</v>
      </c>
      <c r="D482" s="351" t="s">
        <v>1028</v>
      </c>
      <c r="E482" s="352" t="s">
        <v>1115</v>
      </c>
      <c r="F482" s="338">
        <v>0.46458333333333335</v>
      </c>
      <c r="G482" s="338">
        <v>0.46736111111111112</v>
      </c>
      <c r="H482" s="338" t="s">
        <v>960</v>
      </c>
      <c r="I482" s="353">
        <v>732</v>
      </c>
      <c r="J482" s="338" t="str">
        <f>IFERROR(VLOOKUP(I482,'Chart of accounts'!A:H,2,FALSE),"")</f>
        <v>50103020 01</v>
      </c>
      <c r="K482" s="338" t="str">
        <f>IFERROR(VLOOKUP(I482,'Chart of accounts'!A:H,3,FALSE),"")</f>
        <v>Pag-IBIG - Civilian</v>
      </c>
      <c r="L482" s="338" t="str">
        <f>IFERROR(VLOOKUP(I482,'Chart of accounts'!A:H,4,FALSE),"")</f>
        <v>50103020 01 - Pag-IBIG - Civilian (732)</v>
      </c>
      <c r="M482" s="361">
        <v>85</v>
      </c>
      <c r="N482" s="355" t="s">
        <v>765</v>
      </c>
      <c r="O482" s="355" t="s">
        <v>1113</v>
      </c>
      <c r="P482" s="355"/>
      <c r="Q482" s="363">
        <v>200</v>
      </c>
      <c r="R482" s="319">
        <f t="shared" si="7"/>
        <v>-200</v>
      </c>
      <c r="S482" s="319" t="str">
        <f>VLOOKUP(H482,'Fund Utilization Report'!$A$4:$U$1800,13,FALSE)</f>
        <v>PS</v>
      </c>
      <c r="T482" s="319" t="str">
        <f>VLOOKUP(H482,'Fund Utilization Report'!$A$4:$U$1800,2,FALSE)</f>
        <v>GAA</v>
      </c>
      <c r="U482" s="319" t="str">
        <f>VLOOKUP(H482,'Fund Utilization Report'!$A$4:$U$1800,3,FALSE)</f>
        <v>FY2021, RA11518</v>
      </c>
      <c r="V482" s="319" t="str">
        <f>VLOOKUP(H482,'Fund Utilization Report'!$A$4:$U$1800,4,FALSE)</f>
        <v>GAS(GMS)</v>
      </c>
      <c r="W482" s="319" t="str">
        <f>VLOOKUP(H482,'Fund Utilization Report'!$A$4:$U$1800,5,FALSE)</f>
        <v>01101101</v>
      </c>
      <c r="X482" s="319" t="str">
        <f>VLOOKUP(H482,'Fund Utilization Report'!$A$4:$U$1800,6,FALSE)</f>
        <v>GOP</v>
      </c>
      <c r="Y482" s="320" t="str">
        <f>VLOOKUP(H482,'Fund Utilization Report'!$A$4:$U$1800,7,FALSE)</f>
        <v>PS</v>
      </c>
      <c r="Z482" s="321">
        <f>VLOOKUP(H482,'Fund Utilization Report'!$A$4:$U$1800,8,FALSE)</f>
        <v>5010000000</v>
      </c>
      <c r="AA482" s="319" t="str">
        <f>VLOOKUP(H482,'Fund Utilization Report'!$A$4:$U$1800,14,FALSE)</f>
        <v>100000100001000</v>
      </c>
      <c r="AB482" s="349" t="str">
        <f>VLOOKUP(H482,'Fund Utilization Report'!$A$4:$U$1800,15,FALSE)</f>
        <v>General Administration and Supervision - General Management and Supervision</v>
      </c>
      <c r="AC482" s="39"/>
      <c r="AD482" s="34"/>
      <c r="AE482" s="39"/>
      <c r="AF482" s="51"/>
      <c r="AG482" s="40"/>
      <c r="AH482" s="40"/>
    </row>
    <row r="483" spans="1:34" s="32" customFormat="1" ht="27.6">
      <c r="A483" s="338" t="s">
        <v>942</v>
      </c>
      <c r="B483" s="338" t="s">
        <v>945</v>
      </c>
      <c r="C483" s="358">
        <v>44237</v>
      </c>
      <c r="D483" s="351" t="s">
        <v>1028</v>
      </c>
      <c r="E483" s="352" t="s">
        <v>1115</v>
      </c>
      <c r="F483" s="338">
        <v>0.46458333333333335</v>
      </c>
      <c r="G483" s="338">
        <v>0.46736111111111112</v>
      </c>
      <c r="H483" s="338" t="s">
        <v>960</v>
      </c>
      <c r="I483" s="353">
        <v>733</v>
      </c>
      <c r="J483" s="338" t="str">
        <f>IFERROR(VLOOKUP(I483,'Chart of accounts'!A:H,2,FALSE),"")</f>
        <v>50103030 01</v>
      </c>
      <c r="K483" s="338" t="str">
        <f>IFERROR(VLOOKUP(I483,'Chart of accounts'!A:H,3,FALSE),"")</f>
        <v>PhilHealth - Civilian</v>
      </c>
      <c r="L483" s="338" t="str">
        <f>IFERROR(VLOOKUP(I483,'Chart of accounts'!A:H,4,FALSE),"")</f>
        <v>50103030 01 - PhilHealth - Civilian (733)</v>
      </c>
      <c r="M483" s="361">
        <v>85</v>
      </c>
      <c r="N483" s="355" t="s">
        <v>765</v>
      </c>
      <c r="O483" s="355" t="s">
        <v>1113</v>
      </c>
      <c r="P483" s="355"/>
      <c r="Q483" s="363">
        <v>861.79</v>
      </c>
      <c r="R483" s="319">
        <f t="shared" si="7"/>
        <v>-861.79</v>
      </c>
      <c r="S483" s="319" t="str">
        <f>VLOOKUP(H483,'Fund Utilization Report'!$A$4:$U$1800,13,FALSE)</f>
        <v>PS</v>
      </c>
      <c r="T483" s="319" t="str">
        <f>VLOOKUP(H483,'Fund Utilization Report'!$A$4:$U$1800,2,FALSE)</f>
        <v>GAA</v>
      </c>
      <c r="U483" s="319" t="str">
        <f>VLOOKUP(H483,'Fund Utilization Report'!$A$4:$U$1800,3,FALSE)</f>
        <v>FY2021, RA11518</v>
      </c>
      <c r="V483" s="319" t="str">
        <f>VLOOKUP(H483,'Fund Utilization Report'!$A$4:$U$1800,4,FALSE)</f>
        <v>GAS(GMS)</v>
      </c>
      <c r="W483" s="319" t="str">
        <f>VLOOKUP(H483,'Fund Utilization Report'!$A$4:$U$1800,5,FALSE)</f>
        <v>01101101</v>
      </c>
      <c r="X483" s="319" t="str">
        <f>VLOOKUP(H483,'Fund Utilization Report'!$A$4:$U$1800,6,FALSE)</f>
        <v>GOP</v>
      </c>
      <c r="Y483" s="320" t="str">
        <f>VLOOKUP(H483,'Fund Utilization Report'!$A$4:$U$1800,7,FALSE)</f>
        <v>PS</v>
      </c>
      <c r="Z483" s="321">
        <f>VLOOKUP(H483,'Fund Utilization Report'!$A$4:$U$1800,8,FALSE)</f>
        <v>5010000000</v>
      </c>
      <c r="AA483" s="319" t="str">
        <f>VLOOKUP(H483,'Fund Utilization Report'!$A$4:$U$1800,14,FALSE)</f>
        <v>100000100001000</v>
      </c>
      <c r="AB483" s="349" t="str">
        <f>VLOOKUP(H483,'Fund Utilization Report'!$A$4:$U$1800,15,FALSE)</f>
        <v>General Administration and Supervision - General Management and Supervision</v>
      </c>
      <c r="AC483" s="39"/>
      <c r="AD483" s="34"/>
      <c r="AE483" s="39"/>
      <c r="AF483" s="51"/>
      <c r="AG483" s="40"/>
      <c r="AH483" s="40"/>
    </row>
    <row r="484" spans="1:34" s="32" customFormat="1" ht="27.6">
      <c r="A484" s="338" t="s">
        <v>942</v>
      </c>
      <c r="B484" s="338" t="s">
        <v>945</v>
      </c>
      <c r="C484" s="358">
        <v>44237</v>
      </c>
      <c r="D484" s="351" t="s">
        <v>1028</v>
      </c>
      <c r="E484" s="352" t="s">
        <v>1115</v>
      </c>
      <c r="F484" s="338">
        <v>0.46458333333333335</v>
      </c>
      <c r="G484" s="338">
        <v>0.46736111111111112</v>
      </c>
      <c r="H484" s="338" t="s">
        <v>960</v>
      </c>
      <c r="I484" s="353">
        <v>734</v>
      </c>
      <c r="J484" s="338" t="str">
        <f>IFERROR(VLOOKUP(I484,'Chart of accounts'!A:H,2,FALSE),"")</f>
        <v>50103040 01</v>
      </c>
      <c r="K484" s="338" t="str">
        <f>IFERROR(VLOOKUP(I484,'Chart of accounts'!A:H,3,FALSE),"")</f>
        <v>ECIP - Civilian</v>
      </c>
      <c r="L484" s="338" t="str">
        <f>IFERROR(VLOOKUP(I484,'Chart of accounts'!A:H,4,FALSE),"")</f>
        <v>50103040 01 - ECIP - Civilian (734)</v>
      </c>
      <c r="M484" s="361">
        <v>85</v>
      </c>
      <c r="N484" s="355" t="s">
        <v>765</v>
      </c>
      <c r="O484" s="355" t="s">
        <v>1113</v>
      </c>
      <c r="P484" s="355"/>
      <c r="Q484" s="363">
        <v>200</v>
      </c>
      <c r="R484" s="319">
        <f t="shared" si="7"/>
        <v>-200</v>
      </c>
      <c r="S484" s="319" t="str">
        <f>VLOOKUP(H484,'Fund Utilization Report'!$A$4:$U$1800,13,FALSE)</f>
        <v>PS</v>
      </c>
      <c r="T484" s="319" t="str">
        <f>VLOOKUP(H484,'Fund Utilization Report'!$A$4:$U$1800,2,FALSE)</f>
        <v>GAA</v>
      </c>
      <c r="U484" s="319" t="str">
        <f>VLOOKUP(H484,'Fund Utilization Report'!$A$4:$U$1800,3,FALSE)</f>
        <v>FY2021, RA11518</v>
      </c>
      <c r="V484" s="319" t="str">
        <f>VLOOKUP(H484,'Fund Utilization Report'!$A$4:$U$1800,4,FALSE)</f>
        <v>GAS(GMS)</v>
      </c>
      <c r="W484" s="319" t="str">
        <f>VLOOKUP(H484,'Fund Utilization Report'!$A$4:$U$1800,5,FALSE)</f>
        <v>01101101</v>
      </c>
      <c r="X484" s="319" t="str">
        <f>VLOOKUP(H484,'Fund Utilization Report'!$A$4:$U$1800,6,FALSE)</f>
        <v>GOP</v>
      </c>
      <c r="Y484" s="320" t="str">
        <f>VLOOKUP(H484,'Fund Utilization Report'!$A$4:$U$1800,7,FALSE)</f>
        <v>PS</v>
      </c>
      <c r="Z484" s="321">
        <f>VLOOKUP(H484,'Fund Utilization Report'!$A$4:$U$1800,8,FALSE)</f>
        <v>5010000000</v>
      </c>
      <c r="AA484" s="319" t="str">
        <f>VLOOKUP(H484,'Fund Utilization Report'!$A$4:$U$1800,14,FALSE)</f>
        <v>100000100001000</v>
      </c>
      <c r="AB484" s="349" t="str">
        <f>VLOOKUP(H484,'Fund Utilization Report'!$A$4:$U$1800,15,FALSE)</f>
        <v>General Administration and Supervision - General Management and Supervision</v>
      </c>
      <c r="AC484" s="39"/>
      <c r="AD484" s="34"/>
      <c r="AE484" s="39"/>
      <c r="AF484" s="51"/>
      <c r="AG484" s="40"/>
      <c r="AH484" s="40"/>
    </row>
    <row r="485" spans="1:34" s="32" customFormat="1" ht="27.6">
      <c r="A485" s="338" t="s">
        <v>942</v>
      </c>
      <c r="B485" s="338" t="s">
        <v>945</v>
      </c>
      <c r="C485" s="358">
        <v>44237</v>
      </c>
      <c r="D485" s="351" t="s">
        <v>1028</v>
      </c>
      <c r="E485" s="352" t="s">
        <v>1115</v>
      </c>
      <c r="F485" s="338">
        <v>0.46458333333333335</v>
      </c>
      <c r="G485" s="338">
        <v>0.46736111111111112</v>
      </c>
      <c r="H485" s="338" t="s">
        <v>964</v>
      </c>
      <c r="I485" s="353">
        <v>701</v>
      </c>
      <c r="J485" s="338" t="str">
        <f>IFERROR(VLOOKUP(I485,'Chart of accounts'!A:H,2,FALSE),"")</f>
        <v>50101010 01</v>
      </c>
      <c r="K485" s="338" t="str">
        <f>IFERROR(VLOOKUP(I485,'Chart of accounts'!A:H,3,FALSE),"")</f>
        <v>Basic Salary - Civilian</v>
      </c>
      <c r="L485" s="338" t="str">
        <f>IFERROR(VLOOKUP(I485,'Chart of accounts'!A:H,4,FALSE),"")</f>
        <v>50101010 01 - Basic Salary - Civilian (701)</v>
      </c>
      <c r="M485" s="361">
        <v>85</v>
      </c>
      <c r="N485" s="355" t="s">
        <v>765</v>
      </c>
      <c r="O485" s="355" t="s">
        <v>1113</v>
      </c>
      <c r="P485" s="355"/>
      <c r="Q485" s="363">
        <v>111742</v>
      </c>
      <c r="R485" s="319">
        <f t="shared" si="7"/>
        <v>-111742</v>
      </c>
      <c r="S485" s="319" t="str">
        <f>VLOOKUP(H485,'Fund Utilization Report'!$A$4:$U$1800,13,FALSE)</f>
        <v>PS</v>
      </c>
      <c r="T485" s="319" t="str">
        <f>VLOOKUP(H485,'Fund Utilization Report'!$A$4:$U$1800,2,FALSE)</f>
        <v>GAA</v>
      </c>
      <c r="U485" s="319" t="str">
        <f>VLOOKUP(H485,'Fund Utilization Report'!$A$4:$U$1800,3,FALSE)</f>
        <v>FY2021, RA11518</v>
      </c>
      <c r="V485" s="319" t="str">
        <f>VLOOKUP(H485,'Fund Utilization Report'!$A$4:$U$1800,4,FALSE)</f>
        <v>OO1</v>
      </c>
      <c r="W485" s="319" t="str">
        <f>VLOOKUP(H485,'Fund Utilization Report'!$A$4:$U$1800,5,FALSE)</f>
        <v>01101101</v>
      </c>
      <c r="X485" s="319" t="str">
        <f>VLOOKUP(H485,'Fund Utilization Report'!$A$4:$U$1800,6,FALSE)</f>
        <v>GOP</v>
      </c>
      <c r="Y485" s="320" t="str">
        <f>VLOOKUP(H485,'Fund Utilization Report'!$A$4:$U$1800,7,FALSE)</f>
        <v>PS</v>
      </c>
      <c r="Z485" s="321">
        <f>VLOOKUP(H485,'Fund Utilization Report'!$A$4:$U$1800,8,FALSE)</f>
        <v>5010000000</v>
      </c>
      <c r="AA485" s="319" t="str">
        <f>VLOOKUP(H485,'Fund Utilization Report'!$A$4:$U$1800,14,FALSE)</f>
        <v>310100100002000</v>
      </c>
      <c r="AB485" s="349" t="str">
        <f>VLOOKUP(H485,'Fund Utilization Report'!$A$4:$U$1800,15,FALSE)</f>
        <v>Development,Facilitation, and promotion of exports and investment, domestic and foreign</v>
      </c>
      <c r="AC485" s="39"/>
      <c r="AD485" s="34"/>
      <c r="AE485" s="39"/>
      <c r="AF485" s="51"/>
      <c r="AG485" s="40"/>
      <c r="AH485" s="40"/>
    </row>
    <row r="486" spans="1:34" s="32" customFormat="1" ht="27.6">
      <c r="A486" s="338" t="s">
        <v>942</v>
      </c>
      <c r="B486" s="338" t="s">
        <v>945</v>
      </c>
      <c r="C486" s="358">
        <v>44237</v>
      </c>
      <c r="D486" s="351" t="s">
        <v>1028</v>
      </c>
      <c r="E486" s="352" t="s">
        <v>1115</v>
      </c>
      <c r="F486" s="338">
        <v>0.46458333333333335</v>
      </c>
      <c r="G486" s="338">
        <v>0.46736111111111112</v>
      </c>
      <c r="H486" s="338" t="s">
        <v>964</v>
      </c>
      <c r="I486" s="353">
        <v>711</v>
      </c>
      <c r="J486" s="338" t="str">
        <f>IFERROR(VLOOKUP(I486,'Chart of accounts'!A:H,2,FALSE),"")</f>
        <v>50102010 01</v>
      </c>
      <c r="K486" s="338" t="str">
        <f>IFERROR(VLOOKUP(I486,'Chart of accounts'!A:H,3,FALSE),"")</f>
        <v>PERA - Civilian</v>
      </c>
      <c r="L486" s="338" t="str">
        <f>IFERROR(VLOOKUP(I486,'Chart of accounts'!A:H,4,FALSE),"")</f>
        <v>50102010 01 - PERA - Civilian (711)</v>
      </c>
      <c r="M486" s="361">
        <v>85</v>
      </c>
      <c r="N486" s="355" t="s">
        <v>765</v>
      </c>
      <c r="O486" s="355" t="s">
        <v>1113</v>
      </c>
      <c r="P486" s="355"/>
      <c r="Q486" s="363">
        <v>2000</v>
      </c>
      <c r="R486" s="319">
        <f t="shared" si="7"/>
        <v>-2000</v>
      </c>
      <c r="S486" s="319" t="str">
        <f>VLOOKUP(H486,'Fund Utilization Report'!$A$4:$U$1800,13,FALSE)</f>
        <v>PS</v>
      </c>
      <c r="T486" s="319" t="str">
        <f>VLOOKUP(H486,'Fund Utilization Report'!$A$4:$U$1800,2,FALSE)</f>
        <v>GAA</v>
      </c>
      <c r="U486" s="319" t="str">
        <f>VLOOKUP(H486,'Fund Utilization Report'!$A$4:$U$1800,3,FALSE)</f>
        <v>FY2021, RA11518</v>
      </c>
      <c r="V486" s="319" t="str">
        <f>VLOOKUP(H486,'Fund Utilization Report'!$A$4:$U$1800,4,FALSE)</f>
        <v>OO1</v>
      </c>
      <c r="W486" s="319" t="str">
        <f>VLOOKUP(H486,'Fund Utilization Report'!$A$4:$U$1800,5,FALSE)</f>
        <v>01101101</v>
      </c>
      <c r="X486" s="319" t="str">
        <f>VLOOKUP(H486,'Fund Utilization Report'!$A$4:$U$1800,6,FALSE)</f>
        <v>GOP</v>
      </c>
      <c r="Y486" s="320" t="str">
        <f>VLOOKUP(H486,'Fund Utilization Report'!$A$4:$U$1800,7,FALSE)</f>
        <v>PS</v>
      </c>
      <c r="Z486" s="321">
        <f>VLOOKUP(H486,'Fund Utilization Report'!$A$4:$U$1800,8,FALSE)</f>
        <v>5010000000</v>
      </c>
      <c r="AA486" s="319" t="str">
        <f>VLOOKUP(H486,'Fund Utilization Report'!$A$4:$U$1800,14,FALSE)</f>
        <v>310100100002000</v>
      </c>
      <c r="AB486" s="349" t="str">
        <f>VLOOKUP(H486,'Fund Utilization Report'!$A$4:$U$1800,15,FALSE)</f>
        <v>Development,Facilitation, and promotion of exports and investment, domestic and foreign</v>
      </c>
      <c r="AC486" s="39"/>
      <c r="AD486" s="34"/>
      <c r="AE486" s="39"/>
      <c r="AF486" s="51"/>
      <c r="AG486" s="40"/>
      <c r="AH486" s="40"/>
    </row>
    <row r="487" spans="1:34" s="32" customFormat="1" ht="27.6">
      <c r="A487" s="338" t="s">
        <v>942</v>
      </c>
      <c r="B487" s="338" t="s">
        <v>945</v>
      </c>
      <c r="C487" s="358">
        <v>44237</v>
      </c>
      <c r="D487" s="351" t="s">
        <v>1028</v>
      </c>
      <c r="E487" s="352" t="s">
        <v>1115</v>
      </c>
      <c r="F487" s="338">
        <v>0.46458333333333335</v>
      </c>
      <c r="G487" s="338">
        <v>0.46736111111111112</v>
      </c>
      <c r="H487" s="338" t="s">
        <v>966</v>
      </c>
      <c r="I487" s="353">
        <v>731</v>
      </c>
      <c r="J487" s="338" t="str">
        <f>IFERROR(VLOOKUP(I487,'Chart of accounts'!A:H,2,FALSE),"")</f>
        <v>50103010 00</v>
      </c>
      <c r="K487" s="338" t="str">
        <f>IFERROR(VLOOKUP(I487,'Chart of accounts'!A:H,3,FALSE),"")</f>
        <v>Retirement and Life Insurance Premiums</v>
      </c>
      <c r="L487" s="338" t="str">
        <f>IFERROR(VLOOKUP(I487,'Chart of accounts'!A:H,4,FALSE),"")</f>
        <v>50103010 00 - Retirement and Life Insurance Premiums (731)</v>
      </c>
      <c r="M487" s="361">
        <v>85</v>
      </c>
      <c r="N487" s="355" t="s">
        <v>765</v>
      </c>
      <c r="O487" s="355" t="s">
        <v>1113</v>
      </c>
      <c r="P487" s="355"/>
      <c r="Q487" s="363">
        <v>13409.04</v>
      </c>
      <c r="R487" s="319">
        <f t="shared" si="7"/>
        <v>-13409.04</v>
      </c>
      <c r="S487" s="319" t="str">
        <f>VLOOKUP(H487,'Fund Utilization Report'!$A$4:$U$1800,13,FALSE)</f>
        <v>PS</v>
      </c>
      <c r="T487" s="319" t="str">
        <f>VLOOKUP(H487,'Fund Utilization Report'!$A$4:$U$1800,2,FALSE)</f>
        <v>GAA</v>
      </c>
      <c r="U487" s="319" t="str">
        <f>VLOOKUP(H487,'Fund Utilization Report'!$A$4:$U$1800,3,FALSE)</f>
        <v>FY2021, RA11518</v>
      </c>
      <c r="V487" s="319" t="str">
        <f>VLOOKUP(H487,'Fund Utilization Report'!$A$4:$U$1800,4,FALSE)</f>
        <v>OO1</v>
      </c>
      <c r="W487" s="319" t="str">
        <f>VLOOKUP(H487,'Fund Utilization Report'!$A$4:$U$1800,5,FALSE)</f>
        <v>01101101</v>
      </c>
      <c r="X487" s="319" t="str">
        <f>VLOOKUP(H487,'Fund Utilization Report'!$A$4:$U$1800,6,FALSE)</f>
        <v>GOP</v>
      </c>
      <c r="Y487" s="320" t="str">
        <f>VLOOKUP(H487,'Fund Utilization Report'!$A$4:$U$1800,7,FALSE)</f>
        <v>RLIP</v>
      </c>
      <c r="Z487" s="321" t="str">
        <f>VLOOKUP(H487,'Fund Utilization Report'!$A$4:$U$1800,8,FALSE)</f>
        <v>50103010-00</v>
      </c>
      <c r="AA487" s="319" t="str">
        <f>VLOOKUP(H487,'Fund Utilization Report'!$A$4:$U$1800,14,FALSE)</f>
        <v>310100100002000</v>
      </c>
      <c r="AB487" s="349" t="str">
        <f>VLOOKUP(H487,'Fund Utilization Report'!$A$4:$U$1800,15,FALSE)</f>
        <v>Development,Facilitation, and promotion of exports and investment, domestic and foreign</v>
      </c>
      <c r="AC487" s="39"/>
      <c r="AD487" s="34"/>
      <c r="AE487" s="39"/>
      <c r="AF487" s="51"/>
      <c r="AG487" s="40"/>
      <c r="AH487" s="40"/>
    </row>
    <row r="488" spans="1:34" s="32" customFormat="1" ht="27.6">
      <c r="A488" s="338" t="s">
        <v>942</v>
      </c>
      <c r="B488" s="338" t="s">
        <v>945</v>
      </c>
      <c r="C488" s="358">
        <v>44237</v>
      </c>
      <c r="D488" s="351" t="s">
        <v>1028</v>
      </c>
      <c r="E488" s="352" t="s">
        <v>1115</v>
      </c>
      <c r="F488" s="338">
        <v>0.46458333333333335</v>
      </c>
      <c r="G488" s="338">
        <v>0.46736111111111112</v>
      </c>
      <c r="H488" s="338" t="s">
        <v>964</v>
      </c>
      <c r="I488" s="353">
        <v>732</v>
      </c>
      <c r="J488" s="338" t="str">
        <f>IFERROR(VLOOKUP(I488,'Chart of accounts'!A:H,2,FALSE),"")</f>
        <v>50103020 01</v>
      </c>
      <c r="K488" s="338" t="str">
        <f>IFERROR(VLOOKUP(I488,'Chart of accounts'!A:H,3,FALSE),"")</f>
        <v>Pag-IBIG - Civilian</v>
      </c>
      <c r="L488" s="338" t="str">
        <f>IFERROR(VLOOKUP(I488,'Chart of accounts'!A:H,4,FALSE),"")</f>
        <v>50103020 01 - Pag-IBIG - Civilian (732)</v>
      </c>
      <c r="M488" s="361">
        <v>85</v>
      </c>
      <c r="N488" s="355" t="s">
        <v>765</v>
      </c>
      <c r="O488" s="355" t="s">
        <v>1113</v>
      </c>
      <c r="P488" s="355"/>
      <c r="Q488" s="363">
        <v>100</v>
      </c>
      <c r="R488" s="319">
        <f t="shared" si="7"/>
        <v>-100</v>
      </c>
      <c r="S488" s="319" t="str">
        <f>VLOOKUP(H488,'Fund Utilization Report'!$A$4:$U$1800,13,FALSE)</f>
        <v>PS</v>
      </c>
      <c r="T488" s="319" t="str">
        <f>VLOOKUP(H488,'Fund Utilization Report'!$A$4:$U$1800,2,FALSE)</f>
        <v>GAA</v>
      </c>
      <c r="U488" s="319" t="str">
        <f>VLOOKUP(H488,'Fund Utilization Report'!$A$4:$U$1800,3,FALSE)</f>
        <v>FY2021, RA11518</v>
      </c>
      <c r="V488" s="319" t="str">
        <f>VLOOKUP(H488,'Fund Utilization Report'!$A$4:$U$1800,4,FALSE)</f>
        <v>OO1</v>
      </c>
      <c r="W488" s="319" t="str">
        <f>VLOOKUP(H488,'Fund Utilization Report'!$A$4:$U$1800,5,FALSE)</f>
        <v>01101101</v>
      </c>
      <c r="X488" s="319" t="str">
        <f>VLOOKUP(H488,'Fund Utilization Report'!$A$4:$U$1800,6,FALSE)</f>
        <v>GOP</v>
      </c>
      <c r="Y488" s="320" t="str">
        <f>VLOOKUP(H488,'Fund Utilization Report'!$A$4:$U$1800,7,FALSE)</f>
        <v>PS</v>
      </c>
      <c r="Z488" s="321">
        <f>VLOOKUP(H488,'Fund Utilization Report'!$A$4:$U$1800,8,FALSE)</f>
        <v>5010000000</v>
      </c>
      <c r="AA488" s="319" t="str">
        <f>VLOOKUP(H488,'Fund Utilization Report'!$A$4:$U$1800,14,FALSE)</f>
        <v>310100100002000</v>
      </c>
      <c r="AB488" s="349" t="str">
        <f>VLOOKUP(H488,'Fund Utilization Report'!$A$4:$U$1800,15,FALSE)</f>
        <v>Development,Facilitation, and promotion of exports and investment, domestic and foreign</v>
      </c>
      <c r="AC488" s="39"/>
      <c r="AD488" s="34"/>
      <c r="AE488" s="39"/>
      <c r="AF488" s="51"/>
      <c r="AG488" s="40"/>
      <c r="AH488" s="40"/>
    </row>
    <row r="489" spans="1:34" s="32" customFormat="1" ht="27.6">
      <c r="A489" s="338" t="s">
        <v>942</v>
      </c>
      <c r="B489" s="338" t="s">
        <v>945</v>
      </c>
      <c r="C489" s="358">
        <v>44237</v>
      </c>
      <c r="D489" s="351" t="s">
        <v>1028</v>
      </c>
      <c r="E489" s="352" t="s">
        <v>1115</v>
      </c>
      <c r="F489" s="338">
        <v>0.46458333333333335</v>
      </c>
      <c r="G489" s="338">
        <v>0.46736111111111112</v>
      </c>
      <c r="H489" s="338" t="s">
        <v>964</v>
      </c>
      <c r="I489" s="353">
        <v>733</v>
      </c>
      <c r="J489" s="338" t="str">
        <f>IFERROR(VLOOKUP(I489,'Chart of accounts'!A:H,2,FALSE),"")</f>
        <v>50103030 01</v>
      </c>
      <c r="K489" s="338" t="str">
        <f>IFERROR(VLOOKUP(I489,'Chart of accounts'!A:H,3,FALSE),"")</f>
        <v>PhilHealth - Civilian</v>
      </c>
      <c r="L489" s="338" t="str">
        <f>IFERROR(VLOOKUP(I489,'Chart of accounts'!A:H,4,FALSE),"")</f>
        <v>50103030 01 - PhilHealth - Civilian (733)</v>
      </c>
      <c r="M489" s="361">
        <v>85</v>
      </c>
      <c r="N489" s="355" t="s">
        <v>765</v>
      </c>
      <c r="O489" s="355" t="s">
        <v>1113</v>
      </c>
      <c r="P489" s="355"/>
      <c r="Q489" s="363">
        <v>900</v>
      </c>
      <c r="R489" s="319">
        <f t="shared" si="7"/>
        <v>-900</v>
      </c>
      <c r="S489" s="319" t="str">
        <f>VLOOKUP(H489,'Fund Utilization Report'!$A$4:$U$1800,13,FALSE)</f>
        <v>PS</v>
      </c>
      <c r="T489" s="319" t="str">
        <f>VLOOKUP(H489,'Fund Utilization Report'!$A$4:$U$1800,2,FALSE)</f>
        <v>GAA</v>
      </c>
      <c r="U489" s="319" t="str">
        <f>VLOOKUP(H489,'Fund Utilization Report'!$A$4:$U$1800,3,FALSE)</f>
        <v>FY2021, RA11518</v>
      </c>
      <c r="V489" s="319" t="str">
        <f>VLOOKUP(H489,'Fund Utilization Report'!$A$4:$U$1800,4,FALSE)</f>
        <v>OO1</v>
      </c>
      <c r="W489" s="319" t="str">
        <f>VLOOKUP(H489,'Fund Utilization Report'!$A$4:$U$1800,5,FALSE)</f>
        <v>01101101</v>
      </c>
      <c r="X489" s="319" t="str">
        <f>VLOOKUP(H489,'Fund Utilization Report'!$A$4:$U$1800,6,FALSE)</f>
        <v>GOP</v>
      </c>
      <c r="Y489" s="320" t="str">
        <f>VLOOKUP(H489,'Fund Utilization Report'!$A$4:$U$1800,7,FALSE)</f>
        <v>PS</v>
      </c>
      <c r="Z489" s="321">
        <f>VLOOKUP(H489,'Fund Utilization Report'!$A$4:$U$1800,8,FALSE)</f>
        <v>5010000000</v>
      </c>
      <c r="AA489" s="319" t="str">
        <f>VLOOKUP(H489,'Fund Utilization Report'!$A$4:$U$1800,14,FALSE)</f>
        <v>310100100002000</v>
      </c>
      <c r="AB489" s="349" t="str">
        <f>VLOOKUP(H489,'Fund Utilization Report'!$A$4:$U$1800,15,FALSE)</f>
        <v>Development,Facilitation, and promotion of exports and investment, domestic and foreign</v>
      </c>
      <c r="AC489" s="39"/>
      <c r="AD489" s="34"/>
      <c r="AE489" s="39"/>
      <c r="AF489" s="51"/>
      <c r="AG489" s="40"/>
      <c r="AH489" s="40"/>
    </row>
    <row r="490" spans="1:34" s="32" customFormat="1" ht="27.6">
      <c r="A490" s="338" t="s">
        <v>942</v>
      </c>
      <c r="B490" s="338" t="s">
        <v>945</v>
      </c>
      <c r="C490" s="358">
        <v>44237</v>
      </c>
      <c r="D490" s="351" t="s">
        <v>1028</v>
      </c>
      <c r="E490" s="352" t="s">
        <v>1115</v>
      </c>
      <c r="F490" s="338">
        <v>0.46458333333333335</v>
      </c>
      <c r="G490" s="338">
        <v>0.46736111111111112</v>
      </c>
      <c r="H490" s="338" t="s">
        <v>964</v>
      </c>
      <c r="I490" s="353">
        <v>734</v>
      </c>
      <c r="J490" s="338" t="str">
        <f>IFERROR(VLOOKUP(I490,'Chart of accounts'!A:H,2,FALSE),"")</f>
        <v>50103040 01</v>
      </c>
      <c r="K490" s="338" t="str">
        <f>IFERROR(VLOOKUP(I490,'Chart of accounts'!A:H,3,FALSE),"")</f>
        <v>ECIP - Civilian</v>
      </c>
      <c r="L490" s="338" t="str">
        <f>IFERROR(VLOOKUP(I490,'Chart of accounts'!A:H,4,FALSE),"")</f>
        <v>50103040 01 - ECIP - Civilian (734)</v>
      </c>
      <c r="M490" s="361">
        <v>85</v>
      </c>
      <c r="N490" s="355" t="s">
        <v>765</v>
      </c>
      <c r="O490" s="355" t="s">
        <v>1113</v>
      </c>
      <c r="P490" s="355"/>
      <c r="Q490" s="363">
        <v>100</v>
      </c>
      <c r="R490" s="319">
        <f t="shared" si="7"/>
        <v>-100</v>
      </c>
      <c r="S490" s="319" t="str">
        <f>VLOOKUP(H490,'Fund Utilization Report'!$A$4:$U$1800,13,FALSE)</f>
        <v>PS</v>
      </c>
      <c r="T490" s="319" t="str">
        <f>VLOOKUP(H490,'Fund Utilization Report'!$A$4:$U$1800,2,FALSE)</f>
        <v>GAA</v>
      </c>
      <c r="U490" s="319" t="str">
        <f>VLOOKUP(H490,'Fund Utilization Report'!$A$4:$U$1800,3,FALSE)</f>
        <v>FY2021, RA11518</v>
      </c>
      <c r="V490" s="319" t="str">
        <f>VLOOKUP(H490,'Fund Utilization Report'!$A$4:$U$1800,4,FALSE)</f>
        <v>OO1</v>
      </c>
      <c r="W490" s="319" t="str">
        <f>VLOOKUP(H490,'Fund Utilization Report'!$A$4:$U$1800,5,FALSE)</f>
        <v>01101101</v>
      </c>
      <c r="X490" s="319" t="str">
        <f>VLOOKUP(H490,'Fund Utilization Report'!$A$4:$U$1800,6,FALSE)</f>
        <v>GOP</v>
      </c>
      <c r="Y490" s="320" t="str">
        <f>VLOOKUP(H490,'Fund Utilization Report'!$A$4:$U$1800,7,FALSE)</f>
        <v>PS</v>
      </c>
      <c r="Z490" s="321">
        <f>VLOOKUP(H490,'Fund Utilization Report'!$A$4:$U$1800,8,FALSE)</f>
        <v>5010000000</v>
      </c>
      <c r="AA490" s="319" t="str">
        <f>VLOOKUP(H490,'Fund Utilization Report'!$A$4:$U$1800,14,FALSE)</f>
        <v>310100100002000</v>
      </c>
      <c r="AB490" s="349" t="str">
        <f>VLOOKUP(H490,'Fund Utilization Report'!$A$4:$U$1800,15,FALSE)</f>
        <v>Development,Facilitation, and promotion of exports and investment, domestic and foreign</v>
      </c>
      <c r="AC490" s="39"/>
      <c r="AD490" s="34"/>
      <c r="AE490" s="39"/>
      <c r="AF490" s="51"/>
      <c r="AG490" s="40"/>
      <c r="AH490" s="40"/>
    </row>
    <row r="491" spans="1:34" s="32" customFormat="1" ht="27.6">
      <c r="A491" s="338" t="s">
        <v>942</v>
      </c>
      <c r="B491" s="338" t="s">
        <v>945</v>
      </c>
      <c r="C491" s="358">
        <v>44237</v>
      </c>
      <c r="D491" s="351" t="s">
        <v>1028</v>
      </c>
      <c r="E491" s="352" t="s">
        <v>1115</v>
      </c>
      <c r="F491" s="338">
        <v>0.46458333333333335</v>
      </c>
      <c r="G491" s="338">
        <v>0.46736111111111112</v>
      </c>
      <c r="H491" s="338" t="s">
        <v>967</v>
      </c>
      <c r="I491" s="353">
        <v>701</v>
      </c>
      <c r="J491" s="338" t="str">
        <f>IFERROR(VLOOKUP(I491,'Chart of accounts'!A:H,2,FALSE),"")</f>
        <v>50101010 01</v>
      </c>
      <c r="K491" s="338" t="str">
        <f>IFERROR(VLOOKUP(I491,'Chart of accounts'!A:H,3,FALSE),"")</f>
        <v>Basic Salary - Civilian</v>
      </c>
      <c r="L491" s="338" t="str">
        <f>IFERROR(VLOOKUP(I491,'Chart of accounts'!A:H,4,FALSE),"")</f>
        <v>50101010 01 - Basic Salary - Civilian (701)</v>
      </c>
      <c r="M491" s="361">
        <v>85</v>
      </c>
      <c r="N491" s="355" t="s">
        <v>765</v>
      </c>
      <c r="O491" s="355" t="s">
        <v>1113</v>
      </c>
      <c r="P491" s="355"/>
      <c r="Q491" s="363">
        <v>81329</v>
      </c>
      <c r="R491" s="319">
        <f t="shared" si="7"/>
        <v>-81329</v>
      </c>
      <c r="S491" s="319" t="str">
        <f>VLOOKUP(H491,'Fund Utilization Report'!$A$4:$U$1800,13,FALSE)</f>
        <v>PS</v>
      </c>
      <c r="T491" s="319" t="str">
        <f>VLOOKUP(H491,'Fund Utilization Report'!$A$4:$U$1800,2,FALSE)</f>
        <v>GAA</v>
      </c>
      <c r="U491" s="319" t="str">
        <f>VLOOKUP(H491,'Fund Utilization Report'!$A$4:$U$1800,3,FALSE)</f>
        <v>FY2021, RA11518</v>
      </c>
      <c r="V491" s="319" t="str">
        <f>VLOOKUP(H491,'Fund Utilization Report'!$A$4:$U$1800,4,FALSE)</f>
        <v>OO2</v>
      </c>
      <c r="W491" s="319" t="str">
        <f>VLOOKUP(H491,'Fund Utilization Report'!$A$4:$U$1800,5,FALSE)</f>
        <v>01101101</v>
      </c>
      <c r="X491" s="319" t="str">
        <f>VLOOKUP(H491,'Fund Utilization Report'!$A$4:$U$1800,6,FALSE)</f>
        <v>GOP</v>
      </c>
      <c r="Y491" s="320" t="str">
        <f>VLOOKUP(H491,'Fund Utilization Report'!$A$4:$U$1800,7,FALSE)</f>
        <v>PS</v>
      </c>
      <c r="Z491" s="321">
        <f>VLOOKUP(H491,'Fund Utilization Report'!$A$4:$U$1800,8,FALSE)</f>
        <v>5010000000</v>
      </c>
      <c r="AA491" s="319" t="str">
        <f>VLOOKUP(H491,'Fund Utilization Report'!$A$4:$U$1800,14,FALSE)</f>
        <v>320100100001000</v>
      </c>
      <c r="AB491" s="349" t="str">
        <f>VLOOKUP(H491,'Fund Utilization Report'!$A$4:$U$1800,15,FALSE)</f>
        <v>Formulation of Strategic plans,programs, and policies to develop competitve industries</v>
      </c>
      <c r="AC491" s="39"/>
      <c r="AD491" s="34"/>
      <c r="AE491" s="39"/>
      <c r="AF491" s="51"/>
      <c r="AG491" s="40"/>
      <c r="AH491" s="40"/>
    </row>
    <row r="492" spans="1:34" s="32" customFormat="1" ht="27.6">
      <c r="A492" s="338" t="s">
        <v>942</v>
      </c>
      <c r="B492" s="338" t="s">
        <v>945</v>
      </c>
      <c r="C492" s="358">
        <v>44237</v>
      </c>
      <c r="D492" s="351" t="s">
        <v>1028</v>
      </c>
      <c r="E492" s="352" t="s">
        <v>1115</v>
      </c>
      <c r="F492" s="338">
        <v>0.46458333333333335</v>
      </c>
      <c r="G492" s="338">
        <v>0.46736111111111112</v>
      </c>
      <c r="H492" s="338" t="s">
        <v>967</v>
      </c>
      <c r="I492" s="353">
        <v>711</v>
      </c>
      <c r="J492" s="338" t="str">
        <f>IFERROR(VLOOKUP(I492,'Chart of accounts'!A:H,2,FALSE),"")</f>
        <v>50102010 01</v>
      </c>
      <c r="K492" s="338" t="str">
        <f>IFERROR(VLOOKUP(I492,'Chart of accounts'!A:H,3,FALSE),"")</f>
        <v>PERA - Civilian</v>
      </c>
      <c r="L492" s="338" t="str">
        <f>IFERROR(VLOOKUP(I492,'Chart of accounts'!A:H,4,FALSE),"")</f>
        <v>50102010 01 - PERA - Civilian (711)</v>
      </c>
      <c r="M492" s="361">
        <v>85</v>
      </c>
      <c r="N492" s="355" t="s">
        <v>765</v>
      </c>
      <c r="O492" s="355" t="s">
        <v>1113</v>
      </c>
      <c r="P492" s="355"/>
      <c r="Q492" s="363">
        <v>6000</v>
      </c>
      <c r="R492" s="319">
        <f t="shared" si="7"/>
        <v>-6000</v>
      </c>
      <c r="S492" s="319" t="str">
        <f>VLOOKUP(H492,'Fund Utilization Report'!$A$4:$U$1800,13,FALSE)</f>
        <v>PS</v>
      </c>
      <c r="T492" s="319" t="str">
        <f>VLOOKUP(H492,'Fund Utilization Report'!$A$4:$U$1800,2,FALSE)</f>
        <v>GAA</v>
      </c>
      <c r="U492" s="319" t="str">
        <f>VLOOKUP(H492,'Fund Utilization Report'!$A$4:$U$1800,3,FALSE)</f>
        <v>FY2021, RA11518</v>
      </c>
      <c r="V492" s="319" t="str">
        <f>VLOOKUP(H492,'Fund Utilization Report'!$A$4:$U$1800,4,FALSE)</f>
        <v>OO2</v>
      </c>
      <c r="W492" s="319" t="str">
        <f>VLOOKUP(H492,'Fund Utilization Report'!$A$4:$U$1800,5,FALSE)</f>
        <v>01101101</v>
      </c>
      <c r="X492" s="319" t="str">
        <f>VLOOKUP(H492,'Fund Utilization Report'!$A$4:$U$1800,6,FALSE)</f>
        <v>GOP</v>
      </c>
      <c r="Y492" s="320" t="str">
        <f>VLOOKUP(H492,'Fund Utilization Report'!$A$4:$U$1800,7,FALSE)</f>
        <v>PS</v>
      </c>
      <c r="Z492" s="321">
        <f>VLOOKUP(H492,'Fund Utilization Report'!$A$4:$U$1800,8,FALSE)</f>
        <v>5010000000</v>
      </c>
      <c r="AA492" s="319" t="str">
        <f>VLOOKUP(H492,'Fund Utilization Report'!$A$4:$U$1800,14,FALSE)</f>
        <v>320100100001000</v>
      </c>
      <c r="AB492" s="349" t="str">
        <f>VLOOKUP(H492,'Fund Utilization Report'!$A$4:$U$1800,15,FALSE)</f>
        <v>Formulation of Strategic plans,programs, and policies to develop competitve industries</v>
      </c>
      <c r="AC492" s="39"/>
      <c r="AD492" s="34"/>
      <c r="AE492" s="39"/>
      <c r="AF492" s="51"/>
      <c r="AG492" s="40"/>
      <c r="AH492" s="40"/>
    </row>
    <row r="493" spans="1:34" s="32" customFormat="1" ht="27.6">
      <c r="A493" s="338" t="s">
        <v>942</v>
      </c>
      <c r="B493" s="338" t="s">
        <v>945</v>
      </c>
      <c r="C493" s="358">
        <v>44237</v>
      </c>
      <c r="D493" s="351" t="s">
        <v>1028</v>
      </c>
      <c r="E493" s="352" t="s">
        <v>1115</v>
      </c>
      <c r="F493" s="338">
        <v>0.46458333333333335</v>
      </c>
      <c r="G493" s="338">
        <v>0.46736111111111112</v>
      </c>
      <c r="H493" s="338" t="s">
        <v>969</v>
      </c>
      <c r="I493" s="353">
        <v>731</v>
      </c>
      <c r="J493" s="338" t="str">
        <f>IFERROR(VLOOKUP(I493,'Chart of accounts'!A:H,2,FALSE),"")</f>
        <v>50103010 00</v>
      </c>
      <c r="K493" s="338" t="str">
        <f>IFERROR(VLOOKUP(I493,'Chart of accounts'!A:H,3,FALSE),"")</f>
        <v>Retirement and Life Insurance Premiums</v>
      </c>
      <c r="L493" s="338" t="str">
        <f>IFERROR(VLOOKUP(I493,'Chart of accounts'!A:H,4,FALSE),"")</f>
        <v>50103010 00 - Retirement and Life Insurance Premiums (731)</v>
      </c>
      <c r="M493" s="361">
        <v>85</v>
      </c>
      <c r="N493" s="355" t="s">
        <v>765</v>
      </c>
      <c r="O493" s="355" t="s">
        <v>1113</v>
      </c>
      <c r="P493" s="355"/>
      <c r="Q493" s="363">
        <v>9759.48</v>
      </c>
      <c r="R493" s="319">
        <f t="shared" si="7"/>
        <v>-9759.48</v>
      </c>
      <c r="S493" s="319" t="str">
        <f>VLOOKUP(H493,'Fund Utilization Report'!$A$4:$U$1800,13,FALSE)</f>
        <v>PS</v>
      </c>
      <c r="T493" s="319" t="str">
        <f>VLOOKUP(H493,'Fund Utilization Report'!$A$4:$U$1800,2,FALSE)</f>
        <v>GAA</v>
      </c>
      <c r="U493" s="319" t="str">
        <f>VLOOKUP(H493,'Fund Utilization Report'!$A$4:$U$1800,3,FALSE)</f>
        <v>FY2021, RA11518</v>
      </c>
      <c r="V493" s="319" t="str">
        <f>VLOOKUP(H493,'Fund Utilization Report'!$A$4:$U$1800,4,FALSE)</f>
        <v>OO2</v>
      </c>
      <c r="W493" s="319" t="str">
        <f>VLOOKUP(H493,'Fund Utilization Report'!$A$4:$U$1800,5,FALSE)</f>
        <v>01101101</v>
      </c>
      <c r="X493" s="319" t="str">
        <f>VLOOKUP(H493,'Fund Utilization Report'!$A$4:$U$1800,6,FALSE)</f>
        <v>GOP</v>
      </c>
      <c r="Y493" s="320" t="str">
        <f>VLOOKUP(H493,'Fund Utilization Report'!$A$4:$U$1800,7,FALSE)</f>
        <v>RLIP</v>
      </c>
      <c r="Z493" s="321" t="str">
        <f>VLOOKUP(H493,'Fund Utilization Report'!$A$4:$U$1800,8,FALSE)</f>
        <v>50103010-00</v>
      </c>
      <c r="AA493" s="319" t="str">
        <f>VLOOKUP(H493,'Fund Utilization Report'!$A$4:$U$1800,14,FALSE)</f>
        <v>320100100001000</v>
      </c>
      <c r="AB493" s="349" t="str">
        <f>VLOOKUP(H493,'Fund Utilization Report'!$A$4:$U$1800,15,FALSE)</f>
        <v>Formulation of Strategic plans,programs, and policies to develop competitve industries</v>
      </c>
      <c r="AC493" s="39"/>
      <c r="AD493" s="34"/>
      <c r="AE493" s="39"/>
      <c r="AF493" s="51"/>
      <c r="AG493" s="40"/>
      <c r="AH493" s="40"/>
    </row>
    <row r="494" spans="1:34" s="32" customFormat="1" ht="27.6">
      <c r="A494" s="338" t="s">
        <v>942</v>
      </c>
      <c r="B494" s="338" t="s">
        <v>945</v>
      </c>
      <c r="C494" s="358">
        <v>44237</v>
      </c>
      <c r="D494" s="351" t="s">
        <v>1028</v>
      </c>
      <c r="E494" s="352" t="s">
        <v>1115</v>
      </c>
      <c r="F494" s="338">
        <v>0.46458333333333335</v>
      </c>
      <c r="G494" s="338">
        <v>0.46736111111111112</v>
      </c>
      <c r="H494" s="338" t="s">
        <v>967</v>
      </c>
      <c r="I494" s="353">
        <v>732</v>
      </c>
      <c r="J494" s="338" t="str">
        <f>IFERROR(VLOOKUP(I494,'Chart of accounts'!A:H,2,FALSE),"")</f>
        <v>50103020 01</v>
      </c>
      <c r="K494" s="338" t="str">
        <f>IFERROR(VLOOKUP(I494,'Chart of accounts'!A:H,3,FALSE),"")</f>
        <v>Pag-IBIG - Civilian</v>
      </c>
      <c r="L494" s="338" t="str">
        <f>IFERROR(VLOOKUP(I494,'Chart of accounts'!A:H,4,FALSE),"")</f>
        <v>50103020 01 - Pag-IBIG - Civilian (732)</v>
      </c>
      <c r="M494" s="361">
        <v>85</v>
      </c>
      <c r="N494" s="355" t="s">
        <v>765</v>
      </c>
      <c r="O494" s="355" t="s">
        <v>1113</v>
      </c>
      <c r="P494" s="355"/>
      <c r="Q494" s="363">
        <v>300</v>
      </c>
      <c r="R494" s="319">
        <f t="shared" si="7"/>
        <v>-300</v>
      </c>
      <c r="S494" s="319" t="str">
        <f>VLOOKUP(H494,'Fund Utilization Report'!$A$4:$U$1800,13,FALSE)</f>
        <v>PS</v>
      </c>
      <c r="T494" s="319" t="str">
        <f>VLOOKUP(H494,'Fund Utilization Report'!$A$4:$U$1800,2,FALSE)</f>
        <v>GAA</v>
      </c>
      <c r="U494" s="319" t="str">
        <f>VLOOKUP(H494,'Fund Utilization Report'!$A$4:$U$1800,3,FALSE)</f>
        <v>FY2021, RA11518</v>
      </c>
      <c r="V494" s="319" t="str">
        <f>VLOOKUP(H494,'Fund Utilization Report'!$A$4:$U$1800,4,FALSE)</f>
        <v>OO2</v>
      </c>
      <c r="W494" s="319" t="str">
        <f>VLOOKUP(H494,'Fund Utilization Report'!$A$4:$U$1800,5,FALSE)</f>
        <v>01101101</v>
      </c>
      <c r="X494" s="319" t="str">
        <f>VLOOKUP(H494,'Fund Utilization Report'!$A$4:$U$1800,6,FALSE)</f>
        <v>GOP</v>
      </c>
      <c r="Y494" s="320" t="str">
        <f>VLOOKUP(H494,'Fund Utilization Report'!$A$4:$U$1800,7,FALSE)</f>
        <v>PS</v>
      </c>
      <c r="Z494" s="321">
        <f>VLOOKUP(H494,'Fund Utilization Report'!$A$4:$U$1800,8,FALSE)</f>
        <v>5010000000</v>
      </c>
      <c r="AA494" s="319" t="str">
        <f>VLOOKUP(H494,'Fund Utilization Report'!$A$4:$U$1800,14,FALSE)</f>
        <v>320100100001000</v>
      </c>
      <c r="AB494" s="349" t="str">
        <f>VLOOKUP(H494,'Fund Utilization Report'!$A$4:$U$1800,15,FALSE)</f>
        <v>Formulation of Strategic plans,programs, and policies to develop competitve industries</v>
      </c>
      <c r="AC494" s="39"/>
      <c r="AD494" s="34"/>
      <c r="AE494" s="39"/>
      <c r="AF494" s="51"/>
      <c r="AG494" s="40"/>
      <c r="AH494" s="40"/>
    </row>
    <row r="495" spans="1:34" s="32" customFormat="1" ht="27.6">
      <c r="A495" s="338" t="s">
        <v>942</v>
      </c>
      <c r="B495" s="338" t="s">
        <v>945</v>
      </c>
      <c r="C495" s="358">
        <v>44237</v>
      </c>
      <c r="D495" s="351" t="s">
        <v>1028</v>
      </c>
      <c r="E495" s="352" t="s">
        <v>1115</v>
      </c>
      <c r="F495" s="338">
        <v>0.46458333333333335</v>
      </c>
      <c r="G495" s="338">
        <v>0.46736111111111112</v>
      </c>
      <c r="H495" s="338" t="s">
        <v>967</v>
      </c>
      <c r="I495" s="353">
        <v>733</v>
      </c>
      <c r="J495" s="338" t="str">
        <f>IFERROR(VLOOKUP(I495,'Chart of accounts'!A:H,2,FALSE),"")</f>
        <v>50103030 01</v>
      </c>
      <c r="K495" s="338" t="str">
        <f>IFERROR(VLOOKUP(I495,'Chart of accounts'!A:H,3,FALSE),"")</f>
        <v>PhilHealth - Civilian</v>
      </c>
      <c r="L495" s="338" t="str">
        <f>IFERROR(VLOOKUP(I495,'Chart of accounts'!A:H,4,FALSE),"")</f>
        <v>50103030 01 - PhilHealth - Civilian (733)</v>
      </c>
      <c r="M495" s="361">
        <v>85</v>
      </c>
      <c r="N495" s="355" t="s">
        <v>765</v>
      </c>
      <c r="O495" s="355" t="s">
        <v>1113</v>
      </c>
      <c r="P495" s="355"/>
      <c r="Q495" s="363">
        <v>1219.95</v>
      </c>
      <c r="R495" s="319">
        <f t="shared" si="7"/>
        <v>-1219.95</v>
      </c>
      <c r="S495" s="319" t="str">
        <f>VLOOKUP(H495,'Fund Utilization Report'!$A$4:$U$1800,13,FALSE)</f>
        <v>PS</v>
      </c>
      <c r="T495" s="319" t="str">
        <f>VLOOKUP(H495,'Fund Utilization Report'!$A$4:$U$1800,2,FALSE)</f>
        <v>GAA</v>
      </c>
      <c r="U495" s="319" t="str">
        <f>VLOOKUP(H495,'Fund Utilization Report'!$A$4:$U$1800,3,FALSE)</f>
        <v>FY2021, RA11518</v>
      </c>
      <c r="V495" s="319" t="str">
        <f>VLOOKUP(H495,'Fund Utilization Report'!$A$4:$U$1800,4,FALSE)</f>
        <v>OO2</v>
      </c>
      <c r="W495" s="319" t="str">
        <f>VLOOKUP(H495,'Fund Utilization Report'!$A$4:$U$1800,5,FALSE)</f>
        <v>01101101</v>
      </c>
      <c r="X495" s="319" t="str">
        <f>VLOOKUP(H495,'Fund Utilization Report'!$A$4:$U$1800,6,FALSE)</f>
        <v>GOP</v>
      </c>
      <c r="Y495" s="320" t="str">
        <f>VLOOKUP(H495,'Fund Utilization Report'!$A$4:$U$1800,7,FALSE)</f>
        <v>PS</v>
      </c>
      <c r="Z495" s="321">
        <f>VLOOKUP(H495,'Fund Utilization Report'!$A$4:$U$1800,8,FALSE)</f>
        <v>5010000000</v>
      </c>
      <c r="AA495" s="319" t="str">
        <f>VLOOKUP(H495,'Fund Utilization Report'!$A$4:$U$1800,14,FALSE)</f>
        <v>320100100001000</v>
      </c>
      <c r="AB495" s="349" t="str">
        <f>VLOOKUP(H495,'Fund Utilization Report'!$A$4:$U$1800,15,FALSE)</f>
        <v>Formulation of Strategic plans,programs, and policies to develop competitve industries</v>
      </c>
      <c r="AC495" s="39"/>
      <c r="AD495" s="34"/>
      <c r="AE495" s="39"/>
      <c r="AF495" s="51"/>
      <c r="AG495" s="40"/>
      <c r="AH495" s="40"/>
    </row>
    <row r="496" spans="1:34" s="32" customFormat="1" ht="27.6">
      <c r="A496" s="338" t="s">
        <v>942</v>
      </c>
      <c r="B496" s="338" t="s">
        <v>945</v>
      </c>
      <c r="C496" s="358">
        <v>44237</v>
      </c>
      <c r="D496" s="351" t="s">
        <v>1028</v>
      </c>
      <c r="E496" s="352" t="s">
        <v>1115</v>
      </c>
      <c r="F496" s="338">
        <v>0.46458333333333335</v>
      </c>
      <c r="G496" s="338">
        <v>0.46736111111111112</v>
      </c>
      <c r="H496" s="338" t="s">
        <v>967</v>
      </c>
      <c r="I496" s="353">
        <v>734</v>
      </c>
      <c r="J496" s="338" t="str">
        <f>IFERROR(VLOOKUP(I496,'Chart of accounts'!A:H,2,FALSE),"")</f>
        <v>50103040 01</v>
      </c>
      <c r="K496" s="338" t="str">
        <f>IFERROR(VLOOKUP(I496,'Chart of accounts'!A:H,3,FALSE),"")</f>
        <v>ECIP - Civilian</v>
      </c>
      <c r="L496" s="338" t="str">
        <f>IFERROR(VLOOKUP(I496,'Chart of accounts'!A:H,4,FALSE),"")</f>
        <v>50103040 01 - ECIP - Civilian (734)</v>
      </c>
      <c r="M496" s="361">
        <v>85</v>
      </c>
      <c r="N496" s="355" t="s">
        <v>765</v>
      </c>
      <c r="O496" s="355" t="s">
        <v>1113</v>
      </c>
      <c r="P496" s="355"/>
      <c r="Q496" s="363">
        <v>300</v>
      </c>
      <c r="R496" s="319">
        <f t="shared" si="7"/>
        <v>-300</v>
      </c>
      <c r="S496" s="319" t="str">
        <f>VLOOKUP(H496,'Fund Utilization Report'!$A$4:$U$1800,13,FALSE)</f>
        <v>PS</v>
      </c>
      <c r="T496" s="319" t="str">
        <f>VLOOKUP(H496,'Fund Utilization Report'!$A$4:$U$1800,2,FALSE)</f>
        <v>GAA</v>
      </c>
      <c r="U496" s="319" t="str">
        <f>VLOOKUP(H496,'Fund Utilization Report'!$A$4:$U$1800,3,FALSE)</f>
        <v>FY2021, RA11518</v>
      </c>
      <c r="V496" s="319" t="str">
        <f>VLOOKUP(H496,'Fund Utilization Report'!$A$4:$U$1800,4,FALSE)</f>
        <v>OO2</v>
      </c>
      <c r="W496" s="319" t="str">
        <f>VLOOKUP(H496,'Fund Utilization Report'!$A$4:$U$1800,5,FALSE)</f>
        <v>01101101</v>
      </c>
      <c r="X496" s="319" t="str">
        <f>VLOOKUP(H496,'Fund Utilization Report'!$A$4:$U$1800,6,FALSE)</f>
        <v>GOP</v>
      </c>
      <c r="Y496" s="320" t="str">
        <f>VLOOKUP(H496,'Fund Utilization Report'!$A$4:$U$1800,7,FALSE)</f>
        <v>PS</v>
      </c>
      <c r="Z496" s="321">
        <f>VLOOKUP(H496,'Fund Utilization Report'!$A$4:$U$1800,8,FALSE)</f>
        <v>5010000000</v>
      </c>
      <c r="AA496" s="319" t="str">
        <f>VLOOKUP(H496,'Fund Utilization Report'!$A$4:$U$1800,14,FALSE)</f>
        <v>320100100001000</v>
      </c>
      <c r="AB496" s="349" t="str">
        <f>VLOOKUP(H496,'Fund Utilization Report'!$A$4:$U$1800,15,FALSE)</f>
        <v>Formulation of Strategic plans,programs, and policies to develop competitve industries</v>
      </c>
      <c r="AC496" s="39"/>
      <c r="AD496" s="34"/>
      <c r="AE496" s="39"/>
      <c r="AF496" s="51"/>
      <c r="AG496" s="40"/>
      <c r="AH496" s="40"/>
    </row>
    <row r="497" spans="1:34" s="32" customFormat="1" ht="27.6">
      <c r="A497" s="338" t="s">
        <v>942</v>
      </c>
      <c r="B497" s="338" t="s">
        <v>945</v>
      </c>
      <c r="C497" s="358">
        <v>44237</v>
      </c>
      <c r="D497" s="351" t="s">
        <v>1028</v>
      </c>
      <c r="E497" s="352" t="s">
        <v>1115</v>
      </c>
      <c r="F497" s="338">
        <v>0.46458333333333335</v>
      </c>
      <c r="G497" s="338">
        <v>0.46736111111111112</v>
      </c>
      <c r="H497" s="338" t="s">
        <v>970</v>
      </c>
      <c r="I497" s="353">
        <v>701</v>
      </c>
      <c r="J497" s="338" t="str">
        <f>IFERROR(VLOOKUP(I497,'Chart of accounts'!A:H,2,FALSE),"")</f>
        <v>50101010 01</v>
      </c>
      <c r="K497" s="338" t="str">
        <f>IFERROR(VLOOKUP(I497,'Chart of accounts'!A:H,3,FALSE),"")</f>
        <v>Basic Salary - Civilian</v>
      </c>
      <c r="L497" s="338" t="str">
        <f>IFERROR(VLOOKUP(I497,'Chart of accounts'!A:H,4,FALSE),"")</f>
        <v>50101010 01 - Basic Salary - Civilian (701)</v>
      </c>
      <c r="M497" s="361">
        <v>85</v>
      </c>
      <c r="N497" s="355" t="s">
        <v>765</v>
      </c>
      <c r="O497" s="355" t="s">
        <v>1113</v>
      </c>
      <c r="P497" s="355"/>
      <c r="Q497" s="363">
        <v>78017</v>
      </c>
      <c r="R497" s="319">
        <f t="shared" si="7"/>
        <v>-78017</v>
      </c>
      <c r="S497" s="319" t="str">
        <f>VLOOKUP(H497,'Fund Utilization Report'!$A$4:$U$1800,13,FALSE)</f>
        <v>PS</v>
      </c>
      <c r="T497" s="319" t="str">
        <f>VLOOKUP(H497,'Fund Utilization Report'!$A$4:$U$1800,2,FALSE)</f>
        <v>GAA</v>
      </c>
      <c r="U497" s="319" t="str">
        <f>VLOOKUP(H497,'Fund Utilization Report'!$A$4:$U$1800,3,FALSE)</f>
        <v>FY2021, RA11518</v>
      </c>
      <c r="V497" s="319" t="str">
        <f>VLOOKUP(H497,'Fund Utilization Report'!$A$4:$U$1800,4,FALSE)</f>
        <v>OO3</v>
      </c>
      <c r="W497" s="319" t="str">
        <f>VLOOKUP(H497,'Fund Utilization Report'!$A$4:$U$1800,5,FALSE)</f>
        <v>01101101</v>
      </c>
      <c r="X497" s="319" t="str">
        <f>VLOOKUP(H497,'Fund Utilization Report'!$A$4:$U$1800,6,FALSE)</f>
        <v>GOP</v>
      </c>
      <c r="Y497" s="320" t="str">
        <f>VLOOKUP(H497,'Fund Utilization Report'!$A$4:$U$1800,7,FALSE)</f>
        <v>PS</v>
      </c>
      <c r="Z497" s="321">
        <f>VLOOKUP(H497,'Fund Utilization Report'!$A$4:$U$1800,8,FALSE)</f>
        <v>5010000000</v>
      </c>
      <c r="AA497" s="319" t="str">
        <f>VLOOKUP(H497,'Fund Utilization Report'!$A$4:$U$1800,14,FALSE)</f>
        <v>330100100002000</v>
      </c>
      <c r="AB497" s="349" t="str">
        <f>VLOOKUP(H497,'Fund Utilization Report'!$A$4:$U$1800,15,FALSE)</f>
        <v>Implementation of the MSME Development Plan and other initiatives to promote the growth of Micro, Small and Medium Enterprises</v>
      </c>
      <c r="AC497" s="39"/>
      <c r="AD497" s="34"/>
      <c r="AE497" s="39"/>
      <c r="AF497" s="51"/>
      <c r="AG497" s="40"/>
      <c r="AH497" s="40"/>
    </row>
    <row r="498" spans="1:34" s="32" customFormat="1" ht="27.6">
      <c r="A498" s="338" t="s">
        <v>942</v>
      </c>
      <c r="B498" s="338" t="s">
        <v>945</v>
      </c>
      <c r="C498" s="358">
        <v>44237</v>
      </c>
      <c r="D498" s="351" t="s">
        <v>1028</v>
      </c>
      <c r="E498" s="352" t="s">
        <v>1115</v>
      </c>
      <c r="F498" s="338">
        <v>0.46458333333333335</v>
      </c>
      <c r="G498" s="338">
        <v>0.46736111111111112</v>
      </c>
      <c r="H498" s="338" t="s">
        <v>970</v>
      </c>
      <c r="I498" s="353">
        <v>711</v>
      </c>
      <c r="J498" s="338" t="str">
        <f>IFERROR(VLOOKUP(I498,'Chart of accounts'!A:H,2,FALSE),"")</f>
        <v>50102010 01</v>
      </c>
      <c r="K498" s="338" t="str">
        <f>IFERROR(VLOOKUP(I498,'Chart of accounts'!A:H,3,FALSE),"")</f>
        <v>PERA - Civilian</v>
      </c>
      <c r="L498" s="338" t="str">
        <f>IFERROR(VLOOKUP(I498,'Chart of accounts'!A:H,4,FALSE),"")</f>
        <v>50102010 01 - PERA - Civilian (711)</v>
      </c>
      <c r="M498" s="361">
        <v>85</v>
      </c>
      <c r="N498" s="355" t="s">
        <v>765</v>
      </c>
      <c r="O498" s="355" t="s">
        <v>1113</v>
      </c>
      <c r="P498" s="355"/>
      <c r="Q498" s="363">
        <v>4000</v>
      </c>
      <c r="R498" s="319">
        <f t="shared" si="7"/>
        <v>-4000</v>
      </c>
      <c r="S498" s="319" t="str">
        <f>VLOOKUP(H498,'Fund Utilization Report'!$A$4:$U$1800,13,FALSE)</f>
        <v>PS</v>
      </c>
      <c r="T498" s="319" t="str">
        <f>VLOOKUP(H498,'Fund Utilization Report'!$A$4:$U$1800,2,FALSE)</f>
        <v>GAA</v>
      </c>
      <c r="U498" s="319" t="str">
        <f>VLOOKUP(H498,'Fund Utilization Report'!$A$4:$U$1800,3,FALSE)</f>
        <v>FY2021, RA11518</v>
      </c>
      <c r="V498" s="319" t="str">
        <f>VLOOKUP(H498,'Fund Utilization Report'!$A$4:$U$1800,4,FALSE)</f>
        <v>OO3</v>
      </c>
      <c r="W498" s="319" t="str">
        <f>VLOOKUP(H498,'Fund Utilization Report'!$A$4:$U$1800,5,FALSE)</f>
        <v>01101101</v>
      </c>
      <c r="X498" s="319" t="str">
        <f>VLOOKUP(H498,'Fund Utilization Report'!$A$4:$U$1800,6,FALSE)</f>
        <v>GOP</v>
      </c>
      <c r="Y498" s="320" t="str">
        <f>VLOOKUP(H498,'Fund Utilization Report'!$A$4:$U$1800,7,FALSE)</f>
        <v>PS</v>
      </c>
      <c r="Z498" s="321">
        <f>VLOOKUP(H498,'Fund Utilization Report'!$A$4:$U$1800,8,FALSE)</f>
        <v>5010000000</v>
      </c>
      <c r="AA498" s="319" t="str">
        <f>VLOOKUP(H498,'Fund Utilization Report'!$A$4:$U$1800,14,FALSE)</f>
        <v>330100100002000</v>
      </c>
      <c r="AB498" s="349" t="str">
        <f>VLOOKUP(H498,'Fund Utilization Report'!$A$4:$U$1800,15,FALSE)</f>
        <v>Implementation of the MSME Development Plan and other initiatives to promote the growth of Micro, Small and Medium Enterprises</v>
      </c>
      <c r="AC498" s="39"/>
      <c r="AD498" s="34"/>
      <c r="AE498" s="39"/>
      <c r="AF498" s="51"/>
      <c r="AG498" s="40"/>
      <c r="AH498" s="40"/>
    </row>
    <row r="499" spans="1:34" s="32" customFormat="1" ht="27.6">
      <c r="A499" s="338" t="s">
        <v>942</v>
      </c>
      <c r="B499" s="338" t="s">
        <v>945</v>
      </c>
      <c r="C499" s="358">
        <v>44237</v>
      </c>
      <c r="D499" s="351" t="s">
        <v>1028</v>
      </c>
      <c r="E499" s="352" t="s">
        <v>1115</v>
      </c>
      <c r="F499" s="338">
        <v>0.46458333333333335</v>
      </c>
      <c r="G499" s="338">
        <v>0.46736111111111112</v>
      </c>
      <c r="H499" s="338" t="s">
        <v>972</v>
      </c>
      <c r="I499" s="353">
        <v>731</v>
      </c>
      <c r="J499" s="338" t="str">
        <f>IFERROR(VLOOKUP(I499,'Chart of accounts'!A:H,2,FALSE),"")</f>
        <v>50103010 00</v>
      </c>
      <c r="K499" s="338" t="str">
        <f>IFERROR(VLOOKUP(I499,'Chart of accounts'!A:H,3,FALSE),"")</f>
        <v>Retirement and Life Insurance Premiums</v>
      </c>
      <c r="L499" s="338" t="str">
        <f>IFERROR(VLOOKUP(I499,'Chart of accounts'!A:H,4,FALSE),"")</f>
        <v>50103010 00 - Retirement and Life Insurance Premiums (731)</v>
      </c>
      <c r="M499" s="361">
        <v>85</v>
      </c>
      <c r="N499" s="355" t="s">
        <v>765</v>
      </c>
      <c r="O499" s="355" t="s">
        <v>1113</v>
      </c>
      <c r="P499" s="355"/>
      <c r="Q499" s="363">
        <v>9362.0400000000009</v>
      </c>
      <c r="R499" s="319">
        <f t="shared" si="7"/>
        <v>-9362.0400000000009</v>
      </c>
      <c r="S499" s="319" t="str">
        <f>VLOOKUP(H499,'Fund Utilization Report'!$A$4:$U$1800,13,FALSE)</f>
        <v>PS</v>
      </c>
      <c r="T499" s="319" t="str">
        <f>VLOOKUP(H499,'Fund Utilization Report'!$A$4:$U$1800,2,FALSE)</f>
        <v>GAA</v>
      </c>
      <c r="U499" s="319" t="str">
        <f>VLOOKUP(H499,'Fund Utilization Report'!$A$4:$U$1800,3,FALSE)</f>
        <v>FY2021, RA11518</v>
      </c>
      <c r="V499" s="319" t="str">
        <f>VLOOKUP(H499,'Fund Utilization Report'!$A$4:$U$1800,4,FALSE)</f>
        <v>OO3</v>
      </c>
      <c r="W499" s="319" t="str">
        <f>VLOOKUP(H499,'Fund Utilization Report'!$A$4:$U$1800,5,FALSE)</f>
        <v>01101101</v>
      </c>
      <c r="X499" s="319" t="str">
        <f>VLOOKUP(H499,'Fund Utilization Report'!$A$4:$U$1800,6,FALSE)</f>
        <v>GOP</v>
      </c>
      <c r="Y499" s="320" t="str">
        <f>VLOOKUP(H499,'Fund Utilization Report'!$A$4:$U$1800,7,FALSE)</f>
        <v>RLIP</v>
      </c>
      <c r="Z499" s="321" t="str">
        <f>VLOOKUP(H499,'Fund Utilization Report'!$A$4:$U$1800,8,FALSE)</f>
        <v>50103010-00</v>
      </c>
      <c r="AA499" s="319" t="str">
        <f>VLOOKUP(H499,'Fund Utilization Report'!$A$4:$U$1800,14,FALSE)</f>
        <v>330100100002000</v>
      </c>
      <c r="AB499" s="349" t="str">
        <f>VLOOKUP(H499,'Fund Utilization Report'!$A$4:$U$1800,15,FALSE)</f>
        <v>Implementation of the MSME Development Plan and other initiatives to promote the growth of Micro, Small and Medium Enterprises</v>
      </c>
      <c r="AC499" s="39"/>
      <c r="AD499" s="34"/>
      <c r="AE499" s="39"/>
      <c r="AF499" s="51"/>
      <c r="AG499" s="40"/>
      <c r="AH499" s="40"/>
    </row>
    <row r="500" spans="1:34" s="32" customFormat="1" ht="27.6">
      <c r="A500" s="338" t="s">
        <v>942</v>
      </c>
      <c r="B500" s="338" t="s">
        <v>945</v>
      </c>
      <c r="C500" s="358">
        <v>44237</v>
      </c>
      <c r="D500" s="351" t="s">
        <v>1028</v>
      </c>
      <c r="E500" s="352" t="s">
        <v>1115</v>
      </c>
      <c r="F500" s="338">
        <v>0.46458333333333335</v>
      </c>
      <c r="G500" s="338">
        <v>0.46736111111111112</v>
      </c>
      <c r="H500" s="338" t="s">
        <v>970</v>
      </c>
      <c r="I500" s="353">
        <v>732</v>
      </c>
      <c r="J500" s="338" t="str">
        <f>IFERROR(VLOOKUP(I500,'Chart of accounts'!A:H,2,FALSE),"")</f>
        <v>50103020 01</v>
      </c>
      <c r="K500" s="338" t="str">
        <f>IFERROR(VLOOKUP(I500,'Chart of accounts'!A:H,3,FALSE),"")</f>
        <v>Pag-IBIG - Civilian</v>
      </c>
      <c r="L500" s="338" t="str">
        <f>IFERROR(VLOOKUP(I500,'Chart of accounts'!A:H,4,FALSE),"")</f>
        <v>50103020 01 - Pag-IBIG - Civilian (732)</v>
      </c>
      <c r="M500" s="361">
        <v>85</v>
      </c>
      <c r="N500" s="355" t="s">
        <v>765</v>
      </c>
      <c r="O500" s="355" t="s">
        <v>1113</v>
      </c>
      <c r="P500" s="355"/>
      <c r="Q500" s="363">
        <v>200</v>
      </c>
      <c r="R500" s="319">
        <f t="shared" si="7"/>
        <v>-200</v>
      </c>
      <c r="S500" s="319" t="str">
        <f>VLOOKUP(H500,'Fund Utilization Report'!$A$4:$U$1800,13,FALSE)</f>
        <v>PS</v>
      </c>
      <c r="T500" s="319" t="str">
        <f>VLOOKUP(H500,'Fund Utilization Report'!$A$4:$U$1800,2,FALSE)</f>
        <v>GAA</v>
      </c>
      <c r="U500" s="319" t="str">
        <f>VLOOKUP(H500,'Fund Utilization Report'!$A$4:$U$1800,3,FALSE)</f>
        <v>FY2021, RA11518</v>
      </c>
      <c r="V500" s="319" t="str">
        <f>VLOOKUP(H500,'Fund Utilization Report'!$A$4:$U$1800,4,FALSE)</f>
        <v>OO3</v>
      </c>
      <c r="W500" s="319" t="str">
        <f>VLOOKUP(H500,'Fund Utilization Report'!$A$4:$U$1800,5,FALSE)</f>
        <v>01101101</v>
      </c>
      <c r="X500" s="319" t="str">
        <f>VLOOKUP(H500,'Fund Utilization Report'!$A$4:$U$1800,6,FALSE)</f>
        <v>GOP</v>
      </c>
      <c r="Y500" s="320" t="str">
        <f>VLOOKUP(H500,'Fund Utilization Report'!$A$4:$U$1800,7,FALSE)</f>
        <v>PS</v>
      </c>
      <c r="Z500" s="321">
        <f>VLOOKUP(H500,'Fund Utilization Report'!$A$4:$U$1800,8,FALSE)</f>
        <v>5010000000</v>
      </c>
      <c r="AA500" s="319" t="str">
        <f>VLOOKUP(H500,'Fund Utilization Report'!$A$4:$U$1800,14,FALSE)</f>
        <v>330100100002000</v>
      </c>
      <c r="AB500" s="349" t="str">
        <f>VLOOKUP(H500,'Fund Utilization Report'!$A$4:$U$1800,15,FALSE)</f>
        <v>Implementation of the MSME Development Plan and other initiatives to promote the growth of Micro, Small and Medium Enterprises</v>
      </c>
      <c r="AC500" s="39"/>
      <c r="AD500" s="34"/>
      <c r="AE500" s="39"/>
      <c r="AF500" s="51"/>
      <c r="AG500" s="40"/>
      <c r="AH500" s="40"/>
    </row>
    <row r="501" spans="1:34" s="32" customFormat="1" ht="27.6">
      <c r="A501" s="338" t="s">
        <v>942</v>
      </c>
      <c r="B501" s="338" t="s">
        <v>945</v>
      </c>
      <c r="C501" s="358">
        <v>44237</v>
      </c>
      <c r="D501" s="351" t="s">
        <v>1028</v>
      </c>
      <c r="E501" s="352" t="s">
        <v>1115</v>
      </c>
      <c r="F501" s="338">
        <v>0.46458333333333335</v>
      </c>
      <c r="G501" s="338">
        <v>0.46736111111111112</v>
      </c>
      <c r="H501" s="338" t="s">
        <v>970</v>
      </c>
      <c r="I501" s="353">
        <v>733</v>
      </c>
      <c r="J501" s="338" t="str">
        <f>IFERROR(VLOOKUP(I501,'Chart of accounts'!A:H,2,FALSE),"")</f>
        <v>50103030 01</v>
      </c>
      <c r="K501" s="338" t="str">
        <f>IFERROR(VLOOKUP(I501,'Chart of accounts'!A:H,3,FALSE),"")</f>
        <v>PhilHealth - Civilian</v>
      </c>
      <c r="L501" s="338" t="str">
        <f>IFERROR(VLOOKUP(I501,'Chart of accounts'!A:H,4,FALSE),"")</f>
        <v>50103030 01 - PhilHealth - Civilian (733)</v>
      </c>
      <c r="M501" s="361">
        <v>85</v>
      </c>
      <c r="N501" s="355" t="s">
        <v>765</v>
      </c>
      <c r="O501" s="355" t="s">
        <v>1113</v>
      </c>
      <c r="P501" s="355"/>
      <c r="Q501" s="363">
        <v>1170.26</v>
      </c>
      <c r="R501" s="319">
        <f t="shared" si="7"/>
        <v>-1170.26</v>
      </c>
      <c r="S501" s="319" t="str">
        <f>VLOOKUP(H501,'Fund Utilization Report'!$A$4:$U$1800,13,FALSE)</f>
        <v>PS</v>
      </c>
      <c r="T501" s="319" t="str">
        <f>VLOOKUP(H501,'Fund Utilization Report'!$A$4:$U$1800,2,FALSE)</f>
        <v>GAA</v>
      </c>
      <c r="U501" s="319" t="str">
        <f>VLOOKUP(H501,'Fund Utilization Report'!$A$4:$U$1800,3,FALSE)</f>
        <v>FY2021, RA11518</v>
      </c>
      <c r="V501" s="319" t="str">
        <f>VLOOKUP(H501,'Fund Utilization Report'!$A$4:$U$1800,4,FALSE)</f>
        <v>OO3</v>
      </c>
      <c r="W501" s="319" t="str">
        <f>VLOOKUP(H501,'Fund Utilization Report'!$A$4:$U$1800,5,FALSE)</f>
        <v>01101101</v>
      </c>
      <c r="X501" s="319" t="str">
        <f>VLOOKUP(H501,'Fund Utilization Report'!$A$4:$U$1800,6,FALSE)</f>
        <v>GOP</v>
      </c>
      <c r="Y501" s="320" t="str">
        <f>VLOOKUP(H501,'Fund Utilization Report'!$A$4:$U$1800,7,FALSE)</f>
        <v>PS</v>
      </c>
      <c r="Z501" s="321">
        <f>VLOOKUP(H501,'Fund Utilization Report'!$A$4:$U$1800,8,FALSE)</f>
        <v>5010000000</v>
      </c>
      <c r="AA501" s="319" t="str">
        <f>VLOOKUP(H501,'Fund Utilization Report'!$A$4:$U$1800,14,FALSE)</f>
        <v>330100100002000</v>
      </c>
      <c r="AB501" s="349" t="str">
        <f>VLOOKUP(H501,'Fund Utilization Report'!$A$4:$U$1800,15,FALSE)</f>
        <v>Implementation of the MSME Development Plan and other initiatives to promote the growth of Micro, Small and Medium Enterprises</v>
      </c>
      <c r="AC501" s="39"/>
      <c r="AD501" s="34"/>
      <c r="AE501" s="39"/>
      <c r="AF501" s="51"/>
      <c r="AG501" s="40"/>
      <c r="AH501" s="40"/>
    </row>
    <row r="502" spans="1:34" s="32" customFormat="1" ht="27.6">
      <c r="A502" s="338" t="s">
        <v>942</v>
      </c>
      <c r="B502" s="338" t="s">
        <v>945</v>
      </c>
      <c r="C502" s="358">
        <v>44237</v>
      </c>
      <c r="D502" s="351" t="s">
        <v>1028</v>
      </c>
      <c r="E502" s="352" t="s">
        <v>1115</v>
      </c>
      <c r="F502" s="338">
        <v>0.46458333333333335</v>
      </c>
      <c r="G502" s="338">
        <v>0.46736111111111112</v>
      </c>
      <c r="H502" s="338" t="s">
        <v>970</v>
      </c>
      <c r="I502" s="353">
        <v>734</v>
      </c>
      <c r="J502" s="338" t="str">
        <f>IFERROR(VLOOKUP(I502,'Chart of accounts'!A:H,2,FALSE),"")</f>
        <v>50103040 01</v>
      </c>
      <c r="K502" s="338" t="str">
        <f>IFERROR(VLOOKUP(I502,'Chart of accounts'!A:H,3,FALSE),"")</f>
        <v>ECIP - Civilian</v>
      </c>
      <c r="L502" s="338" t="str">
        <f>IFERROR(VLOOKUP(I502,'Chart of accounts'!A:H,4,FALSE),"")</f>
        <v>50103040 01 - ECIP - Civilian (734)</v>
      </c>
      <c r="M502" s="361">
        <v>85</v>
      </c>
      <c r="N502" s="355" t="s">
        <v>765</v>
      </c>
      <c r="O502" s="355" t="s">
        <v>1113</v>
      </c>
      <c r="P502" s="355"/>
      <c r="Q502" s="363">
        <v>200</v>
      </c>
      <c r="R502" s="319">
        <f t="shared" si="7"/>
        <v>-200</v>
      </c>
      <c r="S502" s="319" t="str">
        <f>VLOOKUP(H502,'Fund Utilization Report'!$A$4:$U$1800,13,FALSE)</f>
        <v>PS</v>
      </c>
      <c r="T502" s="319" t="str">
        <f>VLOOKUP(H502,'Fund Utilization Report'!$A$4:$U$1800,2,FALSE)</f>
        <v>GAA</v>
      </c>
      <c r="U502" s="319" t="str">
        <f>VLOOKUP(H502,'Fund Utilization Report'!$A$4:$U$1800,3,FALSE)</f>
        <v>FY2021, RA11518</v>
      </c>
      <c r="V502" s="319" t="str">
        <f>VLOOKUP(H502,'Fund Utilization Report'!$A$4:$U$1800,4,FALSE)</f>
        <v>OO3</v>
      </c>
      <c r="W502" s="319" t="str">
        <f>VLOOKUP(H502,'Fund Utilization Report'!$A$4:$U$1800,5,FALSE)</f>
        <v>01101101</v>
      </c>
      <c r="X502" s="319" t="str">
        <f>VLOOKUP(H502,'Fund Utilization Report'!$A$4:$U$1800,6,FALSE)</f>
        <v>GOP</v>
      </c>
      <c r="Y502" s="320" t="str">
        <f>VLOOKUP(H502,'Fund Utilization Report'!$A$4:$U$1800,7,FALSE)</f>
        <v>PS</v>
      </c>
      <c r="Z502" s="321">
        <f>VLOOKUP(H502,'Fund Utilization Report'!$A$4:$U$1800,8,FALSE)</f>
        <v>5010000000</v>
      </c>
      <c r="AA502" s="319" t="str">
        <f>VLOOKUP(H502,'Fund Utilization Report'!$A$4:$U$1800,14,FALSE)</f>
        <v>330100100002000</v>
      </c>
      <c r="AB502" s="349" t="str">
        <f>VLOOKUP(H502,'Fund Utilization Report'!$A$4:$U$1800,15,FALSE)</f>
        <v>Implementation of the MSME Development Plan and other initiatives to promote the growth of Micro, Small and Medium Enterprises</v>
      </c>
      <c r="AC502" s="39"/>
      <c r="AD502" s="34"/>
      <c r="AE502" s="39"/>
      <c r="AF502" s="51"/>
      <c r="AG502" s="40"/>
      <c r="AH502" s="40"/>
    </row>
    <row r="503" spans="1:34" s="32" customFormat="1" ht="27.6">
      <c r="A503" s="338" t="s">
        <v>942</v>
      </c>
      <c r="B503" s="338" t="s">
        <v>945</v>
      </c>
      <c r="C503" s="358">
        <v>44237</v>
      </c>
      <c r="D503" s="351" t="s">
        <v>1028</v>
      </c>
      <c r="E503" s="352" t="s">
        <v>1116</v>
      </c>
      <c r="F503" s="338">
        <v>0.46736111111111112</v>
      </c>
      <c r="G503" s="338">
        <v>0.47222222222222227</v>
      </c>
      <c r="H503" s="338" t="s">
        <v>960</v>
      </c>
      <c r="I503" s="353">
        <v>701</v>
      </c>
      <c r="J503" s="338" t="str">
        <f>IFERROR(VLOOKUP(I503,'Chart of accounts'!A:H,2,FALSE),"")</f>
        <v>50101010 01</v>
      </c>
      <c r="K503" s="338" t="str">
        <f>IFERROR(VLOOKUP(I503,'Chart of accounts'!A:H,3,FALSE),"")</f>
        <v>Basic Salary - Civilian</v>
      </c>
      <c r="L503" s="338" t="str">
        <f>IFERROR(VLOOKUP(I503,'Chart of accounts'!A:H,4,FALSE),"")</f>
        <v>50101010 01 - Basic Salary - Civilian (701)</v>
      </c>
      <c r="M503" s="361">
        <v>1</v>
      </c>
      <c r="N503" s="355" t="s">
        <v>847</v>
      </c>
      <c r="O503" s="355" t="s">
        <v>1117</v>
      </c>
      <c r="P503" s="355"/>
      <c r="Q503" s="363">
        <v>457.27</v>
      </c>
      <c r="R503" s="319">
        <f t="shared" si="7"/>
        <v>-457.27</v>
      </c>
      <c r="S503" s="319" t="str">
        <f>VLOOKUP(H503,'Fund Utilization Report'!$A$4:$U$1800,13,FALSE)</f>
        <v>PS</v>
      </c>
      <c r="T503" s="319" t="str">
        <f>VLOOKUP(H503,'Fund Utilization Report'!$A$4:$U$1800,2,FALSE)</f>
        <v>GAA</v>
      </c>
      <c r="U503" s="319" t="str">
        <f>VLOOKUP(H503,'Fund Utilization Report'!$A$4:$U$1800,3,FALSE)</f>
        <v>FY2021, RA11518</v>
      </c>
      <c r="V503" s="319" t="str">
        <f>VLOOKUP(H503,'Fund Utilization Report'!$A$4:$U$1800,4,FALSE)</f>
        <v>GAS(GMS)</v>
      </c>
      <c r="W503" s="319" t="str">
        <f>VLOOKUP(H503,'Fund Utilization Report'!$A$4:$U$1800,5,FALSE)</f>
        <v>01101101</v>
      </c>
      <c r="X503" s="319" t="str">
        <f>VLOOKUP(H503,'Fund Utilization Report'!$A$4:$U$1800,6,FALSE)</f>
        <v>GOP</v>
      </c>
      <c r="Y503" s="320" t="str">
        <f>VLOOKUP(H503,'Fund Utilization Report'!$A$4:$U$1800,7,FALSE)</f>
        <v>PS</v>
      </c>
      <c r="Z503" s="321">
        <f>VLOOKUP(H503,'Fund Utilization Report'!$A$4:$U$1800,8,FALSE)</f>
        <v>5010000000</v>
      </c>
      <c r="AA503" s="319" t="str">
        <f>VLOOKUP(H503,'Fund Utilization Report'!$A$4:$U$1800,14,FALSE)</f>
        <v>100000100001000</v>
      </c>
      <c r="AB503" s="349" t="str">
        <f>VLOOKUP(H503,'Fund Utilization Report'!$A$4:$U$1800,15,FALSE)</f>
        <v>General Administration and Supervision - General Management and Supervision</v>
      </c>
      <c r="AC503" s="39"/>
      <c r="AD503" s="34"/>
      <c r="AE503" s="39"/>
      <c r="AF503" s="51"/>
      <c r="AG503" s="40"/>
      <c r="AH503" s="40"/>
    </row>
    <row r="504" spans="1:34" s="32" customFormat="1" ht="27.6">
      <c r="A504" s="338" t="s">
        <v>942</v>
      </c>
      <c r="B504" s="338" t="s">
        <v>945</v>
      </c>
      <c r="C504" s="358">
        <v>44237</v>
      </c>
      <c r="D504" s="351" t="s">
        <v>1028</v>
      </c>
      <c r="E504" s="352" t="s">
        <v>1116</v>
      </c>
      <c r="F504" s="338">
        <v>0.46736111111111112</v>
      </c>
      <c r="G504" s="338">
        <v>0.47222222222222227</v>
      </c>
      <c r="H504" s="338" t="s">
        <v>962</v>
      </c>
      <c r="I504" s="353">
        <v>731</v>
      </c>
      <c r="J504" s="338" t="str">
        <f>IFERROR(VLOOKUP(I504,'Chart of accounts'!A:H,2,FALSE),"")</f>
        <v>50103010 00</v>
      </c>
      <c r="K504" s="338" t="str">
        <f>IFERROR(VLOOKUP(I504,'Chart of accounts'!A:H,3,FALSE),"")</f>
        <v>Retirement and Life Insurance Premiums</v>
      </c>
      <c r="L504" s="338" t="str">
        <f>IFERROR(VLOOKUP(I504,'Chart of accounts'!A:H,4,FALSE),"")</f>
        <v>50103010 00 - Retirement and Life Insurance Premiums (731)</v>
      </c>
      <c r="M504" s="361">
        <v>1</v>
      </c>
      <c r="N504" s="355" t="s">
        <v>847</v>
      </c>
      <c r="O504" s="355" t="s">
        <v>1117</v>
      </c>
      <c r="P504" s="355"/>
      <c r="Q504" s="363">
        <v>54.52</v>
      </c>
      <c r="R504" s="319">
        <f t="shared" si="7"/>
        <v>-54.52</v>
      </c>
      <c r="S504" s="319" t="str">
        <f>VLOOKUP(H504,'Fund Utilization Report'!$A$4:$U$1800,13,FALSE)</f>
        <v>PS</v>
      </c>
      <c r="T504" s="319" t="str">
        <f>VLOOKUP(H504,'Fund Utilization Report'!$A$4:$U$1800,2,FALSE)</f>
        <v>GAA</v>
      </c>
      <c r="U504" s="319" t="str">
        <f>VLOOKUP(H504,'Fund Utilization Report'!$A$4:$U$1800,3,FALSE)</f>
        <v>FY2021, RA11518</v>
      </c>
      <c r="V504" s="319" t="str">
        <f>VLOOKUP(H504,'Fund Utilization Report'!$A$4:$U$1800,4,FALSE)</f>
        <v>GAS(GMS)</v>
      </c>
      <c r="W504" s="319" t="str">
        <f>VLOOKUP(H504,'Fund Utilization Report'!$A$4:$U$1800,5,FALSE)</f>
        <v>01101101</v>
      </c>
      <c r="X504" s="319" t="str">
        <f>VLOOKUP(H504,'Fund Utilization Report'!$A$4:$U$1800,6,FALSE)</f>
        <v>GOP</v>
      </c>
      <c r="Y504" s="320" t="str">
        <f>VLOOKUP(H504,'Fund Utilization Report'!$A$4:$U$1800,7,FALSE)</f>
        <v>RLIP</v>
      </c>
      <c r="Z504" s="321" t="str">
        <f>VLOOKUP(H504,'Fund Utilization Report'!$A$4:$U$1800,8,FALSE)</f>
        <v>50103010-00</v>
      </c>
      <c r="AA504" s="319" t="str">
        <f>VLOOKUP(H504,'Fund Utilization Report'!$A$4:$U$1800,14,FALSE)</f>
        <v>100000100001000</v>
      </c>
      <c r="AB504" s="349" t="str">
        <f>VLOOKUP(H504,'Fund Utilization Report'!$A$4:$U$1800,15,FALSE)</f>
        <v>General Administration and Supervision - General Management and Supervision</v>
      </c>
      <c r="AC504" s="39"/>
      <c r="AD504" s="34"/>
      <c r="AE504" s="39"/>
      <c r="AF504" s="51"/>
      <c r="AG504" s="40"/>
      <c r="AH504" s="40"/>
    </row>
    <row r="505" spans="1:34" s="32" customFormat="1" ht="27.6">
      <c r="A505" s="338" t="s">
        <v>942</v>
      </c>
      <c r="B505" s="338" t="s">
        <v>945</v>
      </c>
      <c r="C505" s="358">
        <v>44237</v>
      </c>
      <c r="D505" s="351" t="s">
        <v>1028</v>
      </c>
      <c r="E505" s="352" t="s">
        <v>1118</v>
      </c>
      <c r="F505" s="338">
        <v>0.47222222222222227</v>
      </c>
      <c r="G505" s="338">
        <v>0.47361111111111115</v>
      </c>
      <c r="H505" s="338" t="s">
        <v>960</v>
      </c>
      <c r="I505" s="353">
        <v>701</v>
      </c>
      <c r="J505" s="338" t="str">
        <f>IFERROR(VLOOKUP(I505,'Chart of accounts'!A:H,2,FALSE),"")</f>
        <v>50101010 01</v>
      </c>
      <c r="K505" s="338" t="str">
        <f>IFERROR(VLOOKUP(I505,'Chart of accounts'!A:H,3,FALSE),"")</f>
        <v>Basic Salary - Civilian</v>
      </c>
      <c r="L505" s="338" t="str">
        <f>IFERROR(VLOOKUP(I505,'Chart of accounts'!A:H,4,FALSE),"")</f>
        <v>50101010 01 - Basic Salary - Civilian (701)</v>
      </c>
      <c r="M505" s="360">
        <v>3</v>
      </c>
      <c r="N505" s="355" t="s">
        <v>1119</v>
      </c>
      <c r="O505" s="355" t="s">
        <v>1117</v>
      </c>
      <c r="P505" s="355"/>
      <c r="Q505" s="363">
        <v>258.18</v>
      </c>
      <c r="R505" s="319">
        <f t="shared" si="7"/>
        <v>-258.18</v>
      </c>
      <c r="S505" s="319" t="str">
        <f>VLOOKUP(H505,'Fund Utilization Report'!$A$4:$U$1800,13,FALSE)</f>
        <v>PS</v>
      </c>
      <c r="T505" s="319" t="str">
        <f>VLOOKUP(H505,'Fund Utilization Report'!$A$4:$U$1800,2,FALSE)</f>
        <v>GAA</v>
      </c>
      <c r="U505" s="319" t="str">
        <f>VLOOKUP(H505,'Fund Utilization Report'!$A$4:$U$1800,3,FALSE)</f>
        <v>FY2021, RA11518</v>
      </c>
      <c r="V505" s="319" t="str">
        <f>VLOOKUP(H505,'Fund Utilization Report'!$A$4:$U$1800,4,FALSE)</f>
        <v>GAS(GMS)</v>
      </c>
      <c r="W505" s="319" t="str">
        <f>VLOOKUP(H505,'Fund Utilization Report'!$A$4:$U$1800,5,FALSE)</f>
        <v>01101101</v>
      </c>
      <c r="X505" s="319" t="str">
        <f>VLOOKUP(H505,'Fund Utilization Report'!$A$4:$U$1800,6,FALSE)</f>
        <v>GOP</v>
      </c>
      <c r="Y505" s="320" t="str">
        <f>VLOOKUP(H505,'Fund Utilization Report'!$A$4:$U$1800,7,FALSE)</f>
        <v>PS</v>
      </c>
      <c r="Z505" s="321">
        <f>VLOOKUP(H505,'Fund Utilization Report'!$A$4:$U$1800,8,FALSE)</f>
        <v>5010000000</v>
      </c>
      <c r="AA505" s="319" t="str">
        <f>VLOOKUP(H505,'Fund Utilization Report'!$A$4:$U$1800,14,FALSE)</f>
        <v>100000100001000</v>
      </c>
      <c r="AB505" s="349" t="str">
        <f>VLOOKUP(H505,'Fund Utilization Report'!$A$4:$U$1800,15,FALSE)</f>
        <v>General Administration and Supervision - General Management and Supervision</v>
      </c>
      <c r="AC505" s="39"/>
      <c r="AD505" s="34"/>
      <c r="AE505" s="39"/>
      <c r="AF505" s="51"/>
      <c r="AG505" s="40"/>
      <c r="AH505" s="40"/>
    </row>
    <row r="506" spans="1:34" s="32" customFormat="1" ht="27.6">
      <c r="A506" s="338" t="s">
        <v>942</v>
      </c>
      <c r="B506" s="338" t="s">
        <v>945</v>
      </c>
      <c r="C506" s="358">
        <v>44237</v>
      </c>
      <c r="D506" s="351" t="s">
        <v>1028</v>
      </c>
      <c r="E506" s="352" t="s">
        <v>1118</v>
      </c>
      <c r="F506" s="338">
        <v>0.47222222222222227</v>
      </c>
      <c r="G506" s="338">
        <v>0.47361111111111115</v>
      </c>
      <c r="H506" s="338" t="s">
        <v>962</v>
      </c>
      <c r="I506" s="353">
        <v>731</v>
      </c>
      <c r="J506" s="338" t="str">
        <f>IFERROR(VLOOKUP(I506,'Chart of accounts'!A:H,2,FALSE),"")</f>
        <v>50103010 00</v>
      </c>
      <c r="K506" s="338" t="str">
        <f>IFERROR(VLOOKUP(I506,'Chart of accounts'!A:H,3,FALSE),"")</f>
        <v>Retirement and Life Insurance Premiums</v>
      </c>
      <c r="L506" s="338" t="str">
        <f>IFERROR(VLOOKUP(I506,'Chart of accounts'!A:H,4,FALSE),"")</f>
        <v>50103010 00 - Retirement and Life Insurance Premiums (731)</v>
      </c>
      <c r="M506" s="361">
        <v>3</v>
      </c>
      <c r="N506" s="355" t="s">
        <v>1119</v>
      </c>
      <c r="O506" s="355" t="s">
        <v>1117</v>
      </c>
      <c r="P506" s="355"/>
      <c r="Q506" s="363">
        <v>30.78</v>
      </c>
      <c r="R506" s="319">
        <f t="shared" si="7"/>
        <v>-30.78</v>
      </c>
      <c r="S506" s="319" t="str">
        <f>VLOOKUP(H506,'Fund Utilization Report'!$A$4:$U$1800,13,FALSE)</f>
        <v>PS</v>
      </c>
      <c r="T506" s="319" t="str">
        <f>VLOOKUP(H506,'Fund Utilization Report'!$A$4:$U$1800,2,FALSE)</f>
        <v>GAA</v>
      </c>
      <c r="U506" s="319" t="str">
        <f>VLOOKUP(H506,'Fund Utilization Report'!$A$4:$U$1800,3,FALSE)</f>
        <v>FY2021, RA11518</v>
      </c>
      <c r="V506" s="319" t="str">
        <f>VLOOKUP(H506,'Fund Utilization Report'!$A$4:$U$1800,4,FALSE)</f>
        <v>GAS(GMS)</v>
      </c>
      <c r="W506" s="319" t="str">
        <f>VLOOKUP(H506,'Fund Utilization Report'!$A$4:$U$1800,5,FALSE)</f>
        <v>01101101</v>
      </c>
      <c r="X506" s="319" t="str">
        <f>VLOOKUP(H506,'Fund Utilization Report'!$A$4:$U$1800,6,FALSE)</f>
        <v>GOP</v>
      </c>
      <c r="Y506" s="320" t="str">
        <f>VLOOKUP(H506,'Fund Utilization Report'!$A$4:$U$1800,7,FALSE)</f>
        <v>RLIP</v>
      </c>
      <c r="Z506" s="321" t="str">
        <f>VLOOKUP(H506,'Fund Utilization Report'!$A$4:$U$1800,8,FALSE)</f>
        <v>50103010-00</v>
      </c>
      <c r="AA506" s="319" t="str">
        <f>VLOOKUP(H506,'Fund Utilization Report'!$A$4:$U$1800,14,FALSE)</f>
        <v>100000100001000</v>
      </c>
      <c r="AB506" s="349" t="str">
        <f>VLOOKUP(H506,'Fund Utilization Report'!$A$4:$U$1800,15,FALSE)</f>
        <v>General Administration and Supervision - General Management and Supervision</v>
      </c>
      <c r="AC506" s="39"/>
      <c r="AD506" s="34"/>
      <c r="AE506" s="39"/>
      <c r="AF506" s="51"/>
      <c r="AG506" s="40"/>
      <c r="AH506" s="40"/>
    </row>
    <row r="507" spans="1:34" s="32" customFormat="1" ht="27.6">
      <c r="A507" s="338" t="s">
        <v>942</v>
      </c>
      <c r="B507" s="338" t="s">
        <v>945</v>
      </c>
      <c r="C507" s="358">
        <v>44237</v>
      </c>
      <c r="D507" s="351" t="s">
        <v>1028</v>
      </c>
      <c r="E507" s="352" t="s">
        <v>1120</v>
      </c>
      <c r="F507" s="338">
        <v>0.47361111111111115</v>
      </c>
      <c r="G507" s="338">
        <v>0.47569444444444442</v>
      </c>
      <c r="H507" s="338" t="s">
        <v>960</v>
      </c>
      <c r="I507" s="353">
        <v>701</v>
      </c>
      <c r="J507" s="338" t="str">
        <f>IFERROR(VLOOKUP(I507,'Chart of accounts'!A:H,2,FALSE),"")</f>
        <v>50101010 01</v>
      </c>
      <c r="K507" s="338" t="str">
        <f>IFERROR(VLOOKUP(I507,'Chart of accounts'!A:H,3,FALSE),"")</f>
        <v>Basic Salary - Civilian</v>
      </c>
      <c r="L507" s="338" t="str">
        <f>IFERROR(VLOOKUP(I507,'Chart of accounts'!A:H,4,FALSE),"")</f>
        <v>50101010 01 - Basic Salary - Civilian (701)</v>
      </c>
      <c r="M507" s="361">
        <v>1</v>
      </c>
      <c r="N507" s="355" t="s">
        <v>833</v>
      </c>
      <c r="O507" s="355" t="s">
        <v>1121</v>
      </c>
      <c r="P507" s="355"/>
      <c r="Q507" s="363">
        <v>614.54999999999995</v>
      </c>
      <c r="R507" s="319">
        <f t="shared" si="7"/>
        <v>-614.54999999999995</v>
      </c>
      <c r="S507" s="319" t="str">
        <f>VLOOKUP(H507,'Fund Utilization Report'!$A$4:$U$1800,13,FALSE)</f>
        <v>PS</v>
      </c>
      <c r="T507" s="319" t="str">
        <f>VLOOKUP(H507,'Fund Utilization Report'!$A$4:$U$1800,2,FALSE)</f>
        <v>GAA</v>
      </c>
      <c r="U507" s="319" t="str">
        <f>VLOOKUP(H507,'Fund Utilization Report'!$A$4:$U$1800,3,FALSE)</f>
        <v>FY2021, RA11518</v>
      </c>
      <c r="V507" s="319" t="str">
        <f>VLOOKUP(H507,'Fund Utilization Report'!$A$4:$U$1800,4,FALSE)</f>
        <v>GAS(GMS)</v>
      </c>
      <c r="W507" s="319" t="str">
        <f>VLOOKUP(H507,'Fund Utilization Report'!$A$4:$U$1800,5,FALSE)</f>
        <v>01101101</v>
      </c>
      <c r="X507" s="319" t="str">
        <f>VLOOKUP(H507,'Fund Utilization Report'!$A$4:$U$1800,6,FALSE)</f>
        <v>GOP</v>
      </c>
      <c r="Y507" s="320" t="str">
        <f>VLOOKUP(H507,'Fund Utilization Report'!$A$4:$U$1800,7,FALSE)</f>
        <v>PS</v>
      </c>
      <c r="Z507" s="321">
        <f>VLOOKUP(H507,'Fund Utilization Report'!$A$4:$U$1800,8,FALSE)</f>
        <v>5010000000</v>
      </c>
      <c r="AA507" s="319" t="str">
        <f>VLOOKUP(H507,'Fund Utilization Report'!$A$4:$U$1800,14,FALSE)</f>
        <v>100000100001000</v>
      </c>
      <c r="AB507" s="349" t="str">
        <f>VLOOKUP(H507,'Fund Utilization Report'!$A$4:$U$1800,15,FALSE)</f>
        <v>General Administration and Supervision - General Management and Supervision</v>
      </c>
      <c r="AC507" s="39"/>
      <c r="AD507" s="34"/>
      <c r="AE507" s="39"/>
      <c r="AF507" s="51"/>
      <c r="AG507" s="40"/>
      <c r="AH507" s="40"/>
    </row>
    <row r="508" spans="1:34" s="32" customFormat="1" ht="27.6">
      <c r="A508" s="338" t="s">
        <v>942</v>
      </c>
      <c r="B508" s="338" t="s">
        <v>945</v>
      </c>
      <c r="C508" s="358">
        <v>44237</v>
      </c>
      <c r="D508" s="351" t="s">
        <v>1028</v>
      </c>
      <c r="E508" s="352" t="s">
        <v>1120</v>
      </c>
      <c r="F508" s="338">
        <v>0.47361111111111115</v>
      </c>
      <c r="G508" s="338">
        <v>0.47569444444444442</v>
      </c>
      <c r="H508" s="338" t="s">
        <v>962</v>
      </c>
      <c r="I508" s="353">
        <v>731</v>
      </c>
      <c r="J508" s="338" t="str">
        <f>IFERROR(VLOOKUP(I508,'Chart of accounts'!A:H,2,FALSE),"")</f>
        <v>50103010 00</v>
      </c>
      <c r="K508" s="338" t="str">
        <f>IFERROR(VLOOKUP(I508,'Chart of accounts'!A:H,3,FALSE),"")</f>
        <v>Retirement and Life Insurance Premiums</v>
      </c>
      <c r="L508" s="338" t="str">
        <f>IFERROR(VLOOKUP(I508,'Chart of accounts'!A:H,4,FALSE),"")</f>
        <v>50103010 00 - Retirement and Life Insurance Premiums (731)</v>
      </c>
      <c r="M508" s="361">
        <v>1</v>
      </c>
      <c r="N508" s="355" t="s">
        <v>833</v>
      </c>
      <c r="O508" s="355" t="s">
        <v>1121</v>
      </c>
      <c r="P508" s="355"/>
      <c r="Q508" s="363">
        <v>73.27</v>
      </c>
      <c r="R508" s="319">
        <f t="shared" si="7"/>
        <v>-73.27</v>
      </c>
      <c r="S508" s="319" t="str">
        <f>VLOOKUP(H508,'Fund Utilization Report'!$A$4:$U$1800,13,FALSE)</f>
        <v>PS</v>
      </c>
      <c r="T508" s="319" t="str">
        <f>VLOOKUP(H508,'Fund Utilization Report'!$A$4:$U$1800,2,FALSE)</f>
        <v>GAA</v>
      </c>
      <c r="U508" s="319" t="str">
        <f>VLOOKUP(H508,'Fund Utilization Report'!$A$4:$U$1800,3,FALSE)</f>
        <v>FY2021, RA11518</v>
      </c>
      <c r="V508" s="319" t="str">
        <f>VLOOKUP(H508,'Fund Utilization Report'!$A$4:$U$1800,4,FALSE)</f>
        <v>GAS(GMS)</v>
      </c>
      <c r="W508" s="319" t="str">
        <f>VLOOKUP(H508,'Fund Utilization Report'!$A$4:$U$1800,5,FALSE)</f>
        <v>01101101</v>
      </c>
      <c r="X508" s="319" t="str">
        <f>VLOOKUP(H508,'Fund Utilization Report'!$A$4:$U$1800,6,FALSE)</f>
        <v>GOP</v>
      </c>
      <c r="Y508" s="320" t="str">
        <f>VLOOKUP(H508,'Fund Utilization Report'!$A$4:$U$1800,7,FALSE)</f>
        <v>RLIP</v>
      </c>
      <c r="Z508" s="321" t="str">
        <f>VLOOKUP(H508,'Fund Utilization Report'!$A$4:$U$1800,8,FALSE)</f>
        <v>50103010-00</v>
      </c>
      <c r="AA508" s="319" t="str">
        <f>VLOOKUP(H508,'Fund Utilization Report'!$A$4:$U$1800,14,FALSE)</f>
        <v>100000100001000</v>
      </c>
      <c r="AB508" s="349" t="str">
        <f>VLOOKUP(H508,'Fund Utilization Report'!$A$4:$U$1800,15,FALSE)</f>
        <v>General Administration and Supervision - General Management and Supervision</v>
      </c>
      <c r="AC508" s="39"/>
      <c r="AD508" s="34"/>
      <c r="AE508" s="39"/>
      <c r="AF508" s="51"/>
      <c r="AG508" s="40"/>
      <c r="AH508" s="40"/>
    </row>
    <row r="509" spans="1:34" s="32" customFormat="1" ht="27.6">
      <c r="A509" s="338" t="s">
        <v>942</v>
      </c>
      <c r="B509" s="338" t="s">
        <v>945</v>
      </c>
      <c r="C509" s="358">
        <v>44237</v>
      </c>
      <c r="D509" s="351" t="s">
        <v>1028</v>
      </c>
      <c r="E509" s="352" t="s">
        <v>1122</v>
      </c>
      <c r="F509" s="338">
        <v>0.47569444444444442</v>
      </c>
      <c r="G509" s="338">
        <v>0.4770833333333333</v>
      </c>
      <c r="H509" s="338" t="s">
        <v>960</v>
      </c>
      <c r="I509" s="353">
        <v>701</v>
      </c>
      <c r="J509" s="338" t="str">
        <f>IFERROR(VLOOKUP(I509,'Chart of accounts'!A:H,2,FALSE),"")</f>
        <v>50101010 01</v>
      </c>
      <c r="K509" s="338" t="str">
        <f>IFERROR(VLOOKUP(I509,'Chart of accounts'!A:H,3,FALSE),"")</f>
        <v>Basic Salary - Civilian</v>
      </c>
      <c r="L509" s="338" t="str">
        <f>IFERROR(VLOOKUP(I509,'Chart of accounts'!A:H,4,FALSE),"")</f>
        <v>50101010 01 - Basic Salary - Civilian (701)</v>
      </c>
      <c r="M509" s="361">
        <v>1</v>
      </c>
      <c r="N509" s="355" t="s">
        <v>1030</v>
      </c>
      <c r="O509" s="355" t="s">
        <v>1123</v>
      </c>
      <c r="P509" s="355"/>
      <c r="Q509" s="363">
        <v>93091.81</v>
      </c>
      <c r="R509" s="319">
        <f t="shared" si="7"/>
        <v>-93091.81</v>
      </c>
      <c r="S509" s="319" t="str">
        <f>VLOOKUP(H509,'Fund Utilization Report'!$A$4:$U$1800,13,FALSE)</f>
        <v>PS</v>
      </c>
      <c r="T509" s="319" t="str">
        <f>VLOOKUP(H509,'Fund Utilization Report'!$A$4:$U$1800,2,FALSE)</f>
        <v>GAA</v>
      </c>
      <c r="U509" s="319" t="str">
        <f>VLOOKUP(H509,'Fund Utilization Report'!$A$4:$U$1800,3,FALSE)</f>
        <v>FY2021, RA11518</v>
      </c>
      <c r="V509" s="319" t="str">
        <f>VLOOKUP(H509,'Fund Utilization Report'!$A$4:$U$1800,4,FALSE)</f>
        <v>GAS(GMS)</v>
      </c>
      <c r="W509" s="319" t="str">
        <f>VLOOKUP(H509,'Fund Utilization Report'!$A$4:$U$1800,5,FALSE)</f>
        <v>01101101</v>
      </c>
      <c r="X509" s="319" t="str">
        <f>VLOOKUP(H509,'Fund Utilization Report'!$A$4:$U$1800,6,FALSE)</f>
        <v>GOP</v>
      </c>
      <c r="Y509" s="320" t="str">
        <f>VLOOKUP(H509,'Fund Utilization Report'!$A$4:$U$1800,7,FALSE)</f>
        <v>PS</v>
      </c>
      <c r="Z509" s="321">
        <f>VLOOKUP(H509,'Fund Utilization Report'!$A$4:$U$1800,8,FALSE)</f>
        <v>5010000000</v>
      </c>
      <c r="AA509" s="319" t="str">
        <f>VLOOKUP(H509,'Fund Utilization Report'!$A$4:$U$1800,14,FALSE)</f>
        <v>100000100001000</v>
      </c>
      <c r="AB509" s="349" t="str">
        <f>VLOOKUP(H509,'Fund Utilization Report'!$A$4:$U$1800,15,FALSE)</f>
        <v>General Administration and Supervision - General Management and Supervision</v>
      </c>
      <c r="AC509" s="39"/>
      <c r="AD509" s="34"/>
      <c r="AE509" s="39"/>
      <c r="AF509" s="51"/>
      <c r="AG509" s="40"/>
      <c r="AH509" s="40"/>
    </row>
    <row r="510" spans="1:34" s="32" customFormat="1" ht="27.6">
      <c r="A510" s="338" t="s">
        <v>942</v>
      </c>
      <c r="B510" s="338" t="s">
        <v>945</v>
      </c>
      <c r="C510" s="358">
        <v>44237</v>
      </c>
      <c r="D510" s="351" t="s">
        <v>1028</v>
      </c>
      <c r="E510" s="352" t="s">
        <v>1122</v>
      </c>
      <c r="F510" s="338">
        <v>0.47569444444444442</v>
      </c>
      <c r="G510" s="338">
        <v>0.4770833333333333</v>
      </c>
      <c r="H510" s="338" t="s">
        <v>962</v>
      </c>
      <c r="I510" s="353">
        <v>731</v>
      </c>
      <c r="J510" s="338" t="str">
        <f>IFERROR(VLOOKUP(I510,'Chart of accounts'!A:H,2,FALSE),"")</f>
        <v>50103010 00</v>
      </c>
      <c r="K510" s="338" t="str">
        <f>IFERROR(VLOOKUP(I510,'Chart of accounts'!A:H,3,FALSE),"")</f>
        <v>Retirement and Life Insurance Premiums</v>
      </c>
      <c r="L510" s="338" t="str">
        <f>IFERROR(VLOOKUP(I510,'Chart of accounts'!A:H,4,FALSE),"")</f>
        <v>50103010 00 - Retirement and Life Insurance Premiums (731)</v>
      </c>
      <c r="M510" s="361">
        <v>1</v>
      </c>
      <c r="N510" s="355" t="s">
        <v>1030</v>
      </c>
      <c r="O510" s="355" t="s">
        <v>1123</v>
      </c>
      <c r="P510" s="355"/>
      <c r="Q510" s="363">
        <v>11098.96</v>
      </c>
      <c r="R510" s="319">
        <f t="shared" si="7"/>
        <v>-11098.96</v>
      </c>
      <c r="S510" s="319" t="str">
        <f>VLOOKUP(H510,'Fund Utilization Report'!$A$4:$U$1800,13,FALSE)</f>
        <v>PS</v>
      </c>
      <c r="T510" s="319" t="str">
        <f>VLOOKUP(H510,'Fund Utilization Report'!$A$4:$U$1800,2,FALSE)</f>
        <v>GAA</v>
      </c>
      <c r="U510" s="319" t="str">
        <f>VLOOKUP(H510,'Fund Utilization Report'!$A$4:$U$1800,3,FALSE)</f>
        <v>FY2021, RA11518</v>
      </c>
      <c r="V510" s="319" t="str">
        <f>VLOOKUP(H510,'Fund Utilization Report'!$A$4:$U$1800,4,FALSE)</f>
        <v>GAS(GMS)</v>
      </c>
      <c r="W510" s="319" t="str">
        <f>VLOOKUP(H510,'Fund Utilization Report'!$A$4:$U$1800,5,FALSE)</f>
        <v>01101101</v>
      </c>
      <c r="X510" s="319" t="str">
        <f>VLOOKUP(H510,'Fund Utilization Report'!$A$4:$U$1800,6,FALSE)</f>
        <v>GOP</v>
      </c>
      <c r="Y510" s="320" t="str">
        <f>VLOOKUP(H510,'Fund Utilization Report'!$A$4:$U$1800,7,FALSE)</f>
        <v>RLIP</v>
      </c>
      <c r="Z510" s="321" t="str">
        <f>VLOOKUP(H510,'Fund Utilization Report'!$A$4:$U$1800,8,FALSE)</f>
        <v>50103010-00</v>
      </c>
      <c r="AA510" s="319" t="str">
        <f>VLOOKUP(H510,'Fund Utilization Report'!$A$4:$U$1800,14,FALSE)</f>
        <v>100000100001000</v>
      </c>
      <c r="AB510" s="349" t="str">
        <f>VLOOKUP(H510,'Fund Utilization Report'!$A$4:$U$1800,15,FALSE)</f>
        <v>General Administration and Supervision - General Management and Supervision</v>
      </c>
      <c r="AC510" s="39"/>
      <c r="AD510" s="34"/>
      <c r="AE510" s="39"/>
      <c r="AF510" s="51"/>
      <c r="AG510" s="40"/>
      <c r="AH510" s="40"/>
    </row>
    <row r="511" spans="1:34" s="32" customFormat="1" ht="27.6">
      <c r="A511" s="338" t="s">
        <v>942</v>
      </c>
      <c r="B511" s="338" t="s">
        <v>945</v>
      </c>
      <c r="C511" s="358">
        <v>44237</v>
      </c>
      <c r="D511" s="351" t="s">
        <v>1028</v>
      </c>
      <c r="E511" s="352" t="s">
        <v>1122</v>
      </c>
      <c r="F511" s="338">
        <v>0.47569444444444442</v>
      </c>
      <c r="G511" s="338">
        <v>0.4770833333333333</v>
      </c>
      <c r="H511" s="338" t="s">
        <v>960</v>
      </c>
      <c r="I511" s="353">
        <v>733</v>
      </c>
      <c r="J511" s="338" t="str">
        <f>IFERROR(VLOOKUP(I511,'Chart of accounts'!A:H,2,FALSE),"")</f>
        <v>50103030 01</v>
      </c>
      <c r="K511" s="338" t="str">
        <f>IFERROR(VLOOKUP(I511,'Chart of accounts'!A:H,3,FALSE),"")</f>
        <v>PhilHealth - Civilian</v>
      </c>
      <c r="L511" s="338" t="str">
        <f>IFERROR(VLOOKUP(I511,'Chart of accounts'!A:H,4,FALSE),"")</f>
        <v>50103030 01 - PhilHealth - Civilian (733)</v>
      </c>
      <c r="M511" s="361">
        <v>1</v>
      </c>
      <c r="N511" s="355" t="s">
        <v>1030</v>
      </c>
      <c r="O511" s="355" t="s">
        <v>1123</v>
      </c>
      <c r="P511" s="355"/>
      <c r="Q511" s="363">
        <v>858.77</v>
      </c>
      <c r="R511" s="319">
        <f t="shared" si="7"/>
        <v>-858.77</v>
      </c>
      <c r="S511" s="319" t="str">
        <f>VLOOKUP(H511,'Fund Utilization Report'!$A$4:$U$1800,13,FALSE)</f>
        <v>PS</v>
      </c>
      <c r="T511" s="319" t="str">
        <f>VLOOKUP(H511,'Fund Utilization Report'!$A$4:$U$1800,2,FALSE)</f>
        <v>GAA</v>
      </c>
      <c r="U511" s="319" t="str">
        <f>VLOOKUP(H511,'Fund Utilization Report'!$A$4:$U$1800,3,FALSE)</f>
        <v>FY2021, RA11518</v>
      </c>
      <c r="V511" s="319" t="str">
        <f>VLOOKUP(H511,'Fund Utilization Report'!$A$4:$U$1800,4,FALSE)</f>
        <v>GAS(GMS)</v>
      </c>
      <c r="W511" s="319" t="str">
        <f>VLOOKUP(H511,'Fund Utilization Report'!$A$4:$U$1800,5,FALSE)</f>
        <v>01101101</v>
      </c>
      <c r="X511" s="319" t="str">
        <f>VLOOKUP(H511,'Fund Utilization Report'!$A$4:$U$1800,6,FALSE)</f>
        <v>GOP</v>
      </c>
      <c r="Y511" s="320" t="str">
        <f>VLOOKUP(H511,'Fund Utilization Report'!$A$4:$U$1800,7,FALSE)</f>
        <v>PS</v>
      </c>
      <c r="Z511" s="321">
        <f>VLOOKUP(H511,'Fund Utilization Report'!$A$4:$U$1800,8,FALSE)</f>
        <v>5010000000</v>
      </c>
      <c r="AA511" s="319" t="str">
        <f>VLOOKUP(H511,'Fund Utilization Report'!$A$4:$U$1800,14,FALSE)</f>
        <v>100000100001000</v>
      </c>
      <c r="AB511" s="349" t="str">
        <f>VLOOKUP(H511,'Fund Utilization Report'!$A$4:$U$1800,15,FALSE)</f>
        <v>General Administration and Supervision - General Management and Supervision</v>
      </c>
      <c r="AC511" s="39"/>
      <c r="AD511" s="34"/>
      <c r="AE511" s="39"/>
      <c r="AF511" s="51"/>
      <c r="AG511" s="40"/>
      <c r="AH511" s="40"/>
    </row>
    <row r="512" spans="1:34" s="32" customFormat="1" ht="27.6">
      <c r="A512" s="338" t="s">
        <v>942</v>
      </c>
      <c r="B512" s="338" t="s">
        <v>945</v>
      </c>
      <c r="C512" s="358">
        <v>44237</v>
      </c>
      <c r="D512" s="351" t="s">
        <v>1028</v>
      </c>
      <c r="E512" s="352" t="s">
        <v>1124</v>
      </c>
      <c r="F512" s="338">
        <v>0.4770833333333333</v>
      </c>
      <c r="G512" s="338">
        <v>0.4826388888888889</v>
      </c>
      <c r="H512" s="338" t="s">
        <v>999</v>
      </c>
      <c r="I512" s="353">
        <v>706</v>
      </c>
      <c r="J512" s="338" t="str">
        <f>IFERROR(VLOOKUP(I512,'Chart of accounts'!A:H,2,FALSE),"")</f>
        <v>50101020 00</v>
      </c>
      <c r="K512" s="338" t="str">
        <f>IFERROR(VLOOKUP(I512,'Chart of accounts'!A:H,3,FALSE),"")</f>
        <v>Basic Salary - Contractual</v>
      </c>
      <c r="L512" s="338" t="str">
        <f>IFERROR(VLOOKUP(I512,'Chart of accounts'!A:H,4,FALSE),"")</f>
        <v>50101020 00 - Basic Salary - Contractual (706)</v>
      </c>
      <c r="M512" s="361">
        <v>85</v>
      </c>
      <c r="N512" s="355" t="s">
        <v>872</v>
      </c>
      <c r="O512" s="355" t="s">
        <v>1125</v>
      </c>
      <c r="P512" s="355"/>
      <c r="Q512" s="363">
        <v>33575</v>
      </c>
      <c r="R512" s="319">
        <f t="shared" si="7"/>
        <v>-33575</v>
      </c>
      <c r="S512" s="319" t="str">
        <f>VLOOKUP(H512,'Fund Utilization Report'!$A$4:$U$1800,13,FALSE)</f>
        <v>PS</v>
      </c>
      <c r="T512" s="319" t="str">
        <f>VLOOKUP(H512,'Fund Utilization Report'!$A$4:$U$1800,2,FALSE)</f>
        <v>SAA15</v>
      </c>
      <c r="U512" s="319" t="str">
        <f>VLOOKUP(H512,'Fund Utilization Report'!$A$4:$U$1800,3,FALSE)</f>
        <v>2021-01-0015</v>
      </c>
      <c r="V512" s="319" t="str">
        <f>VLOOKUP(H512,'Fund Utilization Report'!$A$4:$U$1800,4,FALSE)</f>
        <v>CARP</v>
      </c>
      <c r="W512" s="319" t="str">
        <f>VLOOKUP(H512,'Fund Utilization Report'!$A$4:$U$1800,5,FALSE)</f>
        <v>01101101</v>
      </c>
      <c r="X512" s="319" t="str">
        <f>VLOOKUP(H512,'Fund Utilization Report'!$A$4:$U$1800,6,FALSE)</f>
        <v>GOP</v>
      </c>
      <c r="Y512" s="320">
        <f>VLOOKUP(H512,'Fund Utilization Report'!$A$4:$U$1800,7,FALSE)</f>
        <v>706</v>
      </c>
      <c r="Z512" s="321" t="str">
        <f>VLOOKUP(H512,'Fund Utilization Report'!$A$4:$U$1800,8,FALSE)</f>
        <v>50101020 00</v>
      </c>
      <c r="AA512" s="319" t="str">
        <f>VLOOKUP(H512,'Fund Utilization Report'!$A$4:$U$1800,14,FALSE)</f>
        <v>330100100003000</v>
      </c>
      <c r="AB512" s="349" t="str">
        <f>VLOOKUP(H512,'Fund Utilization Report'!$A$4:$U$1800,15,FALSE)</f>
        <v>MSME Development Program : Program Beneficiaries Development Component of the Comprehensive Agrarian Reform Program</v>
      </c>
      <c r="AC512" s="39"/>
      <c r="AD512" s="34"/>
      <c r="AE512" s="39"/>
      <c r="AF512" s="51"/>
      <c r="AG512" s="40"/>
      <c r="AH512" s="40"/>
    </row>
    <row r="513" spans="1:34" s="32" customFormat="1" ht="27.6">
      <c r="A513" s="338" t="s">
        <v>942</v>
      </c>
      <c r="B513" s="338" t="s">
        <v>945</v>
      </c>
      <c r="C513" s="358">
        <v>44237</v>
      </c>
      <c r="D513" s="351" t="s">
        <v>1028</v>
      </c>
      <c r="E513" s="352" t="s">
        <v>1124</v>
      </c>
      <c r="F513" s="338">
        <v>0.4770833333333333</v>
      </c>
      <c r="G513" s="338">
        <v>0.4826388888888889</v>
      </c>
      <c r="H513" s="338" t="s">
        <v>999</v>
      </c>
      <c r="I513" s="353">
        <v>711</v>
      </c>
      <c r="J513" s="338" t="str">
        <f>IFERROR(VLOOKUP(I513,'Chart of accounts'!A:H,2,FALSE),"")</f>
        <v>50102010 01</v>
      </c>
      <c r="K513" s="338" t="str">
        <f>IFERROR(VLOOKUP(I513,'Chart of accounts'!A:H,3,FALSE),"")</f>
        <v>PERA - Civilian</v>
      </c>
      <c r="L513" s="338" t="str">
        <f>IFERROR(VLOOKUP(I513,'Chart of accounts'!A:H,4,FALSE),"")</f>
        <v>50102010 01 - PERA - Civilian (711)</v>
      </c>
      <c r="M513" s="361">
        <v>85</v>
      </c>
      <c r="N513" s="355" t="s">
        <v>872</v>
      </c>
      <c r="O513" s="355" t="s">
        <v>1125</v>
      </c>
      <c r="P513" s="355"/>
      <c r="Q513" s="363">
        <v>2000</v>
      </c>
      <c r="R513" s="319">
        <f t="shared" si="7"/>
        <v>-2000</v>
      </c>
      <c r="S513" s="319" t="str">
        <f>VLOOKUP(H513,'Fund Utilization Report'!$A$4:$U$1800,13,FALSE)</f>
        <v>PS</v>
      </c>
      <c r="T513" s="319" t="str">
        <f>VLOOKUP(H513,'Fund Utilization Report'!$A$4:$U$1800,2,FALSE)</f>
        <v>SAA15</v>
      </c>
      <c r="U513" s="319" t="str">
        <f>VLOOKUP(H513,'Fund Utilization Report'!$A$4:$U$1800,3,FALSE)</f>
        <v>2021-01-0015</v>
      </c>
      <c r="V513" s="319" t="str">
        <f>VLOOKUP(H513,'Fund Utilization Report'!$A$4:$U$1800,4,FALSE)</f>
        <v>CARP</v>
      </c>
      <c r="W513" s="319" t="str">
        <f>VLOOKUP(H513,'Fund Utilization Report'!$A$4:$U$1800,5,FALSE)</f>
        <v>01101101</v>
      </c>
      <c r="X513" s="319" t="str">
        <f>VLOOKUP(H513,'Fund Utilization Report'!$A$4:$U$1800,6,FALSE)</f>
        <v>GOP</v>
      </c>
      <c r="Y513" s="320">
        <f>VLOOKUP(H513,'Fund Utilization Report'!$A$4:$U$1800,7,FALSE)</f>
        <v>706</v>
      </c>
      <c r="Z513" s="321" t="str">
        <f>VLOOKUP(H513,'Fund Utilization Report'!$A$4:$U$1800,8,FALSE)</f>
        <v>50101020 00</v>
      </c>
      <c r="AA513" s="319" t="str">
        <f>VLOOKUP(H513,'Fund Utilization Report'!$A$4:$U$1800,14,FALSE)</f>
        <v>330100100003000</v>
      </c>
      <c r="AB513" s="349" t="str">
        <f>VLOOKUP(H513,'Fund Utilization Report'!$A$4:$U$1800,15,FALSE)</f>
        <v>MSME Development Program : Program Beneficiaries Development Component of the Comprehensive Agrarian Reform Program</v>
      </c>
      <c r="AC513" s="39"/>
      <c r="AD513" s="34"/>
      <c r="AE513" s="39"/>
      <c r="AF513" s="51"/>
      <c r="AG513" s="40"/>
      <c r="AH513" s="40"/>
    </row>
    <row r="514" spans="1:34" s="32" customFormat="1" ht="27.6">
      <c r="A514" s="338" t="s">
        <v>942</v>
      </c>
      <c r="B514" s="338" t="s">
        <v>945</v>
      </c>
      <c r="C514" s="358">
        <v>44237</v>
      </c>
      <c r="D514" s="351" t="s">
        <v>1028</v>
      </c>
      <c r="E514" s="352" t="s">
        <v>1124</v>
      </c>
      <c r="F514" s="338">
        <v>0.4770833333333333</v>
      </c>
      <c r="G514" s="338">
        <v>0.4826388888888889</v>
      </c>
      <c r="H514" s="338" t="s">
        <v>999</v>
      </c>
      <c r="I514" s="353">
        <v>731</v>
      </c>
      <c r="J514" s="338" t="str">
        <f>IFERROR(VLOOKUP(I514,'Chart of accounts'!A:H,2,FALSE),"")</f>
        <v>50103010 00</v>
      </c>
      <c r="K514" s="338" t="str">
        <f>IFERROR(VLOOKUP(I514,'Chart of accounts'!A:H,3,FALSE),"")</f>
        <v>Retirement and Life Insurance Premiums</v>
      </c>
      <c r="L514" s="338" t="str">
        <f>IFERROR(VLOOKUP(I514,'Chart of accounts'!A:H,4,FALSE),"")</f>
        <v>50103010 00 - Retirement and Life Insurance Premiums (731)</v>
      </c>
      <c r="M514" s="361">
        <v>85</v>
      </c>
      <c r="N514" s="355" t="s">
        <v>872</v>
      </c>
      <c r="O514" s="355" t="s">
        <v>1125</v>
      </c>
      <c r="P514" s="355"/>
      <c r="Q514" s="363">
        <v>4029</v>
      </c>
      <c r="R514" s="319">
        <f t="shared" si="7"/>
        <v>-4029</v>
      </c>
      <c r="S514" s="319" t="str">
        <f>VLOOKUP(H514,'Fund Utilization Report'!$A$4:$U$1800,13,FALSE)</f>
        <v>PS</v>
      </c>
      <c r="T514" s="319" t="str">
        <f>VLOOKUP(H514,'Fund Utilization Report'!$A$4:$U$1800,2,FALSE)</f>
        <v>SAA15</v>
      </c>
      <c r="U514" s="319" t="str">
        <f>VLOOKUP(H514,'Fund Utilization Report'!$A$4:$U$1800,3,FALSE)</f>
        <v>2021-01-0015</v>
      </c>
      <c r="V514" s="319" t="str">
        <f>VLOOKUP(H514,'Fund Utilization Report'!$A$4:$U$1800,4,FALSE)</f>
        <v>CARP</v>
      </c>
      <c r="W514" s="319" t="str">
        <f>VLOOKUP(H514,'Fund Utilization Report'!$A$4:$U$1800,5,FALSE)</f>
        <v>01101101</v>
      </c>
      <c r="X514" s="319" t="str">
        <f>VLOOKUP(H514,'Fund Utilization Report'!$A$4:$U$1800,6,FALSE)</f>
        <v>GOP</v>
      </c>
      <c r="Y514" s="320">
        <f>VLOOKUP(H514,'Fund Utilization Report'!$A$4:$U$1800,7,FALSE)</f>
        <v>706</v>
      </c>
      <c r="Z514" s="321" t="str">
        <f>VLOOKUP(H514,'Fund Utilization Report'!$A$4:$U$1800,8,FALSE)</f>
        <v>50101020 00</v>
      </c>
      <c r="AA514" s="319" t="str">
        <f>VLOOKUP(H514,'Fund Utilization Report'!$A$4:$U$1800,14,FALSE)</f>
        <v>330100100003000</v>
      </c>
      <c r="AB514" s="349" t="str">
        <f>VLOOKUP(H514,'Fund Utilization Report'!$A$4:$U$1800,15,FALSE)</f>
        <v>MSME Development Program : Program Beneficiaries Development Component of the Comprehensive Agrarian Reform Program</v>
      </c>
      <c r="AC514" s="39"/>
      <c r="AD514" s="34"/>
      <c r="AE514" s="39"/>
      <c r="AF514" s="51"/>
      <c r="AG514" s="40"/>
      <c r="AH514" s="40"/>
    </row>
    <row r="515" spans="1:34" s="32" customFormat="1" ht="27.6">
      <c r="A515" s="338" t="s">
        <v>942</v>
      </c>
      <c r="B515" s="338" t="s">
        <v>945</v>
      </c>
      <c r="C515" s="358">
        <v>44237</v>
      </c>
      <c r="D515" s="351" t="s">
        <v>1028</v>
      </c>
      <c r="E515" s="352" t="s">
        <v>1124</v>
      </c>
      <c r="F515" s="338">
        <v>0.4770833333333333</v>
      </c>
      <c r="G515" s="338">
        <v>0.4826388888888889</v>
      </c>
      <c r="H515" s="338" t="s">
        <v>999</v>
      </c>
      <c r="I515" s="353">
        <v>732</v>
      </c>
      <c r="J515" s="338" t="str">
        <f>IFERROR(VLOOKUP(I515,'Chart of accounts'!A:H,2,FALSE),"")</f>
        <v>50103020 01</v>
      </c>
      <c r="K515" s="338" t="str">
        <f>IFERROR(VLOOKUP(I515,'Chart of accounts'!A:H,3,FALSE),"")</f>
        <v>Pag-IBIG - Civilian</v>
      </c>
      <c r="L515" s="338" t="str">
        <f>IFERROR(VLOOKUP(I515,'Chart of accounts'!A:H,4,FALSE),"")</f>
        <v>50103020 01 - Pag-IBIG - Civilian (732)</v>
      </c>
      <c r="M515" s="361">
        <v>85</v>
      </c>
      <c r="N515" s="355" t="s">
        <v>872</v>
      </c>
      <c r="O515" s="355" t="s">
        <v>1125</v>
      </c>
      <c r="P515" s="355"/>
      <c r="Q515" s="363">
        <v>100</v>
      </c>
      <c r="R515" s="319">
        <f t="shared" si="7"/>
        <v>-100</v>
      </c>
      <c r="S515" s="319" t="str">
        <f>VLOOKUP(H515,'Fund Utilization Report'!$A$4:$U$1800,13,FALSE)</f>
        <v>PS</v>
      </c>
      <c r="T515" s="319" t="str">
        <f>VLOOKUP(H515,'Fund Utilization Report'!$A$4:$U$1800,2,FALSE)</f>
        <v>SAA15</v>
      </c>
      <c r="U515" s="319" t="str">
        <f>VLOOKUP(H515,'Fund Utilization Report'!$A$4:$U$1800,3,FALSE)</f>
        <v>2021-01-0015</v>
      </c>
      <c r="V515" s="319" t="str">
        <f>VLOOKUP(H515,'Fund Utilization Report'!$A$4:$U$1800,4,FALSE)</f>
        <v>CARP</v>
      </c>
      <c r="W515" s="319" t="str">
        <f>VLOOKUP(H515,'Fund Utilization Report'!$A$4:$U$1800,5,FALSE)</f>
        <v>01101101</v>
      </c>
      <c r="X515" s="319" t="str">
        <f>VLOOKUP(H515,'Fund Utilization Report'!$A$4:$U$1800,6,FALSE)</f>
        <v>GOP</v>
      </c>
      <c r="Y515" s="320">
        <f>VLOOKUP(H515,'Fund Utilization Report'!$A$4:$U$1800,7,FALSE)</f>
        <v>706</v>
      </c>
      <c r="Z515" s="321" t="str">
        <f>VLOOKUP(H515,'Fund Utilization Report'!$A$4:$U$1800,8,FALSE)</f>
        <v>50101020 00</v>
      </c>
      <c r="AA515" s="319" t="str">
        <f>VLOOKUP(H515,'Fund Utilization Report'!$A$4:$U$1800,14,FALSE)</f>
        <v>330100100003000</v>
      </c>
      <c r="AB515" s="349" t="str">
        <f>VLOOKUP(H515,'Fund Utilization Report'!$A$4:$U$1800,15,FALSE)</f>
        <v>MSME Development Program : Program Beneficiaries Development Component of the Comprehensive Agrarian Reform Program</v>
      </c>
      <c r="AC515" s="39"/>
      <c r="AD515" s="34"/>
      <c r="AE515" s="39"/>
      <c r="AF515" s="51"/>
      <c r="AG515" s="40"/>
      <c r="AH515" s="40"/>
    </row>
    <row r="516" spans="1:34" s="32" customFormat="1" ht="27.6">
      <c r="A516" s="338" t="s">
        <v>942</v>
      </c>
      <c r="B516" s="338" t="s">
        <v>945</v>
      </c>
      <c r="C516" s="358">
        <v>44237</v>
      </c>
      <c r="D516" s="351" t="s">
        <v>1028</v>
      </c>
      <c r="E516" s="352" t="s">
        <v>1124</v>
      </c>
      <c r="F516" s="338">
        <v>0.4770833333333333</v>
      </c>
      <c r="G516" s="338">
        <v>0.4826388888888889</v>
      </c>
      <c r="H516" s="338" t="s">
        <v>999</v>
      </c>
      <c r="I516" s="353">
        <v>733</v>
      </c>
      <c r="J516" s="338" t="str">
        <f>IFERROR(VLOOKUP(I516,'Chart of accounts'!A:H,2,FALSE),"")</f>
        <v>50103030 01</v>
      </c>
      <c r="K516" s="338" t="str">
        <f>IFERROR(VLOOKUP(I516,'Chart of accounts'!A:H,3,FALSE),"")</f>
        <v>PhilHealth - Civilian</v>
      </c>
      <c r="L516" s="338" t="str">
        <f>IFERROR(VLOOKUP(I516,'Chart of accounts'!A:H,4,FALSE),"")</f>
        <v>50103030 01 - PhilHealth - Civilian (733)</v>
      </c>
      <c r="M516" s="361">
        <v>85</v>
      </c>
      <c r="N516" s="355" t="s">
        <v>872</v>
      </c>
      <c r="O516" s="355" t="s">
        <v>1125</v>
      </c>
      <c r="P516" s="355"/>
      <c r="Q516" s="363">
        <v>503.63</v>
      </c>
      <c r="R516" s="319">
        <f t="shared" si="7"/>
        <v>-503.63</v>
      </c>
      <c r="S516" s="319" t="str">
        <f>VLOOKUP(H516,'Fund Utilization Report'!$A$4:$U$1800,13,FALSE)</f>
        <v>PS</v>
      </c>
      <c r="T516" s="319" t="str">
        <f>VLOOKUP(H516,'Fund Utilization Report'!$A$4:$U$1800,2,FALSE)</f>
        <v>SAA15</v>
      </c>
      <c r="U516" s="319" t="str">
        <f>VLOOKUP(H516,'Fund Utilization Report'!$A$4:$U$1800,3,FALSE)</f>
        <v>2021-01-0015</v>
      </c>
      <c r="V516" s="319" t="str">
        <f>VLOOKUP(H516,'Fund Utilization Report'!$A$4:$U$1800,4,FALSE)</f>
        <v>CARP</v>
      </c>
      <c r="W516" s="319" t="str">
        <f>VLOOKUP(H516,'Fund Utilization Report'!$A$4:$U$1800,5,FALSE)</f>
        <v>01101101</v>
      </c>
      <c r="X516" s="319" t="str">
        <f>VLOOKUP(H516,'Fund Utilization Report'!$A$4:$U$1800,6,FALSE)</f>
        <v>GOP</v>
      </c>
      <c r="Y516" s="320">
        <f>VLOOKUP(H516,'Fund Utilization Report'!$A$4:$U$1800,7,FALSE)</f>
        <v>706</v>
      </c>
      <c r="Z516" s="321" t="str">
        <f>VLOOKUP(H516,'Fund Utilization Report'!$A$4:$U$1800,8,FALSE)</f>
        <v>50101020 00</v>
      </c>
      <c r="AA516" s="319" t="str">
        <f>VLOOKUP(H516,'Fund Utilization Report'!$A$4:$U$1800,14,FALSE)</f>
        <v>330100100003000</v>
      </c>
      <c r="AB516" s="349" t="str">
        <f>VLOOKUP(H516,'Fund Utilization Report'!$A$4:$U$1800,15,FALSE)</f>
        <v>MSME Development Program : Program Beneficiaries Development Component of the Comprehensive Agrarian Reform Program</v>
      </c>
      <c r="AC516" s="39"/>
      <c r="AD516" s="34"/>
      <c r="AE516" s="39"/>
      <c r="AF516" s="51"/>
      <c r="AG516" s="40"/>
      <c r="AH516" s="40"/>
    </row>
    <row r="517" spans="1:34" s="32" customFormat="1" ht="27.6">
      <c r="A517" s="338" t="s">
        <v>942</v>
      </c>
      <c r="B517" s="338" t="s">
        <v>945</v>
      </c>
      <c r="C517" s="358">
        <v>44237</v>
      </c>
      <c r="D517" s="351" t="s">
        <v>1028</v>
      </c>
      <c r="E517" s="352" t="s">
        <v>1124</v>
      </c>
      <c r="F517" s="338">
        <v>0.4770833333333333</v>
      </c>
      <c r="G517" s="338">
        <v>0.4826388888888889</v>
      </c>
      <c r="H517" s="338" t="s">
        <v>999</v>
      </c>
      <c r="I517" s="353">
        <v>734</v>
      </c>
      <c r="J517" s="338" t="str">
        <f>IFERROR(VLOOKUP(I517,'Chart of accounts'!A:H,2,FALSE),"")</f>
        <v>50103040 01</v>
      </c>
      <c r="K517" s="338" t="str">
        <f>IFERROR(VLOOKUP(I517,'Chart of accounts'!A:H,3,FALSE),"")</f>
        <v>ECIP - Civilian</v>
      </c>
      <c r="L517" s="338" t="str">
        <f>IFERROR(VLOOKUP(I517,'Chart of accounts'!A:H,4,FALSE),"")</f>
        <v>50103040 01 - ECIP - Civilian (734)</v>
      </c>
      <c r="M517" s="361">
        <v>85</v>
      </c>
      <c r="N517" s="355" t="s">
        <v>872</v>
      </c>
      <c r="O517" s="355" t="s">
        <v>1125</v>
      </c>
      <c r="P517" s="355"/>
      <c r="Q517" s="363">
        <v>100</v>
      </c>
      <c r="R517" s="319">
        <f t="shared" si="7"/>
        <v>-100</v>
      </c>
      <c r="S517" s="319" t="str">
        <f>VLOOKUP(H517,'Fund Utilization Report'!$A$4:$U$1800,13,FALSE)</f>
        <v>PS</v>
      </c>
      <c r="T517" s="319" t="str">
        <f>VLOOKUP(H517,'Fund Utilization Report'!$A$4:$U$1800,2,FALSE)</f>
        <v>SAA15</v>
      </c>
      <c r="U517" s="319" t="str">
        <f>VLOOKUP(H517,'Fund Utilization Report'!$A$4:$U$1800,3,FALSE)</f>
        <v>2021-01-0015</v>
      </c>
      <c r="V517" s="319" t="str">
        <f>VLOOKUP(H517,'Fund Utilization Report'!$A$4:$U$1800,4,FALSE)</f>
        <v>CARP</v>
      </c>
      <c r="W517" s="319" t="str">
        <f>VLOOKUP(H517,'Fund Utilization Report'!$A$4:$U$1800,5,FALSE)</f>
        <v>01101101</v>
      </c>
      <c r="X517" s="319" t="str">
        <f>VLOOKUP(H517,'Fund Utilization Report'!$A$4:$U$1800,6,FALSE)</f>
        <v>GOP</v>
      </c>
      <c r="Y517" s="320">
        <f>VLOOKUP(H517,'Fund Utilization Report'!$A$4:$U$1800,7,FALSE)</f>
        <v>706</v>
      </c>
      <c r="Z517" s="321" t="str">
        <f>VLOOKUP(H517,'Fund Utilization Report'!$A$4:$U$1800,8,FALSE)</f>
        <v>50101020 00</v>
      </c>
      <c r="AA517" s="319" t="str">
        <f>VLOOKUP(H517,'Fund Utilization Report'!$A$4:$U$1800,14,FALSE)</f>
        <v>330100100003000</v>
      </c>
      <c r="AB517" s="349" t="str">
        <f>VLOOKUP(H517,'Fund Utilization Report'!$A$4:$U$1800,15,FALSE)</f>
        <v>MSME Development Program : Program Beneficiaries Development Component of the Comprehensive Agrarian Reform Program</v>
      </c>
      <c r="AC517" s="39"/>
      <c r="AD517" s="34"/>
      <c r="AE517" s="39"/>
      <c r="AF517" s="51"/>
      <c r="AG517" s="40"/>
      <c r="AH517" s="40"/>
    </row>
    <row r="518" spans="1:34" s="32" customFormat="1" ht="27.6">
      <c r="A518" s="338" t="s">
        <v>942</v>
      </c>
      <c r="B518" s="338" t="s">
        <v>945</v>
      </c>
      <c r="C518" s="358">
        <v>44237</v>
      </c>
      <c r="D518" s="351" t="s">
        <v>1028</v>
      </c>
      <c r="E518" s="352" t="s">
        <v>1126</v>
      </c>
      <c r="F518" s="338">
        <v>0.49236111111111108</v>
      </c>
      <c r="G518" s="338">
        <v>0.49236111111111108</v>
      </c>
      <c r="H518" s="338" t="s">
        <v>999</v>
      </c>
      <c r="I518" s="353">
        <v>706</v>
      </c>
      <c r="J518" s="338" t="str">
        <f>IFERROR(VLOOKUP(I518,'Chart of accounts'!A:H,2,FALSE),"")</f>
        <v>50101020 00</v>
      </c>
      <c r="K518" s="338" t="str">
        <f>IFERROR(VLOOKUP(I518,'Chart of accounts'!A:H,3,FALSE),"")</f>
        <v>Basic Salary - Contractual</v>
      </c>
      <c r="L518" s="338" t="str">
        <f>IFERROR(VLOOKUP(I518,'Chart of accounts'!A:H,4,FALSE),"")</f>
        <v>50101020 00 - Basic Salary - Contractual (706)</v>
      </c>
      <c r="M518" s="361">
        <v>1</v>
      </c>
      <c r="N518" s="355" t="s">
        <v>863</v>
      </c>
      <c r="O518" s="355" t="s">
        <v>1125</v>
      </c>
      <c r="P518" s="355"/>
      <c r="Q518" s="363">
        <v>43681</v>
      </c>
      <c r="R518" s="319">
        <f t="shared" si="7"/>
        <v>-43681</v>
      </c>
      <c r="S518" s="319" t="str">
        <f>VLOOKUP(H518,'Fund Utilization Report'!$A$4:$U$1800,13,FALSE)</f>
        <v>PS</v>
      </c>
      <c r="T518" s="319" t="str">
        <f>VLOOKUP(H518,'Fund Utilization Report'!$A$4:$U$1800,2,FALSE)</f>
        <v>SAA15</v>
      </c>
      <c r="U518" s="319" t="str">
        <f>VLOOKUP(H518,'Fund Utilization Report'!$A$4:$U$1800,3,FALSE)</f>
        <v>2021-01-0015</v>
      </c>
      <c r="V518" s="319" t="str">
        <f>VLOOKUP(H518,'Fund Utilization Report'!$A$4:$U$1800,4,FALSE)</f>
        <v>CARP</v>
      </c>
      <c r="W518" s="319" t="str">
        <f>VLOOKUP(H518,'Fund Utilization Report'!$A$4:$U$1800,5,FALSE)</f>
        <v>01101101</v>
      </c>
      <c r="X518" s="319" t="str">
        <f>VLOOKUP(H518,'Fund Utilization Report'!$A$4:$U$1800,6,FALSE)</f>
        <v>GOP</v>
      </c>
      <c r="Y518" s="320">
        <f>VLOOKUP(H518,'Fund Utilization Report'!$A$4:$U$1800,7,FALSE)</f>
        <v>706</v>
      </c>
      <c r="Z518" s="321" t="str">
        <f>VLOOKUP(H518,'Fund Utilization Report'!$A$4:$U$1800,8,FALSE)</f>
        <v>50101020 00</v>
      </c>
      <c r="AA518" s="319" t="str">
        <f>VLOOKUP(H518,'Fund Utilization Report'!$A$4:$U$1800,14,FALSE)</f>
        <v>330100100003000</v>
      </c>
      <c r="AB518" s="349" t="str">
        <f>VLOOKUP(H518,'Fund Utilization Report'!$A$4:$U$1800,15,FALSE)</f>
        <v>MSME Development Program : Program Beneficiaries Development Component of the Comprehensive Agrarian Reform Program</v>
      </c>
      <c r="AC518" s="39"/>
      <c r="AD518" s="34"/>
      <c r="AE518" s="39"/>
      <c r="AF518" s="51"/>
      <c r="AG518" s="40"/>
      <c r="AH518" s="40"/>
    </row>
    <row r="519" spans="1:34" s="32" customFormat="1" ht="27.6">
      <c r="A519" s="338" t="s">
        <v>942</v>
      </c>
      <c r="B519" s="338" t="s">
        <v>945</v>
      </c>
      <c r="C519" s="358">
        <v>44237</v>
      </c>
      <c r="D519" s="351" t="s">
        <v>1028</v>
      </c>
      <c r="E519" s="352" t="s">
        <v>1126</v>
      </c>
      <c r="F519" s="338">
        <v>0.49236111111111108</v>
      </c>
      <c r="G519" s="338">
        <v>0.49236111111111108</v>
      </c>
      <c r="H519" s="338" t="s">
        <v>999</v>
      </c>
      <c r="I519" s="353">
        <v>711</v>
      </c>
      <c r="J519" s="338" t="str">
        <f>IFERROR(VLOOKUP(I519,'Chart of accounts'!A:H,2,FALSE),"")</f>
        <v>50102010 01</v>
      </c>
      <c r="K519" s="338" t="str">
        <f>IFERROR(VLOOKUP(I519,'Chart of accounts'!A:H,3,FALSE),"")</f>
        <v>PERA - Civilian</v>
      </c>
      <c r="L519" s="338" t="str">
        <f>IFERROR(VLOOKUP(I519,'Chart of accounts'!A:H,4,FALSE),"")</f>
        <v>50102010 01 - PERA - Civilian (711)</v>
      </c>
      <c r="M519" s="361">
        <v>1</v>
      </c>
      <c r="N519" s="355" t="s">
        <v>863</v>
      </c>
      <c r="O519" s="355" t="s">
        <v>1125</v>
      </c>
      <c r="P519" s="355"/>
      <c r="Q519" s="363">
        <v>2000</v>
      </c>
      <c r="R519" s="319">
        <f t="shared" si="7"/>
        <v>-2000</v>
      </c>
      <c r="S519" s="319" t="str">
        <f>VLOOKUP(H519,'Fund Utilization Report'!$A$4:$U$1800,13,FALSE)</f>
        <v>PS</v>
      </c>
      <c r="T519" s="319" t="str">
        <f>VLOOKUP(H519,'Fund Utilization Report'!$A$4:$U$1800,2,FALSE)</f>
        <v>SAA15</v>
      </c>
      <c r="U519" s="319" t="str">
        <f>VLOOKUP(H519,'Fund Utilization Report'!$A$4:$U$1800,3,FALSE)</f>
        <v>2021-01-0015</v>
      </c>
      <c r="V519" s="319" t="str">
        <f>VLOOKUP(H519,'Fund Utilization Report'!$A$4:$U$1800,4,FALSE)</f>
        <v>CARP</v>
      </c>
      <c r="W519" s="319" t="str">
        <f>VLOOKUP(H519,'Fund Utilization Report'!$A$4:$U$1800,5,FALSE)</f>
        <v>01101101</v>
      </c>
      <c r="X519" s="319" t="str">
        <f>VLOOKUP(H519,'Fund Utilization Report'!$A$4:$U$1800,6,FALSE)</f>
        <v>GOP</v>
      </c>
      <c r="Y519" s="320">
        <f>VLOOKUP(H519,'Fund Utilization Report'!$A$4:$U$1800,7,FALSE)</f>
        <v>706</v>
      </c>
      <c r="Z519" s="321" t="str">
        <f>VLOOKUP(H519,'Fund Utilization Report'!$A$4:$U$1800,8,FALSE)</f>
        <v>50101020 00</v>
      </c>
      <c r="AA519" s="319" t="str">
        <f>VLOOKUP(H519,'Fund Utilization Report'!$A$4:$U$1800,14,FALSE)</f>
        <v>330100100003000</v>
      </c>
      <c r="AB519" s="349" t="str">
        <f>VLOOKUP(H519,'Fund Utilization Report'!$A$4:$U$1800,15,FALSE)</f>
        <v>MSME Development Program : Program Beneficiaries Development Component of the Comprehensive Agrarian Reform Program</v>
      </c>
      <c r="AC519" s="39"/>
      <c r="AD519" s="34"/>
      <c r="AE519" s="39"/>
      <c r="AF519" s="51"/>
      <c r="AG519" s="40"/>
      <c r="AH519" s="40"/>
    </row>
    <row r="520" spans="1:34" s="32" customFormat="1" ht="27.6">
      <c r="A520" s="338" t="s">
        <v>942</v>
      </c>
      <c r="B520" s="338" t="s">
        <v>945</v>
      </c>
      <c r="C520" s="358">
        <v>44237</v>
      </c>
      <c r="D520" s="351" t="s">
        <v>1028</v>
      </c>
      <c r="E520" s="352" t="s">
        <v>1126</v>
      </c>
      <c r="F520" s="338">
        <v>0.49236111111111108</v>
      </c>
      <c r="G520" s="338">
        <v>0.49236111111111108</v>
      </c>
      <c r="H520" s="338" t="s">
        <v>999</v>
      </c>
      <c r="I520" s="353">
        <v>731</v>
      </c>
      <c r="J520" s="338" t="str">
        <f>IFERROR(VLOOKUP(I520,'Chart of accounts'!A:H,2,FALSE),"")</f>
        <v>50103010 00</v>
      </c>
      <c r="K520" s="338" t="str">
        <f>IFERROR(VLOOKUP(I520,'Chart of accounts'!A:H,3,FALSE),"")</f>
        <v>Retirement and Life Insurance Premiums</v>
      </c>
      <c r="L520" s="338" t="str">
        <f>IFERROR(VLOOKUP(I520,'Chart of accounts'!A:H,4,FALSE),"")</f>
        <v>50103010 00 - Retirement and Life Insurance Premiums (731)</v>
      </c>
      <c r="M520" s="361">
        <v>1</v>
      </c>
      <c r="N520" s="355" t="s">
        <v>863</v>
      </c>
      <c r="O520" s="355" t="s">
        <v>1125</v>
      </c>
      <c r="P520" s="355"/>
      <c r="Q520" s="363">
        <v>5241.72</v>
      </c>
      <c r="R520" s="319">
        <f t="shared" si="7"/>
        <v>-5241.72</v>
      </c>
      <c r="S520" s="319" t="str">
        <f>VLOOKUP(H520,'Fund Utilization Report'!$A$4:$U$1800,13,FALSE)</f>
        <v>PS</v>
      </c>
      <c r="T520" s="319" t="str">
        <f>VLOOKUP(H520,'Fund Utilization Report'!$A$4:$U$1800,2,FALSE)</f>
        <v>SAA15</v>
      </c>
      <c r="U520" s="319" t="str">
        <f>VLOOKUP(H520,'Fund Utilization Report'!$A$4:$U$1800,3,FALSE)</f>
        <v>2021-01-0015</v>
      </c>
      <c r="V520" s="319" t="str">
        <f>VLOOKUP(H520,'Fund Utilization Report'!$A$4:$U$1800,4,FALSE)</f>
        <v>CARP</v>
      </c>
      <c r="W520" s="319" t="str">
        <f>VLOOKUP(H520,'Fund Utilization Report'!$A$4:$U$1800,5,FALSE)</f>
        <v>01101101</v>
      </c>
      <c r="X520" s="319" t="str">
        <f>VLOOKUP(H520,'Fund Utilization Report'!$A$4:$U$1800,6,FALSE)</f>
        <v>GOP</v>
      </c>
      <c r="Y520" s="320">
        <f>VLOOKUP(H520,'Fund Utilization Report'!$A$4:$U$1800,7,FALSE)</f>
        <v>706</v>
      </c>
      <c r="Z520" s="321" t="str">
        <f>VLOOKUP(H520,'Fund Utilization Report'!$A$4:$U$1800,8,FALSE)</f>
        <v>50101020 00</v>
      </c>
      <c r="AA520" s="319" t="str">
        <f>VLOOKUP(H520,'Fund Utilization Report'!$A$4:$U$1800,14,FALSE)</f>
        <v>330100100003000</v>
      </c>
      <c r="AB520" s="349" t="str">
        <f>VLOOKUP(H520,'Fund Utilization Report'!$A$4:$U$1800,15,FALSE)</f>
        <v>MSME Development Program : Program Beneficiaries Development Component of the Comprehensive Agrarian Reform Program</v>
      </c>
      <c r="AC520" s="39"/>
      <c r="AD520" s="34"/>
      <c r="AE520" s="39"/>
      <c r="AF520" s="51"/>
      <c r="AG520" s="40"/>
      <c r="AH520" s="40"/>
    </row>
    <row r="521" spans="1:34" s="32" customFormat="1" ht="27.6">
      <c r="A521" s="338" t="s">
        <v>942</v>
      </c>
      <c r="B521" s="338" t="s">
        <v>945</v>
      </c>
      <c r="C521" s="358">
        <v>44237</v>
      </c>
      <c r="D521" s="351" t="s">
        <v>1028</v>
      </c>
      <c r="E521" s="352" t="s">
        <v>1126</v>
      </c>
      <c r="F521" s="338">
        <v>0.49236111111111108</v>
      </c>
      <c r="G521" s="338">
        <v>0.49236111111111108</v>
      </c>
      <c r="H521" s="338" t="s">
        <v>999</v>
      </c>
      <c r="I521" s="353">
        <v>732</v>
      </c>
      <c r="J521" s="338" t="str">
        <f>IFERROR(VLOOKUP(I521,'Chart of accounts'!A:H,2,FALSE),"")</f>
        <v>50103020 01</v>
      </c>
      <c r="K521" s="338" t="str">
        <f>IFERROR(VLOOKUP(I521,'Chart of accounts'!A:H,3,FALSE),"")</f>
        <v>Pag-IBIG - Civilian</v>
      </c>
      <c r="L521" s="338" t="str">
        <f>IFERROR(VLOOKUP(I521,'Chart of accounts'!A:H,4,FALSE),"")</f>
        <v>50103020 01 - Pag-IBIG - Civilian (732)</v>
      </c>
      <c r="M521" s="361">
        <v>1</v>
      </c>
      <c r="N521" s="355" t="s">
        <v>863</v>
      </c>
      <c r="O521" s="355" t="s">
        <v>1125</v>
      </c>
      <c r="P521" s="355"/>
      <c r="Q521" s="363">
        <v>100</v>
      </c>
      <c r="R521" s="319">
        <f t="shared" si="7"/>
        <v>-100</v>
      </c>
      <c r="S521" s="319" t="str">
        <f>VLOOKUP(H521,'Fund Utilization Report'!$A$4:$U$1800,13,FALSE)</f>
        <v>PS</v>
      </c>
      <c r="T521" s="319" t="str">
        <f>VLOOKUP(H521,'Fund Utilization Report'!$A$4:$U$1800,2,FALSE)</f>
        <v>SAA15</v>
      </c>
      <c r="U521" s="319" t="str">
        <f>VLOOKUP(H521,'Fund Utilization Report'!$A$4:$U$1800,3,FALSE)</f>
        <v>2021-01-0015</v>
      </c>
      <c r="V521" s="319" t="str">
        <f>VLOOKUP(H521,'Fund Utilization Report'!$A$4:$U$1800,4,FALSE)</f>
        <v>CARP</v>
      </c>
      <c r="W521" s="319" t="str">
        <f>VLOOKUP(H521,'Fund Utilization Report'!$A$4:$U$1800,5,FALSE)</f>
        <v>01101101</v>
      </c>
      <c r="X521" s="319" t="str">
        <f>VLOOKUP(H521,'Fund Utilization Report'!$A$4:$U$1800,6,FALSE)</f>
        <v>GOP</v>
      </c>
      <c r="Y521" s="320">
        <f>VLOOKUP(H521,'Fund Utilization Report'!$A$4:$U$1800,7,FALSE)</f>
        <v>706</v>
      </c>
      <c r="Z521" s="321" t="str">
        <f>VLOOKUP(H521,'Fund Utilization Report'!$A$4:$U$1800,8,FALSE)</f>
        <v>50101020 00</v>
      </c>
      <c r="AA521" s="319" t="str">
        <f>VLOOKUP(H521,'Fund Utilization Report'!$A$4:$U$1800,14,FALSE)</f>
        <v>330100100003000</v>
      </c>
      <c r="AB521" s="349" t="str">
        <f>VLOOKUP(H521,'Fund Utilization Report'!$A$4:$U$1800,15,FALSE)</f>
        <v>MSME Development Program : Program Beneficiaries Development Component of the Comprehensive Agrarian Reform Program</v>
      </c>
      <c r="AC521" s="39"/>
      <c r="AD521" s="34"/>
      <c r="AE521" s="39"/>
      <c r="AF521" s="51"/>
      <c r="AG521" s="40"/>
      <c r="AH521" s="40"/>
    </row>
    <row r="522" spans="1:34" s="32" customFormat="1" ht="27.6">
      <c r="A522" s="338" t="s">
        <v>942</v>
      </c>
      <c r="B522" s="338" t="s">
        <v>945</v>
      </c>
      <c r="C522" s="358">
        <v>44237</v>
      </c>
      <c r="D522" s="351" t="s">
        <v>1028</v>
      </c>
      <c r="E522" s="352" t="s">
        <v>1126</v>
      </c>
      <c r="F522" s="338">
        <v>0.49236111111111108</v>
      </c>
      <c r="G522" s="338">
        <v>0.49236111111111108</v>
      </c>
      <c r="H522" s="338" t="s">
        <v>999</v>
      </c>
      <c r="I522" s="353">
        <v>733</v>
      </c>
      <c r="J522" s="338" t="str">
        <f>IFERROR(VLOOKUP(I522,'Chart of accounts'!A:H,2,FALSE),"")</f>
        <v>50103030 01</v>
      </c>
      <c r="K522" s="338" t="str">
        <f>IFERROR(VLOOKUP(I522,'Chart of accounts'!A:H,3,FALSE),"")</f>
        <v>PhilHealth - Civilian</v>
      </c>
      <c r="L522" s="338" t="str">
        <f>IFERROR(VLOOKUP(I522,'Chart of accounts'!A:H,4,FALSE),"")</f>
        <v>50103030 01 - PhilHealth - Civilian (733)</v>
      </c>
      <c r="M522" s="361">
        <v>1</v>
      </c>
      <c r="N522" s="355" t="s">
        <v>863</v>
      </c>
      <c r="O522" s="355" t="s">
        <v>1125</v>
      </c>
      <c r="P522" s="355"/>
      <c r="Q522" s="363">
        <v>655.21</v>
      </c>
      <c r="R522" s="319">
        <f t="shared" si="7"/>
        <v>-655.21</v>
      </c>
      <c r="S522" s="319" t="str">
        <f>VLOOKUP(H522,'Fund Utilization Report'!$A$4:$U$1800,13,FALSE)</f>
        <v>PS</v>
      </c>
      <c r="T522" s="319" t="str">
        <f>VLOOKUP(H522,'Fund Utilization Report'!$A$4:$U$1800,2,FALSE)</f>
        <v>SAA15</v>
      </c>
      <c r="U522" s="319" t="str">
        <f>VLOOKUP(H522,'Fund Utilization Report'!$A$4:$U$1800,3,FALSE)</f>
        <v>2021-01-0015</v>
      </c>
      <c r="V522" s="319" t="str">
        <f>VLOOKUP(H522,'Fund Utilization Report'!$A$4:$U$1800,4,FALSE)</f>
        <v>CARP</v>
      </c>
      <c r="W522" s="319" t="str">
        <f>VLOOKUP(H522,'Fund Utilization Report'!$A$4:$U$1800,5,FALSE)</f>
        <v>01101101</v>
      </c>
      <c r="X522" s="319" t="str">
        <f>VLOOKUP(H522,'Fund Utilization Report'!$A$4:$U$1800,6,FALSE)</f>
        <v>GOP</v>
      </c>
      <c r="Y522" s="320">
        <f>VLOOKUP(H522,'Fund Utilization Report'!$A$4:$U$1800,7,FALSE)</f>
        <v>706</v>
      </c>
      <c r="Z522" s="321" t="str">
        <f>VLOOKUP(H522,'Fund Utilization Report'!$A$4:$U$1800,8,FALSE)</f>
        <v>50101020 00</v>
      </c>
      <c r="AA522" s="319" t="str">
        <f>VLOOKUP(H522,'Fund Utilization Report'!$A$4:$U$1800,14,FALSE)</f>
        <v>330100100003000</v>
      </c>
      <c r="AB522" s="349" t="str">
        <f>VLOOKUP(H522,'Fund Utilization Report'!$A$4:$U$1800,15,FALSE)</f>
        <v>MSME Development Program : Program Beneficiaries Development Component of the Comprehensive Agrarian Reform Program</v>
      </c>
      <c r="AC522" s="39"/>
      <c r="AD522" s="34"/>
      <c r="AE522" s="39"/>
      <c r="AF522" s="51"/>
      <c r="AG522" s="40"/>
      <c r="AH522" s="40"/>
    </row>
    <row r="523" spans="1:34" s="32" customFormat="1" ht="27.6">
      <c r="A523" s="338" t="s">
        <v>942</v>
      </c>
      <c r="B523" s="338" t="s">
        <v>945</v>
      </c>
      <c r="C523" s="358">
        <v>44237</v>
      </c>
      <c r="D523" s="351" t="s">
        <v>1028</v>
      </c>
      <c r="E523" s="352" t="s">
        <v>1126</v>
      </c>
      <c r="F523" s="338">
        <v>0.49236111111111108</v>
      </c>
      <c r="G523" s="338">
        <v>0.49236111111111108</v>
      </c>
      <c r="H523" s="338" t="s">
        <v>999</v>
      </c>
      <c r="I523" s="353">
        <v>734</v>
      </c>
      <c r="J523" s="338" t="str">
        <f>IFERROR(VLOOKUP(I523,'Chart of accounts'!A:H,2,FALSE),"")</f>
        <v>50103040 01</v>
      </c>
      <c r="K523" s="338" t="str">
        <f>IFERROR(VLOOKUP(I523,'Chart of accounts'!A:H,3,FALSE),"")</f>
        <v>ECIP - Civilian</v>
      </c>
      <c r="L523" s="338" t="str">
        <f>IFERROR(VLOOKUP(I523,'Chart of accounts'!A:H,4,FALSE),"")</f>
        <v>50103040 01 - ECIP - Civilian (734)</v>
      </c>
      <c r="M523" s="361">
        <v>1</v>
      </c>
      <c r="N523" s="355" t="s">
        <v>863</v>
      </c>
      <c r="O523" s="355" t="s">
        <v>1125</v>
      </c>
      <c r="P523" s="355"/>
      <c r="Q523" s="363">
        <v>100</v>
      </c>
      <c r="R523" s="319">
        <f t="shared" si="7"/>
        <v>-100</v>
      </c>
      <c r="S523" s="319" t="str">
        <f>VLOOKUP(H523,'Fund Utilization Report'!$A$4:$U$1800,13,FALSE)</f>
        <v>PS</v>
      </c>
      <c r="T523" s="319" t="str">
        <f>VLOOKUP(H523,'Fund Utilization Report'!$A$4:$U$1800,2,FALSE)</f>
        <v>SAA15</v>
      </c>
      <c r="U523" s="319" t="str">
        <f>VLOOKUP(H523,'Fund Utilization Report'!$A$4:$U$1800,3,FALSE)</f>
        <v>2021-01-0015</v>
      </c>
      <c r="V523" s="319" t="str">
        <f>VLOOKUP(H523,'Fund Utilization Report'!$A$4:$U$1800,4,FALSE)</f>
        <v>CARP</v>
      </c>
      <c r="W523" s="319" t="str">
        <f>VLOOKUP(H523,'Fund Utilization Report'!$A$4:$U$1800,5,FALSE)</f>
        <v>01101101</v>
      </c>
      <c r="X523" s="319" t="str">
        <f>VLOOKUP(H523,'Fund Utilization Report'!$A$4:$U$1800,6,FALSE)</f>
        <v>GOP</v>
      </c>
      <c r="Y523" s="320">
        <f>VLOOKUP(H523,'Fund Utilization Report'!$A$4:$U$1800,7,FALSE)</f>
        <v>706</v>
      </c>
      <c r="Z523" s="321" t="str">
        <f>VLOOKUP(H523,'Fund Utilization Report'!$A$4:$U$1800,8,FALSE)</f>
        <v>50101020 00</v>
      </c>
      <c r="AA523" s="319" t="str">
        <f>VLOOKUP(H523,'Fund Utilization Report'!$A$4:$U$1800,14,FALSE)</f>
        <v>330100100003000</v>
      </c>
      <c r="AB523" s="349" t="str">
        <f>VLOOKUP(H523,'Fund Utilization Report'!$A$4:$U$1800,15,FALSE)</f>
        <v>MSME Development Program : Program Beneficiaries Development Component of the Comprehensive Agrarian Reform Program</v>
      </c>
      <c r="AC523" s="39"/>
      <c r="AD523" s="34"/>
      <c r="AE523" s="39"/>
      <c r="AF523" s="51"/>
      <c r="AG523" s="40"/>
      <c r="AH523" s="40"/>
    </row>
    <row r="524" spans="1:34" s="411" customFormat="1">
      <c r="A524" s="405" t="s">
        <v>942</v>
      </c>
      <c r="B524" s="405" t="s">
        <v>945</v>
      </c>
      <c r="C524" s="402">
        <v>44237</v>
      </c>
      <c r="D524" s="403" t="s">
        <v>1028</v>
      </c>
      <c r="E524" s="404" t="s">
        <v>1127</v>
      </c>
      <c r="F524" s="405">
        <v>0.50763888888888886</v>
      </c>
      <c r="G524" s="405">
        <v>0.51180555555555551</v>
      </c>
      <c r="H524" s="405" t="s">
        <v>961</v>
      </c>
      <c r="I524" s="416">
        <v>840</v>
      </c>
      <c r="J524" s="405" t="str">
        <f>IFERROR(VLOOKUP(I524,'Chart of accounts'!A:H,2,FALSE),"")</f>
        <v>50213050 99</v>
      </c>
      <c r="K524" s="405" t="str">
        <f>IFERROR(VLOOKUP(I524,'Chart of accounts'!A:H,3,FALSE),"")</f>
        <v>Other Machinery and Equipment</v>
      </c>
      <c r="L524" s="405" t="str">
        <f>IFERROR(VLOOKUP(I524,'Chart of accounts'!A:H,4,FALSE),"")</f>
        <v>50213050 99 - Other Machinery and Equipment (840)</v>
      </c>
      <c r="M524" s="408">
        <v>1</v>
      </c>
      <c r="N524" s="409" t="s">
        <v>1128</v>
      </c>
      <c r="O524" s="409" t="s">
        <v>1129</v>
      </c>
      <c r="P524" s="409"/>
      <c r="Q524" s="65"/>
      <c r="R524" s="63">
        <f t="shared" si="7"/>
        <v>0</v>
      </c>
      <c r="S524" s="63" t="str">
        <f>VLOOKUP(H524,'Fund Utilization Report'!$A$4:$U$1800,13,FALSE)</f>
        <v>MOOE</v>
      </c>
      <c r="T524" s="63" t="str">
        <f>VLOOKUP(H524,'Fund Utilization Report'!$A$4:$U$1800,2,FALSE)</f>
        <v>GAA</v>
      </c>
      <c r="U524" s="63" t="str">
        <f>VLOOKUP(H524,'Fund Utilization Report'!$A$4:$U$1800,3,FALSE)</f>
        <v>FY2021, RA11518</v>
      </c>
      <c r="V524" s="63" t="str">
        <f>VLOOKUP(H524,'Fund Utilization Report'!$A$4:$U$1800,4,FALSE)</f>
        <v>GAS(GMS)</v>
      </c>
      <c r="W524" s="63" t="str">
        <f>VLOOKUP(H524,'Fund Utilization Report'!$A$4:$U$1800,5,FALSE)</f>
        <v>01101101</v>
      </c>
      <c r="X524" s="63" t="str">
        <f>VLOOKUP(H524,'Fund Utilization Report'!$A$4:$U$1800,6,FALSE)</f>
        <v>GOP</v>
      </c>
      <c r="Y524" s="417" t="str">
        <f>VLOOKUP(H524,'Fund Utilization Report'!$A$4:$U$1800,7,FALSE)</f>
        <v>MOOE</v>
      </c>
      <c r="Z524" s="418">
        <f>VLOOKUP(H524,'Fund Utilization Report'!$A$4:$U$1800,8,FALSE)</f>
        <v>5020000000</v>
      </c>
      <c r="AA524" s="63" t="str">
        <f>VLOOKUP(H524,'Fund Utilization Report'!$A$4:$U$1800,14,FALSE)</f>
        <v>100000100001000</v>
      </c>
      <c r="AB524" s="419" t="str">
        <f>VLOOKUP(H524,'Fund Utilization Report'!$A$4:$U$1800,15,FALSE)</f>
        <v>General Administration and Supervision - General Management and Supervision</v>
      </c>
      <c r="AC524" s="406"/>
      <c r="AD524" s="403"/>
      <c r="AE524" s="406"/>
      <c r="AF524" s="406"/>
      <c r="AG524" s="407"/>
      <c r="AH524" s="407"/>
    </row>
    <row r="525" spans="1:34" s="32" customFormat="1" ht="27.6">
      <c r="A525" s="338" t="s">
        <v>942</v>
      </c>
      <c r="B525" s="338" t="s">
        <v>945</v>
      </c>
      <c r="C525" s="358">
        <v>44237</v>
      </c>
      <c r="D525" s="351" t="s">
        <v>1028</v>
      </c>
      <c r="E525" s="352" t="s">
        <v>1130</v>
      </c>
      <c r="F525" s="338">
        <v>0.56041666666666667</v>
      </c>
      <c r="G525" s="338">
        <v>0.56180555555555556</v>
      </c>
      <c r="H525" s="338" t="s">
        <v>961</v>
      </c>
      <c r="I525" s="353">
        <v>774</v>
      </c>
      <c r="J525" s="338" t="str">
        <f>IFERROR(VLOOKUP(I525,'Chart of accounts'!A:H,2,FALSE),"")</f>
        <v>50205030 00</v>
      </c>
      <c r="K525" s="338" t="str">
        <f>IFERROR(VLOOKUP(I525,'Chart of accounts'!A:H,3,FALSE),"")</f>
        <v>Internet Subscription Expenses</v>
      </c>
      <c r="L525" s="338" t="str">
        <f>IFERROR(VLOOKUP(I525,'Chart of accounts'!A:H,4,FALSE),"")</f>
        <v>50205030 00 - Internet Subscription Expenses (774)</v>
      </c>
      <c r="M525" s="361">
        <v>1</v>
      </c>
      <c r="N525" s="355" t="s">
        <v>1131</v>
      </c>
      <c r="O525" s="355" t="s">
        <v>1132</v>
      </c>
      <c r="P525" s="355"/>
      <c r="Q525" s="50">
        <v>25000</v>
      </c>
      <c r="R525" s="319">
        <f t="shared" si="7"/>
        <v>-25000</v>
      </c>
      <c r="S525" s="319" t="str">
        <f>VLOOKUP(H525,'Fund Utilization Report'!$A$4:$U$1800,13,FALSE)</f>
        <v>MOOE</v>
      </c>
      <c r="T525" s="319" t="str">
        <f>VLOOKUP(H525,'Fund Utilization Report'!$A$4:$U$1800,2,FALSE)</f>
        <v>GAA</v>
      </c>
      <c r="U525" s="319" t="str">
        <f>VLOOKUP(H525,'Fund Utilization Report'!$A$4:$U$1800,3,FALSE)</f>
        <v>FY2021, RA11518</v>
      </c>
      <c r="V525" s="319" t="str">
        <f>VLOOKUP(H525,'Fund Utilization Report'!$A$4:$U$1800,4,FALSE)</f>
        <v>GAS(GMS)</v>
      </c>
      <c r="W525" s="319" t="str">
        <f>VLOOKUP(H525,'Fund Utilization Report'!$A$4:$U$1800,5,FALSE)</f>
        <v>01101101</v>
      </c>
      <c r="X525" s="319" t="str">
        <f>VLOOKUP(H525,'Fund Utilization Report'!$A$4:$U$1800,6,FALSE)</f>
        <v>GOP</v>
      </c>
      <c r="Y525" s="320" t="str">
        <f>VLOOKUP(H525,'Fund Utilization Report'!$A$4:$U$1800,7,FALSE)</f>
        <v>MOOE</v>
      </c>
      <c r="Z525" s="321">
        <f>VLOOKUP(H525,'Fund Utilization Report'!$A$4:$U$1800,8,FALSE)</f>
        <v>5020000000</v>
      </c>
      <c r="AA525" s="319" t="str">
        <f>VLOOKUP(H525,'Fund Utilization Report'!$A$4:$U$1800,14,FALSE)</f>
        <v>100000100001000</v>
      </c>
      <c r="AB525" s="349" t="str">
        <f>VLOOKUP(H525,'Fund Utilization Report'!$A$4:$U$1800,15,FALSE)</f>
        <v>General Administration and Supervision - General Management and Supervision</v>
      </c>
      <c r="AC525" s="39"/>
      <c r="AD525" s="34"/>
      <c r="AE525" s="39"/>
      <c r="AF525" s="51"/>
      <c r="AG525" s="40"/>
      <c r="AH525" s="40"/>
    </row>
    <row r="526" spans="1:34" s="32" customFormat="1" ht="27.6">
      <c r="A526" s="338" t="s">
        <v>942</v>
      </c>
      <c r="B526" s="338" t="s">
        <v>945</v>
      </c>
      <c r="C526" s="358">
        <v>44237</v>
      </c>
      <c r="D526" s="351" t="s">
        <v>1028</v>
      </c>
      <c r="E526" s="352" t="s">
        <v>1133</v>
      </c>
      <c r="F526" s="338">
        <v>0.56666666666666665</v>
      </c>
      <c r="G526" s="338">
        <v>0.56805555555555554</v>
      </c>
      <c r="H526" s="338" t="s">
        <v>965</v>
      </c>
      <c r="I526" s="353">
        <v>766</v>
      </c>
      <c r="J526" s="338" t="str">
        <f>IFERROR(VLOOKUP(I526,'Chart of accounts'!A:H,2,FALSE),"")</f>
        <v>50204010 00</v>
      </c>
      <c r="K526" s="338" t="str">
        <f>IFERROR(VLOOKUP(I526,'Chart of accounts'!A:H,3,FALSE),"")</f>
        <v>Water Expenses</v>
      </c>
      <c r="L526" s="338" t="str">
        <f>IFERROR(VLOOKUP(I526,'Chart of accounts'!A:H,4,FALSE),"")</f>
        <v>50204010 00 - Water Expenses (766)</v>
      </c>
      <c r="M526" s="361">
        <v>1</v>
      </c>
      <c r="N526" s="355" t="s">
        <v>1134</v>
      </c>
      <c r="O526" s="355" t="s">
        <v>1135</v>
      </c>
      <c r="P526" s="355"/>
      <c r="Q526" s="363">
        <v>1990</v>
      </c>
      <c r="R526" s="319">
        <f t="shared" si="7"/>
        <v>-1990</v>
      </c>
      <c r="S526" s="319" t="str">
        <f>VLOOKUP(H526,'Fund Utilization Report'!$A$4:$U$1800,13,FALSE)</f>
        <v>MOOE</v>
      </c>
      <c r="T526" s="319" t="str">
        <f>VLOOKUP(H526,'Fund Utilization Report'!$A$4:$U$1800,2,FALSE)</f>
        <v>GAA</v>
      </c>
      <c r="U526" s="319" t="str">
        <f>VLOOKUP(H526,'Fund Utilization Report'!$A$4:$U$1800,3,FALSE)</f>
        <v>FY2021, RA11518</v>
      </c>
      <c r="V526" s="319" t="str">
        <f>VLOOKUP(H526,'Fund Utilization Report'!$A$4:$U$1800,4,FALSE)</f>
        <v>OO1</v>
      </c>
      <c r="W526" s="319" t="str">
        <f>VLOOKUP(H526,'Fund Utilization Report'!$A$4:$U$1800,5,FALSE)</f>
        <v>01101101</v>
      </c>
      <c r="X526" s="319" t="str">
        <f>VLOOKUP(H526,'Fund Utilization Report'!$A$4:$U$1800,6,FALSE)</f>
        <v>GOP</v>
      </c>
      <c r="Y526" s="320" t="str">
        <f>VLOOKUP(H526,'Fund Utilization Report'!$A$4:$U$1800,7,FALSE)</f>
        <v>MOOE</v>
      </c>
      <c r="Z526" s="321">
        <f>VLOOKUP(H526,'Fund Utilization Report'!$A$4:$U$1800,8,FALSE)</f>
        <v>5020000000</v>
      </c>
      <c r="AA526" s="319" t="str">
        <f>VLOOKUP(H526,'Fund Utilization Report'!$A$4:$U$1800,14,FALSE)</f>
        <v>310100100002000</v>
      </c>
      <c r="AB526" s="349" t="str">
        <f>VLOOKUP(H526,'Fund Utilization Report'!$A$4:$U$1800,15,FALSE)</f>
        <v>Development,Facilitation, and promotion of exports and investment, domestic and foreign</v>
      </c>
      <c r="AC526" s="39"/>
      <c r="AD526" s="34"/>
      <c r="AE526" s="39"/>
      <c r="AF526" s="51"/>
      <c r="AG526" s="40"/>
      <c r="AH526" s="40"/>
    </row>
    <row r="527" spans="1:34" s="32" customFormat="1">
      <c r="A527" s="338" t="s">
        <v>942</v>
      </c>
      <c r="B527" s="338" t="s">
        <v>945</v>
      </c>
      <c r="C527" s="358">
        <v>44237</v>
      </c>
      <c r="D527" s="351" t="s">
        <v>1028</v>
      </c>
      <c r="E527" s="352" t="s">
        <v>1136</v>
      </c>
      <c r="F527" s="338">
        <v>0.56805555555555554</v>
      </c>
      <c r="G527" s="338">
        <v>0.56874999999999998</v>
      </c>
      <c r="H527" s="338" t="s">
        <v>965</v>
      </c>
      <c r="I527" s="353">
        <v>782</v>
      </c>
      <c r="J527" s="338" t="str">
        <f>IFERROR(VLOOKUP(I527,'Chart of accounts'!A:H,2,FALSE),"")</f>
        <v>50299050 01</v>
      </c>
      <c r="K527" s="338" t="str">
        <f>IFERROR(VLOOKUP(I527,'Chart of accounts'!A:H,3,FALSE),"")</f>
        <v>Rent - Buildings and Structures</v>
      </c>
      <c r="L527" s="338" t="str">
        <f>IFERROR(VLOOKUP(I527,'Chart of accounts'!A:H,4,FALSE),"")</f>
        <v>50299050 01 - Rent - Buildings and Structures (782)</v>
      </c>
      <c r="M527" s="361">
        <v>1</v>
      </c>
      <c r="N527" s="355" t="s">
        <v>779</v>
      </c>
      <c r="O527" s="355" t="s">
        <v>1137</v>
      </c>
      <c r="P527" s="355"/>
      <c r="Q527" s="363">
        <v>170501.47</v>
      </c>
      <c r="R527" s="319">
        <f t="shared" si="7"/>
        <v>-170501.47</v>
      </c>
      <c r="S527" s="319" t="str">
        <f>VLOOKUP(H527,'Fund Utilization Report'!$A$4:$U$1800,13,FALSE)</f>
        <v>MOOE</v>
      </c>
      <c r="T527" s="319" t="str">
        <f>VLOOKUP(H527,'Fund Utilization Report'!$A$4:$U$1800,2,FALSE)</f>
        <v>GAA</v>
      </c>
      <c r="U527" s="319" t="str">
        <f>VLOOKUP(H527,'Fund Utilization Report'!$A$4:$U$1800,3,FALSE)</f>
        <v>FY2021, RA11518</v>
      </c>
      <c r="V527" s="319" t="str">
        <f>VLOOKUP(H527,'Fund Utilization Report'!$A$4:$U$1800,4,FALSE)</f>
        <v>OO1</v>
      </c>
      <c r="W527" s="319" t="str">
        <f>VLOOKUP(H527,'Fund Utilization Report'!$A$4:$U$1800,5,FALSE)</f>
        <v>01101101</v>
      </c>
      <c r="X527" s="319" t="str">
        <f>VLOOKUP(H527,'Fund Utilization Report'!$A$4:$U$1800,6,FALSE)</f>
        <v>GOP</v>
      </c>
      <c r="Y527" s="320" t="str">
        <f>VLOOKUP(H527,'Fund Utilization Report'!$A$4:$U$1800,7,FALSE)</f>
        <v>MOOE</v>
      </c>
      <c r="Z527" s="321">
        <f>VLOOKUP(H527,'Fund Utilization Report'!$A$4:$U$1800,8,FALSE)</f>
        <v>5020000000</v>
      </c>
      <c r="AA527" s="319" t="str">
        <f>VLOOKUP(H527,'Fund Utilization Report'!$A$4:$U$1800,14,FALSE)</f>
        <v>310100100002000</v>
      </c>
      <c r="AB527" s="349" t="str">
        <f>VLOOKUP(H527,'Fund Utilization Report'!$A$4:$U$1800,15,FALSE)</f>
        <v>Development,Facilitation, and promotion of exports and investment, domestic and foreign</v>
      </c>
      <c r="AC527" s="39"/>
      <c r="AD527" s="34"/>
      <c r="AE527" s="39"/>
      <c r="AF527" s="51"/>
      <c r="AG527" s="40"/>
      <c r="AH527" s="40"/>
    </row>
    <row r="528" spans="1:34" s="411" customFormat="1" ht="27.6">
      <c r="A528" s="405" t="s">
        <v>942</v>
      </c>
      <c r="B528" s="405" t="s">
        <v>945</v>
      </c>
      <c r="C528" s="402">
        <v>44237</v>
      </c>
      <c r="D528" s="403" t="s">
        <v>1028</v>
      </c>
      <c r="E528" s="404" t="s">
        <v>1138</v>
      </c>
      <c r="F528" s="405">
        <v>0.56874999999999998</v>
      </c>
      <c r="G528" s="405">
        <v>0.5708333333333333</v>
      </c>
      <c r="H528" s="405" t="s">
        <v>985</v>
      </c>
      <c r="I528" s="416">
        <v>751</v>
      </c>
      <c r="J528" s="405" t="str">
        <f>IFERROR(VLOOKUP(I528,'Chart of accounts'!A:H,2,FALSE),"")</f>
        <v>50201010 00</v>
      </c>
      <c r="K528" s="405" t="str">
        <f>IFERROR(VLOOKUP(I528,'Chart of accounts'!A:H,3,FALSE),"")</f>
        <v>Traveling Expenses - Local</v>
      </c>
      <c r="L528" s="405" t="str">
        <f>IFERROR(VLOOKUP(I528,'Chart of accounts'!A:H,4,FALSE),"")</f>
        <v>50201010 00 - Traveling Expenses - Local (751)</v>
      </c>
      <c r="M528" s="408">
        <v>2</v>
      </c>
      <c r="N528" s="409" t="s">
        <v>818</v>
      </c>
      <c r="O528" s="409" t="s">
        <v>1139</v>
      </c>
      <c r="P528" s="409"/>
      <c r="Q528" s="65">
        <f>57498-57498</f>
        <v>0</v>
      </c>
      <c r="R528" s="63">
        <f t="shared" si="7"/>
        <v>0</v>
      </c>
      <c r="S528" s="63" t="str">
        <f>VLOOKUP(H528,'Fund Utilization Report'!$A$4:$U$1800,13,FALSE)</f>
        <v>MOOE</v>
      </c>
      <c r="T528" s="63" t="str">
        <f>VLOOKUP(H528,'Fund Utilization Report'!$A$4:$U$1800,2,FALSE)</f>
        <v>GAA</v>
      </c>
      <c r="U528" s="63" t="str">
        <f>VLOOKUP(H528,'Fund Utilization Report'!$A$4:$U$1800,3,FALSE)</f>
        <v>FY2021, RA11518</v>
      </c>
      <c r="V528" s="63" t="str">
        <f>VLOOKUP(H528,'Fund Utilization Report'!$A$4:$U$1800,4,FALSE)</f>
        <v>LSP-PBG</v>
      </c>
      <c r="W528" s="63" t="str">
        <f>VLOOKUP(H528,'Fund Utilization Report'!$A$4:$U$1800,5,FALSE)</f>
        <v>01101101</v>
      </c>
      <c r="X528" s="63" t="str">
        <f>VLOOKUP(H528,'Fund Utilization Report'!$A$4:$U$1800,6,FALSE)</f>
        <v>GOP</v>
      </c>
      <c r="Y528" s="417" t="str">
        <f>VLOOKUP(H528,'Fund Utilization Report'!$A$4:$U$1800,7,FALSE)</f>
        <v>MOOE</v>
      </c>
      <c r="Z528" s="418">
        <f>VLOOKUP(H528,'Fund Utilization Report'!$A$4:$U$1800,8,FALSE)</f>
        <v>5020000000</v>
      </c>
      <c r="AA528" s="63" t="str">
        <f>VLOOKUP(H528,'Fund Utilization Report'!$A$4:$U$1800,14,FALSE)</f>
        <v>330100200004000</v>
      </c>
      <c r="AB528" s="419" t="str">
        <f>VLOOKUP(H528,'Fund Utilization Report'!$A$4:$U$1800,15,FALSE)</f>
        <v>MSME Development Program : Livelihood Seeding Program and Pangkabuhayan sa Pagbangon at Ginhawa</v>
      </c>
      <c r="AC528" s="406"/>
      <c r="AD528" s="403"/>
      <c r="AE528" s="406"/>
      <c r="AF528" s="406"/>
      <c r="AG528" s="407"/>
      <c r="AH528" s="407"/>
    </row>
    <row r="529" spans="1:34" s="411" customFormat="1" ht="27.6">
      <c r="A529" s="405" t="s">
        <v>942</v>
      </c>
      <c r="B529" s="405" t="s">
        <v>945</v>
      </c>
      <c r="C529" s="402">
        <v>44237</v>
      </c>
      <c r="D529" s="403" t="s">
        <v>1028</v>
      </c>
      <c r="E529" s="404" t="s">
        <v>1138</v>
      </c>
      <c r="F529" s="405">
        <v>0.56874999999999998</v>
      </c>
      <c r="G529" s="405">
        <v>0.5708333333333333</v>
      </c>
      <c r="H529" s="405" t="s">
        <v>985</v>
      </c>
      <c r="I529" s="416">
        <v>753</v>
      </c>
      <c r="J529" s="405" t="str">
        <f>IFERROR(VLOOKUP(I529,'Chart of accounts'!A:H,2,FALSE),"")</f>
        <v>50202010 00</v>
      </c>
      <c r="K529" s="405" t="str">
        <f>IFERROR(VLOOKUP(I529,'Chart of accounts'!A:H,3,FALSE),"")</f>
        <v>Training Expenses</v>
      </c>
      <c r="L529" s="405" t="str">
        <f>IFERROR(VLOOKUP(I529,'Chart of accounts'!A:H,4,FALSE),"")</f>
        <v>50202010 00 - Training Expenses (753)</v>
      </c>
      <c r="M529" s="408">
        <v>2</v>
      </c>
      <c r="N529" s="409" t="s">
        <v>818</v>
      </c>
      <c r="O529" s="409" t="s">
        <v>1139</v>
      </c>
      <c r="P529" s="409"/>
      <c r="Q529" s="65">
        <f>525004-525004</f>
        <v>0</v>
      </c>
      <c r="R529" s="63">
        <f t="shared" si="7"/>
        <v>0</v>
      </c>
      <c r="S529" s="63" t="str">
        <f>VLOOKUP(H529,'Fund Utilization Report'!$A$4:$U$1800,13,FALSE)</f>
        <v>MOOE</v>
      </c>
      <c r="T529" s="63" t="str">
        <f>VLOOKUP(H529,'Fund Utilization Report'!$A$4:$U$1800,2,FALSE)</f>
        <v>GAA</v>
      </c>
      <c r="U529" s="63" t="str">
        <f>VLOOKUP(H529,'Fund Utilization Report'!$A$4:$U$1800,3,FALSE)</f>
        <v>FY2021, RA11518</v>
      </c>
      <c r="V529" s="63" t="str">
        <f>VLOOKUP(H529,'Fund Utilization Report'!$A$4:$U$1800,4,FALSE)</f>
        <v>LSP-PBG</v>
      </c>
      <c r="W529" s="63" t="str">
        <f>VLOOKUP(H529,'Fund Utilization Report'!$A$4:$U$1800,5,FALSE)</f>
        <v>01101101</v>
      </c>
      <c r="X529" s="63" t="str">
        <f>VLOOKUP(H529,'Fund Utilization Report'!$A$4:$U$1800,6,FALSE)</f>
        <v>GOP</v>
      </c>
      <c r="Y529" s="417" t="str">
        <f>VLOOKUP(H529,'Fund Utilization Report'!$A$4:$U$1800,7,FALSE)</f>
        <v>MOOE</v>
      </c>
      <c r="Z529" s="418">
        <f>VLOOKUP(H529,'Fund Utilization Report'!$A$4:$U$1800,8,FALSE)</f>
        <v>5020000000</v>
      </c>
      <c r="AA529" s="63" t="str">
        <f>VLOOKUP(H529,'Fund Utilization Report'!$A$4:$U$1800,14,FALSE)</f>
        <v>330100200004000</v>
      </c>
      <c r="AB529" s="419" t="str">
        <f>VLOOKUP(H529,'Fund Utilization Report'!$A$4:$U$1800,15,FALSE)</f>
        <v>MSME Development Program : Livelihood Seeding Program and Pangkabuhayan sa Pagbangon at Ginhawa</v>
      </c>
      <c r="AC529" s="406"/>
      <c r="AD529" s="403"/>
      <c r="AE529" s="406"/>
      <c r="AF529" s="406"/>
      <c r="AG529" s="407"/>
      <c r="AH529" s="407"/>
    </row>
    <row r="530" spans="1:34" s="411" customFormat="1" ht="27.6">
      <c r="A530" s="405" t="s">
        <v>942</v>
      </c>
      <c r="B530" s="405" t="s">
        <v>945</v>
      </c>
      <c r="C530" s="402">
        <v>44237</v>
      </c>
      <c r="D530" s="403" t="s">
        <v>1028</v>
      </c>
      <c r="E530" s="404" t="s">
        <v>1138</v>
      </c>
      <c r="F530" s="405">
        <v>0.56874999999999998</v>
      </c>
      <c r="G530" s="405">
        <v>0.5708333333333333</v>
      </c>
      <c r="H530" s="405" t="s">
        <v>985</v>
      </c>
      <c r="I530" s="416">
        <v>773</v>
      </c>
      <c r="J530" s="405" t="str">
        <f>IFERROR(VLOOKUP(I530,'Chart of accounts'!A:H,2,FALSE),"")</f>
        <v>50205020 01</v>
      </c>
      <c r="K530" s="405" t="str">
        <f>IFERROR(VLOOKUP(I530,'Chart of accounts'!A:H,3,FALSE),"")</f>
        <v xml:space="preserve">Telephone Expenses - Mobile </v>
      </c>
      <c r="L530" s="405" t="str">
        <f>IFERROR(VLOOKUP(I530,'Chart of accounts'!A:H,4,FALSE),"")</f>
        <v>50205020 01 - Telephone Expenses - Mobile  (773)</v>
      </c>
      <c r="M530" s="408">
        <v>2</v>
      </c>
      <c r="N530" s="409" t="s">
        <v>818</v>
      </c>
      <c r="O530" s="409" t="s">
        <v>1139</v>
      </c>
      <c r="P530" s="409"/>
      <c r="Q530" s="65">
        <f>19166-19166</f>
        <v>0</v>
      </c>
      <c r="R530" s="63">
        <f t="shared" si="7"/>
        <v>0</v>
      </c>
      <c r="S530" s="63" t="str">
        <f>VLOOKUP(H530,'Fund Utilization Report'!$A$4:$U$1800,13,FALSE)</f>
        <v>MOOE</v>
      </c>
      <c r="T530" s="63" t="str">
        <f>VLOOKUP(H530,'Fund Utilization Report'!$A$4:$U$1800,2,FALSE)</f>
        <v>GAA</v>
      </c>
      <c r="U530" s="63" t="str">
        <f>VLOOKUP(H530,'Fund Utilization Report'!$A$4:$U$1800,3,FALSE)</f>
        <v>FY2021, RA11518</v>
      </c>
      <c r="V530" s="63" t="str">
        <f>VLOOKUP(H530,'Fund Utilization Report'!$A$4:$U$1800,4,FALSE)</f>
        <v>LSP-PBG</v>
      </c>
      <c r="W530" s="63" t="str">
        <f>VLOOKUP(H530,'Fund Utilization Report'!$A$4:$U$1800,5,FALSE)</f>
        <v>01101101</v>
      </c>
      <c r="X530" s="63" t="str">
        <f>VLOOKUP(H530,'Fund Utilization Report'!$A$4:$U$1800,6,FALSE)</f>
        <v>GOP</v>
      </c>
      <c r="Y530" s="417" t="str">
        <f>VLOOKUP(H530,'Fund Utilization Report'!$A$4:$U$1800,7,FALSE)</f>
        <v>MOOE</v>
      </c>
      <c r="Z530" s="418">
        <f>VLOOKUP(H530,'Fund Utilization Report'!$A$4:$U$1800,8,FALSE)</f>
        <v>5020000000</v>
      </c>
      <c r="AA530" s="63" t="str">
        <f>VLOOKUP(H530,'Fund Utilization Report'!$A$4:$U$1800,14,FALSE)</f>
        <v>330100200004000</v>
      </c>
      <c r="AB530" s="419" t="str">
        <f>VLOOKUP(H530,'Fund Utilization Report'!$A$4:$U$1800,15,FALSE)</f>
        <v>MSME Development Program : Livelihood Seeding Program and Pangkabuhayan sa Pagbangon at Ginhawa</v>
      </c>
      <c r="AC530" s="406"/>
      <c r="AD530" s="403"/>
      <c r="AE530" s="406"/>
      <c r="AF530" s="406"/>
      <c r="AG530" s="407"/>
      <c r="AH530" s="407"/>
    </row>
    <row r="531" spans="1:34" s="411" customFormat="1" ht="27.6">
      <c r="A531" s="405" t="s">
        <v>942</v>
      </c>
      <c r="B531" s="405" t="s">
        <v>945</v>
      </c>
      <c r="C531" s="402">
        <v>44237</v>
      </c>
      <c r="D531" s="403" t="s">
        <v>1028</v>
      </c>
      <c r="E531" s="404" t="s">
        <v>1138</v>
      </c>
      <c r="F531" s="405">
        <v>0.56874999999999998</v>
      </c>
      <c r="G531" s="405">
        <v>0.5708333333333333</v>
      </c>
      <c r="H531" s="405" t="s">
        <v>985</v>
      </c>
      <c r="I531" s="416">
        <v>799</v>
      </c>
      <c r="J531" s="405" t="str">
        <f>IFERROR(VLOOKUP(I531,'Chart of accounts'!A:H,2,FALSE),"")</f>
        <v>50211990 00</v>
      </c>
      <c r="K531" s="405" t="str">
        <f>IFERROR(VLOOKUP(I531,'Chart of accounts'!A:H,3,FALSE),"")</f>
        <v>Other Professional Services</v>
      </c>
      <c r="L531" s="405" t="str">
        <f>IFERROR(VLOOKUP(I531,'Chart of accounts'!A:H,4,FALSE),"")</f>
        <v>50211990 00 - Other Professional Services (799)</v>
      </c>
      <c r="M531" s="408">
        <v>2</v>
      </c>
      <c r="N531" s="409" t="s">
        <v>818</v>
      </c>
      <c r="O531" s="409" t="s">
        <v>1139</v>
      </c>
      <c r="P531" s="409"/>
      <c r="Q531" s="65">
        <f>38332-38332</f>
        <v>0</v>
      </c>
      <c r="R531" s="63">
        <f t="shared" si="7"/>
        <v>0</v>
      </c>
      <c r="S531" s="63" t="str">
        <f>VLOOKUP(H531,'Fund Utilization Report'!$A$4:$U$1800,13,FALSE)</f>
        <v>MOOE</v>
      </c>
      <c r="T531" s="63" t="str">
        <f>VLOOKUP(H531,'Fund Utilization Report'!$A$4:$U$1800,2,FALSE)</f>
        <v>GAA</v>
      </c>
      <c r="U531" s="63" t="str">
        <f>VLOOKUP(H531,'Fund Utilization Report'!$A$4:$U$1800,3,FALSE)</f>
        <v>FY2021, RA11518</v>
      </c>
      <c r="V531" s="63" t="str">
        <f>VLOOKUP(H531,'Fund Utilization Report'!$A$4:$U$1800,4,FALSE)</f>
        <v>LSP-PBG</v>
      </c>
      <c r="W531" s="63" t="str">
        <f>VLOOKUP(H531,'Fund Utilization Report'!$A$4:$U$1800,5,FALSE)</f>
        <v>01101101</v>
      </c>
      <c r="X531" s="63" t="str">
        <f>VLOOKUP(H531,'Fund Utilization Report'!$A$4:$U$1800,6,FALSE)</f>
        <v>GOP</v>
      </c>
      <c r="Y531" s="417" t="str">
        <f>VLOOKUP(H531,'Fund Utilization Report'!$A$4:$U$1800,7,FALSE)</f>
        <v>MOOE</v>
      </c>
      <c r="Z531" s="418">
        <f>VLOOKUP(H531,'Fund Utilization Report'!$A$4:$U$1800,8,FALSE)</f>
        <v>5020000000</v>
      </c>
      <c r="AA531" s="63" t="str">
        <f>VLOOKUP(H531,'Fund Utilization Report'!$A$4:$U$1800,14,FALSE)</f>
        <v>330100200004000</v>
      </c>
      <c r="AB531" s="419" t="str">
        <f>VLOOKUP(H531,'Fund Utilization Report'!$A$4:$U$1800,15,FALSE)</f>
        <v>MSME Development Program : Livelihood Seeding Program and Pangkabuhayan sa Pagbangon at Ginhawa</v>
      </c>
      <c r="AC531" s="406"/>
      <c r="AD531" s="403"/>
      <c r="AE531" s="406"/>
      <c r="AF531" s="406"/>
      <c r="AG531" s="407"/>
      <c r="AH531" s="407"/>
    </row>
    <row r="532" spans="1:34" s="32" customFormat="1" ht="27.6">
      <c r="A532" s="338" t="s">
        <v>942</v>
      </c>
      <c r="B532" s="338" t="s">
        <v>945</v>
      </c>
      <c r="C532" s="358">
        <v>44237</v>
      </c>
      <c r="D532" s="351" t="s">
        <v>1028</v>
      </c>
      <c r="E532" s="352" t="s">
        <v>1140</v>
      </c>
      <c r="F532" s="338">
        <v>0.59861111111111109</v>
      </c>
      <c r="G532" s="338">
        <v>0.59930555555555554</v>
      </c>
      <c r="H532" s="338" t="s">
        <v>985</v>
      </c>
      <c r="I532" s="353">
        <v>751</v>
      </c>
      <c r="J532" s="338" t="str">
        <f>IFERROR(VLOOKUP(I532,'Chart of accounts'!A:H,2,FALSE),"")</f>
        <v>50201010 00</v>
      </c>
      <c r="K532" s="338" t="str">
        <f>IFERROR(VLOOKUP(I532,'Chart of accounts'!A:H,3,FALSE),"")</f>
        <v>Traveling Expenses - Local</v>
      </c>
      <c r="L532" s="338" t="str">
        <f>IFERROR(VLOOKUP(I532,'Chart of accounts'!A:H,4,FALSE),"")</f>
        <v>50201010 00 - Traveling Expenses - Local (751)</v>
      </c>
      <c r="M532" s="361">
        <v>3</v>
      </c>
      <c r="N532" s="355" t="s">
        <v>820</v>
      </c>
      <c r="O532" s="355" t="s">
        <v>1139</v>
      </c>
      <c r="P532" s="355"/>
      <c r="Q532" s="363">
        <v>57498</v>
      </c>
      <c r="R532" s="319">
        <f t="shared" ref="R532:R547" si="8">P532-Q532</f>
        <v>-57498</v>
      </c>
      <c r="S532" s="319" t="str">
        <f>VLOOKUP(H532,'Fund Utilization Report'!$A$4:$U$1800,13,FALSE)</f>
        <v>MOOE</v>
      </c>
      <c r="T532" s="319" t="str">
        <f>VLOOKUP(H532,'Fund Utilization Report'!$A$4:$U$1800,2,FALSE)</f>
        <v>GAA</v>
      </c>
      <c r="U532" s="319" t="str">
        <f>VLOOKUP(H532,'Fund Utilization Report'!$A$4:$U$1800,3,FALSE)</f>
        <v>FY2021, RA11518</v>
      </c>
      <c r="V532" s="319" t="str">
        <f>VLOOKUP(H532,'Fund Utilization Report'!$A$4:$U$1800,4,FALSE)</f>
        <v>LSP-PBG</v>
      </c>
      <c r="W532" s="319" t="str">
        <f>VLOOKUP(H532,'Fund Utilization Report'!$A$4:$U$1800,5,FALSE)</f>
        <v>01101101</v>
      </c>
      <c r="X532" s="319" t="str">
        <f>VLOOKUP(H532,'Fund Utilization Report'!$A$4:$U$1800,6,FALSE)</f>
        <v>GOP</v>
      </c>
      <c r="Y532" s="320" t="str">
        <f>VLOOKUP(H532,'Fund Utilization Report'!$A$4:$U$1800,7,FALSE)</f>
        <v>MOOE</v>
      </c>
      <c r="Z532" s="321">
        <f>VLOOKUP(H532,'Fund Utilization Report'!$A$4:$U$1800,8,FALSE)</f>
        <v>5020000000</v>
      </c>
      <c r="AA532" s="319" t="str">
        <f>VLOOKUP(H532,'Fund Utilization Report'!$A$4:$U$1800,14,FALSE)</f>
        <v>330100200004000</v>
      </c>
      <c r="AB532" s="349" t="str">
        <f>VLOOKUP(H532,'Fund Utilization Report'!$A$4:$U$1800,15,FALSE)</f>
        <v>MSME Development Program : Livelihood Seeding Program and Pangkabuhayan sa Pagbangon at Ginhawa</v>
      </c>
      <c r="AC532" s="39"/>
      <c r="AD532" s="34"/>
      <c r="AE532" s="39"/>
      <c r="AF532" s="51"/>
      <c r="AG532" s="40"/>
      <c r="AH532" s="40"/>
    </row>
    <row r="533" spans="1:34" s="32" customFormat="1" ht="27.6">
      <c r="A533" s="338" t="s">
        <v>942</v>
      </c>
      <c r="B533" s="338" t="s">
        <v>945</v>
      </c>
      <c r="C533" s="358">
        <v>44237</v>
      </c>
      <c r="D533" s="351" t="s">
        <v>1028</v>
      </c>
      <c r="E533" s="352" t="s">
        <v>1140</v>
      </c>
      <c r="F533" s="338">
        <v>0.59861111111111109</v>
      </c>
      <c r="G533" s="338">
        <v>0.59930555555555554</v>
      </c>
      <c r="H533" s="338" t="s">
        <v>985</v>
      </c>
      <c r="I533" s="353">
        <v>753</v>
      </c>
      <c r="J533" s="338" t="str">
        <f>IFERROR(VLOOKUP(I533,'Chart of accounts'!A:H,2,FALSE),"")</f>
        <v>50202010 00</v>
      </c>
      <c r="K533" s="338" t="str">
        <f>IFERROR(VLOOKUP(I533,'Chart of accounts'!A:H,3,FALSE),"")</f>
        <v>Training Expenses</v>
      </c>
      <c r="L533" s="338" t="str">
        <f>IFERROR(VLOOKUP(I533,'Chart of accounts'!A:H,4,FALSE),"")</f>
        <v>50202010 00 - Training Expenses (753)</v>
      </c>
      <c r="M533" s="361">
        <v>3</v>
      </c>
      <c r="N533" s="355" t="s">
        <v>820</v>
      </c>
      <c r="O533" s="355" t="s">
        <v>1139</v>
      </c>
      <c r="P533" s="355"/>
      <c r="Q533" s="363">
        <v>525004</v>
      </c>
      <c r="R533" s="319">
        <f t="shared" si="8"/>
        <v>-525004</v>
      </c>
      <c r="S533" s="319" t="str">
        <f>VLOOKUP(H533,'Fund Utilization Report'!$A$4:$U$1800,13,FALSE)</f>
        <v>MOOE</v>
      </c>
      <c r="T533" s="319" t="str">
        <f>VLOOKUP(H533,'Fund Utilization Report'!$A$4:$U$1800,2,FALSE)</f>
        <v>GAA</v>
      </c>
      <c r="U533" s="319" t="str">
        <f>VLOOKUP(H533,'Fund Utilization Report'!$A$4:$U$1800,3,FALSE)</f>
        <v>FY2021, RA11518</v>
      </c>
      <c r="V533" s="319" t="str">
        <f>VLOOKUP(H533,'Fund Utilization Report'!$A$4:$U$1800,4,FALSE)</f>
        <v>LSP-PBG</v>
      </c>
      <c r="W533" s="319" t="str">
        <f>VLOOKUP(H533,'Fund Utilization Report'!$A$4:$U$1800,5,FALSE)</f>
        <v>01101101</v>
      </c>
      <c r="X533" s="319" t="str">
        <f>VLOOKUP(H533,'Fund Utilization Report'!$A$4:$U$1800,6,FALSE)</f>
        <v>GOP</v>
      </c>
      <c r="Y533" s="320" t="str">
        <f>VLOOKUP(H533,'Fund Utilization Report'!$A$4:$U$1800,7,FALSE)</f>
        <v>MOOE</v>
      </c>
      <c r="Z533" s="321">
        <f>VLOOKUP(H533,'Fund Utilization Report'!$A$4:$U$1800,8,FALSE)</f>
        <v>5020000000</v>
      </c>
      <c r="AA533" s="319" t="str">
        <f>VLOOKUP(H533,'Fund Utilization Report'!$A$4:$U$1800,14,FALSE)</f>
        <v>330100200004000</v>
      </c>
      <c r="AB533" s="349" t="str">
        <f>VLOOKUP(H533,'Fund Utilization Report'!$A$4:$U$1800,15,FALSE)</f>
        <v>MSME Development Program : Livelihood Seeding Program and Pangkabuhayan sa Pagbangon at Ginhawa</v>
      </c>
      <c r="AC533" s="39"/>
      <c r="AD533" s="34"/>
      <c r="AE533" s="39"/>
      <c r="AF533" s="51"/>
      <c r="AG533" s="40"/>
      <c r="AH533" s="40"/>
    </row>
    <row r="534" spans="1:34" s="32" customFormat="1" ht="27.6">
      <c r="A534" s="338" t="s">
        <v>942</v>
      </c>
      <c r="B534" s="338" t="s">
        <v>945</v>
      </c>
      <c r="C534" s="358">
        <v>44237</v>
      </c>
      <c r="D534" s="351" t="s">
        <v>1028</v>
      </c>
      <c r="E534" s="352" t="s">
        <v>1140</v>
      </c>
      <c r="F534" s="338">
        <v>0.59861111111111109</v>
      </c>
      <c r="G534" s="338">
        <v>0.59930555555555554</v>
      </c>
      <c r="H534" s="338" t="s">
        <v>985</v>
      </c>
      <c r="I534" s="353">
        <v>773</v>
      </c>
      <c r="J534" s="338" t="str">
        <f>IFERROR(VLOOKUP(I534,'Chart of accounts'!A:H,2,FALSE),"")</f>
        <v>50205020 01</v>
      </c>
      <c r="K534" s="338" t="str">
        <f>IFERROR(VLOOKUP(I534,'Chart of accounts'!A:H,3,FALSE),"")</f>
        <v xml:space="preserve">Telephone Expenses - Mobile </v>
      </c>
      <c r="L534" s="338" t="str">
        <f>IFERROR(VLOOKUP(I534,'Chart of accounts'!A:H,4,FALSE),"")</f>
        <v>50205020 01 - Telephone Expenses - Mobile  (773)</v>
      </c>
      <c r="M534" s="361">
        <v>3</v>
      </c>
      <c r="N534" s="355" t="s">
        <v>820</v>
      </c>
      <c r="O534" s="355" t="s">
        <v>1139</v>
      </c>
      <c r="P534" s="355"/>
      <c r="Q534" s="363">
        <v>19166</v>
      </c>
      <c r="R534" s="319">
        <f t="shared" si="8"/>
        <v>-19166</v>
      </c>
      <c r="S534" s="319" t="str">
        <f>VLOOKUP(H534,'Fund Utilization Report'!$A$4:$U$1800,13,FALSE)</f>
        <v>MOOE</v>
      </c>
      <c r="T534" s="319" t="str">
        <f>VLOOKUP(H534,'Fund Utilization Report'!$A$4:$U$1800,2,FALSE)</f>
        <v>GAA</v>
      </c>
      <c r="U534" s="319" t="str">
        <f>VLOOKUP(H534,'Fund Utilization Report'!$A$4:$U$1800,3,FALSE)</f>
        <v>FY2021, RA11518</v>
      </c>
      <c r="V534" s="319" t="str">
        <f>VLOOKUP(H534,'Fund Utilization Report'!$A$4:$U$1800,4,FALSE)</f>
        <v>LSP-PBG</v>
      </c>
      <c r="W534" s="319" t="str">
        <f>VLOOKUP(H534,'Fund Utilization Report'!$A$4:$U$1800,5,FALSE)</f>
        <v>01101101</v>
      </c>
      <c r="X534" s="319" t="str">
        <f>VLOOKUP(H534,'Fund Utilization Report'!$A$4:$U$1800,6,FALSE)</f>
        <v>GOP</v>
      </c>
      <c r="Y534" s="320" t="str">
        <f>VLOOKUP(H534,'Fund Utilization Report'!$A$4:$U$1800,7,FALSE)</f>
        <v>MOOE</v>
      </c>
      <c r="Z534" s="321">
        <f>VLOOKUP(H534,'Fund Utilization Report'!$A$4:$U$1800,8,FALSE)</f>
        <v>5020000000</v>
      </c>
      <c r="AA534" s="319" t="str">
        <f>VLOOKUP(H534,'Fund Utilization Report'!$A$4:$U$1800,14,FALSE)</f>
        <v>330100200004000</v>
      </c>
      <c r="AB534" s="349" t="str">
        <f>VLOOKUP(H534,'Fund Utilization Report'!$A$4:$U$1800,15,FALSE)</f>
        <v>MSME Development Program : Livelihood Seeding Program and Pangkabuhayan sa Pagbangon at Ginhawa</v>
      </c>
      <c r="AC534" s="39"/>
      <c r="AD534" s="34"/>
      <c r="AE534" s="39"/>
      <c r="AF534" s="51"/>
      <c r="AG534" s="40"/>
      <c r="AH534" s="40"/>
    </row>
    <row r="535" spans="1:34" s="32" customFormat="1" ht="27.6">
      <c r="A535" s="338" t="s">
        <v>942</v>
      </c>
      <c r="B535" s="338" t="s">
        <v>945</v>
      </c>
      <c r="C535" s="358">
        <v>44237</v>
      </c>
      <c r="D535" s="351" t="s">
        <v>1028</v>
      </c>
      <c r="E535" s="352" t="s">
        <v>1140</v>
      </c>
      <c r="F535" s="338">
        <v>0.59861111111111109</v>
      </c>
      <c r="G535" s="338">
        <v>0.59930555555555554</v>
      </c>
      <c r="H535" s="338" t="s">
        <v>985</v>
      </c>
      <c r="I535" s="353">
        <v>799</v>
      </c>
      <c r="J535" s="338" t="str">
        <f>IFERROR(VLOOKUP(I535,'Chart of accounts'!A:H,2,FALSE),"")</f>
        <v>50211990 00</v>
      </c>
      <c r="K535" s="338" t="str">
        <f>IFERROR(VLOOKUP(I535,'Chart of accounts'!A:H,3,FALSE),"")</f>
        <v>Other Professional Services</v>
      </c>
      <c r="L535" s="338" t="str">
        <f>IFERROR(VLOOKUP(I535,'Chart of accounts'!A:H,4,FALSE),"")</f>
        <v>50211990 00 - Other Professional Services (799)</v>
      </c>
      <c r="M535" s="361">
        <v>3</v>
      </c>
      <c r="N535" s="355" t="s">
        <v>820</v>
      </c>
      <c r="O535" s="355" t="s">
        <v>1139</v>
      </c>
      <c r="P535" s="355"/>
      <c r="Q535" s="363">
        <v>38332</v>
      </c>
      <c r="R535" s="319">
        <f t="shared" si="8"/>
        <v>-38332</v>
      </c>
      <c r="S535" s="319" t="str">
        <f>VLOOKUP(H535,'Fund Utilization Report'!$A$4:$U$1800,13,FALSE)</f>
        <v>MOOE</v>
      </c>
      <c r="T535" s="319" t="str">
        <f>VLOOKUP(H535,'Fund Utilization Report'!$A$4:$U$1800,2,FALSE)</f>
        <v>GAA</v>
      </c>
      <c r="U535" s="319" t="str">
        <f>VLOOKUP(H535,'Fund Utilization Report'!$A$4:$U$1800,3,FALSE)</f>
        <v>FY2021, RA11518</v>
      </c>
      <c r="V535" s="319" t="str">
        <f>VLOOKUP(H535,'Fund Utilization Report'!$A$4:$U$1800,4,FALSE)</f>
        <v>LSP-PBG</v>
      </c>
      <c r="W535" s="319" t="str">
        <f>VLOOKUP(H535,'Fund Utilization Report'!$A$4:$U$1800,5,FALSE)</f>
        <v>01101101</v>
      </c>
      <c r="X535" s="319" t="str">
        <f>VLOOKUP(H535,'Fund Utilization Report'!$A$4:$U$1800,6,FALSE)</f>
        <v>GOP</v>
      </c>
      <c r="Y535" s="320" t="str">
        <f>VLOOKUP(H535,'Fund Utilization Report'!$A$4:$U$1800,7,FALSE)</f>
        <v>MOOE</v>
      </c>
      <c r="Z535" s="321">
        <f>VLOOKUP(H535,'Fund Utilization Report'!$A$4:$U$1800,8,FALSE)</f>
        <v>5020000000</v>
      </c>
      <c r="AA535" s="319" t="str">
        <f>VLOOKUP(H535,'Fund Utilization Report'!$A$4:$U$1800,14,FALSE)</f>
        <v>330100200004000</v>
      </c>
      <c r="AB535" s="349" t="str">
        <f>VLOOKUP(H535,'Fund Utilization Report'!$A$4:$U$1800,15,FALSE)</f>
        <v>MSME Development Program : Livelihood Seeding Program and Pangkabuhayan sa Pagbangon at Ginhawa</v>
      </c>
      <c r="AC535" s="39"/>
      <c r="AD535" s="34"/>
      <c r="AE535" s="39"/>
      <c r="AF535" s="51"/>
      <c r="AG535" s="40"/>
      <c r="AH535" s="40"/>
    </row>
    <row r="536" spans="1:34" s="411" customFormat="1" ht="27.6">
      <c r="A536" s="405" t="s">
        <v>942</v>
      </c>
      <c r="B536" s="405" t="s">
        <v>945</v>
      </c>
      <c r="C536" s="402">
        <v>44237</v>
      </c>
      <c r="D536" s="403" t="s">
        <v>1028</v>
      </c>
      <c r="E536" s="404" t="s">
        <v>1141</v>
      </c>
      <c r="F536" s="405">
        <v>0.59930555555555554</v>
      </c>
      <c r="G536" s="405">
        <v>0.60069444444444442</v>
      </c>
      <c r="H536" s="405" t="s">
        <v>985</v>
      </c>
      <c r="I536" s="416">
        <v>751</v>
      </c>
      <c r="J536" s="405" t="str">
        <f>IFERROR(VLOOKUP(I536,'Chart of accounts'!A:H,2,FALSE),"")</f>
        <v>50201010 00</v>
      </c>
      <c r="K536" s="405" t="str">
        <f>IFERROR(VLOOKUP(I536,'Chart of accounts'!A:H,3,FALSE),"")</f>
        <v>Traveling Expenses - Local</v>
      </c>
      <c r="L536" s="405" t="str">
        <f>IFERROR(VLOOKUP(I536,'Chart of accounts'!A:H,4,FALSE),"")</f>
        <v>50201010 00 - Traveling Expenses - Local (751)</v>
      </c>
      <c r="M536" s="408">
        <v>68</v>
      </c>
      <c r="N536" s="409" t="s">
        <v>821</v>
      </c>
      <c r="O536" s="409" t="s">
        <v>1139</v>
      </c>
      <c r="P536" s="409"/>
      <c r="Q536" s="65">
        <f>57498-57498</f>
        <v>0</v>
      </c>
      <c r="R536" s="63">
        <f t="shared" si="8"/>
        <v>0</v>
      </c>
      <c r="S536" s="63" t="str">
        <f>VLOOKUP(H536,'Fund Utilization Report'!$A$4:$U$1800,13,FALSE)</f>
        <v>MOOE</v>
      </c>
      <c r="T536" s="63" t="str">
        <f>VLOOKUP(H536,'Fund Utilization Report'!$A$4:$U$1800,2,FALSE)</f>
        <v>GAA</v>
      </c>
      <c r="U536" s="63" t="str">
        <f>VLOOKUP(H536,'Fund Utilization Report'!$A$4:$U$1800,3,FALSE)</f>
        <v>FY2021, RA11518</v>
      </c>
      <c r="V536" s="63" t="str">
        <f>VLOOKUP(H536,'Fund Utilization Report'!$A$4:$U$1800,4,FALSE)</f>
        <v>LSP-PBG</v>
      </c>
      <c r="W536" s="63" t="str">
        <f>VLOOKUP(H536,'Fund Utilization Report'!$A$4:$U$1800,5,FALSE)</f>
        <v>01101101</v>
      </c>
      <c r="X536" s="63" t="str">
        <f>VLOOKUP(H536,'Fund Utilization Report'!$A$4:$U$1800,6,FALSE)</f>
        <v>GOP</v>
      </c>
      <c r="Y536" s="417" t="str">
        <f>VLOOKUP(H536,'Fund Utilization Report'!$A$4:$U$1800,7,FALSE)</f>
        <v>MOOE</v>
      </c>
      <c r="Z536" s="418">
        <f>VLOOKUP(H536,'Fund Utilization Report'!$A$4:$U$1800,8,FALSE)</f>
        <v>5020000000</v>
      </c>
      <c r="AA536" s="63" t="str">
        <f>VLOOKUP(H536,'Fund Utilization Report'!$A$4:$U$1800,14,FALSE)</f>
        <v>330100200004000</v>
      </c>
      <c r="AB536" s="419" t="str">
        <f>VLOOKUP(H536,'Fund Utilization Report'!$A$4:$U$1800,15,FALSE)</f>
        <v>MSME Development Program : Livelihood Seeding Program and Pangkabuhayan sa Pagbangon at Ginhawa</v>
      </c>
      <c r="AC536" s="406"/>
      <c r="AD536" s="403"/>
      <c r="AE536" s="406"/>
      <c r="AF536" s="406"/>
      <c r="AG536" s="407"/>
      <c r="AH536" s="407"/>
    </row>
    <row r="537" spans="1:34" s="411" customFormat="1" ht="27.6">
      <c r="A537" s="405" t="s">
        <v>942</v>
      </c>
      <c r="B537" s="405" t="s">
        <v>945</v>
      </c>
      <c r="C537" s="402">
        <v>44237</v>
      </c>
      <c r="D537" s="403" t="s">
        <v>1028</v>
      </c>
      <c r="E537" s="404" t="s">
        <v>1141</v>
      </c>
      <c r="F537" s="405">
        <v>0.59930555555555554</v>
      </c>
      <c r="G537" s="405">
        <v>0.60069444444444442</v>
      </c>
      <c r="H537" s="405" t="s">
        <v>985</v>
      </c>
      <c r="I537" s="416">
        <v>753</v>
      </c>
      <c r="J537" s="405" t="str">
        <f>IFERROR(VLOOKUP(I537,'Chart of accounts'!A:H,2,FALSE),"")</f>
        <v>50202010 00</v>
      </c>
      <c r="K537" s="405" t="str">
        <f>IFERROR(VLOOKUP(I537,'Chart of accounts'!A:H,3,FALSE),"")</f>
        <v>Training Expenses</v>
      </c>
      <c r="L537" s="405" t="str">
        <f>IFERROR(VLOOKUP(I537,'Chart of accounts'!A:H,4,FALSE),"")</f>
        <v>50202010 00 - Training Expenses (753)</v>
      </c>
      <c r="M537" s="408">
        <v>68</v>
      </c>
      <c r="N537" s="409" t="s">
        <v>821</v>
      </c>
      <c r="O537" s="409" t="s">
        <v>1139</v>
      </c>
      <c r="P537" s="409"/>
      <c r="Q537" s="65">
        <f>525004-525004</f>
        <v>0</v>
      </c>
      <c r="R537" s="63">
        <f t="shared" si="8"/>
        <v>0</v>
      </c>
      <c r="S537" s="63" t="str">
        <f>VLOOKUP(H537,'Fund Utilization Report'!$A$4:$U$1800,13,FALSE)</f>
        <v>MOOE</v>
      </c>
      <c r="T537" s="63" t="str">
        <f>VLOOKUP(H537,'Fund Utilization Report'!$A$4:$U$1800,2,FALSE)</f>
        <v>GAA</v>
      </c>
      <c r="U537" s="63" t="str">
        <f>VLOOKUP(H537,'Fund Utilization Report'!$A$4:$U$1800,3,FALSE)</f>
        <v>FY2021, RA11518</v>
      </c>
      <c r="V537" s="63" t="str">
        <f>VLOOKUP(H537,'Fund Utilization Report'!$A$4:$U$1800,4,FALSE)</f>
        <v>LSP-PBG</v>
      </c>
      <c r="W537" s="63" t="str">
        <f>VLOOKUP(H537,'Fund Utilization Report'!$A$4:$U$1800,5,FALSE)</f>
        <v>01101101</v>
      </c>
      <c r="X537" s="63" t="str">
        <f>VLOOKUP(H537,'Fund Utilization Report'!$A$4:$U$1800,6,FALSE)</f>
        <v>GOP</v>
      </c>
      <c r="Y537" s="417" t="str">
        <f>VLOOKUP(H537,'Fund Utilization Report'!$A$4:$U$1800,7,FALSE)</f>
        <v>MOOE</v>
      </c>
      <c r="Z537" s="418">
        <f>VLOOKUP(H537,'Fund Utilization Report'!$A$4:$U$1800,8,FALSE)</f>
        <v>5020000000</v>
      </c>
      <c r="AA537" s="63" t="str">
        <f>VLOOKUP(H537,'Fund Utilization Report'!$A$4:$U$1800,14,FALSE)</f>
        <v>330100200004000</v>
      </c>
      <c r="AB537" s="419" t="str">
        <f>VLOOKUP(H537,'Fund Utilization Report'!$A$4:$U$1800,15,FALSE)</f>
        <v>MSME Development Program : Livelihood Seeding Program and Pangkabuhayan sa Pagbangon at Ginhawa</v>
      </c>
      <c r="AC537" s="406"/>
      <c r="AD537" s="403"/>
      <c r="AE537" s="406"/>
      <c r="AF537" s="406"/>
      <c r="AG537" s="407"/>
      <c r="AH537" s="407"/>
    </row>
    <row r="538" spans="1:34" s="411" customFormat="1" ht="27.6">
      <c r="A538" s="405" t="s">
        <v>942</v>
      </c>
      <c r="B538" s="405" t="s">
        <v>945</v>
      </c>
      <c r="C538" s="402">
        <v>44237</v>
      </c>
      <c r="D538" s="403" t="s">
        <v>1028</v>
      </c>
      <c r="E538" s="404" t="s">
        <v>1141</v>
      </c>
      <c r="F538" s="405">
        <v>0.59930555555555554</v>
      </c>
      <c r="G538" s="405">
        <v>0.60069444444444442</v>
      </c>
      <c r="H538" s="405" t="s">
        <v>985</v>
      </c>
      <c r="I538" s="416">
        <v>773</v>
      </c>
      <c r="J538" s="405" t="str">
        <f>IFERROR(VLOOKUP(I538,'Chart of accounts'!A:H,2,FALSE),"")</f>
        <v>50205020 01</v>
      </c>
      <c r="K538" s="405" t="str">
        <f>IFERROR(VLOOKUP(I538,'Chart of accounts'!A:H,3,FALSE),"")</f>
        <v xml:space="preserve">Telephone Expenses - Mobile </v>
      </c>
      <c r="L538" s="405" t="str">
        <f>IFERROR(VLOOKUP(I538,'Chart of accounts'!A:H,4,FALSE),"")</f>
        <v>50205020 01 - Telephone Expenses - Mobile  (773)</v>
      </c>
      <c r="M538" s="408">
        <v>68</v>
      </c>
      <c r="N538" s="409" t="s">
        <v>821</v>
      </c>
      <c r="O538" s="409" t="s">
        <v>1139</v>
      </c>
      <c r="P538" s="409"/>
      <c r="Q538" s="65">
        <f>19166-19166</f>
        <v>0</v>
      </c>
      <c r="R538" s="63">
        <f t="shared" si="8"/>
        <v>0</v>
      </c>
      <c r="S538" s="63" t="str">
        <f>VLOOKUP(H538,'Fund Utilization Report'!$A$4:$U$1800,13,FALSE)</f>
        <v>MOOE</v>
      </c>
      <c r="T538" s="63" t="str">
        <f>VLOOKUP(H538,'Fund Utilization Report'!$A$4:$U$1800,2,FALSE)</f>
        <v>GAA</v>
      </c>
      <c r="U538" s="63" t="str">
        <f>VLOOKUP(H538,'Fund Utilization Report'!$A$4:$U$1800,3,FALSE)</f>
        <v>FY2021, RA11518</v>
      </c>
      <c r="V538" s="63" t="str">
        <f>VLOOKUP(H538,'Fund Utilization Report'!$A$4:$U$1800,4,FALSE)</f>
        <v>LSP-PBG</v>
      </c>
      <c r="W538" s="63" t="str">
        <f>VLOOKUP(H538,'Fund Utilization Report'!$A$4:$U$1800,5,FALSE)</f>
        <v>01101101</v>
      </c>
      <c r="X538" s="63" t="str">
        <f>VLOOKUP(H538,'Fund Utilization Report'!$A$4:$U$1800,6,FALSE)</f>
        <v>GOP</v>
      </c>
      <c r="Y538" s="417" t="str">
        <f>VLOOKUP(H538,'Fund Utilization Report'!$A$4:$U$1800,7,FALSE)</f>
        <v>MOOE</v>
      </c>
      <c r="Z538" s="418">
        <f>VLOOKUP(H538,'Fund Utilization Report'!$A$4:$U$1800,8,FALSE)</f>
        <v>5020000000</v>
      </c>
      <c r="AA538" s="63" t="str">
        <f>VLOOKUP(H538,'Fund Utilization Report'!$A$4:$U$1800,14,FALSE)</f>
        <v>330100200004000</v>
      </c>
      <c r="AB538" s="419" t="str">
        <f>VLOOKUP(H538,'Fund Utilization Report'!$A$4:$U$1800,15,FALSE)</f>
        <v>MSME Development Program : Livelihood Seeding Program and Pangkabuhayan sa Pagbangon at Ginhawa</v>
      </c>
      <c r="AC538" s="406"/>
      <c r="AD538" s="403"/>
      <c r="AE538" s="406"/>
      <c r="AF538" s="406"/>
      <c r="AG538" s="407"/>
      <c r="AH538" s="407"/>
    </row>
    <row r="539" spans="1:34" s="411" customFormat="1" ht="27.6">
      <c r="A539" s="405" t="s">
        <v>942</v>
      </c>
      <c r="B539" s="405" t="s">
        <v>945</v>
      </c>
      <c r="C539" s="402">
        <v>44237</v>
      </c>
      <c r="D539" s="403" t="s">
        <v>1028</v>
      </c>
      <c r="E539" s="404" t="s">
        <v>1141</v>
      </c>
      <c r="F539" s="405">
        <v>0.59930555555555554</v>
      </c>
      <c r="G539" s="405">
        <v>0.60069444444444442</v>
      </c>
      <c r="H539" s="405" t="s">
        <v>985</v>
      </c>
      <c r="I539" s="416">
        <v>799</v>
      </c>
      <c r="J539" s="405" t="str">
        <f>IFERROR(VLOOKUP(I539,'Chart of accounts'!A:H,2,FALSE),"")</f>
        <v>50211990 00</v>
      </c>
      <c r="K539" s="405" t="str">
        <f>IFERROR(VLOOKUP(I539,'Chart of accounts'!A:H,3,FALSE),"")</f>
        <v>Other Professional Services</v>
      </c>
      <c r="L539" s="405" t="str">
        <f>IFERROR(VLOOKUP(I539,'Chart of accounts'!A:H,4,FALSE),"")</f>
        <v>50211990 00 - Other Professional Services (799)</v>
      </c>
      <c r="M539" s="408">
        <v>68</v>
      </c>
      <c r="N539" s="409" t="s">
        <v>821</v>
      </c>
      <c r="O539" s="409" t="s">
        <v>1139</v>
      </c>
      <c r="P539" s="409"/>
      <c r="Q539" s="65">
        <f>38332-38332</f>
        <v>0</v>
      </c>
      <c r="R539" s="63">
        <f t="shared" si="8"/>
        <v>0</v>
      </c>
      <c r="S539" s="63" t="str">
        <f>VLOOKUP(H539,'Fund Utilization Report'!$A$4:$U$1800,13,FALSE)</f>
        <v>MOOE</v>
      </c>
      <c r="T539" s="63" t="str">
        <f>VLOOKUP(H539,'Fund Utilization Report'!$A$4:$U$1800,2,FALSE)</f>
        <v>GAA</v>
      </c>
      <c r="U539" s="63" t="str">
        <f>VLOOKUP(H539,'Fund Utilization Report'!$A$4:$U$1800,3,FALSE)</f>
        <v>FY2021, RA11518</v>
      </c>
      <c r="V539" s="63" t="str">
        <f>VLOOKUP(H539,'Fund Utilization Report'!$A$4:$U$1800,4,FALSE)</f>
        <v>LSP-PBG</v>
      </c>
      <c r="W539" s="63" t="str">
        <f>VLOOKUP(H539,'Fund Utilization Report'!$A$4:$U$1800,5,FALSE)</f>
        <v>01101101</v>
      </c>
      <c r="X539" s="63" t="str">
        <f>VLOOKUP(H539,'Fund Utilization Report'!$A$4:$U$1800,6,FALSE)</f>
        <v>GOP</v>
      </c>
      <c r="Y539" s="417" t="str">
        <f>VLOOKUP(H539,'Fund Utilization Report'!$A$4:$U$1800,7,FALSE)</f>
        <v>MOOE</v>
      </c>
      <c r="Z539" s="418">
        <f>VLOOKUP(H539,'Fund Utilization Report'!$A$4:$U$1800,8,FALSE)</f>
        <v>5020000000</v>
      </c>
      <c r="AA539" s="63" t="str">
        <f>VLOOKUP(H539,'Fund Utilization Report'!$A$4:$U$1800,14,FALSE)</f>
        <v>330100200004000</v>
      </c>
      <c r="AB539" s="419" t="str">
        <f>VLOOKUP(H539,'Fund Utilization Report'!$A$4:$U$1800,15,FALSE)</f>
        <v>MSME Development Program : Livelihood Seeding Program and Pangkabuhayan sa Pagbangon at Ginhawa</v>
      </c>
      <c r="AC539" s="406"/>
      <c r="AD539" s="403"/>
      <c r="AE539" s="406"/>
      <c r="AF539" s="406"/>
      <c r="AG539" s="407"/>
      <c r="AH539" s="407"/>
    </row>
    <row r="540" spans="1:34" s="411" customFormat="1" ht="27.6">
      <c r="A540" s="405" t="s">
        <v>942</v>
      </c>
      <c r="B540" s="405" t="s">
        <v>945</v>
      </c>
      <c r="C540" s="402">
        <v>44237</v>
      </c>
      <c r="D540" s="403" t="s">
        <v>1028</v>
      </c>
      <c r="E540" s="404" t="s">
        <v>1142</v>
      </c>
      <c r="F540" s="405">
        <v>0.60069444444444442</v>
      </c>
      <c r="G540" s="405">
        <v>0.60347222222222219</v>
      </c>
      <c r="H540" s="405" t="s">
        <v>985</v>
      </c>
      <c r="I540" s="416">
        <v>751</v>
      </c>
      <c r="J540" s="405" t="str">
        <f>IFERROR(VLOOKUP(I540,'Chart of accounts'!A:H,2,FALSE),"")</f>
        <v>50201010 00</v>
      </c>
      <c r="K540" s="405" t="str">
        <f>IFERROR(VLOOKUP(I540,'Chart of accounts'!A:H,3,FALSE),"")</f>
        <v>Traveling Expenses - Local</v>
      </c>
      <c r="L540" s="405" t="str">
        <f>IFERROR(VLOOKUP(I540,'Chart of accounts'!A:H,4,FALSE),"")</f>
        <v>50201010 00 - Traveling Expenses - Local (751)</v>
      </c>
      <c r="M540" s="408">
        <v>67</v>
      </c>
      <c r="N540" s="409" t="s">
        <v>822</v>
      </c>
      <c r="O540" s="409" t="s">
        <v>1139</v>
      </c>
      <c r="P540" s="409"/>
      <c r="Q540" s="65">
        <f>57498-57498</f>
        <v>0</v>
      </c>
      <c r="R540" s="63">
        <f t="shared" si="8"/>
        <v>0</v>
      </c>
      <c r="S540" s="63" t="str">
        <f>VLOOKUP(H540,'Fund Utilization Report'!$A$4:$U$1800,13,FALSE)</f>
        <v>MOOE</v>
      </c>
      <c r="T540" s="63" t="str">
        <f>VLOOKUP(H540,'Fund Utilization Report'!$A$4:$U$1800,2,FALSE)</f>
        <v>GAA</v>
      </c>
      <c r="U540" s="63" t="str">
        <f>VLOOKUP(H540,'Fund Utilization Report'!$A$4:$U$1800,3,FALSE)</f>
        <v>FY2021, RA11518</v>
      </c>
      <c r="V540" s="63" t="str">
        <f>VLOOKUP(H540,'Fund Utilization Report'!$A$4:$U$1800,4,FALSE)</f>
        <v>LSP-PBG</v>
      </c>
      <c r="W540" s="63" t="str">
        <f>VLOOKUP(H540,'Fund Utilization Report'!$A$4:$U$1800,5,FALSE)</f>
        <v>01101101</v>
      </c>
      <c r="X540" s="63" t="str">
        <f>VLOOKUP(H540,'Fund Utilization Report'!$A$4:$U$1800,6,FALSE)</f>
        <v>GOP</v>
      </c>
      <c r="Y540" s="417" t="str">
        <f>VLOOKUP(H540,'Fund Utilization Report'!$A$4:$U$1800,7,FALSE)</f>
        <v>MOOE</v>
      </c>
      <c r="Z540" s="418">
        <f>VLOOKUP(H540,'Fund Utilization Report'!$A$4:$U$1800,8,FALSE)</f>
        <v>5020000000</v>
      </c>
      <c r="AA540" s="63" t="str">
        <f>VLOOKUP(H540,'Fund Utilization Report'!$A$4:$U$1800,14,FALSE)</f>
        <v>330100200004000</v>
      </c>
      <c r="AB540" s="419" t="str">
        <f>VLOOKUP(H540,'Fund Utilization Report'!$A$4:$U$1800,15,FALSE)</f>
        <v>MSME Development Program : Livelihood Seeding Program and Pangkabuhayan sa Pagbangon at Ginhawa</v>
      </c>
      <c r="AC540" s="406"/>
      <c r="AD540" s="403"/>
      <c r="AE540" s="406"/>
      <c r="AF540" s="406"/>
      <c r="AG540" s="407"/>
      <c r="AH540" s="407"/>
    </row>
    <row r="541" spans="1:34" s="411" customFormat="1" ht="27.6">
      <c r="A541" s="405" t="s">
        <v>942</v>
      </c>
      <c r="B541" s="405" t="s">
        <v>945</v>
      </c>
      <c r="C541" s="402">
        <v>44237</v>
      </c>
      <c r="D541" s="403" t="s">
        <v>1028</v>
      </c>
      <c r="E541" s="404" t="s">
        <v>1142</v>
      </c>
      <c r="F541" s="405">
        <v>0.60069444444444442</v>
      </c>
      <c r="G541" s="405">
        <v>0.60347222222222219</v>
      </c>
      <c r="H541" s="405" t="s">
        <v>985</v>
      </c>
      <c r="I541" s="416">
        <v>753</v>
      </c>
      <c r="J541" s="405" t="str">
        <f>IFERROR(VLOOKUP(I541,'Chart of accounts'!A:H,2,FALSE),"")</f>
        <v>50202010 00</v>
      </c>
      <c r="K541" s="405" t="str">
        <f>IFERROR(VLOOKUP(I541,'Chart of accounts'!A:H,3,FALSE),"")</f>
        <v>Training Expenses</v>
      </c>
      <c r="L541" s="405" t="str">
        <f>IFERROR(VLOOKUP(I541,'Chart of accounts'!A:H,4,FALSE),"")</f>
        <v>50202010 00 - Training Expenses (753)</v>
      </c>
      <c r="M541" s="408">
        <v>67</v>
      </c>
      <c r="N541" s="409" t="s">
        <v>822</v>
      </c>
      <c r="O541" s="409" t="s">
        <v>1139</v>
      </c>
      <c r="P541" s="409"/>
      <c r="Q541" s="65">
        <f>525004-525004</f>
        <v>0</v>
      </c>
      <c r="R541" s="63">
        <f t="shared" si="8"/>
        <v>0</v>
      </c>
      <c r="S541" s="63" t="str">
        <f>VLOOKUP(H541,'Fund Utilization Report'!$A$4:$U$1800,13,FALSE)</f>
        <v>MOOE</v>
      </c>
      <c r="T541" s="63" t="str">
        <f>VLOOKUP(H541,'Fund Utilization Report'!$A$4:$U$1800,2,FALSE)</f>
        <v>GAA</v>
      </c>
      <c r="U541" s="63" t="str">
        <f>VLOOKUP(H541,'Fund Utilization Report'!$A$4:$U$1800,3,FALSE)</f>
        <v>FY2021, RA11518</v>
      </c>
      <c r="V541" s="63" t="str">
        <f>VLOOKUP(H541,'Fund Utilization Report'!$A$4:$U$1800,4,FALSE)</f>
        <v>LSP-PBG</v>
      </c>
      <c r="W541" s="63" t="str">
        <f>VLOOKUP(H541,'Fund Utilization Report'!$A$4:$U$1800,5,FALSE)</f>
        <v>01101101</v>
      </c>
      <c r="X541" s="63" t="str">
        <f>VLOOKUP(H541,'Fund Utilization Report'!$A$4:$U$1800,6,FALSE)</f>
        <v>GOP</v>
      </c>
      <c r="Y541" s="417" t="str">
        <f>VLOOKUP(H541,'Fund Utilization Report'!$A$4:$U$1800,7,FALSE)</f>
        <v>MOOE</v>
      </c>
      <c r="Z541" s="418">
        <f>VLOOKUP(H541,'Fund Utilization Report'!$A$4:$U$1800,8,FALSE)</f>
        <v>5020000000</v>
      </c>
      <c r="AA541" s="63" t="str">
        <f>VLOOKUP(H541,'Fund Utilization Report'!$A$4:$U$1800,14,FALSE)</f>
        <v>330100200004000</v>
      </c>
      <c r="AB541" s="419" t="str">
        <f>VLOOKUP(H541,'Fund Utilization Report'!$A$4:$U$1800,15,FALSE)</f>
        <v>MSME Development Program : Livelihood Seeding Program and Pangkabuhayan sa Pagbangon at Ginhawa</v>
      </c>
      <c r="AC541" s="406"/>
      <c r="AD541" s="403"/>
      <c r="AE541" s="406"/>
      <c r="AF541" s="406"/>
      <c r="AG541" s="407"/>
      <c r="AH541" s="407"/>
    </row>
    <row r="542" spans="1:34" s="411" customFormat="1" ht="27.6">
      <c r="A542" s="405" t="s">
        <v>942</v>
      </c>
      <c r="B542" s="405" t="s">
        <v>945</v>
      </c>
      <c r="C542" s="402">
        <v>44237</v>
      </c>
      <c r="D542" s="403" t="s">
        <v>1028</v>
      </c>
      <c r="E542" s="404" t="s">
        <v>1142</v>
      </c>
      <c r="F542" s="405">
        <v>0.60069444444444442</v>
      </c>
      <c r="G542" s="405">
        <v>0.60347222222222219</v>
      </c>
      <c r="H542" s="405" t="s">
        <v>985</v>
      </c>
      <c r="I542" s="416">
        <v>773</v>
      </c>
      <c r="J542" s="405" t="str">
        <f>IFERROR(VLOOKUP(I542,'Chart of accounts'!A:H,2,FALSE),"")</f>
        <v>50205020 01</v>
      </c>
      <c r="K542" s="405" t="str">
        <f>IFERROR(VLOOKUP(I542,'Chart of accounts'!A:H,3,FALSE),"")</f>
        <v xml:space="preserve">Telephone Expenses - Mobile </v>
      </c>
      <c r="L542" s="405" t="str">
        <f>IFERROR(VLOOKUP(I542,'Chart of accounts'!A:H,4,FALSE),"")</f>
        <v>50205020 01 - Telephone Expenses - Mobile  (773)</v>
      </c>
      <c r="M542" s="408">
        <v>67</v>
      </c>
      <c r="N542" s="409" t="s">
        <v>822</v>
      </c>
      <c r="O542" s="409" t="s">
        <v>1139</v>
      </c>
      <c r="P542" s="409"/>
      <c r="Q542" s="65">
        <f>19166-19166</f>
        <v>0</v>
      </c>
      <c r="R542" s="63">
        <f t="shared" si="8"/>
        <v>0</v>
      </c>
      <c r="S542" s="63" t="str">
        <f>VLOOKUP(H542,'Fund Utilization Report'!$A$4:$U$1800,13,FALSE)</f>
        <v>MOOE</v>
      </c>
      <c r="T542" s="63" t="str">
        <f>VLOOKUP(H542,'Fund Utilization Report'!$A$4:$U$1800,2,FALSE)</f>
        <v>GAA</v>
      </c>
      <c r="U542" s="63" t="str">
        <f>VLOOKUP(H542,'Fund Utilization Report'!$A$4:$U$1800,3,FALSE)</f>
        <v>FY2021, RA11518</v>
      </c>
      <c r="V542" s="63" t="str">
        <f>VLOOKUP(H542,'Fund Utilization Report'!$A$4:$U$1800,4,FALSE)</f>
        <v>LSP-PBG</v>
      </c>
      <c r="W542" s="63" t="str">
        <f>VLOOKUP(H542,'Fund Utilization Report'!$A$4:$U$1800,5,FALSE)</f>
        <v>01101101</v>
      </c>
      <c r="X542" s="63" t="str">
        <f>VLOOKUP(H542,'Fund Utilization Report'!$A$4:$U$1800,6,FALSE)</f>
        <v>GOP</v>
      </c>
      <c r="Y542" s="417" t="str">
        <f>VLOOKUP(H542,'Fund Utilization Report'!$A$4:$U$1800,7,FALSE)</f>
        <v>MOOE</v>
      </c>
      <c r="Z542" s="418">
        <f>VLOOKUP(H542,'Fund Utilization Report'!$A$4:$U$1800,8,FALSE)</f>
        <v>5020000000</v>
      </c>
      <c r="AA542" s="63" t="str">
        <f>VLOOKUP(H542,'Fund Utilization Report'!$A$4:$U$1800,14,FALSE)</f>
        <v>330100200004000</v>
      </c>
      <c r="AB542" s="419" t="str">
        <f>VLOOKUP(H542,'Fund Utilization Report'!$A$4:$U$1800,15,FALSE)</f>
        <v>MSME Development Program : Livelihood Seeding Program and Pangkabuhayan sa Pagbangon at Ginhawa</v>
      </c>
      <c r="AC542" s="406"/>
      <c r="AD542" s="403"/>
      <c r="AE542" s="406"/>
      <c r="AF542" s="406"/>
      <c r="AG542" s="407"/>
      <c r="AH542" s="407"/>
    </row>
    <row r="543" spans="1:34" s="411" customFormat="1" ht="27.6">
      <c r="A543" s="405" t="s">
        <v>942</v>
      </c>
      <c r="B543" s="405" t="s">
        <v>945</v>
      </c>
      <c r="C543" s="402">
        <v>44237</v>
      </c>
      <c r="D543" s="403" t="s">
        <v>1028</v>
      </c>
      <c r="E543" s="404" t="s">
        <v>1142</v>
      </c>
      <c r="F543" s="405">
        <v>0.60069444444444442</v>
      </c>
      <c r="G543" s="405">
        <v>0.60347222222222219</v>
      </c>
      <c r="H543" s="405" t="s">
        <v>985</v>
      </c>
      <c r="I543" s="416">
        <v>799</v>
      </c>
      <c r="J543" s="405" t="str">
        <f>IFERROR(VLOOKUP(I543,'Chart of accounts'!A:H,2,FALSE),"")</f>
        <v>50211990 00</v>
      </c>
      <c r="K543" s="405" t="str">
        <f>IFERROR(VLOOKUP(I543,'Chart of accounts'!A:H,3,FALSE),"")</f>
        <v>Other Professional Services</v>
      </c>
      <c r="L543" s="405" t="str">
        <f>IFERROR(VLOOKUP(I543,'Chart of accounts'!A:H,4,FALSE),"")</f>
        <v>50211990 00 - Other Professional Services (799)</v>
      </c>
      <c r="M543" s="408">
        <v>67</v>
      </c>
      <c r="N543" s="409" t="s">
        <v>822</v>
      </c>
      <c r="O543" s="409" t="s">
        <v>1139</v>
      </c>
      <c r="P543" s="409"/>
      <c r="Q543" s="65">
        <f>38332-38332</f>
        <v>0</v>
      </c>
      <c r="R543" s="63">
        <f t="shared" si="8"/>
        <v>0</v>
      </c>
      <c r="S543" s="63" t="str">
        <f>VLOOKUP(H543,'Fund Utilization Report'!$A$4:$U$1800,13,FALSE)</f>
        <v>MOOE</v>
      </c>
      <c r="T543" s="63" t="str">
        <f>VLOOKUP(H543,'Fund Utilization Report'!$A$4:$U$1800,2,FALSE)</f>
        <v>GAA</v>
      </c>
      <c r="U543" s="63" t="str">
        <f>VLOOKUP(H543,'Fund Utilization Report'!$A$4:$U$1800,3,FALSE)</f>
        <v>FY2021, RA11518</v>
      </c>
      <c r="V543" s="63" t="str">
        <f>VLOOKUP(H543,'Fund Utilization Report'!$A$4:$U$1800,4,FALSE)</f>
        <v>LSP-PBG</v>
      </c>
      <c r="W543" s="63" t="str">
        <f>VLOOKUP(H543,'Fund Utilization Report'!$A$4:$U$1800,5,FALSE)</f>
        <v>01101101</v>
      </c>
      <c r="X543" s="63" t="str">
        <f>VLOOKUP(H543,'Fund Utilization Report'!$A$4:$U$1800,6,FALSE)</f>
        <v>GOP</v>
      </c>
      <c r="Y543" s="417" t="str">
        <f>VLOOKUP(H543,'Fund Utilization Report'!$A$4:$U$1800,7,FALSE)</f>
        <v>MOOE</v>
      </c>
      <c r="Z543" s="418">
        <f>VLOOKUP(H543,'Fund Utilization Report'!$A$4:$U$1800,8,FALSE)</f>
        <v>5020000000</v>
      </c>
      <c r="AA543" s="63" t="str">
        <f>VLOOKUP(H543,'Fund Utilization Report'!$A$4:$U$1800,14,FALSE)</f>
        <v>330100200004000</v>
      </c>
      <c r="AB543" s="419" t="str">
        <f>VLOOKUP(H543,'Fund Utilization Report'!$A$4:$U$1800,15,FALSE)</f>
        <v>MSME Development Program : Livelihood Seeding Program and Pangkabuhayan sa Pagbangon at Ginhawa</v>
      </c>
      <c r="AC543" s="406"/>
      <c r="AD543" s="403"/>
      <c r="AE543" s="406"/>
      <c r="AF543" s="406"/>
      <c r="AG543" s="407"/>
      <c r="AH543" s="407"/>
    </row>
    <row r="544" spans="1:34" s="411" customFormat="1" ht="27.6">
      <c r="A544" s="405" t="s">
        <v>942</v>
      </c>
      <c r="B544" s="405" t="s">
        <v>945</v>
      </c>
      <c r="C544" s="402">
        <v>44237</v>
      </c>
      <c r="D544" s="403" t="s">
        <v>1028</v>
      </c>
      <c r="E544" s="404" t="s">
        <v>1143</v>
      </c>
      <c r="F544" s="405">
        <v>0.60347222222222219</v>
      </c>
      <c r="G544" s="405">
        <v>0.60486111111111118</v>
      </c>
      <c r="H544" s="405" t="s">
        <v>985</v>
      </c>
      <c r="I544" s="416">
        <v>751</v>
      </c>
      <c r="J544" s="405" t="str">
        <f>IFERROR(VLOOKUP(I544,'Chart of accounts'!A:H,2,FALSE),"")</f>
        <v>50201010 00</v>
      </c>
      <c r="K544" s="405" t="str">
        <f>IFERROR(VLOOKUP(I544,'Chart of accounts'!A:H,3,FALSE),"")</f>
        <v>Traveling Expenses - Local</v>
      </c>
      <c r="L544" s="405" t="str">
        <f>IFERROR(VLOOKUP(I544,'Chart of accounts'!A:H,4,FALSE),"")</f>
        <v>50201010 00 - Traveling Expenses - Local (751)</v>
      </c>
      <c r="M544" s="408">
        <v>85</v>
      </c>
      <c r="N544" s="409" t="s">
        <v>823</v>
      </c>
      <c r="O544" s="409" t="s">
        <v>1139</v>
      </c>
      <c r="P544" s="409"/>
      <c r="Q544" s="65">
        <f>57498-57498</f>
        <v>0</v>
      </c>
      <c r="R544" s="63">
        <f t="shared" si="8"/>
        <v>0</v>
      </c>
      <c r="S544" s="63" t="str">
        <f>VLOOKUP(H544,'Fund Utilization Report'!$A$4:$U$1800,13,FALSE)</f>
        <v>MOOE</v>
      </c>
      <c r="T544" s="63" t="str">
        <f>VLOOKUP(H544,'Fund Utilization Report'!$A$4:$U$1800,2,FALSE)</f>
        <v>GAA</v>
      </c>
      <c r="U544" s="63" t="str">
        <f>VLOOKUP(H544,'Fund Utilization Report'!$A$4:$U$1800,3,FALSE)</f>
        <v>FY2021, RA11518</v>
      </c>
      <c r="V544" s="63" t="str">
        <f>VLOOKUP(H544,'Fund Utilization Report'!$A$4:$U$1800,4,FALSE)</f>
        <v>LSP-PBG</v>
      </c>
      <c r="W544" s="63" t="str">
        <f>VLOOKUP(H544,'Fund Utilization Report'!$A$4:$U$1800,5,FALSE)</f>
        <v>01101101</v>
      </c>
      <c r="X544" s="63" t="str">
        <f>VLOOKUP(H544,'Fund Utilization Report'!$A$4:$U$1800,6,FALSE)</f>
        <v>GOP</v>
      </c>
      <c r="Y544" s="417" t="str">
        <f>VLOOKUP(H544,'Fund Utilization Report'!$A$4:$U$1800,7,FALSE)</f>
        <v>MOOE</v>
      </c>
      <c r="Z544" s="418">
        <f>VLOOKUP(H544,'Fund Utilization Report'!$A$4:$U$1800,8,FALSE)</f>
        <v>5020000000</v>
      </c>
      <c r="AA544" s="63" t="str">
        <f>VLOOKUP(H544,'Fund Utilization Report'!$A$4:$U$1800,14,FALSE)</f>
        <v>330100200004000</v>
      </c>
      <c r="AB544" s="419" t="str">
        <f>VLOOKUP(H544,'Fund Utilization Report'!$A$4:$U$1800,15,FALSE)</f>
        <v>MSME Development Program : Livelihood Seeding Program and Pangkabuhayan sa Pagbangon at Ginhawa</v>
      </c>
      <c r="AC544" s="406"/>
      <c r="AD544" s="403"/>
      <c r="AE544" s="406"/>
      <c r="AF544" s="406"/>
      <c r="AG544" s="407"/>
      <c r="AH544" s="407"/>
    </row>
    <row r="545" spans="1:34" s="411" customFormat="1" ht="27.6">
      <c r="A545" s="405" t="s">
        <v>942</v>
      </c>
      <c r="B545" s="405" t="s">
        <v>945</v>
      </c>
      <c r="C545" s="402">
        <v>44237</v>
      </c>
      <c r="D545" s="403" t="s">
        <v>1028</v>
      </c>
      <c r="E545" s="404" t="s">
        <v>1143</v>
      </c>
      <c r="F545" s="405">
        <v>0.60347222222222219</v>
      </c>
      <c r="G545" s="405">
        <v>0.60486111111111118</v>
      </c>
      <c r="H545" s="405" t="s">
        <v>985</v>
      </c>
      <c r="I545" s="416">
        <v>753</v>
      </c>
      <c r="J545" s="405" t="str">
        <f>IFERROR(VLOOKUP(I545,'Chart of accounts'!A:H,2,FALSE),"")</f>
        <v>50202010 00</v>
      </c>
      <c r="K545" s="405" t="str">
        <f>IFERROR(VLOOKUP(I545,'Chart of accounts'!A:H,3,FALSE),"")</f>
        <v>Training Expenses</v>
      </c>
      <c r="L545" s="405" t="str">
        <f>IFERROR(VLOOKUP(I545,'Chart of accounts'!A:H,4,FALSE),"")</f>
        <v>50202010 00 - Training Expenses (753)</v>
      </c>
      <c r="M545" s="408">
        <v>85</v>
      </c>
      <c r="N545" s="409" t="s">
        <v>823</v>
      </c>
      <c r="O545" s="409" t="s">
        <v>1139</v>
      </c>
      <c r="P545" s="409"/>
      <c r="Q545" s="65">
        <f>525004-525004</f>
        <v>0</v>
      </c>
      <c r="R545" s="63">
        <f t="shared" si="8"/>
        <v>0</v>
      </c>
      <c r="S545" s="63" t="str">
        <f>VLOOKUP(H545,'Fund Utilization Report'!$A$4:$U$1800,13,FALSE)</f>
        <v>MOOE</v>
      </c>
      <c r="T545" s="63" t="str">
        <f>VLOOKUP(H545,'Fund Utilization Report'!$A$4:$U$1800,2,FALSE)</f>
        <v>GAA</v>
      </c>
      <c r="U545" s="63" t="str">
        <f>VLOOKUP(H545,'Fund Utilization Report'!$A$4:$U$1800,3,FALSE)</f>
        <v>FY2021, RA11518</v>
      </c>
      <c r="V545" s="63" t="str">
        <f>VLOOKUP(H545,'Fund Utilization Report'!$A$4:$U$1800,4,FALSE)</f>
        <v>LSP-PBG</v>
      </c>
      <c r="W545" s="63" t="str">
        <f>VLOOKUP(H545,'Fund Utilization Report'!$A$4:$U$1800,5,FALSE)</f>
        <v>01101101</v>
      </c>
      <c r="X545" s="63" t="str">
        <f>VLOOKUP(H545,'Fund Utilization Report'!$A$4:$U$1800,6,FALSE)</f>
        <v>GOP</v>
      </c>
      <c r="Y545" s="417" t="str">
        <f>VLOOKUP(H545,'Fund Utilization Report'!$A$4:$U$1800,7,FALSE)</f>
        <v>MOOE</v>
      </c>
      <c r="Z545" s="418">
        <f>VLOOKUP(H545,'Fund Utilization Report'!$A$4:$U$1800,8,FALSE)</f>
        <v>5020000000</v>
      </c>
      <c r="AA545" s="63" t="str">
        <f>VLOOKUP(H545,'Fund Utilization Report'!$A$4:$U$1800,14,FALSE)</f>
        <v>330100200004000</v>
      </c>
      <c r="AB545" s="419" t="str">
        <f>VLOOKUP(H545,'Fund Utilization Report'!$A$4:$U$1800,15,FALSE)</f>
        <v>MSME Development Program : Livelihood Seeding Program and Pangkabuhayan sa Pagbangon at Ginhawa</v>
      </c>
      <c r="AC545" s="406"/>
      <c r="AD545" s="403"/>
      <c r="AE545" s="406"/>
      <c r="AF545" s="406"/>
      <c r="AG545" s="407"/>
      <c r="AH545" s="407"/>
    </row>
    <row r="546" spans="1:34" s="411" customFormat="1" ht="27.6">
      <c r="A546" s="405" t="s">
        <v>942</v>
      </c>
      <c r="B546" s="405" t="s">
        <v>945</v>
      </c>
      <c r="C546" s="402">
        <v>44237</v>
      </c>
      <c r="D546" s="403" t="s">
        <v>1028</v>
      </c>
      <c r="E546" s="404" t="s">
        <v>1143</v>
      </c>
      <c r="F546" s="405">
        <v>0.60347222222222219</v>
      </c>
      <c r="G546" s="405">
        <v>0.60486111111111118</v>
      </c>
      <c r="H546" s="405" t="s">
        <v>985</v>
      </c>
      <c r="I546" s="416">
        <v>773</v>
      </c>
      <c r="J546" s="405" t="str">
        <f>IFERROR(VLOOKUP(I546,'Chart of accounts'!A:H,2,FALSE),"")</f>
        <v>50205020 01</v>
      </c>
      <c r="K546" s="405" t="str">
        <f>IFERROR(VLOOKUP(I546,'Chart of accounts'!A:H,3,FALSE),"")</f>
        <v xml:space="preserve">Telephone Expenses - Mobile </v>
      </c>
      <c r="L546" s="405" t="str">
        <f>IFERROR(VLOOKUP(I546,'Chart of accounts'!A:H,4,FALSE),"")</f>
        <v>50205020 01 - Telephone Expenses - Mobile  (773)</v>
      </c>
      <c r="M546" s="408">
        <v>85</v>
      </c>
      <c r="N546" s="409" t="s">
        <v>823</v>
      </c>
      <c r="O546" s="409" t="s">
        <v>1139</v>
      </c>
      <c r="P546" s="409"/>
      <c r="Q546" s="65">
        <f>19166-19166</f>
        <v>0</v>
      </c>
      <c r="R546" s="63">
        <f t="shared" si="8"/>
        <v>0</v>
      </c>
      <c r="S546" s="63" t="str">
        <f>VLOOKUP(H546,'Fund Utilization Report'!$A$4:$U$1800,13,FALSE)</f>
        <v>MOOE</v>
      </c>
      <c r="T546" s="63" t="str">
        <f>VLOOKUP(H546,'Fund Utilization Report'!$A$4:$U$1800,2,FALSE)</f>
        <v>GAA</v>
      </c>
      <c r="U546" s="63" t="str">
        <f>VLOOKUP(H546,'Fund Utilization Report'!$A$4:$U$1800,3,FALSE)</f>
        <v>FY2021, RA11518</v>
      </c>
      <c r="V546" s="63" t="str">
        <f>VLOOKUP(H546,'Fund Utilization Report'!$A$4:$U$1800,4,FALSE)</f>
        <v>LSP-PBG</v>
      </c>
      <c r="W546" s="63" t="str">
        <f>VLOOKUP(H546,'Fund Utilization Report'!$A$4:$U$1800,5,FALSE)</f>
        <v>01101101</v>
      </c>
      <c r="X546" s="63" t="str">
        <f>VLOOKUP(H546,'Fund Utilization Report'!$A$4:$U$1800,6,FALSE)</f>
        <v>GOP</v>
      </c>
      <c r="Y546" s="417" t="str">
        <f>VLOOKUP(H546,'Fund Utilization Report'!$A$4:$U$1800,7,FALSE)</f>
        <v>MOOE</v>
      </c>
      <c r="Z546" s="418">
        <f>VLOOKUP(H546,'Fund Utilization Report'!$A$4:$U$1800,8,FALSE)</f>
        <v>5020000000</v>
      </c>
      <c r="AA546" s="63" t="str">
        <f>VLOOKUP(H546,'Fund Utilization Report'!$A$4:$U$1800,14,FALSE)</f>
        <v>330100200004000</v>
      </c>
      <c r="AB546" s="419" t="str">
        <f>VLOOKUP(H546,'Fund Utilization Report'!$A$4:$U$1800,15,FALSE)</f>
        <v>MSME Development Program : Livelihood Seeding Program and Pangkabuhayan sa Pagbangon at Ginhawa</v>
      </c>
      <c r="AC546" s="406"/>
      <c r="AD546" s="403"/>
      <c r="AE546" s="406"/>
      <c r="AF546" s="406"/>
      <c r="AG546" s="407"/>
      <c r="AH546" s="407"/>
    </row>
    <row r="547" spans="1:34" s="411" customFormat="1" ht="27.6">
      <c r="A547" s="405" t="s">
        <v>942</v>
      </c>
      <c r="B547" s="405" t="s">
        <v>945</v>
      </c>
      <c r="C547" s="402">
        <v>44237</v>
      </c>
      <c r="D547" s="403" t="s">
        <v>1028</v>
      </c>
      <c r="E547" s="404" t="s">
        <v>1143</v>
      </c>
      <c r="F547" s="405">
        <v>0.60347222222222219</v>
      </c>
      <c r="G547" s="405">
        <v>0.60486111111111118</v>
      </c>
      <c r="H547" s="405" t="s">
        <v>985</v>
      </c>
      <c r="I547" s="416">
        <v>799</v>
      </c>
      <c r="J547" s="405" t="str">
        <f>IFERROR(VLOOKUP(I547,'Chart of accounts'!A:H,2,FALSE),"")</f>
        <v>50211990 00</v>
      </c>
      <c r="K547" s="405" t="str">
        <f>IFERROR(VLOOKUP(I547,'Chart of accounts'!A:H,3,FALSE),"")</f>
        <v>Other Professional Services</v>
      </c>
      <c r="L547" s="405" t="str">
        <f>IFERROR(VLOOKUP(I547,'Chart of accounts'!A:H,4,FALSE),"")</f>
        <v>50211990 00 - Other Professional Services (799)</v>
      </c>
      <c r="M547" s="408">
        <v>85</v>
      </c>
      <c r="N547" s="409" t="s">
        <v>823</v>
      </c>
      <c r="O547" s="409" t="s">
        <v>1139</v>
      </c>
      <c r="P547" s="409"/>
      <c r="Q547" s="65">
        <f>38332-38332</f>
        <v>0</v>
      </c>
      <c r="R547" s="63">
        <f t="shared" si="8"/>
        <v>0</v>
      </c>
      <c r="S547" s="63" t="str">
        <f>VLOOKUP(H547,'Fund Utilization Report'!$A$4:$U$1800,13,FALSE)</f>
        <v>MOOE</v>
      </c>
      <c r="T547" s="63" t="str">
        <f>VLOOKUP(H547,'Fund Utilization Report'!$A$4:$U$1800,2,FALSE)</f>
        <v>GAA</v>
      </c>
      <c r="U547" s="63" t="str">
        <f>VLOOKUP(H547,'Fund Utilization Report'!$A$4:$U$1800,3,FALSE)</f>
        <v>FY2021, RA11518</v>
      </c>
      <c r="V547" s="63" t="str">
        <f>VLOOKUP(H547,'Fund Utilization Report'!$A$4:$U$1800,4,FALSE)</f>
        <v>LSP-PBG</v>
      </c>
      <c r="W547" s="63" t="str">
        <f>VLOOKUP(H547,'Fund Utilization Report'!$A$4:$U$1800,5,FALSE)</f>
        <v>01101101</v>
      </c>
      <c r="X547" s="63" t="str">
        <f>VLOOKUP(H547,'Fund Utilization Report'!$A$4:$U$1800,6,FALSE)</f>
        <v>GOP</v>
      </c>
      <c r="Y547" s="417" t="str">
        <f>VLOOKUP(H547,'Fund Utilization Report'!$A$4:$U$1800,7,FALSE)</f>
        <v>MOOE</v>
      </c>
      <c r="Z547" s="418">
        <f>VLOOKUP(H547,'Fund Utilization Report'!$A$4:$U$1800,8,FALSE)</f>
        <v>5020000000</v>
      </c>
      <c r="AA547" s="63" t="str">
        <f>VLOOKUP(H547,'Fund Utilization Report'!$A$4:$U$1800,14,FALSE)</f>
        <v>330100200004000</v>
      </c>
      <c r="AB547" s="419" t="str">
        <f>VLOOKUP(H547,'Fund Utilization Report'!$A$4:$U$1800,15,FALSE)</f>
        <v>MSME Development Program : Livelihood Seeding Program and Pangkabuhayan sa Pagbangon at Ginhawa</v>
      </c>
      <c r="AC547" s="406"/>
      <c r="AD547" s="403"/>
      <c r="AE547" s="406"/>
      <c r="AF547" s="406"/>
      <c r="AG547" s="407"/>
      <c r="AH547" s="407"/>
    </row>
    <row r="548" spans="1:34" s="411" customFormat="1">
      <c r="A548" s="405" t="s">
        <v>942</v>
      </c>
      <c r="B548" s="405" t="s">
        <v>945</v>
      </c>
      <c r="C548" s="402">
        <v>44237</v>
      </c>
      <c r="D548" s="403" t="s">
        <v>1028</v>
      </c>
      <c r="E548" s="404" t="s">
        <v>1144</v>
      </c>
      <c r="F548" s="405">
        <v>0.64027777777777783</v>
      </c>
      <c r="G548" s="405">
        <v>0.64444444444444449</v>
      </c>
      <c r="H548" s="405" t="s">
        <v>983</v>
      </c>
      <c r="I548" s="416">
        <v>751</v>
      </c>
      <c r="J548" s="405" t="str">
        <f>IFERROR(VLOOKUP(I548,'Chart of accounts'!A:H,2,FALSE),"")</f>
        <v>50201010 00</v>
      </c>
      <c r="K548" s="405" t="str">
        <f>IFERROR(VLOOKUP(I548,'Chart of accounts'!A:H,3,FALSE),"")</f>
        <v>Traveling Expenses - Local</v>
      </c>
      <c r="L548" s="405" t="str">
        <f>IFERROR(VLOOKUP(I548,'Chart of accounts'!A:H,4,FALSE),"")</f>
        <v>50201010 00 - Traveling Expenses - Local (751)</v>
      </c>
      <c r="M548" s="408">
        <v>2</v>
      </c>
      <c r="N548" s="409" t="s">
        <v>818</v>
      </c>
      <c r="O548" s="409" t="s">
        <v>1145</v>
      </c>
      <c r="P548" s="409"/>
      <c r="Q548" s="65">
        <f>25000-25000</f>
        <v>0</v>
      </c>
      <c r="R548" s="63">
        <f t="shared" ref="R548:R596" si="9">P548-Q548</f>
        <v>0</v>
      </c>
      <c r="S548" s="63" t="str">
        <f>VLOOKUP(H548,'Fund Utilization Report'!$A$4:$U$1800,13,FALSE)</f>
        <v>MOOE</v>
      </c>
      <c r="T548" s="63" t="str">
        <f>VLOOKUP(H548,'Fund Utilization Report'!$A$4:$U$1800,2,FALSE)</f>
        <v>GAA</v>
      </c>
      <c r="U548" s="63" t="str">
        <f>VLOOKUP(H548,'Fund Utilization Report'!$A$4:$U$1800,3,FALSE)</f>
        <v>FY2021, RA11518</v>
      </c>
      <c r="V548" s="63" t="str">
        <f>VLOOKUP(H548,'Fund Utilization Report'!$A$4:$U$1800,4,FALSE)</f>
        <v>SSF</v>
      </c>
      <c r="W548" s="63" t="str">
        <f>VLOOKUP(H548,'Fund Utilization Report'!$A$4:$U$1800,5,FALSE)</f>
        <v>01101101</v>
      </c>
      <c r="X548" s="63" t="str">
        <f>VLOOKUP(H548,'Fund Utilization Report'!$A$4:$U$1800,6,FALSE)</f>
        <v>GOP</v>
      </c>
      <c r="Y548" s="417" t="str">
        <f>VLOOKUP(H548,'Fund Utilization Report'!$A$4:$U$1800,7,FALSE)</f>
        <v>MOOE</v>
      </c>
      <c r="Z548" s="418">
        <f>VLOOKUP(H548,'Fund Utilization Report'!$A$4:$U$1800,8,FALSE)</f>
        <v>5020000000</v>
      </c>
      <c r="AA548" s="63" t="str">
        <f>VLOOKUP(H548,'Fund Utilization Report'!$A$4:$U$1800,14,FALSE)</f>
        <v>330100200003000</v>
      </c>
      <c r="AB548" s="419" t="str">
        <f>VLOOKUP(H548,'Fund Utilization Report'!$A$4:$U$1800,15,FALSE)</f>
        <v>Shared Service Facilities Project</v>
      </c>
      <c r="AC548" s="406"/>
      <c r="AD548" s="403"/>
      <c r="AE548" s="406"/>
      <c r="AF548" s="406"/>
      <c r="AG548" s="407"/>
      <c r="AH548" s="407"/>
    </row>
    <row r="549" spans="1:34" s="411" customFormat="1">
      <c r="A549" s="405" t="s">
        <v>942</v>
      </c>
      <c r="B549" s="405" t="s">
        <v>945</v>
      </c>
      <c r="C549" s="402">
        <v>44237</v>
      </c>
      <c r="D549" s="403" t="s">
        <v>1028</v>
      </c>
      <c r="E549" s="404" t="s">
        <v>1144</v>
      </c>
      <c r="F549" s="405">
        <v>0.64027777777777783</v>
      </c>
      <c r="G549" s="405">
        <v>0.64444444444444449</v>
      </c>
      <c r="H549" s="405" t="s">
        <v>983</v>
      </c>
      <c r="I549" s="416">
        <v>753</v>
      </c>
      <c r="J549" s="405" t="str">
        <f>IFERROR(VLOOKUP(I549,'Chart of accounts'!A:H,2,FALSE),"")</f>
        <v>50202010 00</v>
      </c>
      <c r="K549" s="405" t="str">
        <f>IFERROR(VLOOKUP(I549,'Chart of accounts'!A:H,3,FALSE),"")</f>
        <v>Training Expenses</v>
      </c>
      <c r="L549" s="405" t="str">
        <f>IFERROR(VLOOKUP(I549,'Chart of accounts'!A:H,4,FALSE),"")</f>
        <v>50202010 00 - Training Expenses (753)</v>
      </c>
      <c r="M549" s="408">
        <v>2</v>
      </c>
      <c r="N549" s="409" t="s">
        <v>818</v>
      </c>
      <c r="O549" s="409" t="s">
        <v>1145</v>
      </c>
      <c r="P549" s="409"/>
      <c r="Q549" s="65">
        <f>50000-50000</f>
        <v>0</v>
      </c>
      <c r="R549" s="63">
        <f t="shared" si="9"/>
        <v>0</v>
      </c>
      <c r="S549" s="63" t="str">
        <f>VLOOKUP(H549,'Fund Utilization Report'!$A$4:$U$1800,13,FALSE)</f>
        <v>MOOE</v>
      </c>
      <c r="T549" s="63" t="str">
        <f>VLOOKUP(H549,'Fund Utilization Report'!$A$4:$U$1800,2,FALSE)</f>
        <v>GAA</v>
      </c>
      <c r="U549" s="63" t="str">
        <f>VLOOKUP(H549,'Fund Utilization Report'!$A$4:$U$1800,3,FALSE)</f>
        <v>FY2021, RA11518</v>
      </c>
      <c r="V549" s="63" t="str">
        <f>VLOOKUP(H549,'Fund Utilization Report'!$A$4:$U$1800,4,FALSE)</f>
        <v>SSF</v>
      </c>
      <c r="W549" s="63" t="str">
        <f>VLOOKUP(H549,'Fund Utilization Report'!$A$4:$U$1800,5,FALSE)</f>
        <v>01101101</v>
      </c>
      <c r="X549" s="63" t="str">
        <f>VLOOKUP(H549,'Fund Utilization Report'!$A$4:$U$1800,6,FALSE)</f>
        <v>GOP</v>
      </c>
      <c r="Y549" s="417" t="str">
        <f>VLOOKUP(H549,'Fund Utilization Report'!$A$4:$U$1800,7,FALSE)</f>
        <v>MOOE</v>
      </c>
      <c r="Z549" s="418">
        <f>VLOOKUP(H549,'Fund Utilization Report'!$A$4:$U$1800,8,FALSE)</f>
        <v>5020000000</v>
      </c>
      <c r="AA549" s="63" t="str">
        <f>VLOOKUP(H549,'Fund Utilization Report'!$A$4:$U$1800,14,FALSE)</f>
        <v>330100200003000</v>
      </c>
      <c r="AB549" s="419" t="str">
        <f>VLOOKUP(H549,'Fund Utilization Report'!$A$4:$U$1800,15,FALSE)</f>
        <v>Shared Service Facilities Project</v>
      </c>
      <c r="AC549" s="406"/>
      <c r="AD549" s="403"/>
      <c r="AE549" s="406"/>
      <c r="AF549" s="406"/>
      <c r="AG549" s="407"/>
      <c r="AH549" s="407"/>
    </row>
    <row r="550" spans="1:34" s="411" customFormat="1">
      <c r="A550" s="405" t="s">
        <v>942</v>
      </c>
      <c r="B550" s="405" t="s">
        <v>945</v>
      </c>
      <c r="C550" s="402">
        <v>44237</v>
      </c>
      <c r="D550" s="403" t="s">
        <v>1028</v>
      </c>
      <c r="E550" s="404" t="s">
        <v>1144</v>
      </c>
      <c r="F550" s="405">
        <v>0.64027777777777783</v>
      </c>
      <c r="G550" s="405">
        <v>0.64444444444444449</v>
      </c>
      <c r="H550" s="405" t="s">
        <v>983</v>
      </c>
      <c r="I550" s="416">
        <v>773</v>
      </c>
      <c r="J550" s="405" t="str">
        <f>IFERROR(VLOOKUP(I550,'Chart of accounts'!A:H,2,FALSE),"")</f>
        <v>50205020 01</v>
      </c>
      <c r="K550" s="405" t="str">
        <f>IFERROR(VLOOKUP(I550,'Chart of accounts'!A:H,3,FALSE),"")</f>
        <v xml:space="preserve">Telephone Expenses - Mobile </v>
      </c>
      <c r="L550" s="405" t="str">
        <f>IFERROR(VLOOKUP(I550,'Chart of accounts'!A:H,4,FALSE),"")</f>
        <v>50205020 01 - Telephone Expenses - Mobile  (773)</v>
      </c>
      <c r="M550" s="408">
        <v>2</v>
      </c>
      <c r="N550" s="409" t="s">
        <v>818</v>
      </c>
      <c r="O550" s="409" t="s">
        <v>1145</v>
      </c>
      <c r="P550" s="409"/>
      <c r="Q550" s="65">
        <f>5000-5000</f>
        <v>0</v>
      </c>
      <c r="R550" s="63">
        <f t="shared" si="9"/>
        <v>0</v>
      </c>
      <c r="S550" s="63" t="str">
        <f>VLOOKUP(H550,'Fund Utilization Report'!$A$4:$U$1800,13,FALSE)</f>
        <v>MOOE</v>
      </c>
      <c r="T550" s="63" t="str">
        <f>VLOOKUP(H550,'Fund Utilization Report'!$A$4:$U$1800,2,FALSE)</f>
        <v>GAA</v>
      </c>
      <c r="U550" s="63" t="str">
        <f>VLOOKUP(H550,'Fund Utilization Report'!$A$4:$U$1800,3,FALSE)</f>
        <v>FY2021, RA11518</v>
      </c>
      <c r="V550" s="63" t="str">
        <f>VLOOKUP(H550,'Fund Utilization Report'!$A$4:$U$1800,4,FALSE)</f>
        <v>SSF</v>
      </c>
      <c r="W550" s="63" t="str">
        <f>VLOOKUP(H550,'Fund Utilization Report'!$A$4:$U$1800,5,FALSE)</f>
        <v>01101101</v>
      </c>
      <c r="X550" s="63" t="str">
        <f>VLOOKUP(H550,'Fund Utilization Report'!$A$4:$U$1800,6,FALSE)</f>
        <v>GOP</v>
      </c>
      <c r="Y550" s="417" t="str">
        <f>VLOOKUP(H550,'Fund Utilization Report'!$A$4:$U$1800,7,FALSE)</f>
        <v>MOOE</v>
      </c>
      <c r="Z550" s="418">
        <f>VLOOKUP(H550,'Fund Utilization Report'!$A$4:$U$1800,8,FALSE)</f>
        <v>5020000000</v>
      </c>
      <c r="AA550" s="63" t="str">
        <f>VLOOKUP(H550,'Fund Utilization Report'!$A$4:$U$1800,14,FALSE)</f>
        <v>330100200003000</v>
      </c>
      <c r="AB550" s="419" t="str">
        <f>VLOOKUP(H550,'Fund Utilization Report'!$A$4:$U$1800,15,FALSE)</f>
        <v>Shared Service Facilities Project</v>
      </c>
      <c r="AC550" s="406"/>
      <c r="AD550" s="403"/>
      <c r="AE550" s="406"/>
      <c r="AF550" s="406"/>
      <c r="AG550" s="407"/>
      <c r="AH550" s="407"/>
    </row>
    <row r="551" spans="1:34" s="411" customFormat="1">
      <c r="A551" s="405" t="s">
        <v>942</v>
      </c>
      <c r="B551" s="405" t="s">
        <v>945</v>
      </c>
      <c r="C551" s="402">
        <v>44237</v>
      </c>
      <c r="D551" s="403" t="s">
        <v>1028</v>
      </c>
      <c r="E551" s="404" t="s">
        <v>1144</v>
      </c>
      <c r="F551" s="405">
        <v>0.64027777777777783</v>
      </c>
      <c r="G551" s="405">
        <v>0.64444444444444449</v>
      </c>
      <c r="H551" s="405" t="s">
        <v>983</v>
      </c>
      <c r="I551" s="416">
        <v>799</v>
      </c>
      <c r="J551" s="405" t="str">
        <f>IFERROR(VLOOKUP(I551,'Chart of accounts'!A:H,2,FALSE),"")</f>
        <v>50211990 00</v>
      </c>
      <c r="K551" s="405" t="str">
        <f>IFERROR(VLOOKUP(I551,'Chart of accounts'!A:H,3,FALSE),"")</f>
        <v>Other Professional Services</v>
      </c>
      <c r="L551" s="405" t="str">
        <f>IFERROR(VLOOKUP(I551,'Chart of accounts'!A:H,4,FALSE),"")</f>
        <v>50211990 00 - Other Professional Services (799)</v>
      </c>
      <c r="M551" s="408">
        <v>2</v>
      </c>
      <c r="N551" s="409" t="s">
        <v>818</v>
      </c>
      <c r="O551" s="409" t="s">
        <v>1145</v>
      </c>
      <c r="P551" s="409"/>
      <c r="Q551" s="65">
        <f>33869.05-33869.05</f>
        <v>0</v>
      </c>
      <c r="R551" s="63">
        <f t="shared" si="9"/>
        <v>0</v>
      </c>
      <c r="S551" s="63" t="str">
        <f>VLOOKUP(H551,'Fund Utilization Report'!$A$4:$U$1800,13,FALSE)</f>
        <v>MOOE</v>
      </c>
      <c r="T551" s="63" t="str">
        <f>VLOOKUP(H551,'Fund Utilization Report'!$A$4:$U$1800,2,FALSE)</f>
        <v>GAA</v>
      </c>
      <c r="U551" s="63" t="str">
        <f>VLOOKUP(H551,'Fund Utilization Report'!$A$4:$U$1800,3,FALSE)</f>
        <v>FY2021, RA11518</v>
      </c>
      <c r="V551" s="63" t="str">
        <f>VLOOKUP(H551,'Fund Utilization Report'!$A$4:$U$1800,4,FALSE)</f>
        <v>SSF</v>
      </c>
      <c r="W551" s="63" t="str">
        <f>VLOOKUP(H551,'Fund Utilization Report'!$A$4:$U$1800,5,FALSE)</f>
        <v>01101101</v>
      </c>
      <c r="X551" s="63" t="str">
        <f>VLOOKUP(H551,'Fund Utilization Report'!$A$4:$U$1800,6,FALSE)</f>
        <v>GOP</v>
      </c>
      <c r="Y551" s="417" t="str">
        <f>VLOOKUP(H551,'Fund Utilization Report'!$A$4:$U$1800,7,FALSE)</f>
        <v>MOOE</v>
      </c>
      <c r="Z551" s="418">
        <f>VLOOKUP(H551,'Fund Utilization Report'!$A$4:$U$1800,8,FALSE)</f>
        <v>5020000000</v>
      </c>
      <c r="AA551" s="63" t="str">
        <f>VLOOKUP(H551,'Fund Utilization Report'!$A$4:$U$1800,14,FALSE)</f>
        <v>330100200003000</v>
      </c>
      <c r="AB551" s="419" t="str">
        <f>VLOOKUP(H551,'Fund Utilization Report'!$A$4:$U$1800,15,FALSE)</f>
        <v>Shared Service Facilities Project</v>
      </c>
      <c r="AC551" s="406"/>
      <c r="AD551" s="403"/>
      <c r="AE551" s="406"/>
      <c r="AF551" s="406"/>
      <c r="AG551" s="407"/>
      <c r="AH551" s="407"/>
    </row>
    <row r="552" spans="1:34" s="411" customFormat="1">
      <c r="A552" s="405" t="s">
        <v>942</v>
      </c>
      <c r="B552" s="405" t="s">
        <v>945</v>
      </c>
      <c r="C552" s="402">
        <v>44237</v>
      </c>
      <c r="D552" s="403" t="s">
        <v>1028</v>
      </c>
      <c r="E552" s="404" t="s">
        <v>1146</v>
      </c>
      <c r="F552" s="405">
        <v>0.64444444444444449</v>
      </c>
      <c r="G552" s="405">
        <v>0.6479166666666667</v>
      </c>
      <c r="H552" s="405" t="s">
        <v>983</v>
      </c>
      <c r="I552" s="416">
        <v>751</v>
      </c>
      <c r="J552" s="405" t="str">
        <f>IFERROR(VLOOKUP(I552,'Chart of accounts'!A:H,2,FALSE),"")</f>
        <v>50201010 00</v>
      </c>
      <c r="K552" s="405" t="str">
        <f>IFERROR(VLOOKUP(I552,'Chart of accounts'!A:H,3,FALSE),"")</f>
        <v>Traveling Expenses - Local</v>
      </c>
      <c r="L552" s="405" t="str">
        <f>IFERROR(VLOOKUP(I552,'Chart of accounts'!A:H,4,FALSE),"")</f>
        <v>50201010 00 - Traveling Expenses - Local (751)</v>
      </c>
      <c r="M552" s="408">
        <v>3</v>
      </c>
      <c r="N552" s="409" t="s">
        <v>820</v>
      </c>
      <c r="O552" s="409" t="s">
        <v>1145</v>
      </c>
      <c r="P552" s="409"/>
      <c r="Q552" s="65">
        <f>25000-25000</f>
        <v>0</v>
      </c>
      <c r="R552" s="63">
        <f t="shared" si="9"/>
        <v>0</v>
      </c>
      <c r="S552" s="63" t="str">
        <f>VLOOKUP(H552,'Fund Utilization Report'!$A$4:$U$1800,13,FALSE)</f>
        <v>MOOE</v>
      </c>
      <c r="T552" s="63" t="str">
        <f>VLOOKUP(H552,'Fund Utilization Report'!$A$4:$U$1800,2,FALSE)</f>
        <v>GAA</v>
      </c>
      <c r="U552" s="63" t="str">
        <f>VLOOKUP(H552,'Fund Utilization Report'!$A$4:$U$1800,3,FALSE)</f>
        <v>FY2021, RA11518</v>
      </c>
      <c r="V552" s="63" t="str">
        <f>VLOOKUP(H552,'Fund Utilization Report'!$A$4:$U$1800,4,FALSE)</f>
        <v>SSF</v>
      </c>
      <c r="W552" s="63" t="str">
        <f>VLOOKUP(H552,'Fund Utilization Report'!$A$4:$U$1800,5,FALSE)</f>
        <v>01101101</v>
      </c>
      <c r="X552" s="63" t="str">
        <f>VLOOKUP(H552,'Fund Utilization Report'!$A$4:$U$1800,6,FALSE)</f>
        <v>GOP</v>
      </c>
      <c r="Y552" s="417" t="str">
        <f>VLOOKUP(H552,'Fund Utilization Report'!$A$4:$U$1800,7,FALSE)</f>
        <v>MOOE</v>
      </c>
      <c r="Z552" s="418">
        <f>VLOOKUP(H552,'Fund Utilization Report'!$A$4:$U$1800,8,FALSE)</f>
        <v>5020000000</v>
      </c>
      <c r="AA552" s="63" t="str">
        <f>VLOOKUP(H552,'Fund Utilization Report'!$A$4:$U$1800,14,FALSE)</f>
        <v>330100200003000</v>
      </c>
      <c r="AB552" s="419" t="str">
        <f>VLOOKUP(H552,'Fund Utilization Report'!$A$4:$U$1800,15,FALSE)</f>
        <v>Shared Service Facilities Project</v>
      </c>
      <c r="AC552" s="406"/>
      <c r="AD552" s="403"/>
      <c r="AE552" s="406"/>
      <c r="AF552" s="406"/>
      <c r="AG552" s="407"/>
      <c r="AH552" s="407"/>
    </row>
    <row r="553" spans="1:34" s="411" customFormat="1">
      <c r="A553" s="405" t="s">
        <v>942</v>
      </c>
      <c r="B553" s="405" t="s">
        <v>945</v>
      </c>
      <c r="C553" s="402">
        <v>44237</v>
      </c>
      <c r="D553" s="403" t="s">
        <v>1028</v>
      </c>
      <c r="E553" s="404" t="s">
        <v>1146</v>
      </c>
      <c r="F553" s="405">
        <v>0.64444444444444449</v>
      </c>
      <c r="G553" s="405">
        <v>0.6479166666666667</v>
      </c>
      <c r="H553" s="405" t="s">
        <v>983</v>
      </c>
      <c r="I553" s="416">
        <v>753</v>
      </c>
      <c r="J553" s="405" t="str">
        <f>IFERROR(VLOOKUP(I553,'Chart of accounts'!A:H,2,FALSE),"")</f>
        <v>50202010 00</v>
      </c>
      <c r="K553" s="405" t="str">
        <f>IFERROR(VLOOKUP(I553,'Chart of accounts'!A:H,3,FALSE),"")</f>
        <v>Training Expenses</v>
      </c>
      <c r="L553" s="405" t="str">
        <f>IFERROR(VLOOKUP(I553,'Chart of accounts'!A:H,4,FALSE),"")</f>
        <v>50202010 00 - Training Expenses (753)</v>
      </c>
      <c r="M553" s="408">
        <v>3</v>
      </c>
      <c r="N553" s="409" t="s">
        <v>820</v>
      </c>
      <c r="O553" s="409" t="s">
        <v>1145</v>
      </c>
      <c r="P553" s="409"/>
      <c r="Q553" s="65">
        <f>40000-40000</f>
        <v>0</v>
      </c>
      <c r="R553" s="63">
        <f t="shared" si="9"/>
        <v>0</v>
      </c>
      <c r="S553" s="63" t="str">
        <f>VLOOKUP(H553,'Fund Utilization Report'!$A$4:$U$1800,13,FALSE)</f>
        <v>MOOE</v>
      </c>
      <c r="T553" s="63" t="str">
        <f>VLOOKUP(H553,'Fund Utilization Report'!$A$4:$U$1800,2,FALSE)</f>
        <v>GAA</v>
      </c>
      <c r="U553" s="63" t="str">
        <f>VLOOKUP(H553,'Fund Utilization Report'!$A$4:$U$1800,3,FALSE)</f>
        <v>FY2021, RA11518</v>
      </c>
      <c r="V553" s="63" t="str">
        <f>VLOOKUP(H553,'Fund Utilization Report'!$A$4:$U$1800,4,FALSE)</f>
        <v>SSF</v>
      </c>
      <c r="W553" s="63" t="str">
        <f>VLOOKUP(H553,'Fund Utilization Report'!$A$4:$U$1800,5,FALSE)</f>
        <v>01101101</v>
      </c>
      <c r="X553" s="63" t="str">
        <f>VLOOKUP(H553,'Fund Utilization Report'!$A$4:$U$1800,6,FALSE)</f>
        <v>GOP</v>
      </c>
      <c r="Y553" s="417" t="str">
        <f>VLOOKUP(H553,'Fund Utilization Report'!$A$4:$U$1800,7,FALSE)</f>
        <v>MOOE</v>
      </c>
      <c r="Z553" s="418">
        <f>VLOOKUP(H553,'Fund Utilization Report'!$A$4:$U$1800,8,FALSE)</f>
        <v>5020000000</v>
      </c>
      <c r="AA553" s="63" t="str">
        <f>VLOOKUP(H553,'Fund Utilization Report'!$A$4:$U$1800,14,FALSE)</f>
        <v>330100200003000</v>
      </c>
      <c r="AB553" s="419" t="str">
        <f>VLOOKUP(H553,'Fund Utilization Report'!$A$4:$U$1800,15,FALSE)</f>
        <v>Shared Service Facilities Project</v>
      </c>
      <c r="AC553" s="406"/>
      <c r="AD553" s="403"/>
      <c r="AE553" s="406"/>
      <c r="AF553" s="406"/>
      <c r="AG553" s="407"/>
      <c r="AH553" s="407"/>
    </row>
    <row r="554" spans="1:34" s="411" customFormat="1">
      <c r="A554" s="405" t="s">
        <v>942</v>
      </c>
      <c r="B554" s="405" t="s">
        <v>945</v>
      </c>
      <c r="C554" s="402">
        <v>44237</v>
      </c>
      <c r="D554" s="403" t="s">
        <v>1028</v>
      </c>
      <c r="E554" s="404" t="s">
        <v>1146</v>
      </c>
      <c r="F554" s="405">
        <v>0.64444444444444449</v>
      </c>
      <c r="G554" s="405">
        <v>0.6479166666666667</v>
      </c>
      <c r="H554" s="405" t="s">
        <v>983</v>
      </c>
      <c r="I554" s="416">
        <v>773</v>
      </c>
      <c r="J554" s="405" t="str">
        <f>IFERROR(VLOOKUP(I554,'Chart of accounts'!A:H,2,FALSE),"")</f>
        <v>50205020 01</v>
      </c>
      <c r="K554" s="405" t="str">
        <f>IFERROR(VLOOKUP(I554,'Chart of accounts'!A:H,3,FALSE),"")</f>
        <v xml:space="preserve">Telephone Expenses - Mobile </v>
      </c>
      <c r="L554" s="405" t="str">
        <f>IFERROR(VLOOKUP(I554,'Chart of accounts'!A:H,4,FALSE),"")</f>
        <v>50205020 01 - Telephone Expenses - Mobile  (773)</v>
      </c>
      <c r="M554" s="408">
        <v>3</v>
      </c>
      <c r="N554" s="409" t="s">
        <v>820</v>
      </c>
      <c r="O554" s="409" t="s">
        <v>1145</v>
      </c>
      <c r="P554" s="409"/>
      <c r="Q554" s="65">
        <f>5000-5000</f>
        <v>0</v>
      </c>
      <c r="R554" s="63">
        <f t="shared" si="9"/>
        <v>0</v>
      </c>
      <c r="S554" s="63" t="str">
        <f>VLOOKUP(H554,'Fund Utilization Report'!$A$4:$U$1800,13,FALSE)</f>
        <v>MOOE</v>
      </c>
      <c r="T554" s="63" t="str">
        <f>VLOOKUP(H554,'Fund Utilization Report'!$A$4:$U$1800,2,FALSE)</f>
        <v>GAA</v>
      </c>
      <c r="U554" s="63" t="str">
        <f>VLOOKUP(H554,'Fund Utilization Report'!$A$4:$U$1800,3,FALSE)</f>
        <v>FY2021, RA11518</v>
      </c>
      <c r="V554" s="63" t="str">
        <f>VLOOKUP(H554,'Fund Utilization Report'!$A$4:$U$1800,4,FALSE)</f>
        <v>SSF</v>
      </c>
      <c r="W554" s="63" t="str">
        <f>VLOOKUP(H554,'Fund Utilization Report'!$A$4:$U$1800,5,FALSE)</f>
        <v>01101101</v>
      </c>
      <c r="X554" s="63" t="str">
        <f>VLOOKUP(H554,'Fund Utilization Report'!$A$4:$U$1800,6,FALSE)</f>
        <v>GOP</v>
      </c>
      <c r="Y554" s="417" t="str">
        <f>VLOOKUP(H554,'Fund Utilization Report'!$A$4:$U$1800,7,FALSE)</f>
        <v>MOOE</v>
      </c>
      <c r="Z554" s="418">
        <f>VLOOKUP(H554,'Fund Utilization Report'!$A$4:$U$1800,8,FALSE)</f>
        <v>5020000000</v>
      </c>
      <c r="AA554" s="63" t="str">
        <f>VLOOKUP(H554,'Fund Utilization Report'!$A$4:$U$1800,14,FALSE)</f>
        <v>330100200003000</v>
      </c>
      <c r="AB554" s="419" t="str">
        <f>VLOOKUP(H554,'Fund Utilization Report'!$A$4:$U$1800,15,FALSE)</f>
        <v>Shared Service Facilities Project</v>
      </c>
      <c r="AC554" s="406"/>
      <c r="AD554" s="403"/>
      <c r="AE554" s="406"/>
      <c r="AF554" s="406"/>
      <c r="AG554" s="407"/>
      <c r="AH554" s="407"/>
    </row>
    <row r="555" spans="1:34" s="411" customFormat="1">
      <c r="A555" s="405" t="s">
        <v>942</v>
      </c>
      <c r="B555" s="405" t="s">
        <v>945</v>
      </c>
      <c r="C555" s="402">
        <v>44237</v>
      </c>
      <c r="D555" s="403" t="s">
        <v>1028</v>
      </c>
      <c r="E555" s="404" t="s">
        <v>1146</v>
      </c>
      <c r="F555" s="405">
        <v>0.64444444444444449</v>
      </c>
      <c r="G555" s="405">
        <v>0.6479166666666667</v>
      </c>
      <c r="H555" s="405" t="s">
        <v>983</v>
      </c>
      <c r="I555" s="416">
        <v>799</v>
      </c>
      <c r="J555" s="405" t="str">
        <f>IFERROR(VLOOKUP(I555,'Chart of accounts'!A:H,2,FALSE),"")</f>
        <v>50211990 00</v>
      </c>
      <c r="K555" s="405" t="str">
        <f>IFERROR(VLOOKUP(I555,'Chart of accounts'!A:H,3,FALSE),"")</f>
        <v>Other Professional Services</v>
      </c>
      <c r="L555" s="405" t="str">
        <f>IFERROR(VLOOKUP(I555,'Chart of accounts'!A:H,4,FALSE),"")</f>
        <v>50211990 00 - Other Professional Services (799)</v>
      </c>
      <c r="M555" s="408">
        <v>3</v>
      </c>
      <c r="N555" s="409" t="s">
        <v>820</v>
      </c>
      <c r="O555" s="409" t="s">
        <v>1145</v>
      </c>
      <c r="P555" s="409"/>
      <c r="Q555" s="65">
        <f>24707.14-24707.14</f>
        <v>0</v>
      </c>
      <c r="R555" s="63">
        <f t="shared" si="9"/>
        <v>0</v>
      </c>
      <c r="S555" s="63" t="str">
        <f>VLOOKUP(H555,'Fund Utilization Report'!$A$4:$U$1800,13,FALSE)</f>
        <v>MOOE</v>
      </c>
      <c r="T555" s="63" t="str">
        <f>VLOOKUP(H555,'Fund Utilization Report'!$A$4:$U$1800,2,FALSE)</f>
        <v>GAA</v>
      </c>
      <c r="U555" s="63" t="str">
        <f>VLOOKUP(H555,'Fund Utilization Report'!$A$4:$U$1800,3,FALSE)</f>
        <v>FY2021, RA11518</v>
      </c>
      <c r="V555" s="63" t="str">
        <f>VLOOKUP(H555,'Fund Utilization Report'!$A$4:$U$1800,4,FALSE)</f>
        <v>SSF</v>
      </c>
      <c r="W555" s="63" t="str">
        <f>VLOOKUP(H555,'Fund Utilization Report'!$A$4:$U$1800,5,FALSE)</f>
        <v>01101101</v>
      </c>
      <c r="X555" s="63" t="str">
        <f>VLOOKUP(H555,'Fund Utilization Report'!$A$4:$U$1800,6,FALSE)</f>
        <v>GOP</v>
      </c>
      <c r="Y555" s="417" t="str">
        <f>VLOOKUP(H555,'Fund Utilization Report'!$A$4:$U$1800,7,FALSE)</f>
        <v>MOOE</v>
      </c>
      <c r="Z555" s="418">
        <f>VLOOKUP(H555,'Fund Utilization Report'!$A$4:$U$1800,8,FALSE)</f>
        <v>5020000000</v>
      </c>
      <c r="AA555" s="63" t="str">
        <f>VLOOKUP(H555,'Fund Utilization Report'!$A$4:$U$1800,14,FALSE)</f>
        <v>330100200003000</v>
      </c>
      <c r="AB555" s="419" t="str">
        <f>VLOOKUP(H555,'Fund Utilization Report'!$A$4:$U$1800,15,FALSE)</f>
        <v>Shared Service Facilities Project</v>
      </c>
      <c r="AC555" s="406"/>
      <c r="AD555" s="403"/>
      <c r="AE555" s="406"/>
      <c r="AF555" s="406"/>
      <c r="AG555" s="407"/>
      <c r="AH555" s="407"/>
    </row>
    <row r="556" spans="1:34" s="32" customFormat="1">
      <c r="A556" s="338" t="s">
        <v>942</v>
      </c>
      <c r="B556" s="338" t="s">
        <v>945</v>
      </c>
      <c r="C556" s="358">
        <v>44237</v>
      </c>
      <c r="D556" s="351" t="s">
        <v>1028</v>
      </c>
      <c r="E556" s="352" t="s">
        <v>1147</v>
      </c>
      <c r="F556" s="338">
        <v>0.6479166666666667</v>
      </c>
      <c r="G556" s="338">
        <v>0.65</v>
      </c>
      <c r="H556" s="338" t="s">
        <v>983</v>
      </c>
      <c r="I556" s="353">
        <v>751</v>
      </c>
      <c r="J556" s="338" t="str">
        <f>IFERROR(VLOOKUP(I556,'Chart of accounts'!A:H,2,FALSE),"")</f>
        <v>50201010 00</v>
      </c>
      <c r="K556" s="338" t="str">
        <f>IFERROR(VLOOKUP(I556,'Chart of accounts'!A:H,3,FALSE),"")</f>
        <v>Traveling Expenses - Local</v>
      </c>
      <c r="L556" s="338" t="str">
        <f>IFERROR(VLOOKUP(I556,'Chart of accounts'!A:H,4,FALSE),"")</f>
        <v>50201010 00 - Traveling Expenses - Local (751)</v>
      </c>
      <c r="M556" s="361">
        <v>68</v>
      </c>
      <c r="N556" s="355" t="s">
        <v>821</v>
      </c>
      <c r="O556" s="355" t="s">
        <v>1145</v>
      </c>
      <c r="P556" s="355"/>
      <c r="Q556" s="363">
        <v>25000</v>
      </c>
      <c r="R556" s="319">
        <f t="shared" si="9"/>
        <v>-25000</v>
      </c>
      <c r="S556" s="319" t="str">
        <f>VLOOKUP(H556,'Fund Utilization Report'!$A$4:$U$1800,13,FALSE)</f>
        <v>MOOE</v>
      </c>
      <c r="T556" s="319" t="str">
        <f>VLOOKUP(H556,'Fund Utilization Report'!$A$4:$U$1800,2,FALSE)</f>
        <v>GAA</v>
      </c>
      <c r="U556" s="319" t="str">
        <f>VLOOKUP(H556,'Fund Utilization Report'!$A$4:$U$1800,3,FALSE)</f>
        <v>FY2021, RA11518</v>
      </c>
      <c r="V556" s="319" t="str">
        <f>VLOOKUP(H556,'Fund Utilization Report'!$A$4:$U$1800,4,FALSE)</f>
        <v>SSF</v>
      </c>
      <c r="W556" s="319" t="str">
        <f>VLOOKUP(H556,'Fund Utilization Report'!$A$4:$U$1800,5,FALSE)</f>
        <v>01101101</v>
      </c>
      <c r="X556" s="319" t="str">
        <f>VLOOKUP(H556,'Fund Utilization Report'!$A$4:$U$1800,6,FALSE)</f>
        <v>GOP</v>
      </c>
      <c r="Y556" s="320" t="str">
        <f>VLOOKUP(H556,'Fund Utilization Report'!$A$4:$U$1800,7,FALSE)</f>
        <v>MOOE</v>
      </c>
      <c r="Z556" s="321">
        <f>VLOOKUP(H556,'Fund Utilization Report'!$A$4:$U$1800,8,FALSE)</f>
        <v>5020000000</v>
      </c>
      <c r="AA556" s="319" t="str">
        <f>VLOOKUP(H556,'Fund Utilization Report'!$A$4:$U$1800,14,FALSE)</f>
        <v>330100200003000</v>
      </c>
      <c r="AB556" s="349" t="str">
        <f>VLOOKUP(H556,'Fund Utilization Report'!$A$4:$U$1800,15,FALSE)</f>
        <v>Shared Service Facilities Project</v>
      </c>
      <c r="AC556" s="39"/>
      <c r="AD556" s="34"/>
      <c r="AE556" s="39"/>
      <c r="AF556" s="51"/>
      <c r="AG556" s="40"/>
      <c r="AH556" s="40"/>
    </row>
    <row r="557" spans="1:34" s="32" customFormat="1">
      <c r="A557" s="338" t="s">
        <v>942</v>
      </c>
      <c r="B557" s="338" t="s">
        <v>945</v>
      </c>
      <c r="C557" s="358">
        <v>44237</v>
      </c>
      <c r="D557" s="351" t="s">
        <v>1028</v>
      </c>
      <c r="E557" s="352" t="s">
        <v>1147</v>
      </c>
      <c r="F557" s="338">
        <v>0.6479166666666667</v>
      </c>
      <c r="G557" s="338">
        <v>0.65</v>
      </c>
      <c r="H557" s="338" t="s">
        <v>983</v>
      </c>
      <c r="I557" s="353">
        <v>753</v>
      </c>
      <c r="J557" s="338" t="str">
        <f>IFERROR(VLOOKUP(I557,'Chart of accounts'!A:H,2,FALSE),"")</f>
        <v>50202010 00</v>
      </c>
      <c r="K557" s="338" t="str">
        <f>IFERROR(VLOOKUP(I557,'Chart of accounts'!A:H,3,FALSE),"")</f>
        <v>Training Expenses</v>
      </c>
      <c r="L557" s="338" t="str">
        <f>IFERROR(VLOOKUP(I557,'Chart of accounts'!A:H,4,FALSE),"")</f>
        <v>50202010 00 - Training Expenses (753)</v>
      </c>
      <c r="M557" s="361">
        <v>68</v>
      </c>
      <c r="N557" s="355" t="s">
        <v>821</v>
      </c>
      <c r="O557" s="355" t="s">
        <v>1145</v>
      </c>
      <c r="P557" s="355"/>
      <c r="Q557" s="363">
        <v>40000</v>
      </c>
      <c r="R557" s="319">
        <f t="shared" si="9"/>
        <v>-40000</v>
      </c>
      <c r="S557" s="319" t="str">
        <f>VLOOKUP(H557,'Fund Utilization Report'!$A$4:$U$1800,13,FALSE)</f>
        <v>MOOE</v>
      </c>
      <c r="T557" s="319" t="str">
        <f>VLOOKUP(H557,'Fund Utilization Report'!$A$4:$U$1800,2,FALSE)</f>
        <v>GAA</v>
      </c>
      <c r="U557" s="319" t="str">
        <f>VLOOKUP(H557,'Fund Utilization Report'!$A$4:$U$1800,3,FALSE)</f>
        <v>FY2021, RA11518</v>
      </c>
      <c r="V557" s="319" t="str">
        <f>VLOOKUP(H557,'Fund Utilization Report'!$A$4:$U$1800,4,FALSE)</f>
        <v>SSF</v>
      </c>
      <c r="W557" s="319" t="str">
        <f>VLOOKUP(H557,'Fund Utilization Report'!$A$4:$U$1800,5,FALSE)</f>
        <v>01101101</v>
      </c>
      <c r="X557" s="319" t="str">
        <f>VLOOKUP(H557,'Fund Utilization Report'!$A$4:$U$1800,6,FALSE)</f>
        <v>GOP</v>
      </c>
      <c r="Y557" s="320" t="str">
        <f>VLOOKUP(H557,'Fund Utilization Report'!$A$4:$U$1800,7,FALSE)</f>
        <v>MOOE</v>
      </c>
      <c r="Z557" s="321">
        <f>VLOOKUP(H557,'Fund Utilization Report'!$A$4:$U$1800,8,FALSE)</f>
        <v>5020000000</v>
      </c>
      <c r="AA557" s="319" t="str">
        <f>VLOOKUP(H557,'Fund Utilization Report'!$A$4:$U$1800,14,FALSE)</f>
        <v>330100200003000</v>
      </c>
      <c r="AB557" s="349" t="str">
        <f>VLOOKUP(H557,'Fund Utilization Report'!$A$4:$U$1800,15,FALSE)</f>
        <v>Shared Service Facilities Project</v>
      </c>
      <c r="AC557" s="39"/>
      <c r="AD557" s="34"/>
      <c r="AE557" s="39"/>
      <c r="AF557" s="51"/>
      <c r="AG557" s="40"/>
      <c r="AH557" s="40"/>
    </row>
    <row r="558" spans="1:34" s="32" customFormat="1">
      <c r="A558" s="338" t="s">
        <v>942</v>
      </c>
      <c r="B558" s="338" t="s">
        <v>945</v>
      </c>
      <c r="C558" s="358">
        <v>44237</v>
      </c>
      <c r="D558" s="351" t="s">
        <v>1028</v>
      </c>
      <c r="E558" s="352" t="s">
        <v>1147</v>
      </c>
      <c r="F558" s="338">
        <v>0.6479166666666667</v>
      </c>
      <c r="G558" s="338">
        <v>0.65</v>
      </c>
      <c r="H558" s="338" t="s">
        <v>983</v>
      </c>
      <c r="I558" s="353">
        <v>773</v>
      </c>
      <c r="J558" s="338" t="str">
        <f>IFERROR(VLOOKUP(I558,'Chart of accounts'!A:H,2,FALSE),"")</f>
        <v>50205020 01</v>
      </c>
      <c r="K558" s="338" t="str">
        <f>IFERROR(VLOOKUP(I558,'Chart of accounts'!A:H,3,FALSE),"")</f>
        <v xml:space="preserve">Telephone Expenses - Mobile </v>
      </c>
      <c r="L558" s="338" t="str">
        <f>IFERROR(VLOOKUP(I558,'Chart of accounts'!A:H,4,FALSE),"")</f>
        <v>50205020 01 - Telephone Expenses - Mobile  (773)</v>
      </c>
      <c r="M558" s="361">
        <v>68</v>
      </c>
      <c r="N558" s="355" t="s">
        <v>821</v>
      </c>
      <c r="O558" s="355" t="s">
        <v>1145</v>
      </c>
      <c r="P558" s="355"/>
      <c r="Q558" s="363">
        <v>5000</v>
      </c>
      <c r="R558" s="319">
        <f t="shared" si="9"/>
        <v>-5000</v>
      </c>
      <c r="S558" s="319" t="str">
        <f>VLOOKUP(H558,'Fund Utilization Report'!$A$4:$U$1800,13,FALSE)</f>
        <v>MOOE</v>
      </c>
      <c r="T558" s="319" t="str">
        <f>VLOOKUP(H558,'Fund Utilization Report'!$A$4:$U$1800,2,FALSE)</f>
        <v>GAA</v>
      </c>
      <c r="U558" s="319" t="str">
        <f>VLOOKUP(H558,'Fund Utilization Report'!$A$4:$U$1800,3,FALSE)</f>
        <v>FY2021, RA11518</v>
      </c>
      <c r="V558" s="319" t="str">
        <f>VLOOKUP(H558,'Fund Utilization Report'!$A$4:$U$1800,4,FALSE)</f>
        <v>SSF</v>
      </c>
      <c r="W558" s="319" t="str">
        <f>VLOOKUP(H558,'Fund Utilization Report'!$A$4:$U$1800,5,FALSE)</f>
        <v>01101101</v>
      </c>
      <c r="X558" s="319" t="str">
        <f>VLOOKUP(H558,'Fund Utilization Report'!$A$4:$U$1800,6,FALSE)</f>
        <v>GOP</v>
      </c>
      <c r="Y558" s="320" t="str">
        <f>VLOOKUP(H558,'Fund Utilization Report'!$A$4:$U$1800,7,FALSE)</f>
        <v>MOOE</v>
      </c>
      <c r="Z558" s="321">
        <f>VLOOKUP(H558,'Fund Utilization Report'!$A$4:$U$1800,8,FALSE)</f>
        <v>5020000000</v>
      </c>
      <c r="AA558" s="319" t="str">
        <f>VLOOKUP(H558,'Fund Utilization Report'!$A$4:$U$1800,14,FALSE)</f>
        <v>330100200003000</v>
      </c>
      <c r="AB558" s="349" t="str">
        <f>VLOOKUP(H558,'Fund Utilization Report'!$A$4:$U$1800,15,FALSE)</f>
        <v>Shared Service Facilities Project</v>
      </c>
      <c r="AC558" s="39"/>
      <c r="AD558" s="34"/>
      <c r="AE558" s="39"/>
      <c r="AF558" s="51"/>
      <c r="AG558" s="40"/>
      <c r="AH558" s="40"/>
    </row>
    <row r="559" spans="1:34" s="32" customFormat="1">
      <c r="A559" s="338" t="s">
        <v>942</v>
      </c>
      <c r="B559" s="338" t="s">
        <v>945</v>
      </c>
      <c r="C559" s="358">
        <v>44237</v>
      </c>
      <c r="D559" s="351" t="s">
        <v>1028</v>
      </c>
      <c r="E559" s="352" t="s">
        <v>1147</v>
      </c>
      <c r="F559" s="338">
        <v>0.6479166666666667</v>
      </c>
      <c r="G559" s="338">
        <v>0.65</v>
      </c>
      <c r="H559" s="338" t="s">
        <v>983</v>
      </c>
      <c r="I559" s="353">
        <v>799</v>
      </c>
      <c r="J559" s="338" t="str">
        <f>IFERROR(VLOOKUP(I559,'Chart of accounts'!A:H,2,FALSE),"")</f>
        <v>50211990 00</v>
      </c>
      <c r="K559" s="338" t="str">
        <f>IFERROR(VLOOKUP(I559,'Chart of accounts'!A:H,3,FALSE),"")</f>
        <v>Other Professional Services</v>
      </c>
      <c r="L559" s="338" t="str">
        <f>IFERROR(VLOOKUP(I559,'Chart of accounts'!A:H,4,FALSE),"")</f>
        <v>50211990 00 - Other Professional Services (799)</v>
      </c>
      <c r="M559" s="361">
        <v>68</v>
      </c>
      <c r="N559" s="355" t="s">
        <v>821</v>
      </c>
      <c r="O559" s="355" t="s">
        <v>1145</v>
      </c>
      <c r="P559" s="355"/>
      <c r="Q559" s="363">
        <v>10335.709999999999</v>
      </c>
      <c r="R559" s="319">
        <f t="shared" si="9"/>
        <v>-10335.709999999999</v>
      </c>
      <c r="S559" s="319" t="str">
        <f>VLOOKUP(H559,'Fund Utilization Report'!$A$4:$U$1800,13,FALSE)</f>
        <v>MOOE</v>
      </c>
      <c r="T559" s="319" t="str">
        <f>VLOOKUP(H559,'Fund Utilization Report'!$A$4:$U$1800,2,FALSE)</f>
        <v>GAA</v>
      </c>
      <c r="U559" s="319" t="str">
        <f>VLOOKUP(H559,'Fund Utilization Report'!$A$4:$U$1800,3,FALSE)</f>
        <v>FY2021, RA11518</v>
      </c>
      <c r="V559" s="319" t="str">
        <f>VLOOKUP(H559,'Fund Utilization Report'!$A$4:$U$1800,4,FALSE)</f>
        <v>SSF</v>
      </c>
      <c r="W559" s="319" t="str">
        <f>VLOOKUP(H559,'Fund Utilization Report'!$A$4:$U$1800,5,FALSE)</f>
        <v>01101101</v>
      </c>
      <c r="X559" s="319" t="str">
        <f>VLOOKUP(H559,'Fund Utilization Report'!$A$4:$U$1800,6,FALSE)</f>
        <v>GOP</v>
      </c>
      <c r="Y559" s="320" t="str">
        <f>VLOOKUP(H559,'Fund Utilization Report'!$A$4:$U$1800,7,FALSE)</f>
        <v>MOOE</v>
      </c>
      <c r="Z559" s="321">
        <f>VLOOKUP(H559,'Fund Utilization Report'!$A$4:$U$1800,8,FALSE)</f>
        <v>5020000000</v>
      </c>
      <c r="AA559" s="319" t="str">
        <f>VLOOKUP(H559,'Fund Utilization Report'!$A$4:$U$1800,14,FALSE)</f>
        <v>330100200003000</v>
      </c>
      <c r="AB559" s="349" t="str">
        <f>VLOOKUP(H559,'Fund Utilization Report'!$A$4:$U$1800,15,FALSE)</f>
        <v>Shared Service Facilities Project</v>
      </c>
      <c r="AC559" s="39"/>
      <c r="AD559" s="34"/>
      <c r="AE559" s="39"/>
      <c r="AF559" s="51"/>
      <c r="AG559" s="40"/>
      <c r="AH559" s="40"/>
    </row>
    <row r="560" spans="1:34" s="411" customFormat="1">
      <c r="A560" s="405" t="s">
        <v>942</v>
      </c>
      <c r="B560" s="405" t="s">
        <v>945</v>
      </c>
      <c r="C560" s="402">
        <v>44237</v>
      </c>
      <c r="D560" s="403" t="s">
        <v>1028</v>
      </c>
      <c r="E560" s="404" t="s">
        <v>1148</v>
      </c>
      <c r="F560" s="405">
        <v>0.65</v>
      </c>
      <c r="G560" s="405">
        <v>0.65486111111111112</v>
      </c>
      <c r="H560" s="405" t="s">
        <v>983</v>
      </c>
      <c r="I560" s="416">
        <v>751</v>
      </c>
      <c r="J560" s="405" t="str">
        <f>IFERROR(VLOOKUP(I560,'Chart of accounts'!A:H,2,FALSE),"")</f>
        <v>50201010 00</v>
      </c>
      <c r="K560" s="405" t="str">
        <f>IFERROR(VLOOKUP(I560,'Chart of accounts'!A:H,3,FALSE),"")</f>
        <v>Traveling Expenses - Local</v>
      </c>
      <c r="L560" s="405" t="str">
        <f>IFERROR(VLOOKUP(I560,'Chart of accounts'!A:H,4,FALSE),"")</f>
        <v>50201010 00 - Traveling Expenses - Local (751)</v>
      </c>
      <c r="M560" s="408">
        <v>67</v>
      </c>
      <c r="N560" s="409" t="s">
        <v>822</v>
      </c>
      <c r="O560" s="409" t="s">
        <v>1145</v>
      </c>
      <c r="P560" s="409"/>
      <c r="Q560" s="65">
        <f>25000-25000</f>
        <v>0</v>
      </c>
      <c r="R560" s="63">
        <f t="shared" si="9"/>
        <v>0</v>
      </c>
      <c r="S560" s="63" t="str">
        <f>VLOOKUP(H560,'Fund Utilization Report'!$A$4:$U$1800,13,FALSE)</f>
        <v>MOOE</v>
      </c>
      <c r="T560" s="63" t="str">
        <f>VLOOKUP(H560,'Fund Utilization Report'!$A$4:$U$1800,2,FALSE)</f>
        <v>GAA</v>
      </c>
      <c r="U560" s="63" t="str">
        <f>VLOOKUP(H560,'Fund Utilization Report'!$A$4:$U$1800,3,FALSE)</f>
        <v>FY2021, RA11518</v>
      </c>
      <c r="V560" s="63" t="str">
        <f>VLOOKUP(H560,'Fund Utilization Report'!$A$4:$U$1800,4,FALSE)</f>
        <v>SSF</v>
      </c>
      <c r="W560" s="63" t="str">
        <f>VLOOKUP(H560,'Fund Utilization Report'!$A$4:$U$1800,5,FALSE)</f>
        <v>01101101</v>
      </c>
      <c r="X560" s="63" t="str">
        <f>VLOOKUP(H560,'Fund Utilization Report'!$A$4:$U$1800,6,FALSE)</f>
        <v>GOP</v>
      </c>
      <c r="Y560" s="417" t="str">
        <f>VLOOKUP(H560,'Fund Utilization Report'!$A$4:$U$1800,7,FALSE)</f>
        <v>MOOE</v>
      </c>
      <c r="Z560" s="418">
        <f>VLOOKUP(H560,'Fund Utilization Report'!$A$4:$U$1800,8,FALSE)</f>
        <v>5020000000</v>
      </c>
      <c r="AA560" s="63" t="str">
        <f>VLOOKUP(H560,'Fund Utilization Report'!$A$4:$U$1800,14,FALSE)</f>
        <v>330100200003000</v>
      </c>
      <c r="AB560" s="419" t="str">
        <f>VLOOKUP(H560,'Fund Utilization Report'!$A$4:$U$1800,15,FALSE)</f>
        <v>Shared Service Facilities Project</v>
      </c>
      <c r="AC560" s="406"/>
      <c r="AD560" s="403"/>
      <c r="AE560" s="406"/>
      <c r="AF560" s="406"/>
      <c r="AG560" s="407"/>
      <c r="AH560" s="407"/>
    </row>
    <row r="561" spans="1:34" s="411" customFormat="1">
      <c r="A561" s="405" t="s">
        <v>942</v>
      </c>
      <c r="B561" s="405" t="s">
        <v>945</v>
      </c>
      <c r="C561" s="402">
        <v>44237</v>
      </c>
      <c r="D561" s="403" t="s">
        <v>1028</v>
      </c>
      <c r="E561" s="404" t="s">
        <v>1148</v>
      </c>
      <c r="F561" s="405">
        <v>0.65</v>
      </c>
      <c r="G561" s="405">
        <v>0.65486111111111112</v>
      </c>
      <c r="H561" s="405" t="s">
        <v>983</v>
      </c>
      <c r="I561" s="416">
        <v>753</v>
      </c>
      <c r="J561" s="405" t="str">
        <f>IFERROR(VLOOKUP(I561,'Chart of accounts'!A:H,2,FALSE),"")</f>
        <v>50202010 00</v>
      </c>
      <c r="K561" s="405" t="str">
        <f>IFERROR(VLOOKUP(I561,'Chart of accounts'!A:H,3,FALSE),"")</f>
        <v>Training Expenses</v>
      </c>
      <c r="L561" s="405" t="str">
        <f>IFERROR(VLOOKUP(I561,'Chart of accounts'!A:H,4,FALSE),"")</f>
        <v>50202010 00 - Training Expenses (753)</v>
      </c>
      <c r="M561" s="408">
        <v>67</v>
      </c>
      <c r="N561" s="409" t="s">
        <v>822</v>
      </c>
      <c r="O561" s="409" t="s">
        <v>1145</v>
      </c>
      <c r="P561" s="409"/>
      <c r="Q561" s="65">
        <f>40000-40000</f>
        <v>0</v>
      </c>
      <c r="R561" s="63">
        <f t="shared" si="9"/>
        <v>0</v>
      </c>
      <c r="S561" s="63" t="str">
        <f>VLOOKUP(H561,'Fund Utilization Report'!$A$4:$U$1800,13,FALSE)</f>
        <v>MOOE</v>
      </c>
      <c r="T561" s="63" t="str">
        <f>VLOOKUP(H561,'Fund Utilization Report'!$A$4:$U$1800,2,FALSE)</f>
        <v>GAA</v>
      </c>
      <c r="U561" s="63" t="str">
        <f>VLOOKUP(H561,'Fund Utilization Report'!$A$4:$U$1800,3,FALSE)</f>
        <v>FY2021, RA11518</v>
      </c>
      <c r="V561" s="63" t="str">
        <f>VLOOKUP(H561,'Fund Utilization Report'!$A$4:$U$1800,4,FALSE)</f>
        <v>SSF</v>
      </c>
      <c r="W561" s="63" t="str">
        <f>VLOOKUP(H561,'Fund Utilization Report'!$A$4:$U$1800,5,FALSE)</f>
        <v>01101101</v>
      </c>
      <c r="X561" s="63" t="str">
        <f>VLOOKUP(H561,'Fund Utilization Report'!$A$4:$U$1800,6,FALSE)</f>
        <v>GOP</v>
      </c>
      <c r="Y561" s="417" t="str">
        <f>VLOOKUP(H561,'Fund Utilization Report'!$A$4:$U$1800,7,FALSE)</f>
        <v>MOOE</v>
      </c>
      <c r="Z561" s="418">
        <f>VLOOKUP(H561,'Fund Utilization Report'!$A$4:$U$1800,8,FALSE)</f>
        <v>5020000000</v>
      </c>
      <c r="AA561" s="63" t="str">
        <f>VLOOKUP(H561,'Fund Utilization Report'!$A$4:$U$1800,14,FALSE)</f>
        <v>330100200003000</v>
      </c>
      <c r="AB561" s="419" t="str">
        <f>VLOOKUP(H561,'Fund Utilization Report'!$A$4:$U$1800,15,FALSE)</f>
        <v>Shared Service Facilities Project</v>
      </c>
      <c r="AC561" s="406"/>
      <c r="AD561" s="403"/>
      <c r="AE561" s="406"/>
      <c r="AF561" s="406"/>
      <c r="AG561" s="407"/>
      <c r="AH561" s="407"/>
    </row>
    <row r="562" spans="1:34" s="411" customFormat="1">
      <c r="A562" s="405" t="s">
        <v>942</v>
      </c>
      <c r="B562" s="405" t="s">
        <v>945</v>
      </c>
      <c r="C562" s="402">
        <v>44237</v>
      </c>
      <c r="D562" s="403" t="s">
        <v>1028</v>
      </c>
      <c r="E562" s="404" t="s">
        <v>1148</v>
      </c>
      <c r="F562" s="405">
        <v>0.65</v>
      </c>
      <c r="G562" s="405">
        <v>0.65486111111111112</v>
      </c>
      <c r="H562" s="405" t="s">
        <v>983</v>
      </c>
      <c r="I562" s="416">
        <v>773</v>
      </c>
      <c r="J562" s="405" t="str">
        <f>IFERROR(VLOOKUP(I562,'Chart of accounts'!A:H,2,FALSE),"")</f>
        <v>50205020 01</v>
      </c>
      <c r="K562" s="405" t="str">
        <f>IFERROR(VLOOKUP(I562,'Chart of accounts'!A:H,3,FALSE),"")</f>
        <v xml:space="preserve">Telephone Expenses - Mobile </v>
      </c>
      <c r="L562" s="405" t="str">
        <f>IFERROR(VLOOKUP(I562,'Chart of accounts'!A:H,4,FALSE),"")</f>
        <v>50205020 01 - Telephone Expenses - Mobile  (773)</v>
      </c>
      <c r="M562" s="408">
        <v>67</v>
      </c>
      <c r="N562" s="409" t="s">
        <v>822</v>
      </c>
      <c r="O562" s="409" t="s">
        <v>1145</v>
      </c>
      <c r="P562" s="409"/>
      <c r="Q562" s="65">
        <f>5000-5000</f>
        <v>0</v>
      </c>
      <c r="R562" s="63">
        <f t="shared" si="9"/>
        <v>0</v>
      </c>
      <c r="S562" s="63" t="str">
        <f>VLOOKUP(H562,'Fund Utilization Report'!$A$4:$U$1800,13,FALSE)</f>
        <v>MOOE</v>
      </c>
      <c r="T562" s="63" t="str">
        <f>VLOOKUP(H562,'Fund Utilization Report'!$A$4:$U$1800,2,FALSE)</f>
        <v>GAA</v>
      </c>
      <c r="U562" s="63" t="str">
        <f>VLOOKUP(H562,'Fund Utilization Report'!$A$4:$U$1800,3,FALSE)</f>
        <v>FY2021, RA11518</v>
      </c>
      <c r="V562" s="63" t="str">
        <f>VLOOKUP(H562,'Fund Utilization Report'!$A$4:$U$1800,4,FALSE)</f>
        <v>SSF</v>
      </c>
      <c r="W562" s="63" t="str">
        <f>VLOOKUP(H562,'Fund Utilization Report'!$A$4:$U$1800,5,FALSE)</f>
        <v>01101101</v>
      </c>
      <c r="X562" s="63" t="str">
        <f>VLOOKUP(H562,'Fund Utilization Report'!$A$4:$U$1800,6,FALSE)</f>
        <v>GOP</v>
      </c>
      <c r="Y562" s="417" t="str">
        <f>VLOOKUP(H562,'Fund Utilization Report'!$A$4:$U$1800,7,FALSE)</f>
        <v>MOOE</v>
      </c>
      <c r="Z562" s="418">
        <f>VLOOKUP(H562,'Fund Utilization Report'!$A$4:$U$1800,8,FALSE)</f>
        <v>5020000000</v>
      </c>
      <c r="AA562" s="63" t="str">
        <f>VLOOKUP(H562,'Fund Utilization Report'!$A$4:$U$1800,14,FALSE)</f>
        <v>330100200003000</v>
      </c>
      <c r="AB562" s="419" t="str">
        <f>VLOOKUP(H562,'Fund Utilization Report'!$A$4:$U$1800,15,FALSE)</f>
        <v>Shared Service Facilities Project</v>
      </c>
      <c r="AC562" s="406"/>
      <c r="AD562" s="403"/>
      <c r="AE562" s="406"/>
      <c r="AF562" s="406"/>
      <c r="AG562" s="407"/>
      <c r="AH562" s="407"/>
    </row>
    <row r="563" spans="1:34" s="411" customFormat="1">
      <c r="A563" s="405" t="s">
        <v>942</v>
      </c>
      <c r="B563" s="405" t="s">
        <v>945</v>
      </c>
      <c r="C563" s="402">
        <v>44237</v>
      </c>
      <c r="D563" s="403" t="s">
        <v>1028</v>
      </c>
      <c r="E563" s="404" t="s">
        <v>1148</v>
      </c>
      <c r="F563" s="405">
        <v>0.65</v>
      </c>
      <c r="G563" s="405">
        <v>0.65486111111111112</v>
      </c>
      <c r="H563" s="405" t="s">
        <v>983</v>
      </c>
      <c r="I563" s="416">
        <v>799</v>
      </c>
      <c r="J563" s="405" t="str">
        <f>IFERROR(VLOOKUP(I563,'Chart of accounts'!A:H,2,FALSE),"")</f>
        <v>50211990 00</v>
      </c>
      <c r="K563" s="405" t="str">
        <f>IFERROR(VLOOKUP(I563,'Chart of accounts'!A:H,3,FALSE),"")</f>
        <v>Other Professional Services</v>
      </c>
      <c r="L563" s="405" t="str">
        <f>IFERROR(VLOOKUP(I563,'Chart of accounts'!A:H,4,FALSE),"")</f>
        <v>50211990 00 - Other Professional Services (799)</v>
      </c>
      <c r="M563" s="408">
        <v>67</v>
      </c>
      <c r="N563" s="409" t="s">
        <v>822</v>
      </c>
      <c r="O563" s="409" t="s">
        <v>1145</v>
      </c>
      <c r="P563" s="409"/>
      <c r="Q563" s="65">
        <f>1952.38-1952.38</f>
        <v>0</v>
      </c>
      <c r="R563" s="63">
        <f t="shared" si="9"/>
        <v>0</v>
      </c>
      <c r="S563" s="63" t="str">
        <f>VLOOKUP(H563,'Fund Utilization Report'!$A$4:$U$1800,13,FALSE)</f>
        <v>MOOE</v>
      </c>
      <c r="T563" s="63" t="str">
        <f>VLOOKUP(H563,'Fund Utilization Report'!$A$4:$U$1800,2,FALSE)</f>
        <v>GAA</v>
      </c>
      <c r="U563" s="63" t="str">
        <f>VLOOKUP(H563,'Fund Utilization Report'!$A$4:$U$1800,3,FALSE)</f>
        <v>FY2021, RA11518</v>
      </c>
      <c r="V563" s="63" t="str">
        <f>VLOOKUP(H563,'Fund Utilization Report'!$A$4:$U$1800,4,FALSE)</f>
        <v>SSF</v>
      </c>
      <c r="W563" s="63" t="str">
        <f>VLOOKUP(H563,'Fund Utilization Report'!$A$4:$U$1800,5,FALSE)</f>
        <v>01101101</v>
      </c>
      <c r="X563" s="63" t="str">
        <f>VLOOKUP(H563,'Fund Utilization Report'!$A$4:$U$1800,6,FALSE)</f>
        <v>GOP</v>
      </c>
      <c r="Y563" s="417" t="str">
        <f>VLOOKUP(H563,'Fund Utilization Report'!$A$4:$U$1800,7,FALSE)</f>
        <v>MOOE</v>
      </c>
      <c r="Z563" s="418">
        <f>VLOOKUP(H563,'Fund Utilization Report'!$A$4:$U$1800,8,FALSE)</f>
        <v>5020000000</v>
      </c>
      <c r="AA563" s="63" t="str">
        <f>VLOOKUP(H563,'Fund Utilization Report'!$A$4:$U$1800,14,FALSE)</f>
        <v>330100200003000</v>
      </c>
      <c r="AB563" s="419" t="str">
        <f>VLOOKUP(H563,'Fund Utilization Report'!$A$4:$U$1800,15,FALSE)</f>
        <v>Shared Service Facilities Project</v>
      </c>
      <c r="AC563" s="406"/>
      <c r="AD563" s="403"/>
      <c r="AE563" s="406"/>
      <c r="AF563" s="406"/>
      <c r="AG563" s="407"/>
      <c r="AH563" s="407"/>
    </row>
    <row r="564" spans="1:34" s="411" customFormat="1">
      <c r="A564" s="405" t="s">
        <v>942</v>
      </c>
      <c r="B564" s="405" t="s">
        <v>945</v>
      </c>
      <c r="C564" s="402">
        <v>44237</v>
      </c>
      <c r="D564" s="403" t="s">
        <v>1028</v>
      </c>
      <c r="E564" s="404" t="s">
        <v>1149</v>
      </c>
      <c r="F564" s="405">
        <v>0.65486111111111112</v>
      </c>
      <c r="G564" s="405">
        <v>0.65694444444444444</v>
      </c>
      <c r="H564" s="405" t="s">
        <v>983</v>
      </c>
      <c r="I564" s="416">
        <v>751</v>
      </c>
      <c r="J564" s="405" t="str">
        <f>IFERROR(VLOOKUP(I564,'Chart of accounts'!A:H,2,FALSE),"")</f>
        <v>50201010 00</v>
      </c>
      <c r="K564" s="405" t="str">
        <f>IFERROR(VLOOKUP(I564,'Chart of accounts'!A:H,3,FALSE),"")</f>
        <v>Traveling Expenses - Local</v>
      </c>
      <c r="L564" s="405" t="str">
        <f>IFERROR(VLOOKUP(I564,'Chart of accounts'!A:H,4,FALSE),"")</f>
        <v>50201010 00 - Traveling Expenses - Local (751)</v>
      </c>
      <c r="M564" s="408">
        <v>85</v>
      </c>
      <c r="N564" s="409" t="s">
        <v>823</v>
      </c>
      <c r="O564" s="409" t="s">
        <v>1145</v>
      </c>
      <c r="P564" s="409"/>
      <c r="Q564" s="65">
        <f>25000-25000</f>
        <v>0</v>
      </c>
      <c r="R564" s="63">
        <f t="shared" si="9"/>
        <v>0</v>
      </c>
      <c r="S564" s="63" t="str">
        <f>VLOOKUP(H564,'Fund Utilization Report'!$A$4:$U$1800,13,FALSE)</f>
        <v>MOOE</v>
      </c>
      <c r="T564" s="63" t="str">
        <f>VLOOKUP(H564,'Fund Utilization Report'!$A$4:$U$1800,2,FALSE)</f>
        <v>GAA</v>
      </c>
      <c r="U564" s="63" t="str">
        <f>VLOOKUP(H564,'Fund Utilization Report'!$A$4:$U$1800,3,FALSE)</f>
        <v>FY2021, RA11518</v>
      </c>
      <c r="V564" s="63" t="str">
        <f>VLOOKUP(H564,'Fund Utilization Report'!$A$4:$U$1800,4,FALSE)</f>
        <v>SSF</v>
      </c>
      <c r="W564" s="63" t="str">
        <f>VLOOKUP(H564,'Fund Utilization Report'!$A$4:$U$1800,5,FALSE)</f>
        <v>01101101</v>
      </c>
      <c r="X564" s="63" t="str">
        <f>VLOOKUP(H564,'Fund Utilization Report'!$A$4:$U$1800,6,FALSE)</f>
        <v>GOP</v>
      </c>
      <c r="Y564" s="417" t="str">
        <f>VLOOKUP(H564,'Fund Utilization Report'!$A$4:$U$1800,7,FALSE)</f>
        <v>MOOE</v>
      </c>
      <c r="Z564" s="418">
        <f>VLOOKUP(H564,'Fund Utilization Report'!$A$4:$U$1800,8,FALSE)</f>
        <v>5020000000</v>
      </c>
      <c r="AA564" s="63" t="str">
        <f>VLOOKUP(H564,'Fund Utilization Report'!$A$4:$U$1800,14,FALSE)</f>
        <v>330100200003000</v>
      </c>
      <c r="AB564" s="419" t="str">
        <f>VLOOKUP(H564,'Fund Utilization Report'!$A$4:$U$1800,15,FALSE)</f>
        <v>Shared Service Facilities Project</v>
      </c>
      <c r="AC564" s="406"/>
      <c r="AD564" s="403"/>
      <c r="AE564" s="406"/>
      <c r="AF564" s="406"/>
      <c r="AG564" s="407"/>
      <c r="AH564" s="407"/>
    </row>
    <row r="565" spans="1:34" s="411" customFormat="1">
      <c r="A565" s="405" t="s">
        <v>942</v>
      </c>
      <c r="B565" s="405" t="s">
        <v>945</v>
      </c>
      <c r="C565" s="402">
        <v>44237</v>
      </c>
      <c r="D565" s="403" t="s">
        <v>1028</v>
      </c>
      <c r="E565" s="404" t="s">
        <v>1149</v>
      </c>
      <c r="F565" s="405">
        <v>0.65486111111111112</v>
      </c>
      <c r="G565" s="405">
        <v>0.65694444444444444</v>
      </c>
      <c r="H565" s="405" t="s">
        <v>983</v>
      </c>
      <c r="I565" s="416">
        <v>753</v>
      </c>
      <c r="J565" s="405" t="str">
        <f>IFERROR(VLOOKUP(I565,'Chart of accounts'!A:H,2,FALSE),"")</f>
        <v>50202010 00</v>
      </c>
      <c r="K565" s="405" t="str">
        <f>IFERROR(VLOOKUP(I565,'Chart of accounts'!A:H,3,FALSE),"")</f>
        <v>Training Expenses</v>
      </c>
      <c r="L565" s="405" t="str">
        <f>IFERROR(VLOOKUP(I565,'Chart of accounts'!A:H,4,FALSE),"")</f>
        <v>50202010 00 - Training Expenses (753)</v>
      </c>
      <c r="M565" s="408">
        <v>85</v>
      </c>
      <c r="N565" s="409" t="s">
        <v>823</v>
      </c>
      <c r="O565" s="409" t="s">
        <v>1145</v>
      </c>
      <c r="P565" s="409"/>
      <c r="Q565" s="65">
        <f>40000-40000</f>
        <v>0</v>
      </c>
      <c r="R565" s="63">
        <f t="shared" si="9"/>
        <v>0</v>
      </c>
      <c r="S565" s="63" t="str">
        <f>VLOOKUP(H565,'Fund Utilization Report'!$A$4:$U$1800,13,FALSE)</f>
        <v>MOOE</v>
      </c>
      <c r="T565" s="63" t="str">
        <f>VLOOKUP(H565,'Fund Utilization Report'!$A$4:$U$1800,2,FALSE)</f>
        <v>GAA</v>
      </c>
      <c r="U565" s="63" t="str">
        <f>VLOOKUP(H565,'Fund Utilization Report'!$A$4:$U$1800,3,FALSE)</f>
        <v>FY2021, RA11518</v>
      </c>
      <c r="V565" s="63" t="str">
        <f>VLOOKUP(H565,'Fund Utilization Report'!$A$4:$U$1800,4,FALSE)</f>
        <v>SSF</v>
      </c>
      <c r="W565" s="63" t="str">
        <f>VLOOKUP(H565,'Fund Utilization Report'!$A$4:$U$1800,5,FALSE)</f>
        <v>01101101</v>
      </c>
      <c r="X565" s="63" t="str">
        <f>VLOOKUP(H565,'Fund Utilization Report'!$A$4:$U$1800,6,FALSE)</f>
        <v>GOP</v>
      </c>
      <c r="Y565" s="417" t="str">
        <f>VLOOKUP(H565,'Fund Utilization Report'!$A$4:$U$1800,7,FALSE)</f>
        <v>MOOE</v>
      </c>
      <c r="Z565" s="418">
        <f>VLOOKUP(H565,'Fund Utilization Report'!$A$4:$U$1800,8,FALSE)</f>
        <v>5020000000</v>
      </c>
      <c r="AA565" s="63" t="str">
        <f>VLOOKUP(H565,'Fund Utilization Report'!$A$4:$U$1800,14,FALSE)</f>
        <v>330100200003000</v>
      </c>
      <c r="AB565" s="419" t="str">
        <f>VLOOKUP(H565,'Fund Utilization Report'!$A$4:$U$1800,15,FALSE)</f>
        <v>Shared Service Facilities Project</v>
      </c>
      <c r="AC565" s="406"/>
      <c r="AD565" s="403"/>
      <c r="AE565" s="406"/>
      <c r="AF565" s="406"/>
      <c r="AG565" s="407"/>
      <c r="AH565" s="407"/>
    </row>
    <row r="566" spans="1:34" s="411" customFormat="1">
      <c r="A566" s="405" t="s">
        <v>942</v>
      </c>
      <c r="B566" s="405" t="s">
        <v>945</v>
      </c>
      <c r="C566" s="402">
        <v>44237</v>
      </c>
      <c r="D566" s="403" t="s">
        <v>1028</v>
      </c>
      <c r="E566" s="404" t="s">
        <v>1149</v>
      </c>
      <c r="F566" s="405">
        <v>0.65486111111111112</v>
      </c>
      <c r="G566" s="405">
        <v>0.65694444444444444</v>
      </c>
      <c r="H566" s="405" t="s">
        <v>983</v>
      </c>
      <c r="I566" s="416">
        <v>773</v>
      </c>
      <c r="J566" s="405" t="str">
        <f>IFERROR(VLOOKUP(I566,'Chart of accounts'!A:H,2,FALSE),"")</f>
        <v>50205020 01</v>
      </c>
      <c r="K566" s="405" t="str">
        <f>IFERROR(VLOOKUP(I566,'Chart of accounts'!A:H,3,FALSE),"")</f>
        <v xml:space="preserve">Telephone Expenses - Mobile </v>
      </c>
      <c r="L566" s="405" t="str">
        <f>IFERROR(VLOOKUP(I566,'Chart of accounts'!A:H,4,FALSE),"")</f>
        <v>50205020 01 - Telephone Expenses - Mobile  (773)</v>
      </c>
      <c r="M566" s="408">
        <v>85</v>
      </c>
      <c r="N566" s="409" t="s">
        <v>823</v>
      </c>
      <c r="O566" s="409" t="s">
        <v>1145</v>
      </c>
      <c r="P566" s="409"/>
      <c r="Q566" s="65">
        <f>5000-5000</f>
        <v>0</v>
      </c>
      <c r="R566" s="63">
        <f t="shared" si="9"/>
        <v>0</v>
      </c>
      <c r="S566" s="63" t="str">
        <f>VLOOKUP(H566,'Fund Utilization Report'!$A$4:$U$1800,13,FALSE)</f>
        <v>MOOE</v>
      </c>
      <c r="T566" s="63" t="str">
        <f>VLOOKUP(H566,'Fund Utilization Report'!$A$4:$U$1800,2,FALSE)</f>
        <v>GAA</v>
      </c>
      <c r="U566" s="63" t="str">
        <f>VLOOKUP(H566,'Fund Utilization Report'!$A$4:$U$1800,3,FALSE)</f>
        <v>FY2021, RA11518</v>
      </c>
      <c r="V566" s="63" t="str">
        <f>VLOOKUP(H566,'Fund Utilization Report'!$A$4:$U$1800,4,FALSE)</f>
        <v>SSF</v>
      </c>
      <c r="W566" s="63" t="str">
        <f>VLOOKUP(H566,'Fund Utilization Report'!$A$4:$U$1800,5,FALSE)</f>
        <v>01101101</v>
      </c>
      <c r="X566" s="63" t="str">
        <f>VLOOKUP(H566,'Fund Utilization Report'!$A$4:$U$1800,6,FALSE)</f>
        <v>GOP</v>
      </c>
      <c r="Y566" s="417" t="str">
        <f>VLOOKUP(H566,'Fund Utilization Report'!$A$4:$U$1800,7,FALSE)</f>
        <v>MOOE</v>
      </c>
      <c r="Z566" s="418">
        <f>VLOOKUP(H566,'Fund Utilization Report'!$A$4:$U$1800,8,FALSE)</f>
        <v>5020000000</v>
      </c>
      <c r="AA566" s="63" t="str">
        <f>VLOOKUP(H566,'Fund Utilization Report'!$A$4:$U$1800,14,FALSE)</f>
        <v>330100200003000</v>
      </c>
      <c r="AB566" s="419" t="str">
        <f>VLOOKUP(H566,'Fund Utilization Report'!$A$4:$U$1800,15,FALSE)</f>
        <v>Shared Service Facilities Project</v>
      </c>
      <c r="AC566" s="406"/>
      <c r="AD566" s="403"/>
      <c r="AE566" s="406"/>
      <c r="AF566" s="406"/>
      <c r="AG566" s="407"/>
      <c r="AH566" s="407"/>
    </row>
    <row r="567" spans="1:34" s="411" customFormat="1">
      <c r="A567" s="405" t="s">
        <v>942</v>
      </c>
      <c r="B567" s="405" t="s">
        <v>945</v>
      </c>
      <c r="C567" s="402">
        <v>44237</v>
      </c>
      <c r="D567" s="403" t="s">
        <v>1028</v>
      </c>
      <c r="E567" s="404" t="s">
        <v>1149</v>
      </c>
      <c r="F567" s="405">
        <v>0.65486111111111112</v>
      </c>
      <c r="G567" s="405">
        <v>0.65694444444444444</v>
      </c>
      <c r="H567" s="405" t="s">
        <v>983</v>
      </c>
      <c r="I567" s="416">
        <v>799</v>
      </c>
      <c r="J567" s="405" t="str">
        <f>IFERROR(VLOOKUP(I567,'Chart of accounts'!A:H,2,FALSE),"")</f>
        <v>50211990 00</v>
      </c>
      <c r="K567" s="405" t="str">
        <f>IFERROR(VLOOKUP(I567,'Chart of accounts'!A:H,3,FALSE),"")</f>
        <v>Other Professional Services</v>
      </c>
      <c r="L567" s="405" t="str">
        <f>IFERROR(VLOOKUP(I567,'Chart of accounts'!A:H,4,FALSE),"")</f>
        <v>50211990 00 - Other Professional Services (799)</v>
      </c>
      <c r="M567" s="408">
        <v>85</v>
      </c>
      <c r="N567" s="409" t="s">
        <v>823</v>
      </c>
      <c r="O567" s="409" t="s">
        <v>1145</v>
      </c>
      <c r="P567" s="409"/>
      <c r="Q567" s="65">
        <f>10335.71-10335.71</f>
        <v>0</v>
      </c>
      <c r="R567" s="63">
        <f t="shared" si="9"/>
        <v>0</v>
      </c>
      <c r="S567" s="63" t="str">
        <f>VLOOKUP(H567,'Fund Utilization Report'!$A$4:$U$1800,13,FALSE)</f>
        <v>MOOE</v>
      </c>
      <c r="T567" s="63" t="str">
        <f>VLOOKUP(H567,'Fund Utilization Report'!$A$4:$U$1800,2,FALSE)</f>
        <v>GAA</v>
      </c>
      <c r="U567" s="63" t="str">
        <f>VLOOKUP(H567,'Fund Utilization Report'!$A$4:$U$1800,3,FALSE)</f>
        <v>FY2021, RA11518</v>
      </c>
      <c r="V567" s="63" t="str">
        <f>VLOOKUP(H567,'Fund Utilization Report'!$A$4:$U$1800,4,FALSE)</f>
        <v>SSF</v>
      </c>
      <c r="W567" s="63" t="str">
        <f>VLOOKUP(H567,'Fund Utilization Report'!$A$4:$U$1800,5,FALSE)</f>
        <v>01101101</v>
      </c>
      <c r="X567" s="63" t="str">
        <f>VLOOKUP(H567,'Fund Utilization Report'!$A$4:$U$1800,6,FALSE)</f>
        <v>GOP</v>
      </c>
      <c r="Y567" s="417" t="str">
        <f>VLOOKUP(H567,'Fund Utilization Report'!$A$4:$U$1800,7,FALSE)</f>
        <v>MOOE</v>
      </c>
      <c r="Z567" s="418">
        <f>VLOOKUP(H567,'Fund Utilization Report'!$A$4:$U$1800,8,FALSE)</f>
        <v>5020000000</v>
      </c>
      <c r="AA567" s="63" t="str">
        <f>VLOOKUP(H567,'Fund Utilization Report'!$A$4:$U$1800,14,FALSE)</f>
        <v>330100200003000</v>
      </c>
      <c r="AB567" s="419" t="str">
        <f>VLOOKUP(H567,'Fund Utilization Report'!$A$4:$U$1800,15,FALSE)</f>
        <v>Shared Service Facilities Project</v>
      </c>
      <c r="AC567" s="406"/>
      <c r="AD567" s="403"/>
      <c r="AE567" s="406"/>
      <c r="AF567" s="406"/>
      <c r="AG567" s="407"/>
      <c r="AH567" s="407"/>
    </row>
    <row r="568" spans="1:34" s="411" customFormat="1" ht="27.6">
      <c r="A568" s="405" t="s">
        <v>942</v>
      </c>
      <c r="B568" s="405" t="s">
        <v>945</v>
      </c>
      <c r="C568" s="402">
        <v>44237</v>
      </c>
      <c r="D568" s="403" t="s">
        <v>1028</v>
      </c>
      <c r="E568" s="404" t="s">
        <v>1151</v>
      </c>
      <c r="F568" s="405">
        <v>0.66875000000000007</v>
      </c>
      <c r="G568" s="405">
        <v>0.67013888888888884</v>
      </c>
      <c r="H568" s="405" t="s">
        <v>986</v>
      </c>
      <c r="I568" s="416">
        <v>751</v>
      </c>
      <c r="J568" s="405" t="str">
        <f>IFERROR(VLOOKUP(I568,'Chart of accounts'!A:H,2,FALSE),"")</f>
        <v>50201010 00</v>
      </c>
      <c r="K568" s="405" t="str">
        <f>IFERROR(VLOOKUP(I568,'Chart of accounts'!A:H,3,FALSE),"")</f>
        <v>Traveling Expenses - Local</v>
      </c>
      <c r="L568" s="405" t="str">
        <f>IFERROR(VLOOKUP(I568,'Chart of accounts'!A:H,4,FALSE),"")</f>
        <v>50201010 00 - Traveling Expenses - Local (751)</v>
      </c>
      <c r="M568" s="408">
        <v>2</v>
      </c>
      <c r="N568" s="409" t="s">
        <v>818</v>
      </c>
      <c r="O568" s="409" t="s">
        <v>1150</v>
      </c>
      <c r="P568" s="409"/>
      <c r="Q568" s="65">
        <f>16700-16700</f>
        <v>0</v>
      </c>
      <c r="R568" s="63">
        <f t="shared" si="9"/>
        <v>0</v>
      </c>
      <c r="S568" s="63" t="str">
        <f>VLOOKUP(H568,'Fund Utilization Report'!$A$4:$U$1800,13,FALSE)</f>
        <v>MOOE</v>
      </c>
      <c r="T568" s="63" t="str">
        <f>VLOOKUP(H568,'Fund Utilization Report'!$A$4:$U$1800,2,FALSE)</f>
        <v>SAA37</v>
      </c>
      <c r="U568" s="63" t="str">
        <f>VLOOKUP(H568,'Fund Utilization Report'!$A$4:$U$1800,3,FALSE)</f>
        <v>2021-01-0037</v>
      </c>
      <c r="V568" s="63" t="str">
        <f>VLOOKUP(H568,'Fund Utilization Report'!$A$4:$U$1800,4,FALSE)</f>
        <v>CARP</v>
      </c>
      <c r="W568" s="63" t="str">
        <f>VLOOKUP(H568,'Fund Utilization Report'!$A$4:$U$1800,5,FALSE)</f>
        <v>01101101</v>
      </c>
      <c r="X568" s="63" t="str">
        <f>VLOOKUP(H568,'Fund Utilization Report'!$A$4:$U$1800,6,FALSE)</f>
        <v>GOP</v>
      </c>
      <c r="Y568" s="417">
        <f>VLOOKUP(H568,'Fund Utilization Report'!$A$4:$U$1800,7,FALSE)</f>
        <v>751</v>
      </c>
      <c r="Z568" s="418" t="str">
        <f>VLOOKUP(H568,'Fund Utilization Report'!$A$4:$U$1800,8,FALSE)</f>
        <v>50201010 00</v>
      </c>
      <c r="AA568" s="63" t="str">
        <f>VLOOKUP(H568,'Fund Utilization Report'!$A$4:$U$1800,14,FALSE)</f>
        <v>330100100003000</v>
      </c>
      <c r="AB568" s="419" t="str">
        <f>VLOOKUP(H568,'Fund Utilization Report'!$A$4:$U$1800,15,FALSE)</f>
        <v>MSME Development Program : Program Beneficiaries Development Component of the Comprehensive Agrarian Reform Program</v>
      </c>
      <c r="AC568" s="406"/>
      <c r="AD568" s="403"/>
      <c r="AE568" s="406"/>
      <c r="AF568" s="406"/>
      <c r="AG568" s="407"/>
      <c r="AH568" s="407"/>
    </row>
    <row r="569" spans="1:34" s="411" customFormat="1" ht="27.6">
      <c r="A569" s="405" t="s">
        <v>942</v>
      </c>
      <c r="B569" s="405" t="s">
        <v>945</v>
      </c>
      <c r="C569" s="402">
        <v>44237</v>
      </c>
      <c r="D569" s="403" t="s">
        <v>1028</v>
      </c>
      <c r="E569" s="404" t="s">
        <v>1151</v>
      </c>
      <c r="F569" s="405">
        <v>0.66875000000000007</v>
      </c>
      <c r="G569" s="405">
        <v>0.67013888888888884</v>
      </c>
      <c r="H569" s="405" t="s">
        <v>987</v>
      </c>
      <c r="I569" s="416">
        <v>753</v>
      </c>
      <c r="J569" s="405" t="str">
        <f>IFERROR(VLOOKUP(I569,'Chart of accounts'!A:H,2,FALSE),"")</f>
        <v>50202010 00</v>
      </c>
      <c r="K569" s="405" t="str">
        <f>IFERROR(VLOOKUP(I569,'Chart of accounts'!A:H,3,FALSE),"")</f>
        <v>Training Expenses</v>
      </c>
      <c r="L569" s="405" t="str">
        <f>IFERROR(VLOOKUP(I569,'Chart of accounts'!A:H,4,FALSE),"")</f>
        <v>50202010 00 - Training Expenses (753)</v>
      </c>
      <c r="M569" s="408">
        <v>2</v>
      </c>
      <c r="N569" s="409" t="s">
        <v>818</v>
      </c>
      <c r="O569" s="409" t="s">
        <v>1150</v>
      </c>
      <c r="P569" s="409"/>
      <c r="Q569" s="65">
        <f>73434-73434</f>
        <v>0</v>
      </c>
      <c r="R569" s="63">
        <f t="shared" si="9"/>
        <v>0</v>
      </c>
      <c r="S569" s="63" t="str">
        <f>VLOOKUP(H569,'Fund Utilization Report'!$A$4:$U$1800,13,FALSE)</f>
        <v>MOOE</v>
      </c>
      <c r="T569" s="63" t="str">
        <f>VLOOKUP(H569,'Fund Utilization Report'!$A$4:$U$1800,2,FALSE)</f>
        <v>SAA37</v>
      </c>
      <c r="U569" s="63" t="str">
        <f>VLOOKUP(H569,'Fund Utilization Report'!$A$4:$U$1800,3,FALSE)</f>
        <v>2021-01-0037</v>
      </c>
      <c r="V569" s="63" t="str">
        <f>VLOOKUP(H569,'Fund Utilization Report'!$A$4:$U$1800,4,FALSE)</f>
        <v>CARP</v>
      </c>
      <c r="W569" s="63" t="str">
        <f>VLOOKUP(H569,'Fund Utilization Report'!$A$4:$U$1800,5,FALSE)</f>
        <v>01101101</v>
      </c>
      <c r="X569" s="63" t="str">
        <f>VLOOKUP(H569,'Fund Utilization Report'!$A$4:$U$1800,6,FALSE)</f>
        <v>GOP</v>
      </c>
      <c r="Y569" s="417">
        <f>VLOOKUP(H569,'Fund Utilization Report'!$A$4:$U$1800,7,FALSE)</f>
        <v>753</v>
      </c>
      <c r="Z569" s="418" t="str">
        <f>VLOOKUP(H569,'Fund Utilization Report'!$A$4:$U$1800,8,FALSE)</f>
        <v>50202010 00</v>
      </c>
      <c r="AA569" s="63" t="str">
        <f>VLOOKUP(H569,'Fund Utilization Report'!$A$4:$U$1800,14,FALSE)</f>
        <v>330100100003000</v>
      </c>
      <c r="AB569" s="419" t="str">
        <f>VLOOKUP(H569,'Fund Utilization Report'!$A$4:$U$1800,15,FALSE)</f>
        <v>MSME Development Program : Program Beneficiaries Development Component of the Comprehensive Agrarian Reform Program</v>
      </c>
      <c r="AC569" s="406"/>
      <c r="AD569" s="403"/>
      <c r="AE569" s="406"/>
      <c r="AF569" s="406"/>
      <c r="AG569" s="407"/>
      <c r="AH569" s="407"/>
    </row>
    <row r="570" spans="1:34" s="411" customFormat="1" ht="27.6">
      <c r="A570" s="405" t="s">
        <v>942</v>
      </c>
      <c r="B570" s="405" t="s">
        <v>945</v>
      </c>
      <c r="C570" s="402">
        <v>44237</v>
      </c>
      <c r="D570" s="403" t="s">
        <v>1028</v>
      </c>
      <c r="E570" s="404" t="s">
        <v>1151</v>
      </c>
      <c r="F570" s="405">
        <v>0.66875000000000007</v>
      </c>
      <c r="G570" s="405">
        <v>0.67013888888888884</v>
      </c>
      <c r="H570" s="405" t="s">
        <v>988</v>
      </c>
      <c r="I570" s="416">
        <v>755</v>
      </c>
      <c r="J570" s="405" t="str">
        <f>IFERROR(VLOOKUP(I570,'Chart of accounts'!A:H,2,FALSE),"")</f>
        <v>50203010 00</v>
      </c>
      <c r="K570" s="405" t="str">
        <f>IFERROR(VLOOKUP(I570,'Chart of accounts'!A:H,3,FALSE),"")</f>
        <v>Office Supplies Expenses</v>
      </c>
      <c r="L570" s="405" t="str">
        <f>IFERROR(VLOOKUP(I570,'Chart of accounts'!A:H,4,FALSE),"")</f>
        <v>50203010 00 - Office Supplies Expenses (755)</v>
      </c>
      <c r="M570" s="408">
        <v>2</v>
      </c>
      <c r="N570" s="409" t="s">
        <v>818</v>
      </c>
      <c r="O570" s="409" t="s">
        <v>1150</v>
      </c>
      <c r="P570" s="409"/>
      <c r="Q570" s="65">
        <f>2500-2500</f>
        <v>0</v>
      </c>
      <c r="R570" s="63">
        <f t="shared" si="9"/>
        <v>0</v>
      </c>
      <c r="S570" s="63" t="str">
        <f>VLOOKUP(H570,'Fund Utilization Report'!$A$4:$U$1800,13,FALSE)</f>
        <v>MOOE</v>
      </c>
      <c r="T570" s="63" t="str">
        <f>VLOOKUP(H570,'Fund Utilization Report'!$A$4:$U$1800,2,FALSE)</f>
        <v>SAA37</v>
      </c>
      <c r="U570" s="63" t="str">
        <f>VLOOKUP(H570,'Fund Utilization Report'!$A$4:$U$1800,3,FALSE)</f>
        <v>2021-01-0037</v>
      </c>
      <c r="V570" s="63" t="str">
        <f>VLOOKUP(H570,'Fund Utilization Report'!$A$4:$U$1800,4,FALSE)</f>
        <v>CARP</v>
      </c>
      <c r="W570" s="63" t="str">
        <f>VLOOKUP(H570,'Fund Utilization Report'!$A$4:$U$1800,5,FALSE)</f>
        <v>01101101</v>
      </c>
      <c r="X570" s="63" t="str">
        <f>VLOOKUP(H570,'Fund Utilization Report'!$A$4:$U$1800,6,FALSE)</f>
        <v>GOP</v>
      </c>
      <c r="Y570" s="417">
        <f>VLOOKUP(H570,'Fund Utilization Report'!$A$4:$U$1800,7,FALSE)</f>
        <v>755</v>
      </c>
      <c r="Z570" s="418" t="str">
        <f>VLOOKUP(H570,'Fund Utilization Report'!$A$4:$U$1800,8,FALSE)</f>
        <v>50203010 00</v>
      </c>
      <c r="AA570" s="63" t="str">
        <f>VLOOKUP(H570,'Fund Utilization Report'!$A$4:$U$1800,14,FALSE)</f>
        <v>330100100003000</v>
      </c>
      <c r="AB570" s="419" t="str">
        <f>VLOOKUP(H570,'Fund Utilization Report'!$A$4:$U$1800,15,FALSE)</f>
        <v>MSME Development Program : Program Beneficiaries Development Component of the Comprehensive Agrarian Reform Program</v>
      </c>
      <c r="AC570" s="406"/>
      <c r="AD570" s="403"/>
      <c r="AE570" s="406"/>
      <c r="AF570" s="406"/>
      <c r="AG570" s="407"/>
      <c r="AH570" s="407"/>
    </row>
    <row r="571" spans="1:34" s="411" customFormat="1" ht="27.6">
      <c r="A571" s="405" t="s">
        <v>942</v>
      </c>
      <c r="B571" s="405" t="s">
        <v>945</v>
      </c>
      <c r="C571" s="402">
        <v>44237</v>
      </c>
      <c r="D571" s="403" t="s">
        <v>1028</v>
      </c>
      <c r="E571" s="404" t="s">
        <v>1151</v>
      </c>
      <c r="F571" s="405">
        <v>0.66875000000000007</v>
      </c>
      <c r="G571" s="405">
        <v>0.67013888888888884</v>
      </c>
      <c r="H571" s="405" t="s">
        <v>991</v>
      </c>
      <c r="I571" s="416">
        <v>773</v>
      </c>
      <c r="J571" s="405" t="str">
        <f>IFERROR(VLOOKUP(I571,'Chart of accounts'!A:H,2,FALSE),"")</f>
        <v>50205020 01</v>
      </c>
      <c r="K571" s="405" t="str">
        <f>IFERROR(VLOOKUP(I571,'Chart of accounts'!A:H,3,FALSE),"")</f>
        <v xml:space="preserve">Telephone Expenses - Mobile </v>
      </c>
      <c r="L571" s="405" t="str">
        <f>IFERROR(VLOOKUP(I571,'Chart of accounts'!A:H,4,FALSE),"")</f>
        <v>50205020 01 - Telephone Expenses - Mobile  (773)</v>
      </c>
      <c r="M571" s="408">
        <v>2</v>
      </c>
      <c r="N571" s="409" t="s">
        <v>818</v>
      </c>
      <c r="O571" s="409" t="s">
        <v>1150</v>
      </c>
      <c r="P571" s="409"/>
      <c r="Q571" s="65">
        <f>1500-1500</f>
        <v>0</v>
      </c>
      <c r="R571" s="63">
        <f t="shared" si="9"/>
        <v>0</v>
      </c>
      <c r="S571" s="63" t="str">
        <f>VLOOKUP(H571,'Fund Utilization Report'!$A$4:$U$1800,13,FALSE)</f>
        <v>MOOE</v>
      </c>
      <c r="T571" s="63" t="str">
        <f>VLOOKUP(H571,'Fund Utilization Report'!$A$4:$U$1800,2,FALSE)</f>
        <v>SAA37</v>
      </c>
      <c r="U571" s="63" t="str">
        <f>VLOOKUP(H571,'Fund Utilization Report'!$A$4:$U$1800,3,FALSE)</f>
        <v>2021-01-0037</v>
      </c>
      <c r="V571" s="63" t="str">
        <f>VLOOKUP(H571,'Fund Utilization Report'!$A$4:$U$1800,4,FALSE)</f>
        <v>CARP</v>
      </c>
      <c r="W571" s="63" t="str">
        <f>VLOOKUP(H571,'Fund Utilization Report'!$A$4:$U$1800,5,FALSE)</f>
        <v>01101101</v>
      </c>
      <c r="X571" s="63" t="str">
        <f>VLOOKUP(H571,'Fund Utilization Report'!$A$4:$U$1800,6,FALSE)</f>
        <v>GOP</v>
      </c>
      <c r="Y571" s="417">
        <f>VLOOKUP(H571,'Fund Utilization Report'!$A$4:$U$1800,7,FALSE)</f>
        <v>773</v>
      </c>
      <c r="Z571" s="418" t="str">
        <f>VLOOKUP(H571,'Fund Utilization Report'!$A$4:$U$1800,8,FALSE)</f>
        <v>50205020 01</v>
      </c>
      <c r="AA571" s="63" t="str">
        <f>VLOOKUP(H571,'Fund Utilization Report'!$A$4:$U$1800,14,FALSE)</f>
        <v>330100100003000</v>
      </c>
      <c r="AB571" s="419" t="str">
        <f>VLOOKUP(H571,'Fund Utilization Report'!$A$4:$U$1800,15,FALSE)</f>
        <v>MSME Development Program : Program Beneficiaries Development Component of the Comprehensive Agrarian Reform Program</v>
      </c>
      <c r="AC571" s="406"/>
      <c r="AD571" s="403"/>
      <c r="AE571" s="406"/>
      <c r="AF571" s="406"/>
      <c r="AG571" s="407"/>
      <c r="AH571" s="407"/>
    </row>
    <row r="572" spans="1:34" s="411" customFormat="1" ht="27.6">
      <c r="A572" s="405" t="s">
        <v>942</v>
      </c>
      <c r="B572" s="405" t="s">
        <v>945</v>
      </c>
      <c r="C572" s="402">
        <v>44237</v>
      </c>
      <c r="D572" s="403" t="s">
        <v>1028</v>
      </c>
      <c r="E572" s="404" t="s">
        <v>1151</v>
      </c>
      <c r="F572" s="405">
        <v>0.66875000000000007</v>
      </c>
      <c r="G572" s="405">
        <v>0.67013888888888884</v>
      </c>
      <c r="H572" s="405" t="s">
        <v>993</v>
      </c>
      <c r="I572" s="416">
        <v>799</v>
      </c>
      <c r="J572" s="405" t="str">
        <f>IFERROR(VLOOKUP(I572,'Chart of accounts'!A:H,2,FALSE),"")</f>
        <v>50211990 00</v>
      </c>
      <c r="K572" s="405" t="str">
        <f>IFERROR(VLOOKUP(I572,'Chart of accounts'!A:H,3,FALSE),"")</f>
        <v>Other Professional Services</v>
      </c>
      <c r="L572" s="405" t="str">
        <f>IFERROR(VLOOKUP(I572,'Chart of accounts'!A:H,4,FALSE),"")</f>
        <v>50211990 00 - Other Professional Services (799)</v>
      </c>
      <c r="M572" s="408">
        <v>2</v>
      </c>
      <c r="N572" s="409" t="s">
        <v>818</v>
      </c>
      <c r="O572" s="409" t="s">
        <v>1150</v>
      </c>
      <c r="P572" s="409"/>
      <c r="Q572" s="65">
        <f>24500-24500</f>
        <v>0</v>
      </c>
      <c r="R572" s="63">
        <f t="shared" si="9"/>
        <v>0</v>
      </c>
      <c r="S572" s="63" t="str">
        <f>VLOOKUP(H572,'Fund Utilization Report'!$A$4:$U$1800,13,FALSE)</f>
        <v>MOOE</v>
      </c>
      <c r="T572" s="63" t="str">
        <f>VLOOKUP(H572,'Fund Utilization Report'!$A$4:$U$1800,2,FALSE)</f>
        <v>SAA37</v>
      </c>
      <c r="U572" s="63" t="str">
        <f>VLOOKUP(H572,'Fund Utilization Report'!$A$4:$U$1800,3,FALSE)</f>
        <v>2021-01-0037</v>
      </c>
      <c r="V572" s="63" t="str">
        <f>VLOOKUP(H572,'Fund Utilization Report'!$A$4:$U$1800,4,FALSE)</f>
        <v>CARP</v>
      </c>
      <c r="W572" s="63" t="str">
        <f>VLOOKUP(H572,'Fund Utilization Report'!$A$4:$U$1800,5,FALSE)</f>
        <v>01101101</v>
      </c>
      <c r="X572" s="63" t="str">
        <f>VLOOKUP(H572,'Fund Utilization Report'!$A$4:$U$1800,6,FALSE)</f>
        <v>GOP</v>
      </c>
      <c r="Y572" s="417">
        <f>VLOOKUP(H572,'Fund Utilization Report'!$A$4:$U$1800,7,FALSE)</f>
        <v>799</v>
      </c>
      <c r="Z572" s="418" t="str">
        <f>VLOOKUP(H572,'Fund Utilization Report'!$A$4:$U$1800,8,FALSE)</f>
        <v>50211990 00</v>
      </c>
      <c r="AA572" s="63" t="str">
        <f>VLOOKUP(H572,'Fund Utilization Report'!$A$4:$U$1800,14,FALSE)</f>
        <v>330100100003000</v>
      </c>
      <c r="AB572" s="419" t="str">
        <f>VLOOKUP(H572,'Fund Utilization Report'!$A$4:$U$1800,15,FALSE)</f>
        <v>MSME Development Program : Program Beneficiaries Development Component of the Comprehensive Agrarian Reform Program</v>
      </c>
      <c r="AC572" s="406"/>
      <c r="AD572" s="403"/>
      <c r="AE572" s="406"/>
      <c r="AF572" s="406"/>
      <c r="AG572" s="407"/>
      <c r="AH572" s="407"/>
    </row>
    <row r="573" spans="1:34" s="411" customFormat="1" ht="27.6">
      <c r="A573" s="405" t="s">
        <v>942</v>
      </c>
      <c r="B573" s="405" t="s">
        <v>945</v>
      </c>
      <c r="C573" s="402">
        <v>44237</v>
      </c>
      <c r="D573" s="403" t="s">
        <v>1028</v>
      </c>
      <c r="E573" s="404" t="s">
        <v>1151</v>
      </c>
      <c r="F573" s="405">
        <v>0.66875000000000007</v>
      </c>
      <c r="G573" s="405">
        <v>0.67013888888888884</v>
      </c>
      <c r="H573" s="405" t="s">
        <v>994</v>
      </c>
      <c r="I573" s="416">
        <v>795</v>
      </c>
      <c r="J573" s="405" t="str">
        <f>IFERROR(VLOOKUP(I573,'Chart of accounts'!A:H,2,FALSE),"")</f>
        <v>50212990 00</v>
      </c>
      <c r="K573" s="405" t="str">
        <f>IFERROR(VLOOKUP(I573,'Chart of accounts'!A:H,3,FALSE),"")</f>
        <v>Other General Services</v>
      </c>
      <c r="L573" s="405" t="str">
        <f>IFERROR(VLOOKUP(I573,'Chart of accounts'!A:H,4,FALSE),"")</f>
        <v>50212990 00 - Other General Services (795)</v>
      </c>
      <c r="M573" s="408">
        <v>2</v>
      </c>
      <c r="N573" s="409" t="s">
        <v>818</v>
      </c>
      <c r="O573" s="409" t="s">
        <v>1150</v>
      </c>
      <c r="P573" s="409"/>
      <c r="Q573" s="65">
        <f>1000-1000</f>
        <v>0</v>
      </c>
      <c r="R573" s="63">
        <f t="shared" si="9"/>
        <v>0</v>
      </c>
      <c r="S573" s="63" t="str">
        <f>VLOOKUP(H573,'Fund Utilization Report'!$A$4:$U$1800,13,FALSE)</f>
        <v>MOOE</v>
      </c>
      <c r="T573" s="63" t="str">
        <f>VLOOKUP(H573,'Fund Utilization Report'!$A$4:$U$1800,2,FALSE)</f>
        <v>SAA37</v>
      </c>
      <c r="U573" s="63" t="str">
        <f>VLOOKUP(H573,'Fund Utilization Report'!$A$4:$U$1800,3,FALSE)</f>
        <v>2021-01-0037</v>
      </c>
      <c r="V573" s="63" t="str">
        <f>VLOOKUP(H573,'Fund Utilization Report'!$A$4:$U$1800,4,FALSE)</f>
        <v>CARP</v>
      </c>
      <c r="W573" s="63" t="str">
        <f>VLOOKUP(H573,'Fund Utilization Report'!$A$4:$U$1800,5,FALSE)</f>
        <v>01101101</v>
      </c>
      <c r="X573" s="63" t="str">
        <f>VLOOKUP(H573,'Fund Utilization Report'!$A$4:$U$1800,6,FALSE)</f>
        <v>GOP</v>
      </c>
      <c r="Y573" s="417">
        <f>VLOOKUP(H573,'Fund Utilization Report'!$A$4:$U$1800,7,FALSE)</f>
        <v>795</v>
      </c>
      <c r="Z573" s="418" t="str">
        <f>VLOOKUP(H573,'Fund Utilization Report'!$A$4:$U$1800,8,FALSE)</f>
        <v>50212990 00</v>
      </c>
      <c r="AA573" s="63" t="str">
        <f>VLOOKUP(H573,'Fund Utilization Report'!$A$4:$U$1800,14,FALSE)</f>
        <v>330100100003000</v>
      </c>
      <c r="AB573" s="419" t="str">
        <f>VLOOKUP(H573,'Fund Utilization Report'!$A$4:$U$1800,15,FALSE)</f>
        <v>MSME Development Program : Program Beneficiaries Development Component of the Comprehensive Agrarian Reform Program</v>
      </c>
      <c r="AC573" s="406"/>
      <c r="AD573" s="403"/>
      <c r="AE573" s="406"/>
      <c r="AF573" s="406"/>
      <c r="AG573" s="407"/>
      <c r="AH573" s="407"/>
    </row>
    <row r="574" spans="1:34" s="32" customFormat="1" ht="27.6">
      <c r="A574" s="338" t="s">
        <v>942</v>
      </c>
      <c r="B574" s="338" t="s">
        <v>945</v>
      </c>
      <c r="C574" s="358">
        <v>44237</v>
      </c>
      <c r="D574" s="351" t="s">
        <v>1028</v>
      </c>
      <c r="E574" s="352" t="s">
        <v>1152</v>
      </c>
      <c r="F574" s="338">
        <v>0.67013888888888884</v>
      </c>
      <c r="G574" s="338">
        <v>0.67083333333333339</v>
      </c>
      <c r="H574" s="338" t="s">
        <v>986</v>
      </c>
      <c r="I574" s="353">
        <v>751</v>
      </c>
      <c r="J574" s="338" t="str">
        <f>IFERROR(VLOOKUP(I574,'Chart of accounts'!A:H,2,FALSE),"")</f>
        <v>50201010 00</v>
      </c>
      <c r="K574" s="338" t="str">
        <f>IFERROR(VLOOKUP(I574,'Chart of accounts'!A:H,3,FALSE),"")</f>
        <v>Traveling Expenses - Local</v>
      </c>
      <c r="L574" s="338" t="str">
        <f>IFERROR(VLOOKUP(I574,'Chart of accounts'!A:H,4,FALSE),"")</f>
        <v>50201010 00 - Traveling Expenses - Local (751)</v>
      </c>
      <c r="M574" s="361">
        <v>3</v>
      </c>
      <c r="N574" s="355" t="s">
        <v>820</v>
      </c>
      <c r="O574" s="355" t="s">
        <v>1150</v>
      </c>
      <c r="P574" s="355"/>
      <c r="Q574" s="363">
        <v>8800</v>
      </c>
      <c r="R574" s="319">
        <f t="shared" si="9"/>
        <v>-8800</v>
      </c>
      <c r="S574" s="319" t="str">
        <f>VLOOKUP(H574,'Fund Utilization Report'!$A$4:$U$1800,13,FALSE)</f>
        <v>MOOE</v>
      </c>
      <c r="T574" s="319" t="str">
        <f>VLOOKUP(H574,'Fund Utilization Report'!$A$4:$U$1800,2,FALSE)</f>
        <v>SAA37</v>
      </c>
      <c r="U574" s="319" t="str">
        <f>VLOOKUP(H574,'Fund Utilization Report'!$A$4:$U$1800,3,FALSE)</f>
        <v>2021-01-0037</v>
      </c>
      <c r="V574" s="319" t="str">
        <f>VLOOKUP(H574,'Fund Utilization Report'!$A$4:$U$1800,4,FALSE)</f>
        <v>CARP</v>
      </c>
      <c r="W574" s="319" t="str">
        <f>VLOOKUP(H574,'Fund Utilization Report'!$A$4:$U$1800,5,FALSE)</f>
        <v>01101101</v>
      </c>
      <c r="X574" s="319" t="str">
        <f>VLOOKUP(H574,'Fund Utilization Report'!$A$4:$U$1800,6,FALSE)</f>
        <v>GOP</v>
      </c>
      <c r="Y574" s="320">
        <f>VLOOKUP(H574,'Fund Utilization Report'!$A$4:$U$1800,7,FALSE)</f>
        <v>751</v>
      </c>
      <c r="Z574" s="321" t="str">
        <f>VLOOKUP(H574,'Fund Utilization Report'!$A$4:$U$1800,8,FALSE)</f>
        <v>50201010 00</v>
      </c>
      <c r="AA574" s="319" t="str">
        <f>VLOOKUP(H574,'Fund Utilization Report'!$A$4:$U$1800,14,FALSE)</f>
        <v>330100100003000</v>
      </c>
      <c r="AB574" s="349" t="str">
        <f>VLOOKUP(H574,'Fund Utilization Report'!$A$4:$U$1800,15,FALSE)</f>
        <v>MSME Development Program : Program Beneficiaries Development Component of the Comprehensive Agrarian Reform Program</v>
      </c>
      <c r="AC574" s="39"/>
      <c r="AD574" s="34"/>
      <c r="AE574" s="39"/>
      <c r="AF574" s="51"/>
      <c r="AG574" s="40"/>
      <c r="AH574" s="40"/>
    </row>
    <row r="575" spans="1:34" s="32" customFormat="1" ht="27.6">
      <c r="A575" s="338" t="s">
        <v>942</v>
      </c>
      <c r="B575" s="338" t="s">
        <v>945</v>
      </c>
      <c r="C575" s="358">
        <v>44237</v>
      </c>
      <c r="D575" s="351" t="s">
        <v>1028</v>
      </c>
      <c r="E575" s="352" t="s">
        <v>1152</v>
      </c>
      <c r="F575" s="338">
        <v>0.67013888888888884</v>
      </c>
      <c r="G575" s="338">
        <v>0.67083333333333339</v>
      </c>
      <c r="H575" s="338" t="s">
        <v>987</v>
      </c>
      <c r="I575" s="353">
        <v>753</v>
      </c>
      <c r="J575" s="338" t="str">
        <f>IFERROR(VLOOKUP(I575,'Chart of accounts'!A:H,2,FALSE),"")</f>
        <v>50202010 00</v>
      </c>
      <c r="K575" s="338" t="str">
        <f>IFERROR(VLOOKUP(I575,'Chart of accounts'!A:H,3,FALSE),"")</f>
        <v>Training Expenses</v>
      </c>
      <c r="L575" s="338" t="str">
        <f>IFERROR(VLOOKUP(I575,'Chart of accounts'!A:H,4,FALSE),"")</f>
        <v>50202010 00 - Training Expenses (753)</v>
      </c>
      <c r="M575" s="361">
        <v>3</v>
      </c>
      <c r="N575" s="355" t="s">
        <v>820</v>
      </c>
      <c r="O575" s="355" t="s">
        <v>1150</v>
      </c>
      <c r="P575" s="355"/>
      <c r="Q575" s="363">
        <v>5000</v>
      </c>
      <c r="R575" s="319">
        <f t="shared" si="9"/>
        <v>-5000</v>
      </c>
      <c r="S575" s="319" t="str">
        <f>VLOOKUP(H575,'Fund Utilization Report'!$A$4:$U$1800,13,FALSE)</f>
        <v>MOOE</v>
      </c>
      <c r="T575" s="319" t="str">
        <f>VLOOKUP(H575,'Fund Utilization Report'!$A$4:$U$1800,2,FALSE)</f>
        <v>SAA37</v>
      </c>
      <c r="U575" s="319" t="str">
        <f>VLOOKUP(H575,'Fund Utilization Report'!$A$4:$U$1800,3,FALSE)</f>
        <v>2021-01-0037</v>
      </c>
      <c r="V575" s="319" t="str">
        <f>VLOOKUP(H575,'Fund Utilization Report'!$A$4:$U$1800,4,FALSE)</f>
        <v>CARP</v>
      </c>
      <c r="W575" s="319" t="str">
        <f>VLOOKUP(H575,'Fund Utilization Report'!$A$4:$U$1800,5,FALSE)</f>
        <v>01101101</v>
      </c>
      <c r="X575" s="319" t="str">
        <f>VLOOKUP(H575,'Fund Utilization Report'!$A$4:$U$1800,6,FALSE)</f>
        <v>GOP</v>
      </c>
      <c r="Y575" s="320">
        <f>VLOOKUP(H575,'Fund Utilization Report'!$A$4:$U$1800,7,FALSE)</f>
        <v>753</v>
      </c>
      <c r="Z575" s="321" t="str">
        <f>VLOOKUP(H575,'Fund Utilization Report'!$A$4:$U$1800,8,FALSE)</f>
        <v>50202010 00</v>
      </c>
      <c r="AA575" s="319" t="str">
        <f>VLOOKUP(H575,'Fund Utilization Report'!$A$4:$U$1800,14,FALSE)</f>
        <v>330100100003000</v>
      </c>
      <c r="AB575" s="349" t="str">
        <f>VLOOKUP(H575,'Fund Utilization Report'!$A$4:$U$1800,15,FALSE)</f>
        <v>MSME Development Program : Program Beneficiaries Development Component of the Comprehensive Agrarian Reform Program</v>
      </c>
      <c r="AC575" s="39"/>
      <c r="AD575" s="34"/>
      <c r="AE575" s="39"/>
      <c r="AF575" s="51"/>
      <c r="AG575" s="40"/>
      <c r="AH575" s="40"/>
    </row>
    <row r="576" spans="1:34" s="32" customFormat="1" ht="27.6">
      <c r="A576" s="338" t="s">
        <v>942</v>
      </c>
      <c r="B576" s="338" t="s">
        <v>945</v>
      </c>
      <c r="C576" s="358">
        <v>44237</v>
      </c>
      <c r="D576" s="351" t="s">
        <v>1028</v>
      </c>
      <c r="E576" s="352" t="s">
        <v>1152</v>
      </c>
      <c r="F576" s="338">
        <v>0.67013888888888884</v>
      </c>
      <c r="G576" s="338">
        <v>0.67083333333333339</v>
      </c>
      <c r="H576" s="338" t="s">
        <v>988</v>
      </c>
      <c r="I576" s="353">
        <v>755</v>
      </c>
      <c r="J576" s="338" t="str">
        <f>IFERROR(VLOOKUP(I576,'Chart of accounts'!A:H,2,FALSE),"")</f>
        <v>50203010 00</v>
      </c>
      <c r="K576" s="338" t="str">
        <f>IFERROR(VLOOKUP(I576,'Chart of accounts'!A:H,3,FALSE),"")</f>
        <v>Office Supplies Expenses</v>
      </c>
      <c r="L576" s="338" t="str">
        <f>IFERROR(VLOOKUP(I576,'Chart of accounts'!A:H,4,FALSE),"")</f>
        <v>50203010 00 - Office Supplies Expenses (755)</v>
      </c>
      <c r="M576" s="361">
        <v>3</v>
      </c>
      <c r="N576" s="355" t="s">
        <v>820</v>
      </c>
      <c r="O576" s="355" t="s">
        <v>1150</v>
      </c>
      <c r="P576" s="355"/>
      <c r="Q576" s="363">
        <v>1256</v>
      </c>
      <c r="R576" s="319">
        <f t="shared" si="9"/>
        <v>-1256</v>
      </c>
      <c r="S576" s="319" t="str">
        <f>VLOOKUP(H576,'Fund Utilization Report'!$A$4:$U$1800,13,FALSE)</f>
        <v>MOOE</v>
      </c>
      <c r="T576" s="319" t="str">
        <f>VLOOKUP(H576,'Fund Utilization Report'!$A$4:$U$1800,2,FALSE)</f>
        <v>SAA37</v>
      </c>
      <c r="U576" s="319" t="str">
        <f>VLOOKUP(H576,'Fund Utilization Report'!$A$4:$U$1800,3,FALSE)</f>
        <v>2021-01-0037</v>
      </c>
      <c r="V576" s="319" t="str">
        <f>VLOOKUP(H576,'Fund Utilization Report'!$A$4:$U$1800,4,FALSE)</f>
        <v>CARP</v>
      </c>
      <c r="W576" s="319" t="str">
        <f>VLOOKUP(H576,'Fund Utilization Report'!$A$4:$U$1800,5,FALSE)</f>
        <v>01101101</v>
      </c>
      <c r="X576" s="319" t="str">
        <f>VLOOKUP(H576,'Fund Utilization Report'!$A$4:$U$1800,6,FALSE)</f>
        <v>GOP</v>
      </c>
      <c r="Y576" s="320">
        <f>VLOOKUP(H576,'Fund Utilization Report'!$A$4:$U$1800,7,FALSE)</f>
        <v>755</v>
      </c>
      <c r="Z576" s="321" t="str">
        <f>VLOOKUP(H576,'Fund Utilization Report'!$A$4:$U$1800,8,FALSE)</f>
        <v>50203010 00</v>
      </c>
      <c r="AA576" s="319" t="str">
        <f>VLOOKUP(H576,'Fund Utilization Report'!$A$4:$U$1800,14,FALSE)</f>
        <v>330100100003000</v>
      </c>
      <c r="AB576" s="349" t="str">
        <f>VLOOKUP(H576,'Fund Utilization Report'!$A$4:$U$1800,15,FALSE)</f>
        <v>MSME Development Program : Program Beneficiaries Development Component of the Comprehensive Agrarian Reform Program</v>
      </c>
      <c r="AC576" s="39"/>
      <c r="AD576" s="34"/>
      <c r="AE576" s="39"/>
      <c r="AF576" s="51"/>
      <c r="AG576" s="40"/>
      <c r="AH576" s="40"/>
    </row>
    <row r="577" spans="1:34" s="32" customFormat="1" ht="27.6">
      <c r="A577" s="338" t="s">
        <v>942</v>
      </c>
      <c r="B577" s="338" t="s">
        <v>945</v>
      </c>
      <c r="C577" s="358">
        <v>44237</v>
      </c>
      <c r="D577" s="351" t="s">
        <v>1028</v>
      </c>
      <c r="E577" s="352" t="s">
        <v>1152</v>
      </c>
      <c r="F577" s="338">
        <v>0.67013888888888884</v>
      </c>
      <c r="G577" s="338">
        <v>0.67083333333333339</v>
      </c>
      <c r="H577" s="338" t="s">
        <v>991</v>
      </c>
      <c r="I577" s="353">
        <v>773</v>
      </c>
      <c r="J577" s="338" t="str">
        <f>IFERROR(VLOOKUP(I577,'Chart of accounts'!A:H,2,FALSE),"")</f>
        <v>50205020 01</v>
      </c>
      <c r="K577" s="338" t="str">
        <f>IFERROR(VLOOKUP(I577,'Chart of accounts'!A:H,3,FALSE),"")</f>
        <v xml:space="preserve">Telephone Expenses - Mobile </v>
      </c>
      <c r="L577" s="338" t="str">
        <f>IFERROR(VLOOKUP(I577,'Chart of accounts'!A:H,4,FALSE),"")</f>
        <v>50205020 01 - Telephone Expenses - Mobile  (773)</v>
      </c>
      <c r="M577" s="361">
        <v>3</v>
      </c>
      <c r="N577" s="355" t="s">
        <v>820</v>
      </c>
      <c r="O577" s="355" t="s">
        <v>1150</v>
      </c>
      <c r="P577" s="355"/>
      <c r="Q577" s="363">
        <v>300</v>
      </c>
      <c r="R577" s="319">
        <f t="shared" si="9"/>
        <v>-300</v>
      </c>
      <c r="S577" s="319" t="str">
        <f>VLOOKUP(H577,'Fund Utilization Report'!$A$4:$U$1800,13,FALSE)</f>
        <v>MOOE</v>
      </c>
      <c r="T577" s="319" t="str">
        <f>VLOOKUP(H577,'Fund Utilization Report'!$A$4:$U$1800,2,FALSE)</f>
        <v>SAA37</v>
      </c>
      <c r="U577" s="319" t="str">
        <f>VLOOKUP(H577,'Fund Utilization Report'!$A$4:$U$1800,3,FALSE)</f>
        <v>2021-01-0037</v>
      </c>
      <c r="V577" s="319" t="str">
        <f>VLOOKUP(H577,'Fund Utilization Report'!$A$4:$U$1800,4,FALSE)</f>
        <v>CARP</v>
      </c>
      <c r="W577" s="319" t="str">
        <f>VLOOKUP(H577,'Fund Utilization Report'!$A$4:$U$1800,5,FALSE)</f>
        <v>01101101</v>
      </c>
      <c r="X577" s="319" t="str">
        <f>VLOOKUP(H577,'Fund Utilization Report'!$A$4:$U$1800,6,FALSE)</f>
        <v>GOP</v>
      </c>
      <c r="Y577" s="320">
        <f>VLOOKUP(H577,'Fund Utilization Report'!$A$4:$U$1800,7,FALSE)</f>
        <v>773</v>
      </c>
      <c r="Z577" s="321" t="str">
        <f>VLOOKUP(H577,'Fund Utilization Report'!$A$4:$U$1800,8,FALSE)</f>
        <v>50205020 01</v>
      </c>
      <c r="AA577" s="319" t="str">
        <f>VLOOKUP(H577,'Fund Utilization Report'!$A$4:$U$1800,14,FALSE)</f>
        <v>330100100003000</v>
      </c>
      <c r="AB577" s="349" t="str">
        <f>VLOOKUP(H577,'Fund Utilization Report'!$A$4:$U$1800,15,FALSE)</f>
        <v>MSME Development Program : Program Beneficiaries Development Component of the Comprehensive Agrarian Reform Program</v>
      </c>
      <c r="AC577" s="39"/>
      <c r="AD577" s="34"/>
      <c r="AE577" s="39"/>
      <c r="AF577" s="51"/>
      <c r="AG577" s="40"/>
      <c r="AH577" s="40"/>
    </row>
    <row r="578" spans="1:34" s="32" customFormat="1" ht="27.6">
      <c r="A578" s="338" t="s">
        <v>942</v>
      </c>
      <c r="B578" s="338" t="s">
        <v>945</v>
      </c>
      <c r="C578" s="358">
        <v>44237</v>
      </c>
      <c r="D578" s="351" t="s">
        <v>1028</v>
      </c>
      <c r="E578" s="352" t="s">
        <v>1152</v>
      </c>
      <c r="F578" s="338">
        <v>0.67013888888888884</v>
      </c>
      <c r="G578" s="338">
        <v>0.67083333333333339</v>
      </c>
      <c r="H578" s="338" t="s">
        <v>993</v>
      </c>
      <c r="I578" s="353">
        <v>799</v>
      </c>
      <c r="J578" s="338" t="str">
        <f>IFERROR(VLOOKUP(I578,'Chart of accounts'!A:H,2,FALSE),"")</f>
        <v>50211990 00</v>
      </c>
      <c r="K578" s="338" t="str">
        <f>IFERROR(VLOOKUP(I578,'Chart of accounts'!A:H,3,FALSE),"")</f>
        <v>Other Professional Services</v>
      </c>
      <c r="L578" s="338" t="str">
        <f>IFERROR(VLOOKUP(I578,'Chart of accounts'!A:H,4,FALSE),"")</f>
        <v>50211990 00 - Other Professional Services (799)</v>
      </c>
      <c r="M578" s="361">
        <v>3</v>
      </c>
      <c r="N578" s="355" t="s">
        <v>820</v>
      </c>
      <c r="O578" s="355" t="s">
        <v>1150</v>
      </c>
      <c r="P578" s="355"/>
      <c r="Q578" s="363">
        <v>15000</v>
      </c>
      <c r="R578" s="319">
        <f t="shared" si="9"/>
        <v>-15000</v>
      </c>
      <c r="S578" s="319" t="str">
        <f>VLOOKUP(H578,'Fund Utilization Report'!$A$4:$U$1800,13,FALSE)</f>
        <v>MOOE</v>
      </c>
      <c r="T578" s="319" t="str">
        <f>VLOOKUP(H578,'Fund Utilization Report'!$A$4:$U$1800,2,FALSE)</f>
        <v>SAA37</v>
      </c>
      <c r="U578" s="319" t="str">
        <f>VLOOKUP(H578,'Fund Utilization Report'!$A$4:$U$1800,3,FALSE)</f>
        <v>2021-01-0037</v>
      </c>
      <c r="V578" s="319" t="str">
        <f>VLOOKUP(H578,'Fund Utilization Report'!$A$4:$U$1800,4,FALSE)</f>
        <v>CARP</v>
      </c>
      <c r="W578" s="319" t="str">
        <f>VLOOKUP(H578,'Fund Utilization Report'!$A$4:$U$1800,5,FALSE)</f>
        <v>01101101</v>
      </c>
      <c r="X578" s="319" t="str">
        <f>VLOOKUP(H578,'Fund Utilization Report'!$A$4:$U$1800,6,FALSE)</f>
        <v>GOP</v>
      </c>
      <c r="Y578" s="320">
        <f>VLOOKUP(H578,'Fund Utilization Report'!$A$4:$U$1800,7,FALSE)</f>
        <v>799</v>
      </c>
      <c r="Z578" s="321" t="str">
        <f>VLOOKUP(H578,'Fund Utilization Report'!$A$4:$U$1800,8,FALSE)</f>
        <v>50211990 00</v>
      </c>
      <c r="AA578" s="319" t="str">
        <f>VLOOKUP(H578,'Fund Utilization Report'!$A$4:$U$1800,14,FALSE)</f>
        <v>330100100003000</v>
      </c>
      <c r="AB578" s="349" t="str">
        <f>VLOOKUP(H578,'Fund Utilization Report'!$A$4:$U$1800,15,FALSE)</f>
        <v>MSME Development Program : Program Beneficiaries Development Component of the Comprehensive Agrarian Reform Program</v>
      </c>
      <c r="AC578" s="39"/>
      <c r="AD578" s="34"/>
      <c r="AE578" s="39"/>
      <c r="AF578" s="51"/>
      <c r="AG578" s="40"/>
      <c r="AH578" s="40"/>
    </row>
    <row r="579" spans="1:34" s="32" customFormat="1" ht="27.6">
      <c r="A579" s="338" t="s">
        <v>942</v>
      </c>
      <c r="B579" s="338" t="s">
        <v>945</v>
      </c>
      <c r="C579" s="358">
        <v>44237</v>
      </c>
      <c r="D579" s="351" t="s">
        <v>1028</v>
      </c>
      <c r="E579" s="352" t="s">
        <v>1152</v>
      </c>
      <c r="F579" s="338">
        <v>0.67013888888888884</v>
      </c>
      <c r="G579" s="338">
        <v>0.67083333333333339</v>
      </c>
      <c r="H579" s="338" t="s">
        <v>994</v>
      </c>
      <c r="I579" s="353">
        <v>795</v>
      </c>
      <c r="J579" s="338" t="str">
        <f>IFERROR(VLOOKUP(I579,'Chart of accounts'!A:H,2,FALSE),"")</f>
        <v>50212990 00</v>
      </c>
      <c r="K579" s="338" t="str">
        <f>IFERROR(VLOOKUP(I579,'Chart of accounts'!A:H,3,FALSE),"")</f>
        <v>Other General Services</v>
      </c>
      <c r="L579" s="338" t="str">
        <f>IFERROR(VLOOKUP(I579,'Chart of accounts'!A:H,4,FALSE),"")</f>
        <v>50212990 00 - Other General Services (795)</v>
      </c>
      <c r="M579" s="361">
        <v>3</v>
      </c>
      <c r="N579" s="355" t="s">
        <v>820</v>
      </c>
      <c r="O579" s="355" t="s">
        <v>1150</v>
      </c>
      <c r="P579" s="355"/>
      <c r="Q579" s="363">
        <v>1000</v>
      </c>
      <c r="R579" s="319">
        <f t="shared" si="9"/>
        <v>-1000</v>
      </c>
      <c r="S579" s="319" t="str">
        <f>VLOOKUP(H579,'Fund Utilization Report'!$A$4:$U$1800,13,FALSE)</f>
        <v>MOOE</v>
      </c>
      <c r="T579" s="319" t="str">
        <f>VLOOKUP(H579,'Fund Utilization Report'!$A$4:$U$1800,2,FALSE)</f>
        <v>SAA37</v>
      </c>
      <c r="U579" s="319" t="str">
        <f>VLOOKUP(H579,'Fund Utilization Report'!$A$4:$U$1800,3,FALSE)</f>
        <v>2021-01-0037</v>
      </c>
      <c r="V579" s="319" t="str">
        <f>VLOOKUP(H579,'Fund Utilization Report'!$A$4:$U$1800,4,FALSE)</f>
        <v>CARP</v>
      </c>
      <c r="W579" s="319" t="str">
        <f>VLOOKUP(H579,'Fund Utilization Report'!$A$4:$U$1800,5,FALSE)</f>
        <v>01101101</v>
      </c>
      <c r="X579" s="319" t="str">
        <f>VLOOKUP(H579,'Fund Utilization Report'!$A$4:$U$1800,6,FALSE)</f>
        <v>GOP</v>
      </c>
      <c r="Y579" s="320">
        <f>VLOOKUP(H579,'Fund Utilization Report'!$A$4:$U$1800,7,FALSE)</f>
        <v>795</v>
      </c>
      <c r="Z579" s="321" t="str">
        <f>VLOOKUP(H579,'Fund Utilization Report'!$A$4:$U$1800,8,FALSE)</f>
        <v>50212990 00</v>
      </c>
      <c r="AA579" s="319" t="str">
        <f>VLOOKUP(H579,'Fund Utilization Report'!$A$4:$U$1800,14,FALSE)</f>
        <v>330100100003000</v>
      </c>
      <c r="AB579" s="349" t="str">
        <f>VLOOKUP(H579,'Fund Utilization Report'!$A$4:$U$1800,15,FALSE)</f>
        <v>MSME Development Program : Program Beneficiaries Development Component of the Comprehensive Agrarian Reform Program</v>
      </c>
      <c r="AC579" s="39"/>
      <c r="AD579" s="34"/>
      <c r="AE579" s="39"/>
      <c r="AF579" s="51"/>
      <c r="AG579" s="40"/>
      <c r="AH579" s="40"/>
    </row>
    <row r="580" spans="1:34" s="411" customFormat="1" ht="27.6">
      <c r="A580" s="405" t="s">
        <v>942</v>
      </c>
      <c r="B580" s="405" t="s">
        <v>945</v>
      </c>
      <c r="C580" s="402">
        <v>44237</v>
      </c>
      <c r="D580" s="403" t="s">
        <v>1028</v>
      </c>
      <c r="E580" s="404" t="s">
        <v>1153</v>
      </c>
      <c r="F580" s="405">
        <v>0.67083333333333339</v>
      </c>
      <c r="G580" s="405">
        <v>0.67291666666666661</v>
      </c>
      <c r="H580" s="405" t="s">
        <v>986</v>
      </c>
      <c r="I580" s="416">
        <v>751</v>
      </c>
      <c r="J580" s="405" t="str">
        <f>IFERROR(VLOOKUP(I580,'Chart of accounts'!A:H,2,FALSE),"")</f>
        <v>50201010 00</v>
      </c>
      <c r="K580" s="405" t="str">
        <f>IFERROR(VLOOKUP(I580,'Chart of accounts'!A:H,3,FALSE),"")</f>
        <v>Traveling Expenses - Local</v>
      </c>
      <c r="L580" s="405" t="str">
        <f>IFERROR(VLOOKUP(I580,'Chart of accounts'!A:H,4,FALSE),"")</f>
        <v>50201010 00 - Traveling Expenses - Local (751)</v>
      </c>
      <c r="M580" s="414" t="s">
        <v>770</v>
      </c>
      <c r="N580" s="409" t="s">
        <v>823</v>
      </c>
      <c r="O580" s="409" t="s">
        <v>1150</v>
      </c>
      <c r="P580" s="409"/>
      <c r="Q580" s="65">
        <f>16500-16500</f>
        <v>0</v>
      </c>
      <c r="R580" s="63">
        <f t="shared" si="9"/>
        <v>0</v>
      </c>
      <c r="S580" s="63" t="str">
        <f>VLOOKUP(H580,'Fund Utilization Report'!$A$4:$U$1800,13,FALSE)</f>
        <v>MOOE</v>
      </c>
      <c r="T580" s="63" t="str">
        <f>VLOOKUP(H580,'Fund Utilization Report'!$A$4:$U$1800,2,FALSE)</f>
        <v>SAA37</v>
      </c>
      <c r="U580" s="63" t="str">
        <f>VLOOKUP(H580,'Fund Utilization Report'!$A$4:$U$1800,3,FALSE)</f>
        <v>2021-01-0037</v>
      </c>
      <c r="V580" s="63" t="str">
        <f>VLOOKUP(H580,'Fund Utilization Report'!$A$4:$U$1800,4,FALSE)</f>
        <v>CARP</v>
      </c>
      <c r="W580" s="63" t="str">
        <f>VLOOKUP(H580,'Fund Utilization Report'!$A$4:$U$1800,5,FALSE)</f>
        <v>01101101</v>
      </c>
      <c r="X580" s="63" t="str">
        <f>VLOOKUP(H580,'Fund Utilization Report'!$A$4:$U$1800,6,FALSE)</f>
        <v>GOP</v>
      </c>
      <c r="Y580" s="417">
        <f>VLOOKUP(H580,'Fund Utilization Report'!$A$4:$U$1800,7,FALSE)</f>
        <v>751</v>
      </c>
      <c r="Z580" s="418" t="str">
        <f>VLOOKUP(H580,'Fund Utilization Report'!$A$4:$U$1800,8,FALSE)</f>
        <v>50201010 00</v>
      </c>
      <c r="AA580" s="63" t="str">
        <f>VLOOKUP(H580,'Fund Utilization Report'!$A$4:$U$1800,14,FALSE)</f>
        <v>330100100003000</v>
      </c>
      <c r="AB580" s="419" t="str">
        <f>VLOOKUP(H580,'Fund Utilization Report'!$A$4:$U$1800,15,FALSE)</f>
        <v>MSME Development Program : Program Beneficiaries Development Component of the Comprehensive Agrarian Reform Program</v>
      </c>
      <c r="AC580" s="406"/>
      <c r="AD580" s="403"/>
      <c r="AE580" s="406"/>
      <c r="AF580" s="406"/>
      <c r="AG580" s="407"/>
      <c r="AH580" s="407"/>
    </row>
    <row r="581" spans="1:34" s="411" customFormat="1" ht="27.6">
      <c r="A581" s="405" t="s">
        <v>942</v>
      </c>
      <c r="B581" s="405" t="s">
        <v>945</v>
      </c>
      <c r="C581" s="402">
        <v>44237</v>
      </c>
      <c r="D581" s="403" t="s">
        <v>1028</v>
      </c>
      <c r="E581" s="404" t="s">
        <v>1153</v>
      </c>
      <c r="F581" s="405">
        <v>0.67083333333333339</v>
      </c>
      <c r="G581" s="405">
        <v>0.67291666666666661</v>
      </c>
      <c r="H581" s="405" t="s">
        <v>987</v>
      </c>
      <c r="I581" s="416">
        <v>753</v>
      </c>
      <c r="J581" s="405" t="str">
        <f>IFERROR(VLOOKUP(I581,'Chart of accounts'!A:H,2,FALSE),"")</f>
        <v>50202010 00</v>
      </c>
      <c r="K581" s="405" t="str">
        <f>IFERROR(VLOOKUP(I581,'Chart of accounts'!A:H,3,FALSE),"")</f>
        <v>Training Expenses</v>
      </c>
      <c r="L581" s="405" t="str">
        <f>IFERROR(VLOOKUP(I581,'Chart of accounts'!A:H,4,FALSE),"")</f>
        <v>50202010 00 - Training Expenses (753)</v>
      </c>
      <c r="M581" s="414" t="s">
        <v>770</v>
      </c>
      <c r="N581" s="409" t="s">
        <v>823</v>
      </c>
      <c r="O581" s="409" t="s">
        <v>1150</v>
      </c>
      <c r="P581" s="409"/>
      <c r="Q581" s="65">
        <f>42285-42285</f>
        <v>0</v>
      </c>
      <c r="R581" s="63">
        <f t="shared" si="9"/>
        <v>0</v>
      </c>
      <c r="S581" s="63" t="str">
        <f>VLOOKUP(H581,'Fund Utilization Report'!$A$4:$U$1800,13,FALSE)</f>
        <v>MOOE</v>
      </c>
      <c r="T581" s="63" t="str">
        <f>VLOOKUP(H581,'Fund Utilization Report'!$A$4:$U$1800,2,FALSE)</f>
        <v>SAA37</v>
      </c>
      <c r="U581" s="63" t="str">
        <f>VLOOKUP(H581,'Fund Utilization Report'!$A$4:$U$1800,3,FALSE)</f>
        <v>2021-01-0037</v>
      </c>
      <c r="V581" s="63" t="str">
        <f>VLOOKUP(H581,'Fund Utilization Report'!$A$4:$U$1800,4,FALSE)</f>
        <v>CARP</v>
      </c>
      <c r="W581" s="63" t="str">
        <f>VLOOKUP(H581,'Fund Utilization Report'!$A$4:$U$1800,5,FALSE)</f>
        <v>01101101</v>
      </c>
      <c r="X581" s="63" t="str">
        <f>VLOOKUP(H581,'Fund Utilization Report'!$A$4:$U$1800,6,FALSE)</f>
        <v>GOP</v>
      </c>
      <c r="Y581" s="417">
        <f>VLOOKUP(H581,'Fund Utilization Report'!$A$4:$U$1800,7,FALSE)</f>
        <v>753</v>
      </c>
      <c r="Z581" s="418" t="str">
        <f>VLOOKUP(H581,'Fund Utilization Report'!$A$4:$U$1800,8,FALSE)</f>
        <v>50202010 00</v>
      </c>
      <c r="AA581" s="63" t="str">
        <f>VLOOKUP(H581,'Fund Utilization Report'!$A$4:$U$1800,14,FALSE)</f>
        <v>330100100003000</v>
      </c>
      <c r="AB581" s="419" t="str">
        <f>VLOOKUP(H581,'Fund Utilization Report'!$A$4:$U$1800,15,FALSE)</f>
        <v>MSME Development Program : Program Beneficiaries Development Component of the Comprehensive Agrarian Reform Program</v>
      </c>
      <c r="AC581" s="406"/>
      <c r="AD581" s="403"/>
      <c r="AE581" s="406"/>
      <c r="AF581" s="406"/>
      <c r="AG581" s="407"/>
      <c r="AH581" s="407"/>
    </row>
    <row r="582" spans="1:34" s="411" customFormat="1" ht="27.6">
      <c r="A582" s="405" t="s">
        <v>942</v>
      </c>
      <c r="B582" s="405" t="s">
        <v>945</v>
      </c>
      <c r="C582" s="402">
        <v>44237</v>
      </c>
      <c r="D582" s="403" t="s">
        <v>1028</v>
      </c>
      <c r="E582" s="404" t="s">
        <v>1153</v>
      </c>
      <c r="F582" s="405">
        <v>0.67083333333333339</v>
      </c>
      <c r="G582" s="405">
        <v>0.67291666666666661</v>
      </c>
      <c r="H582" s="405" t="s">
        <v>988</v>
      </c>
      <c r="I582" s="416">
        <v>755</v>
      </c>
      <c r="J582" s="405" t="str">
        <f>IFERROR(VLOOKUP(I582,'Chart of accounts'!A:H,2,FALSE),"")</f>
        <v>50203010 00</v>
      </c>
      <c r="K582" s="405" t="str">
        <f>IFERROR(VLOOKUP(I582,'Chart of accounts'!A:H,3,FALSE),"")</f>
        <v>Office Supplies Expenses</v>
      </c>
      <c r="L582" s="405" t="str">
        <f>IFERROR(VLOOKUP(I582,'Chart of accounts'!A:H,4,FALSE),"")</f>
        <v>50203010 00 - Office Supplies Expenses (755)</v>
      </c>
      <c r="M582" s="414" t="s">
        <v>770</v>
      </c>
      <c r="N582" s="409" t="s">
        <v>823</v>
      </c>
      <c r="O582" s="409" t="s">
        <v>1150</v>
      </c>
      <c r="P582" s="409"/>
      <c r="Q582" s="65">
        <f>1250-1250</f>
        <v>0</v>
      </c>
      <c r="R582" s="63">
        <f t="shared" si="9"/>
        <v>0</v>
      </c>
      <c r="S582" s="63" t="str">
        <f>VLOOKUP(H582,'Fund Utilization Report'!$A$4:$U$1800,13,FALSE)</f>
        <v>MOOE</v>
      </c>
      <c r="T582" s="63" t="str">
        <f>VLOOKUP(H582,'Fund Utilization Report'!$A$4:$U$1800,2,FALSE)</f>
        <v>SAA37</v>
      </c>
      <c r="U582" s="63" t="str">
        <f>VLOOKUP(H582,'Fund Utilization Report'!$A$4:$U$1800,3,FALSE)</f>
        <v>2021-01-0037</v>
      </c>
      <c r="V582" s="63" t="str">
        <f>VLOOKUP(H582,'Fund Utilization Report'!$A$4:$U$1800,4,FALSE)</f>
        <v>CARP</v>
      </c>
      <c r="W582" s="63" t="str">
        <f>VLOOKUP(H582,'Fund Utilization Report'!$A$4:$U$1800,5,FALSE)</f>
        <v>01101101</v>
      </c>
      <c r="X582" s="63" t="str">
        <f>VLOOKUP(H582,'Fund Utilization Report'!$A$4:$U$1800,6,FALSE)</f>
        <v>GOP</v>
      </c>
      <c r="Y582" s="417">
        <f>VLOOKUP(H582,'Fund Utilization Report'!$A$4:$U$1800,7,FALSE)</f>
        <v>755</v>
      </c>
      <c r="Z582" s="418" t="str">
        <f>VLOOKUP(H582,'Fund Utilization Report'!$A$4:$U$1800,8,FALSE)</f>
        <v>50203010 00</v>
      </c>
      <c r="AA582" s="63" t="str">
        <f>VLOOKUP(H582,'Fund Utilization Report'!$A$4:$U$1800,14,FALSE)</f>
        <v>330100100003000</v>
      </c>
      <c r="AB582" s="419" t="str">
        <f>VLOOKUP(H582,'Fund Utilization Report'!$A$4:$U$1800,15,FALSE)</f>
        <v>MSME Development Program : Program Beneficiaries Development Component of the Comprehensive Agrarian Reform Program</v>
      </c>
      <c r="AC582" s="406"/>
      <c r="AD582" s="403"/>
      <c r="AE582" s="406"/>
      <c r="AF582" s="406"/>
      <c r="AG582" s="407"/>
      <c r="AH582" s="407"/>
    </row>
    <row r="583" spans="1:34" s="411" customFormat="1" ht="27.6">
      <c r="A583" s="405" t="s">
        <v>942</v>
      </c>
      <c r="B583" s="405" t="s">
        <v>945</v>
      </c>
      <c r="C583" s="402">
        <v>44237</v>
      </c>
      <c r="D583" s="403" t="s">
        <v>1028</v>
      </c>
      <c r="E583" s="404" t="s">
        <v>1153</v>
      </c>
      <c r="F583" s="405">
        <v>0.67083333333333339</v>
      </c>
      <c r="G583" s="405">
        <v>0.67291666666666661</v>
      </c>
      <c r="H583" s="405" t="s">
        <v>991</v>
      </c>
      <c r="I583" s="416">
        <v>773</v>
      </c>
      <c r="J583" s="405" t="str">
        <f>IFERROR(VLOOKUP(I583,'Chart of accounts'!A:H,2,FALSE),"")</f>
        <v>50205020 01</v>
      </c>
      <c r="K583" s="405" t="str">
        <f>IFERROR(VLOOKUP(I583,'Chart of accounts'!A:H,3,FALSE),"")</f>
        <v xml:space="preserve">Telephone Expenses - Mobile </v>
      </c>
      <c r="L583" s="405" t="str">
        <f>IFERROR(VLOOKUP(I583,'Chart of accounts'!A:H,4,FALSE),"")</f>
        <v>50205020 01 - Telephone Expenses - Mobile  (773)</v>
      </c>
      <c r="M583" s="414" t="s">
        <v>770</v>
      </c>
      <c r="N583" s="409" t="s">
        <v>823</v>
      </c>
      <c r="O583" s="409" t="s">
        <v>1150</v>
      </c>
      <c r="P583" s="409"/>
      <c r="Q583" s="65">
        <f>375-375</f>
        <v>0</v>
      </c>
      <c r="R583" s="63">
        <f t="shared" si="9"/>
        <v>0</v>
      </c>
      <c r="S583" s="63" t="str">
        <f>VLOOKUP(H583,'Fund Utilization Report'!$A$4:$U$1800,13,FALSE)</f>
        <v>MOOE</v>
      </c>
      <c r="T583" s="63" t="str">
        <f>VLOOKUP(H583,'Fund Utilization Report'!$A$4:$U$1800,2,FALSE)</f>
        <v>SAA37</v>
      </c>
      <c r="U583" s="63" t="str">
        <f>VLOOKUP(H583,'Fund Utilization Report'!$A$4:$U$1800,3,FALSE)</f>
        <v>2021-01-0037</v>
      </c>
      <c r="V583" s="63" t="str">
        <f>VLOOKUP(H583,'Fund Utilization Report'!$A$4:$U$1800,4,FALSE)</f>
        <v>CARP</v>
      </c>
      <c r="W583" s="63" t="str">
        <f>VLOOKUP(H583,'Fund Utilization Report'!$A$4:$U$1800,5,FALSE)</f>
        <v>01101101</v>
      </c>
      <c r="X583" s="63" t="str">
        <f>VLOOKUP(H583,'Fund Utilization Report'!$A$4:$U$1800,6,FALSE)</f>
        <v>GOP</v>
      </c>
      <c r="Y583" s="417">
        <f>VLOOKUP(H583,'Fund Utilization Report'!$A$4:$U$1800,7,FALSE)</f>
        <v>773</v>
      </c>
      <c r="Z583" s="418" t="str">
        <f>VLOOKUP(H583,'Fund Utilization Report'!$A$4:$U$1800,8,FALSE)</f>
        <v>50205020 01</v>
      </c>
      <c r="AA583" s="63" t="str">
        <f>VLOOKUP(H583,'Fund Utilization Report'!$A$4:$U$1800,14,FALSE)</f>
        <v>330100100003000</v>
      </c>
      <c r="AB583" s="419" t="str">
        <f>VLOOKUP(H583,'Fund Utilization Report'!$A$4:$U$1800,15,FALSE)</f>
        <v>MSME Development Program : Program Beneficiaries Development Component of the Comprehensive Agrarian Reform Program</v>
      </c>
      <c r="AC583" s="406"/>
      <c r="AD583" s="403"/>
      <c r="AE583" s="406"/>
      <c r="AF583" s="406"/>
      <c r="AG583" s="407"/>
      <c r="AH583" s="407"/>
    </row>
    <row r="584" spans="1:34" s="411" customFormat="1" ht="27.6">
      <c r="A584" s="405" t="s">
        <v>942</v>
      </c>
      <c r="B584" s="405" t="s">
        <v>945</v>
      </c>
      <c r="C584" s="402">
        <v>44237</v>
      </c>
      <c r="D584" s="403" t="s">
        <v>1028</v>
      </c>
      <c r="E584" s="404" t="s">
        <v>1153</v>
      </c>
      <c r="F584" s="405">
        <v>0.67083333333333339</v>
      </c>
      <c r="G584" s="405">
        <v>0.67291666666666661</v>
      </c>
      <c r="H584" s="405" t="s">
        <v>992</v>
      </c>
      <c r="I584" s="416">
        <v>793</v>
      </c>
      <c r="J584" s="405" t="str">
        <f>IFERROR(VLOOKUP(I584,'Chart of accounts'!A:H,2,FALSE),"")</f>
        <v>50211030 00</v>
      </c>
      <c r="K584" s="405" t="str">
        <f>IFERROR(VLOOKUP(I584,'Chart of accounts'!A:H,3,FALSE),"")</f>
        <v>Consultancy Services</v>
      </c>
      <c r="L584" s="405" t="str">
        <f>IFERROR(VLOOKUP(I584,'Chart of accounts'!A:H,4,FALSE),"")</f>
        <v>50211030 00 - Consultancy Services (793)</v>
      </c>
      <c r="M584" s="414" t="s">
        <v>770</v>
      </c>
      <c r="N584" s="409" t="s">
        <v>823</v>
      </c>
      <c r="O584" s="409" t="s">
        <v>1150</v>
      </c>
      <c r="P584" s="409"/>
      <c r="Q584" s="65">
        <f>220-220</f>
        <v>0</v>
      </c>
      <c r="R584" s="63">
        <f>P584-Q584</f>
        <v>0</v>
      </c>
      <c r="S584" s="63" t="str">
        <f>VLOOKUP(H584,'Fund Utilization Report'!$A$4:$U$1800,13,FALSE)</f>
        <v>MOOE</v>
      </c>
      <c r="T584" s="63" t="str">
        <f>VLOOKUP(H584,'Fund Utilization Report'!$A$4:$U$1800,2,FALSE)</f>
        <v>SAA37</v>
      </c>
      <c r="U584" s="63" t="str">
        <f>VLOOKUP(H584,'Fund Utilization Report'!$A$4:$U$1800,3,FALSE)</f>
        <v>2021-01-0037</v>
      </c>
      <c r="V584" s="63" t="str">
        <f>VLOOKUP(H584,'Fund Utilization Report'!$A$4:$U$1800,4,FALSE)</f>
        <v>CARP</v>
      </c>
      <c r="W584" s="63" t="str">
        <f>VLOOKUP(H584,'Fund Utilization Report'!$A$4:$U$1800,5,FALSE)</f>
        <v>01101101</v>
      </c>
      <c r="X584" s="63" t="str">
        <f>VLOOKUP(H584,'Fund Utilization Report'!$A$4:$U$1800,6,FALSE)</f>
        <v>GOP</v>
      </c>
      <c r="Y584" s="417">
        <f>VLOOKUP(H584,'Fund Utilization Report'!$A$4:$U$1800,7,FALSE)</f>
        <v>793</v>
      </c>
      <c r="Z584" s="418" t="str">
        <f>VLOOKUP(H584,'Fund Utilization Report'!$A$4:$U$1800,8,FALSE)</f>
        <v>50211030 00</v>
      </c>
      <c r="AA584" s="63" t="str">
        <f>VLOOKUP(H584,'Fund Utilization Report'!$A$4:$U$1800,14,FALSE)</f>
        <v>330100100003000</v>
      </c>
      <c r="AB584" s="419" t="str">
        <f>VLOOKUP(H584,'Fund Utilization Report'!$A$4:$U$1800,15,FALSE)</f>
        <v>MSME Development Program : Program Beneficiaries Development Component of the Comprehensive Agrarian Reform Program</v>
      </c>
      <c r="AC584" s="406"/>
      <c r="AD584" s="403"/>
      <c r="AE584" s="406"/>
      <c r="AF584" s="406"/>
      <c r="AG584" s="407"/>
      <c r="AH584" s="407"/>
    </row>
    <row r="585" spans="1:34" s="411" customFormat="1" ht="27.6">
      <c r="A585" s="405" t="s">
        <v>942</v>
      </c>
      <c r="B585" s="405" t="s">
        <v>945</v>
      </c>
      <c r="C585" s="402">
        <v>44237</v>
      </c>
      <c r="D585" s="403" t="s">
        <v>1028</v>
      </c>
      <c r="E585" s="404" t="s">
        <v>1153</v>
      </c>
      <c r="F585" s="405">
        <v>0.67083333333333339</v>
      </c>
      <c r="G585" s="405">
        <v>0.67291666666666661</v>
      </c>
      <c r="H585" s="405" t="s">
        <v>993</v>
      </c>
      <c r="I585" s="416">
        <v>799</v>
      </c>
      <c r="J585" s="405" t="str">
        <f>IFERROR(VLOOKUP(I585,'Chart of accounts'!A:H,2,FALSE),"")</f>
        <v>50211990 00</v>
      </c>
      <c r="K585" s="405" t="str">
        <f>IFERROR(VLOOKUP(I585,'Chart of accounts'!A:H,3,FALSE),"")</f>
        <v>Other Professional Services</v>
      </c>
      <c r="L585" s="405" t="str">
        <f>IFERROR(VLOOKUP(I585,'Chart of accounts'!A:H,4,FALSE),"")</f>
        <v>50211990 00 - Other Professional Services (799)</v>
      </c>
      <c r="M585" s="414" t="s">
        <v>770</v>
      </c>
      <c r="N585" s="409" t="s">
        <v>823</v>
      </c>
      <c r="O585" s="409" t="s">
        <v>1150</v>
      </c>
      <c r="P585" s="409"/>
      <c r="Q585" s="65">
        <f>28776-28776</f>
        <v>0</v>
      </c>
      <c r="R585" s="63">
        <f t="shared" si="9"/>
        <v>0</v>
      </c>
      <c r="S585" s="63" t="str">
        <f>VLOOKUP(H585,'Fund Utilization Report'!$A$4:$U$1800,13,FALSE)</f>
        <v>MOOE</v>
      </c>
      <c r="T585" s="63" t="str">
        <f>VLOOKUP(H585,'Fund Utilization Report'!$A$4:$U$1800,2,FALSE)</f>
        <v>SAA37</v>
      </c>
      <c r="U585" s="63" t="str">
        <f>VLOOKUP(H585,'Fund Utilization Report'!$A$4:$U$1800,3,FALSE)</f>
        <v>2021-01-0037</v>
      </c>
      <c r="V585" s="63" t="str">
        <f>VLOOKUP(H585,'Fund Utilization Report'!$A$4:$U$1800,4,FALSE)</f>
        <v>CARP</v>
      </c>
      <c r="W585" s="63" t="str">
        <f>VLOOKUP(H585,'Fund Utilization Report'!$A$4:$U$1800,5,FALSE)</f>
        <v>01101101</v>
      </c>
      <c r="X585" s="63" t="str">
        <f>VLOOKUP(H585,'Fund Utilization Report'!$A$4:$U$1800,6,FALSE)</f>
        <v>GOP</v>
      </c>
      <c r="Y585" s="417">
        <f>VLOOKUP(H585,'Fund Utilization Report'!$A$4:$U$1800,7,FALSE)</f>
        <v>799</v>
      </c>
      <c r="Z585" s="418" t="str">
        <f>VLOOKUP(H585,'Fund Utilization Report'!$A$4:$U$1800,8,FALSE)</f>
        <v>50211990 00</v>
      </c>
      <c r="AA585" s="63" t="str">
        <f>VLOOKUP(H585,'Fund Utilization Report'!$A$4:$U$1800,14,FALSE)</f>
        <v>330100100003000</v>
      </c>
      <c r="AB585" s="419" t="str">
        <f>VLOOKUP(H585,'Fund Utilization Report'!$A$4:$U$1800,15,FALSE)</f>
        <v>MSME Development Program : Program Beneficiaries Development Component of the Comprehensive Agrarian Reform Program</v>
      </c>
      <c r="AC585" s="406"/>
      <c r="AD585" s="403"/>
      <c r="AE585" s="406"/>
      <c r="AF585" s="406"/>
      <c r="AG585" s="407"/>
      <c r="AH585" s="407"/>
    </row>
    <row r="586" spans="1:34" s="411" customFormat="1" ht="27.6">
      <c r="A586" s="405" t="s">
        <v>942</v>
      </c>
      <c r="B586" s="405" t="s">
        <v>945</v>
      </c>
      <c r="C586" s="402">
        <v>44237</v>
      </c>
      <c r="D586" s="403" t="s">
        <v>1028</v>
      </c>
      <c r="E586" s="404" t="s">
        <v>1153</v>
      </c>
      <c r="F586" s="405">
        <v>0.67083333333333339</v>
      </c>
      <c r="G586" s="405">
        <v>0.67291666666666661</v>
      </c>
      <c r="H586" s="405" t="s">
        <v>994</v>
      </c>
      <c r="I586" s="416">
        <v>795</v>
      </c>
      <c r="J586" s="405" t="str">
        <f>IFERROR(VLOOKUP(I586,'Chart of accounts'!A:H,2,FALSE),"")</f>
        <v>50212990 00</v>
      </c>
      <c r="K586" s="405" t="str">
        <f>IFERROR(VLOOKUP(I586,'Chart of accounts'!A:H,3,FALSE),"")</f>
        <v>Other General Services</v>
      </c>
      <c r="L586" s="405" t="str">
        <f>IFERROR(VLOOKUP(I586,'Chart of accounts'!A:H,4,FALSE),"")</f>
        <v>50212990 00 - Other General Services (795)</v>
      </c>
      <c r="M586" s="414" t="s">
        <v>770</v>
      </c>
      <c r="N586" s="409" t="s">
        <v>823</v>
      </c>
      <c r="O586" s="409" t="s">
        <v>1150</v>
      </c>
      <c r="P586" s="409"/>
      <c r="Q586" s="65">
        <f>1000-1000</f>
        <v>0</v>
      </c>
      <c r="R586" s="63">
        <f t="shared" si="9"/>
        <v>0</v>
      </c>
      <c r="S586" s="63" t="str">
        <f>VLOOKUP(H586,'Fund Utilization Report'!$A$4:$U$1800,13,FALSE)</f>
        <v>MOOE</v>
      </c>
      <c r="T586" s="63" t="str">
        <f>VLOOKUP(H586,'Fund Utilization Report'!$A$4:$U$1800,2,FALSE)</f>
        <v>SAA37</v>
      </c>
      <c r="U586" s="63" t="str">
        <f>VLOOKUP(H586,'Fund Utilization Report'!$A$4:$U$1800,3,FALSE)</f>
        <v>2021-01-0037</v>
      </c>
      <c r="V586" s="63" t="str">
        <f>VLOOKUP(H586,'Fund Utilization Report'!$A$4:$U$1800,4,FALSE)</f>
        <v>CARP</v>
      </c>
      <c r="W586" s="63" t="str">
        <f>VLOOKUP(H586,'Fund Utilization Report'!$A$4:$U$1800,5,FALSE)</f>
        <v>01101101</v>
      </c>
      <c r="X586" s="63" t="str">
        <f>VLOOKUP(H586,'Fund Utilization Report'!$A$4:$U$1800,6,FALSE)</f>
        <v>GOP</v>
      </c>
      <c r="Y586" s="417">
        <f>VLOOKUP(H586,'Fund Utilization Report'!$A$4:$U$1800,7,FALSE)</f>
        <v>795</v>
      </c>
      <c r="Z586" s="418" t="str">
        <f>VLOOKUP(H586,'Fund Utilization Report'!$A$4:$U$1800,8,FALSE)</f>
        <v>50212990 00</v>
      </c>
      <c r="AA586" s="63" t="str">
        <f>VLOOKUP(H586,'Fund Utilization Report'!$A$4:$U$1800,14,FALSE)</f>
        <v>330100100003000</v>
      </c>
      <c r="AB586" s="419" t="str">
        <f>VLOOKUP(H586,'Fund Utilization Report'!$A$4:$U$1800,15,FALSE)</f>
        <v>MSME Development Program : Program Beneficiaries Development Component of the Comprehensive Agrarian Reform Program</v>
      </c>
      <c r="AC586" s="406"/>
      <c r="AD586" s="403"/>
      <c r="AE586" s="406"/>
      <c r="AF586" s="406"/>
      <c r="AG586" s="407"/>
      <c r="AH586" s="407"/>
    </row>
    <row r="587" spans="1:34" s="411" customFormat="1" ht="27.6">
      <c r="A587" s="405" t="s">
        <v>942</v>
      </c>
      <c r="B587" s="405" t="s">
        <v>945</v>
      </c>
      <c r="C587" s="402">
        <v>44237</v>
      </c>
      <c r="D587" s="403" t="s">
        <v>1028</v>
      </c>
      <c r="E587" s="404" t="s">
        <v>1154</v>
      </c>
      <c r="F587" s="405">
        <v>0.67291666666666661</v>
      </c>
      <c r="G587" s="405">
        <v>0.6743055555555556</v>
      </c>
      <c r="H587" s="405" t="s">
        <v>986</v>
      </c>
      <c r="I587" s="416">
        <v>751</v>
      </c>
      <c r="J587" s="405" t="str">
        <f>IFERROR(VLOOKUP(I587,'Chart of accounts'!A:H,2,FALSE),"")</f>
        <v>50201010 00</v>
      </c>
      <c r="K587" s="405" t="str">
        <f>IFERROR(VLOOKUP(I587,'Chart of accounts'!A:H,3,FALSE),"")</f>
        <v>Traveling Expenses - Local</v>
      </c>
      <c r="L587" s="405" t="str">
        <f>IFERROR(VLOOKUP(I587,'Chart of accounts'!A:H,4,FALSE),"")</f>
        <v>50201010 00 - Traveling Expenses - Local (751)</v>
      </c>
      <c r="M587" s="408">
        <v>68</v>
      </c>
      <c r="N587" s="409" t="s">
        <v>821</v>
      </c>
      <c r="O587" s="409" t="s">
        <v>1150</v>
      </c>
      <c r="P587" s="409"/>
      <c r="Q587" s="65">
        <f>6600-6600</f>
        <v>0</v>
      </c>
      <c r="R587" s="63">
        <f t="shared" si="9"/>
        <v>0</v>
      </c>
      <c r="S587" s="63" t="str">
        <f>VLOOKUP(H587,'Fund Utilization Report'!$A$4:$U$1800,13,FALSE)</f>
        <v>MOOE</v>
      </c>
      <c r="T587" s="63" t="str">
        <f>VLOOKUP(H587,'Fund Utilization Report'!$A$4:$U$1800,2,FALSE)</f>
        <v>SAA37</v>
      </c>
      <c r="U587" s="63" t="str">
        <f>VLOOKUP(H587,'Fund Utilization Report'!$A$4:$U$1800,3,FALSE)</f>
        <v>2021-01-0037</v>
      </c>
      <c r="V587" s="63" t="str">
        <f>VLOOKUP(H587,'Fund Utilization Report'!$A$4:$U$1800,4,FALSE)</f>
        <v>CARP</v>
      </c>
      <c r="W587" s="63" t="str">
        <f>VLOOKUP(H587,'Fund Utilization Report'!$A$4:$U$1800,5,FALSE)</f>
        <v>01101101</v>
      </c>
      <c r="X587" s="63" t="str">
        <f>VLOOKUP(H587,'Fund Utilization Report'!$A$4:$U$1800,6,FALSE)</f>
        <v>GOP</v>
      </c>
      <c r="Y587" s="417">
        <f>VLOOKUP(H587,'Fund Utilization Report'!$A$4:$U$1800,7,FALSE)</f>
        <v>751</v>
      </c>
      <c r="Z587" s="418" t="str">
        <f>VLOOKUP(H587,'Fund Utilization Report'!$A$4:$U$1800,8,FALSE)</f>
        <v>50201010 00</v>
      </c>
      <c r="AA587" s="63" t="str">
        <f>VLOOKUP(H587,'Fund Utilization Report'!$A$4:$U$1800,14,FALSE)</f>
        <v>330100100003000</v>
      </c>
      <c r="AB587" s="419" t="str">
        <f>VLOOKUP(H587,'Fund Utilization Report'!$A$4:$U$1800,15,FALSE)</f>
        <v>MSME Development Program : Program Beneficiaries Development Component of the Comprehensive Agrarian Reform Program</v>
      </c>
      <c r="AC587" s="406"/>
      <c r="AD587" s="403"/>
      <c r="AE587" s="406"/>
      <c r="AF587" s="406"/>
      <c r="AG587" s="407"/>
      <c r="AH587" s="407"/>
    </row>
    <row r="588" spans="1:34" s="411" customFormat="1" ht="27.6">
      <c r="A588" s="405" t="s">
        <v>942</v>
      </c>
      <c r="B588" s="405" t="s">
        <v>945</v>
      </c>
      <c r="C588" s="402">
        <v>44237</v>
      </c>
      <c r="D588" s="403" t="s">
        <v>1028</v>
      </c>
      <c r="E588" s="404" t="s">
        <v>1154</v>
      </c>
      <c r="F588" s="405">
        <v>0.67291666666666661</v>
      </c>
      <c r="G588" s="405">
        <v>0.6743055555555556</v>
      </c>
      <c r="H588" s="405" t="s">
        <v>987</v>
      </c>
      <c r="I588" s="416">
        <v>753</v>
      </c>
      <c r="J588" s="405" t="str">
        <f>IFERROR(VLOOKUP(I588,'Chart of accounts'!A:H,2,FALSE),"")</f>
        <v>50202010 00</v>
      </c>
      <c r="K588" s="405" t="str">
        <f>IFERROR(VLOOKUP(I588,'Chart of accounts'!A:H,3,FALSE),"")</f>
        <v>Training Expenses</v>
      </c>
      <c r="L588" s="405" t="str">
        <f>IFERROR(VLOOKUP(I588,'Chart of accounts'!A:H,4,FALSE),"")</f>
        <v>50202010 00 - Training Expenses (753)</v>
      </c>
      <c r="M588" s="408">
        <v>68</v>
      </c>
      <c r="N588" s="409" t="s">
        <v>821</v>
      </c>
      <c r="O588" s="409" t="s">
        <v>1150</v>
      </c>
      <c r="P588" s="409"/>
      <c r="Q588" s="65">
        <f>15714-15714</f>
        <v>0</v>
      </c>
      <c r="R588" s="63">
        <f t="shared" si="9"/>
        <v>0</v>
      </c>
      <c r="S588" s="63" t="str">
        <f>VLOOKUP(H588,'Fund Utilization Report'!$A$4:$U$1800,13,FALSE)</f>
        <v>MOOE</v>
      </c>
      <c r="T588" s="63" t="str">
        <f>VLOOKUP(H588,'Fund Utilization Report'!$A$4:$U$1800,2,FALSE)</f>
        <v>SAA37</v>
      </c>
      <c r="U588" s="63" t="str">
        <f>VLOOKUP(H588,'Fund Utilization Report'!$A$4:$U$1800,3,FALSE)</f>
        <v>2021-01-0037</v>
      </c>
      <c r="V588" s="63" t="str">
        <f>VLOOKUP(H588,'Fund Utilization Report'!$A$4:$U$1800,4,FALSE)</f>
        <v>CARP</v>
      </c>
      <c r="W588" s="63" t="str">
        <f>VLOOKUP(H588,'Fund Utilization Report'!$A$4:$U$1800,5,FALSE)</f>
        <v>01101101</v>
      </c>
      <c r="X588" s="63" t="str">
        <f>VLOOKUP(H588,'Fund Utilization Report'!$A$4:$U$1800,6,FALSE)</f>
        <v>GOP</v>
      </c>
      <c r="Y588" s="417">
        <f>VLOOKUP(H588,'Fund Utilization Report'!$A$4:$U$1800,7,FALSE)</f>
        <v>753</v>
      </c>
      <c r="Z588" s="418" t="str">
        <f>VLOOKUP(H588,'Fund Utilization Report'!$A$4:$U$1800,8,FALSE)</f>
        <v>50202010 00</v>
      </c>
      <c r="AA588" s="63" t="str">
        <f>VLOOKUP(H588,'Fund Utilization Report'!$A$4:$U$1800,14,FALSE)</f>
        <v>330100100003000</v>
      </c>
      <c r="AB588" s="419" t="str">
        <f>VLOOKUP(H588,'Fund Utilization Report'!$A$4:$U$1800,15,FALSE)</f>
        <v>MSME Development Program : Program Beneficiaries Development Component of the Comprehensive Agrarian Reform Program</v>
      </c>
      <c r="AC588" s="406"/>
      <c r="AD588" s="403"/>
      <c r="AE588" s="406"/>
      <c r="AF588" s="406"/>
      <c r="AG588" s="407"/>
      <c r="AH588" s="407"/>
    </row>
    <row r="589" spans="1:34" s="411" customFormat="1" ht="27.6">
      <c r="A589" s="405" t="s">
        <v>942</v>
      </c>
      <c r="B589" s="405" t="s">
        <v>945</v>
      </c>
      <c r="C589" s="402">
        <v>44237</v>
      </c>
      <c r="D589" s="403" t="s">
        <v>1028</v>
      </c>
      <c r="E589" s="404" t="s">
        <v>1154</v>
      </c>
      <c r="F589" s="405">
        <v>0.67291666666666661</v>
      </c>
      <c r="G589" s="405">
        <v>0.6743055555555556</v>
      </c>
      <c r="H589" s="405" t="s">
        <v>988</v>
      </c>
      <c r="I589" s="416">
        <v>755</v>
      </c>
      <c r="J589" s="405" t="str">
        <f>IFERROR(VLOOKUP(I589,'Chart of accounts'!A:H,2,FALSE),"")</f>
        <v>50203010 00</v>
      </c>
      <c r="K589" s="405" t="str">
        <f>IFERROR(VLOOKUP(I589,'Chart of accounts'!A:H,3,FALSE),"")</f>
        <v>Office Supplies Expenses</v>
      </c>
      <c r="L589" s="405" t="str">
        <f>IFERROR(VLOOKUP(I589,'Chart of accounts'!A:H,4,FALSE),"")</f>
        <v>50203010 00 - Office Supplies Expenses (755)</v>
      </c>
      <c r="M589" s="408">
        <v>68</v>
      </c>
      <c r="N589" s="409" t="s">
        <v>821</v>
      </c>
      <c r="O589" s="409" t="s">
        <v>1150</v>
      </c>
      <c r="P589" s="409"/>
      <c r="Q589" s="65">
        <f>2500-2500</f>
        <v>0</v>
      </c>
      <c r="R589" s="63">
        <f t="shared" si="9"/>
        <v>0</v>
      </c>
      <c r="S589" s="63" t="str">
        <f>VLOOKUP(H589,'Fund Utilization Report'!$A$4:$U$1800,13,FALSE)</f>
        <v>MOOE</v>
      </c>
      <c r="T589" s="63" t="str">
        <f>VLOOKUP(H589,'Fund Utilization Report'!$A$4:$U$1800,2,FALSE)</f>
        <v>SAA37</v>
      </c>
      <c r="U589" s="63" t="str">
        <f>VLOOKUP(H589,'Fund Utilization Report'!$A$4:$U$1800,3,FALSE)</f>
        <v>2021-01-0037</v>
      </c>
      <c r="V589" s="63" t="str">
        <f>VLOOKUP(H589,'Fund Utilization Report'!$A$4:$U$1800,4,FALSE)</f>
        <v>CARP</v>
      </c>
      <c r="W589" s="63" t="str">
        <f>VLOOKUP(H589,'Fund Utilization Report'!$A$4:$U$1800,5,FALSE)</f>
        <v>01101101</v>
      </c>
      <c r="X589" s="63" t="str">
        <f>VLOOKUP(H589,'Fund Utilization Report'!$A$4:$U$1800,6,FALSE)</f>
        <v>GOP</v>
      </c>
      <c r="Y589" s="417">
        <f>VLOOKUP(H589,'Fund Utilization Report'!$A$4:$U$1800,7,FALSE)</f>
        <v>755</v>
      </c>
      <c r="Z589" s="418" t="str">
        <f>VLOOKUP(H589,'Fund Utilization Report'!$A$4:$U$1800,8,FALSE)</f>
        <v>50203010 00</v>
      </c>
      <c r="AA589" s="63" t="str">
        <f>VLOOKUP(H589,'Fund Utilization Report'!$A$4:$U$1800,14,FALSE)</f>
        <v>330100100003000</v>
      </c>
      <c r="AB589" s="419" t="str">
        <f>VLOOKUP(H589,'Fund Utilization Report'!$A$4:$U$1800,15,FALSE)</f>
        <v>MSME Development Program : Program Beneficiaries Development Component of the Comprehensive Agrarian Reform Program</v>
      </c>
      <c r="AC589" s="406"/>
      <c r="AD589" s="403"/>
      <c r="AE589" s="406"/>
      <c r="AF589" s="406"/>
      <c r="AG589" s="407"/>
      <c r="AH589" s="407"/>
    </row>
    <row r="590" spans="1:34" s="411" customFormat="1" ht="27.6">
      <c r="A590" s="405" t="s">
        <v>942</v>
      </c>
      <c r="B590" s="405" t="s">
        <v>945</v>
      </c>
      <c r="C590" s="402">
        <v>44237</v>
      </c>
      <c r="D590" s="403" t="s">
        <v>1028</v>
      </c>
      <c r="E590" s="404" t="s">
        <v>1154</v>
      </c>
      <c r="F590" s="405">
        <v>0.67291666666666661</v>
      </c>
      <c r="G590" s="405">
        <v>0.6743055555555556</v>
      </c>
      <c r="H590" s="405" t="s">
        <v>991</v>
      </c>
      <c r="I590" s="416">
        <v>773</v>
      </c>
      <c r="J590" s="405" t="str">
        <f>IFERROR(VLOOKUP(I590,'Chart of accounts'!A:H,2,FALSE),"")</f>
        <v>50205020 01</v>
      </c>
      <c r="K590" s="405" t="str">
        <f>IFERROR(VLOOKUP(I590,'Chart of accounts'!A:H,3,FALSE),"")</f>
        <v xml:space="preserve">Telephone Expenses - Mobile </v>
      </c>
      <c r="L590" s="405" t="str">
        <f>IFERROR(VLOOKUP(I590,'Chart of accounts'!A:H,4,FALSE),"")</f>
        <v>50205020 01 - Telephone Expenses - Mobile  (773)</v>
      </c>
      <c r="M590" s="408">
        <v>68</v>
      </c>
      <c r="N590" s="409" t="s">
        <v>821</v>
      </c>
      <c r="O590" s="409" t="s">
        <v>1150</v>
      </c>
      <c r="P590" s="409"/>
      <c r="Q590" s="65">
        <f>400-400</f>
        <v>0</v>
      </c>
      <c r="R590" s="63">
        <f t="shared" si="9"/>
        <v>0</v>
      </c>
      <c r="S590" s="63" t="str">
        <f>VLOOKUP(H590,'Fund Utilization Report'!$A$4:$U$1800,13,FALSE)</f>
        <v>MOOE</v>
      </c>
      <c r="T590" s="63" t="str">
        <f>VLOOKUP(H590,'Fund Utilization Report'!$A$4:$U$1800,2,FALSE)</f>
        <v>SAA37</v>
      </c>
      <c r="U590" s="63" t="str">
        <f>VLOOKUP(H590,'Fund Utilization Report'!$A$4:$U$1800,3,FALSE)</f>
        <v>2021-01-0037</v>
      </c>
      <c r="V590" s="63" t="str">
        <f>VLOOKUP(H590,'Fund Utilization Report'!$A$4:$U$1800,4,FALSE)</f>
        <v>CARP</v>
      </c>
      <c r="W590" s="63" t="str">
        <f>VLOOKUP(H590,'Fund Utilization Report'!$A$4:$U$1800,5,FALSE)</f>
        <v>01101101</v>
      </c>
      <c r="X590" s="63" t="str">
        <f>VLOOKUP(H590,'Fund Utilization Report'!$A$4:$U$1800,6,FALSE)</f>
        <v>GOP</v>
      </c>
      <c r="Y590" s="417">
        <f>VLOOKUP(H590,'Fund Utilization Report'!$A$4:$U$1800,7,FALSE)</f>
        <v>773</v>
      </c>
      <c r="Z590" s="418" t="str">
        <f>VLOOKUP(H590,'Fund Utilization Report'!$A$4:$U$1800,8,FALSE)</f>
        <v>50205020 01</v>
      </c>
      <c r="AA590" s="63" t="str">
        <f>VLOOKUP(H590,'Fund Utilization Report'!$A$4:$U$1800,14,FALSE)</f>
        <v>330100100003000</v>
      </c>
      <c r="AB590" s="419" t="str">
        <f>VLOOKUP(H590,'Fund Utilization Report'!$A$4:$U$1800,15,FALSE)</f>
        <v>MSME Development Program : Program Beneficiaries Development Component of the Comprehensive Agrarian Reform Program</v>
      </c>
      <c r="AC590" s="406"/>
      <c r="AD590" s="403"/>
      <c r="AE590" s="406"/>
      <c r="AF590" s="406"/>
      <c r="AG590" s="407"/>
      <c r="AH590" s="407"/>
    </row>
    <row r="591" spans="1:34" s="411" customFormat="1" ht="27.6">
      <c r="A591" s="405" t="s">
        <v>942</v>
      </c>
      <c r="B591" s="405" t="s">
        <v>945</v>
      </c>
      <c r="C591" s="402">
        <v>44237</v>
      </c>
      <c r="D591" s="403" t="s">
        <v>1028</v>
      </c>
      <c r="E591" s="404" t="s">
        <v>1154</v>
      </c>
      <c r="F591" s="405">
        <v>0.67291666666666661</v>
      </c>
      <c r="G591" s="405">
        <v>0.6743055555555556</v>
      </c>
      <c r="H591" s="405" t="s">
        <v>994</v>
      </c>
      <c r="I591" s="416">
        <v>795</v>
      </c>
      <c r="J591" s="405" t="str">
        <f>IFERROR(VLOOKUP(I591,'Chart of accounts'!A:H,2,FALSE),"")</f>
        <v>50212990 00</v>
      </c>
      <c r="K591" s="405" t="str">
        <f>IFERROR(VLOOKUP(I591,'Chart of accounts'!A:H,3,FALSE),"")</f>
        <v>Other General Services</v>
      </c>
      <c r="L591" s="405" t="str">
        <f>IFERROR(VLOOKUP(I591,'Chart of accounts'!A:H,4,FALSE),"")</f>
        <v>50212990 00 - Other General Services (795)</v>
      </c>
      <c r="M591" s="408">
        <v>68</v>
      </c>
      <c r="N591" s="409" t="s">
        <v>821</v>
      </c>
      <c r="O591" s="409" t="s">
        <v>1150</v>
      </c>
      <c r="P591" s="409"/>
      <c r="Q591" s="65">
        <f>1000-1000</f>
        <v>0</v>
      </c>
      <c r="R591" s="63">
        <f t="shared" si="9"/>
        <v>0</v>
      </c>
      <c r="S591" s="63" t="str">
        <f>VLOOKUP(H591,'Fund Utilization Report'!$A$4:$U$1800,13,FALSE)</f>
        <v>MOOE</v>
      </c>
      <c r="T591" s="63" t="str">
        <f>VLOOKUP(H591,'Fund Utilization Report'!$A$4:$U$1800,2,FALSE)</f>
        <v>SAA37</v>
      </c>
      <c r="U591" s="63" t="str">
        <f>VLOOKUP(H591,'Fund Utilization Report'!$A$4:$U$1800,3,FALSE)</f>
        <v>2021-01-0037</v>
      </c>
      <c r="V591" s="63" t="str">
        <f>VLOOKUP(H591,'Fund Utilization Report'!$A$4:$U$1800,4,FALSE)</f>
        <v>CARP</v>
      </c>
      <c r="W591" s="63" t="str">
        <f>VLOOKUP(H591,'Fund Utilization Report'!$A$4:$U$1800,5,FALSE)</f>
        <v>01101101</v>
      </c>
      <c r="X591" s="63" t="str">
        <f>VLOOKUP(H591,'Fund Utilization Report'!$A$4:$U$1800,6,FALSE)</f>
        <v>GOP</v>
      </c>
      <c r="Y591" s="417">
        <f>VLOOKUP(H591,'Fund Utilization Report'!$A$4:$U$1800,7,FALSE)</f>
        <v>795</v>
      </c>
      <c r="Z591" s="418" t="str">
        <f>VLOOKUP(H591,'Fund Utilization Report'!$A$4:$U$1800,8,FALSE)</f>
        <v>50212990 00</v>
      </c>
      <c r="AA591" s="63" t="str">
        <f>VLOOKUP(H591,'Fund Utilization Report'!$A$4:$U$1800,14,FALSE)</f>
        <v>330100100003000</v>
      </c>
      <c r="AB591" s="419" t="str">
        <f>VLOOKUP(H591,'Fund Utilization Report'!$A$4:$U$1800,15,FALSE)</f>
        <v>MSME Development Program : Program Beneficiaries Development Component of the Comprehensive Agrarian Reform Program</v>
      </c>
      <c r="AC591" s="406"/>
      <c r="AD591" s="403"/>
      <c r="AE591" s="406"/>
      <c r="AF591" s="406"/>
      <c r="AG591" s="407"/>
      <c r="AH591" s="407"/>
    </row>
    <row r="592" spans="1:34" s="411" customFormat="1" ht="27.6">
      <c r="A592" s="405" t="s">
        <v>942</v>
      </c>
      <c r="B592" s="405" t="s">
        <v>945</v>
      </c>
      <c r="C592" s="402">
        <v>44237</v>
      </c>
      <c r="D592" s="403" t="s">
        <v>1028</v>
      </c>
      <c r="E592" s="404" t="s">
        <v>1155</v>
      </c>
      <c r="F592" s="405">
        <v>0.6743055555555556</v>
      </c>
      <c r="G592" s="405">
        <v>0.67569444444444438</v>
      </c>
      <c r="H592" s="405" t="s">
        <v>986</v>
      </c>
      <c r="I592" s="416">
        <v>751</v>
      </c>
      <c r="J592" s="405" t="str">
        <f>IFERROR(VLOOKUP(I592,'Chart of accounts'!A:H,2,FALSE),"")</f>
        <v>50201010 00</v>
      </c>
      <c r="K592" s="405" t="str">
        <f>IFERROR(VLOOKUP(I592,'Chart of accounts'!A:H,3,FALSE),"")</f>
        <v>Traveling Expenses - Local</v>
      </c>
      <c r="L592" s="405" t="str">
        <f>IFERROR(VLOOKUP(I592,'Chart of accounts'!A:H,4,FALSE),"")</f>
        <v>50201010 00 - Traveling Expenses - Local (751)</v>
      </c>
      <c r="M592" s="408">
        <v>67</v>
      </c>
      <c r="N592" s="409" t="s">
        <v>822</v>
      </c>
      <c r="O592" s="409" t="s">
        <v>1150</v>
      </c>
      <c r="P592" s="409"/>
      <c r="Q592" s="65">
        <f>9900-9900</f>
        <v>0</v>
      </c>
      <c r="R592" s="63">
        <f t="shared" si="9"/>
        <v>0</v>
      </c>
      <c r="S592" s="63" t="str">
        <f>VLOOKUP(H592,'Fund Utilization Report'!$A$4:$U$1800,13,FALSE)</f>
        <v>MOOE</v>
      </c>
      <c r="T592" s="63" t="str">
        <f>VLOOKUP(H592,'Fund Utilization Report'!$A$4:$U$1800,2,FALSE)</f>
        <v>SAA37</v>
      </c>
      <c r="U592" s="63" t="str">
        <f>VLOOKUP(H592,'Fund Utilization Report'!$A$4:$U$1800,3,FALSE)</f>
        <v>2021-01-0037</v>
      </c>
      <c r="V592" s="63" t="str">
        <f>VLOOKUP(H592,'Fund Utilization Report'!$A$4:$U$1800,4,FALSE)</f>
        <v>CARP</v>
      </c>
      <c r="W592" s="63" t="str">
        <f>VLOOKUP(H592,'Fund Utilization Report'!$A$4:$U$1800,5,FALSE)</f>
        <v>01101101</v>
      </c>
      <c r="X592" s="63" t="str">
        <f>VLOOKUP(H592,'Fund Utilization Report'!$A$4:$U$1800,6,FALSE)</f>
        <v>GOP</v>
      </c>
      <c r="Y592" s="417">
        <f>VLOOKUP(H592,'Fund Utilization Report'!$A$4:$U$1800,7,FALSE)</f>
        <v>751</v>
      </c>
      <c r="Z592" s="418" t="str">
        <f>VLOOKUP(H592,'Fund Utilization Report'!$A$4:$U$1800,8,FALSE)</f>
        <v>50201010 00</v>
      </c>
      <c r="AA592" s="63" t="str">
        <f>VLOOKUP(H592,'Fund Utilization Report'!$A$4:$U$1800,14,FALSE)</f>
        <v>330100100003000</v>
      </c>
      <c r="AB592" s="419" t="str">
        <f>VLOOKUP(H592,'Fund Utilization Report'!$A$4:$U$1800,15,FALSE)</f>
        <v>MSME Development Program : Program Beneficiaries Development Component of the Comprehensive Agrarian Reform Program</v>
      </c>
      <c r="AC592" s="406"/>
      <c r="AD592" s="403"/>
      <c r="AE592" s="406"/>
      <c r="AF592" s="406"/>
      <c r="AG592" s="407"/>
      <c r="AH592" s="407"/>
    </row>
    <row r="593" spans="1:34" s="411" customFormat="1" ht="27.6">
      <c r="A593" s="405" t="s">
        <v>942</v>
      </c>
      <c r="B593" s="405" t="s">
        <v>945</v>
      </c>
      <c r="C593" s="402">
        <v>44237</v>
      </c>
      <c r="D593" s="403" t="s">
        <v>1028</v>
      </c>
      <c r="E593" s="404" t="s">
        <v>1155</v>
      </c>
      <c r="F593" s="405">
        <v>0.6743055555555556</v>
      </c>
      <c r="G593" s="405">
        <v>0.67569444444444438</v>
      </c>
      <c r="H593" s="405" t="s">
        <v>987</v>
      </c>
      <c r="I593" s="416">
        <v>753</v>
      </c>
      <c r="J593" s="405" t="str">
        <f>IFERROR(VLOOKUP(I593,'Chart of accounts'!A:H,2,FALSE),"")</f>
        <v>50202010 00</v>
      </c>
      <c r="K593" s="405" t="str">
        <f>IFERROR(VLOOKUP(I593,'Chart of accounts'!A:H,3,FALSE),"")</f>
        <v>Training Expenses</v>
      </c>
      <c r="L593" s="405" t="str">
        <f>IFERROR(VLOOKUP(I593,'Chart of accounts'!A:H,4,FALSE),"")</f>
        <v>50202010 00 - Training Expenses (753)</v>
      </c>
      <c r="M593" s="408">
        <v>67</v>
      </c>
      <c r="N593" s="409" t="s">
        <v>822</v>
      </c>
      <c r="O593" s="409" t="s">
        <v>1150</v>
      </c>
      <c r="P593" s="409"/>
      <c r="Q593" s="65">
        <f>42285-42285</f>
        <v>0</v>
      </c>
      <c r="R593" s="63">
        <f t="shared" si="9"/>
        <v>0</v>
      </c>
      <c r="S593" s="63" t="str">
        <f>VLOOKUP(H593,'Fund Utilization Report'!$A$4:$U$1800,13,FALSE)</f>
        <v>MOOE</v>
      </c>
      <c r="T593" s="63" t="str">
        <f>VLOOKUP(H593,'Fund Utilization Report'!$A$4:$U$1800,2,FALSE)</f>
        <v>SAA37</v>
      </c>
      <c r="U593" s="63" t="str">
        <f>VLOOKUP(H593,'Fund Utilization Report'!$A$4:$U$1800,3,FALSE)</f>
        <v>2021-01-0037</v>
      </c>
      <c r="V593" s="63" t="str">
        <f>VLOOKUP(H593,'Fund Utilization Report'!$A$4:$U$1800,4,FALSE)</f>
        <v>CARP</v>
      </c>
      <c r="W593" s="63" t="str">
        <f>VLOOKUP(H593,'Fund Utilization Report'!$A$4:$U$1800,5,FALSE)</f>
        <v>01101101</v>
      </c>
      <c r="X593" s="63" t="str">
        <f>VLOOKUP(H593,'Fund Utilization Report'!$A$4:$U$1800,6,FALSE)</f>
        <v>GOP</v>
      </c>
      <c r="Y593" s="417">
        <f>VLOOKUP(H593,'Fund Utilization Report'!$A$4:$U$1800,7,FALSE)</f>
        <v>753</v>
      </c>
      <c r="Z593" s="418" t="str">
        <f>VLOOKUP(H593,'Fund Utilization Report'!$A$4:$U$1800,8,FALSE)</f>
        <v>50202010 00</v>
      </c>
      <c r="AA593" s="63" t="str">
        <f>VLOOKUP(H593,'Fund Utilization Report'!$A$4:$U$1800,14,FALSE)</f>
        <v>330100100003000</v>
      </c>
      <c r="AB593" s="419" t="str">
        <f>VLOOKUP(H593,'Fund Utilization Report'!$A$4:$U$1800,15,FALSE)</f>
        <v>MSME Development Program : Program Beneficiaries Development Component of the Comprehensive Agrarian Reform Program</v>
      </c>
      <c r="AC593" s="406"/>
      <c r="AD593" s="403"/>
      <c r="AE593" s="406"/>
      <c r="AF593" s="406"/>
      <c r="AG593" s="407"/>
      <c r="AH593" s="407"/>
    </row>
    <row r="594" spans="1:34" s="411" customFormat="1" ht="27.6">
      <c r="A594" s="405" t="s">
        <v>942</v>
      </c>
      <c r="B594" s="405" t="s">
        <v>945</v>
      </c>
      <c r="C594" s="402">
        <v>44237</v>
      </c>
      <c r="D594" s="403" t="s">
        <v>1028</v>
      </c>
      <c r="E594" s="404" t="s">
        <v>1155</v>
      </c>
      <c r="F594" s="405">
        <v>0.6743055555555556</v>
      </c>
      <c r="G594" s="405">
        <v>0.67569444444444438</v>
      </c>
      <c r="H594" s="405" t="s">
        <v>988</v>
      </c>
      <c r="I594" s="416">
        <v>755</v>
      </c>
      <c r="J594" s="405" t="str">
        <f>IFERROR(VLOOKUP(I594,'Chart of accounts'!A:H,2,FALSE),"")</f>
        <v>50203010 00</v>
      </c>
      <c r="K594" s="405" t="str">
        <f>IFERROR(VLOOKUP(I594,'Chart of accounts'!A:H,3,FALSE),"")</f>
        <v>Office Supplies Expenses</v>
      </c>
      <c r="L594" s="405" t="str">
        <f>IFERROR(VLOOKUP(I594,'Chart of accounts'!A:H,4,FALSE),"")</f>
        <v>50203010 00 - Office Supplies Expenses (755)</v>
      </c>
      <c r="M594" s="408">
        <v>67</v>
      </c>
      <c r="N594" s="409" t="s">
        <v>822</v>
      </c>
      <c r="O594" s="409" t="s">
        <v>1150</v>
      </c>
      <c r="P594" s="409"/>
      <c r="Q594" s="65">
        <f>2500-2500</f>
        <v>0</v>
      </c>
      <c r="R594" s="63">
        <f t="shared" si="9"/>
        <v>0</v>
      </c>
      <c r="S594" s="63" t="str">
        <f>VLOOKUP(H594,'Fund Utilization Report'!$A$4:$U$1800,13,FALSE)</f>
        <v>MOOE</v>
      </c>
      <c r="T594" s="63" t="str">
        <f>VLOOKUP(H594,'Fund Utilization Report'!$A$4:$U$1800,2,FALSE)</f>
        <v>SAA37</v>
      </c>
      <c r="U594" s="63" t="str">
        <f>VLOOKUP(H594,'Fund Utilization Report'!$A$4:$U$1800,3,FALSE)</f>
        <v>2021-01-0037</v>
      </c>
      <c r="V594" s="63" t="str">
        <f>VLOOKUP(H594,'Fund Utilization Report'!$A$4:$U$1800,4,FALSE)</f>
        <v>CARP</v>
      </c>
      <c r="W594" s="63" t="str">
        <f>VLOOKUP(H594,'Fund Utilization Report'!$A$4:$U$1800,5,FALSE)</f>
        <v>01101101</v>
      </c>
      <c r="X594" s="63" t="str">
        <f>VLOOKUP(H594,'Fund Utilization Report'!$A$4:$U$1800,6,FALSE)</f>
        <v>GOP</v>
      </c>
      <c r="Y594" s="417">
        <f>VLOOKUP(H594,'Fund Utilization Report'!$A$4:$U$1800,7,FALSE)</f>
        <v>755</v>
      </c>
      <c r="Z594" s="418" t="str">
        <f>VLOOKUP(H594,'Fund Utilization Report'!$A$4:$U$1800,8,FALSE)</f>
        <v>50203010 00</v>
      </c>
      <c r="AA594" s="63" t="str">
        <f>VLOOKUP(H594,'Fund Utilization Report'!$A$4:$U$1800,14,FALSE)</f>
        <v>330100100003000</v>
      </c>
      <c r="AB594" s="419" t="str">
        <f>VLOOKUP(H594,'Fund Utilization Report'!$A$4:$U$1800,15,FALSE)</f>
        <v>MSME Development Program : Program Beneficiaries Development Component of the Comprehensive Agrarian Reform Program</v>
      </c>
      <c r="AC594" s="406"/>
      <c r="AD594" s="403"/>
      <c r="AE594" s="406"/>
      <c r="AF594" s="406"/>
      <c r="AG594" s="407"/>
      <c r="AH594" s="407"/>
    </row>
    <row r="595" spans="1:34" s="411" customFormat="1" ht="27.6">
      <c r="A595" s="405" t="s">
        <v>942</v>
      </c>
      <c r="B595" s="405" t="s">
        <v>945</v>
      </c>
      <c r="C595" s="402">
        <v>44237</v>
      </c>
      <c r="D595" s="403" t="s">
        <v>1028</v>
      </c>
      <c r="E595" s="404" t="s">
        <v>1155</v>
      </c>
      <c r="F595" s="405">
        <v>0.6743055555555556</v>
      </c>
      <c r="G595" s="405">
        <v>0.67569444444444438</v>
      </c>
      <c r="H595" s="405" t="s">
        <v>991</v>
      </c>
      <c r="I595" s="416">
        <v>773</v>
      </c>
      <c r="J595" s="405" t="str">
        <f>IFERROR(VLOOKUP(I595,'Chart of accounts'!A:H,2,FALSE),"")</f>
        <v>50205020 01</v>
      </c>
      <c r="K595" s="405" t="str">
        <f>IFERROR(VLOOKUP(I595,'Chart of accounts'!A:H,3,FALSE),"")</f>
        <v xml:space="preserve">Telephone Expenses - Mobile </v>
      </c>
      <c r="L595" s="405" t="str">
        <f>IFERROR(VLOOKUP(I595,'Chart of accounts'!A:H,4,FALSE),"")</f>
        <v>50205020 01 - Telephone Expenses - Mobile  (773)</v>
      </c>
      <c r="M595" s="408">
        <v>67</v>
      </c>
      <c r="N595" s="409" t="s">
        <v>822</v>
      </c>
      <c r="O595" s="409" t="s">
        <v>1150</v>
      </c>
      <c r="P595" s="409"/>
      <c r="Q595" s="65">
        <f>750-750</f>
        <v>0</v>
      </c>
      <c r="R595" s="63">
        <f t="shared" si="9"/>
        <v>0</v>
      </c>
      <c r="S595" s="63" t="str">
        <f>VLOOKUP(H595,'Fund Utilization Report'!$A$4:$U$1800,13,FALSE)</f>
        <v>MOOE</v>
      </c>
      <c r="T595" s="63" t="str">
        <f>VLOOKUP(H595,'Fund Utilization Report'!$A$4:$U$1800,2,FALSE)</f>
        <v>SAA37</v>
      </c>
      <c r="U595" s="63" t="str">
        <f>VLOOKUP(H595,'Fund Utilization Report'!$A$4:$U$1800,3,FALSE)</f>
        <v>2021-01-0037</v>
      </c>
      <c r="V595" s="63" t="str">
        <f>VLOOKUP(H595,'Fund Utilization Report'!$A$4:$U$1800,4,FALSE)</f>
        <v>CARP</v>
      </c>
      <c r="W595" s="63" t="str">
        <f>VLOOKUP(H595,'Fund Utilization Report'!$A$4:$U$1800,5,FALSE)</f>
        <v>01101101</v>
      </c>
      <c r="X595" s="63" t="str">
        <f>VLOOKUP(H595,'Fund Utilization Report'!$A$4:$U$1800,6,FALSE)</f>
        <v>GOP</v>
      </c>
      <c r="Y595" s="417">
        <f>VLOOKUP(H595,'Fund Utilization Report'!$A$4:$U$1800,7,FALSE)</f>
        <v>773</v>
      </c>
      <c r="Z595" s="418" t="str">
        <f>VLOOKUP(H595,'Fund Utilization Report'!$A$4:$U$1800,8,FALSE)</f>
        <v>50205020 01</v>
      </c>
      <c r="AA595" s="63" t="str">
        <f>VLOOKUP(H595,'Fund Utilization Report'!$A$4:$U$1800,14,FALSE)</f>
        <v>330100100003000</v>
      </c>
      <c r="AB595" s="419" t="str">
        <f>VLOOKUP(H595,'Fund Utilization Report'!$A$4:$U$1800,15,FALSE)</f>
        <v>MSME Development Program : Program Beneficiaries Development Component of the Comprehensive Agrarian Reform Program</v>
      </c>
      <c r="AC595" s="406"/>
      <c r="AD595" s="403"/>
      <c r="AE595" s="406"/>
      <c r="AF595" s="406"/>
      <c r="AG595" s="407"/>
      <c r="AH595" s="407"/>
    </row>
    <row r="596" spans="1:34" s="411" customFormat="1" ht="27.6">
      <c r="A596" s="405" t="s">
        <v>942</v>
      </c>
      <c r="B596" s="405" t="s">
        <v>945</v>
      </c>
      <c r="C596" s="402">
        <v>44237</v>
      </c>
      <c r="D596" s="403" t="s">
        <v>1028</v>
      </c>
      <c r="E596" s="404" t="s">
        <v>1155</v>
      </c>
      <c r="F596" s="405">
        <v>0.6743055555555556</v>
      </c>
      <c r="G596" s="405">
        <v>0.67569444444444438</v>
      </c>
      <c r="H596" s="405" t="s">
        <v>993</v>
      </c>
      <c r="I596" s="416">
        <v>799</v>
      </c>
      <c r="J596" s="405" t="str">
        <f>IFERROR(VLOOKUP(I596,'Chart of accounts'!A:H,2,FALSE),"")</f>
        <v>50211990 00</v>
      </c>
      <c r="K596" s="405" t="str">
        <f>IFERROR(VLOOKUP(I596,'Chart of accounts'!A:H,3,FALSE),"")</f>
        <v>Other Professional Services</v>
      </c>
      <c r="L596" s="405" t="str">
        <f>IFERROR(VLOOKUP(I596,'Chart of accounts'!A:H,4,FALSE),"")</f>
        <v>50211990 00 - Other Professional Services (799)</v>
      </c>
      <c r="M596" s="408">
        <v>67</v>
      </c>
      <c r="N596" s="409" t="s">
        <v>822</v>
      </c>
      <c r="O596" s="409" t="s">
        <v>1150</v>
      </c>
      <c r="P596" s="409"/>
      <c r="Q596" s="65">
        <f>15500-15500</f>
        <v>0</v>
      </c>
      <c r="R596" s="63">
        <f t="shared" si="9"/>
        <v>0</v>
      </c>
      <c r="S596" s="63" t="str">
        <f>VLOOKUP(H596,'Fund Utilization Report'!$A$4:$U$1800,13,FALSE)</f>
        <v>MOOE</v>
      </c>
      <c r="T596" s="63" t="str">
        <f>VLOOKUP(H596,'Fund Utilization Report'!$A$4:$U$1800,2,FALSE)</f>
        <v>SAA37</v>
      </c>
      <c r="U596" s="63" t="str">
        <f>VLOOKUP(H596,'Fund Utilization Report'!$A$4:$U$1800,3,FALSE)</f>
        <v>2021-01-0037</v>
      </c>
      <c r="V596" s="63" t="str">
        <f>VLOOKUP(H596,'Fund Utilization Report'!$A$4:$U$1800,4,FALSE)</f>
        <v>CARP</v>
      </c>
      <c r="W596" s="63" t="str">
        <f>VLOOKUP(H596,'Fund Utilization Report'!$A$4:$U$1800,5,FALSE)</f>
        <v>01101101</v>
      </c>
      <c r="X596" s="63" t="str">
        <f>VLOOKUP(H596,'Fund Utilization Report'!$A$4:$U$1800,6,FALSE)</f>
        <v>GOP</v>
      </c>
      <c r="Y596" s="417">
        <f>VLOOKUP(H596,'Fund Utilization Report'!$A$4:$U$1800,7,FALSE)</f>
        <v>799</v>
      </c>
      <c r="Z596" s="418" t="str">
        <f>VLOOKUP(H596,'Fund Utilization Report'!$A$4:$U$1800,8,FALSE)</f>
        <v>50211990 00</v>
      </c>
      <c r="AA596" s="63" t="str">
        <f>VLOOKUP(H596,'Fund Utilization Report'!$A$4:$U$1800,14,FALSE)</f>
        <v>330100100003000</v>
      </c>
      <c r="AB596" s="419" t="str">
        <f>VLOOKUP(H596,'Fund Utilization Report'!$A$4:$U$1800,15,FALSE)</f>
        <v>MSME Development Program : Program Beneficiaries Development Component of the Comprehensive Agrarian Reform Program</v>
      </c>
      <c r="AC596" s="406"/>
      <c r="AD596" s="403"/>
      <c r="AE596" s="406"/>
      <c r="AF596" s="406"/>
      <c r="AG596" s="407"/>
      <c r="AH596" s="407"/>
    </row>
    <row r="597" spans="1:34" s="32" customFormat="1" ht="27.6">
      <c r="A597" s="338" t="s">
        <v>942</v>
      </c>
      <c r="B597" s="338" t="s">
        <v>945</v>
      </c>
      <c r="C597" s="358">
        <v>44237</v>
      </c>
      <c r="D597" s="351" t="s">
        <v>1028</v>
      </c>
      <c r="E597" s="352" t="s">
        <v>1156</v>
      </c>
      <c r="F597" s="338">
        <v>0.67569444444444438</v>
      </c>
      <c r="G597" s="338">
        <v>0.68263888888888891</v>
      </c>
      <c r="H597" s="338" t="s">
        <v>982</v>
      </c>
      <c r="I597" s="353" t="s">
        <v>687</v>
      </c>
      <c r="J597" s="338" t="str">
        <f>IFERROR(VLOOKUP(I597,'Chart of accounts'!A:H,2,FALSE),"")</f>
        <v>50299050 03</v>
      </c>
      <c r="K597" s="338" t="str">
        <f>IFERROR(VLOOKUP(I597,'Chart of accounts'!A:H,3,FALSE),"")</f>
        <v>Rent - Motor Vehicle</v>
      </c>
      <c r="L597" s="338" t="str">
        <f>IFERROR(VLOOKUP(I597,'Chart of accounts'!A:H,4,FALSE),"")</f>
        <v>50299050 03 - Rent - Motor Vehicle (782-VEH)</v>
      </c>
      <c r="M597" s="361">
        <v>1</v>
      </c>
      <c r="N597" s="355" t="s">
        <v>1157</v>
      </c>
      <c r="O597" s="355" t="s">
        <v>1158</v>
      </c>
      <c r="P597" s="355"/>
      <c r="Q597" s="363">
        <v>11500</v>
      </c>
      <c r="R597" s="319">
        <f t="shared" ref="R597:R639" si="10">P597-Q597</f>
        <v>-11500</v>
      </c>
      <c r="S597" s="319" t="str">
        <f>VLOOKUP(H597,'Fund Utilization Report'!$A$4:$U$1800,13,FALSE)</f>
        <v>MOOE</v>
      </c>
      <c r="T597" s="319" t="str">
        <f>VLOOKUP(H597,'Fund Utilization Report'!$A$4:$U$1800,2,FALSE)</f>
        <v>GAA</v>
      </c>
      <c r="U597" s="319" t="str">
        <f>VLOOKUP(H597,'Fund Utilization Report'!$A$4:$U$1800,3,FALSE)</f>
        <v>FY2021, RA11518</v>
      </c>
      <c r="V597" s="319" t="str">
        <f>VLOOKUP(H597,'Fund Utilization Report'!$A$4:$U$1800,4,FALSE)</f>
        <v>OTOP</v>
      </c>
      <c r="W597" s="319" t="str">
        <f>VLOOKUP(H597,'Fund Utilization Report'!$A$4:$U$1800,5,FALSE)</f>
        <v>01101101</v>
      </c>
      <c r="X597" s="319" t="str">
        <f>VLOOKUP(H597,'Fund Utilization Report'!$A$4:$U$1800,6,FALSE)</f>
        <v>GOP</v>
      </c>
      <c r="Y597" s="320" t="str">
        <f>VLOOKUP(H597,'Fund Utilization Report'!$A$4:$U$1800,7,FALSE)</f>
        <v>MOOE</v>
      </c>
      <c r="Z597" s="321">
        <f>VLOOKUP(H597,'Fund Utilization Report'!$A$4:$U$1800,8,FALSE)</f>
        <v>5020000000</v>
      </c>
      <c r="AA597" s="319" t="str">
        <f>VLOOKUP(H597,'Fund Utilization Report'!$A$4:$U$1800,14,FALSE)</f>
        <v>330100200002000</v>
      </c>
      <c r="AB597" s="349" t="str">
        <f>VLOOKUP(H597,'Fund Utilization Report'!$A$4:$U$1800,15,FALSE)</f>
        <v>OTOP - Next Generation</v>
      </c>
      <c r="AC597" s="39"/>
      <c r="AD597" s="34"/>
      <c r="AE597" s="39"/>
      <c r="AF597" s="51"/>
      <c r="AG597" s="40"/>
      <c r="AH597" s="40"/>
    </row>
    <row r="598" spans="1:34" s="32" customFormat="1" ht="27.6">
      <c r="A598" s="338" t="s">
        <v>942</v>
      </c>
      <c r="B598" s="338" t="s">
        <v>945</v>
      </c>
      <c r="C598" s="358">
        <v>44238</v>
      </c>
      <c r="D598" s="351" t="s">
        <v>1028</v>
      </c>
      <c r="E598" s="352" t="s">
        <v>1159</v>
      </c>
      <c r="F598" s="338">
        <v>0.48194444444444445</v>
      </c>
      <c r="G598" s="338">
        <v>0.4861111111111111</v>
      </c>
      <c r="H598" s="338" t="s">
        <v>960</v>
      </c>
      <c r="I598" s="353">
        <v>701</v>
      </c>
      <c r="J598" s="338" t="str">
        <f>IFERROR(VLOOKUP(I598,'Chart of accounts'!A:H,2,FALSE),"")</f>
        <v>50101010 01</v>
      </c>
      <c r="K598" s="338" t="str">
        <f>IFERROR(VLOOKUP(I598,'Chart of accounts'!A:H,3,FALSE),"")</f>
        <v>Basic Salary - Civilian</v>
      </c>
      <c r="L598" s="338" t="str">
        <f>IFERROR(VLOOKUP(I598,'Chart of accounts'!A:H,4,FALSE),"")</f>
        <v>50101010 01 - Basic Salary - Civilian (701)</v>
      </c>
      <c r="M598" s="361">
        <v>2</v>
      </c>
      <c r="N598" s="355" t="s">
        <v>789</v>
      </c>
      <c r="O598" s="355" t="s">
        <v>1113</v>
      </c>
      <c r="P598" s="355"/>
      <c r="Q598" s="363">
        <v>57452</v>
      </c>
      <c r="R598" s="319">
        <f t="shared" si="10"/>
        <v>-57452</v>
      </c>
      <c r="S598" s="319" t="str">
        <f>VLOOKUP(H598,'Fund Utilization Report'!$A$4:$U$1800,13,FALSE)</f>
        <v>PS</v>
      </c>
      <c r="T598" s="319" t="str">
        <f>VLOOKUP(H598,'Fund Utilization Report'!$A$4:$U$1800,2,FALSE)</f>
        <v>GAA</v>
      </c>
      <c r="U598" s="319" t="str">
        <f>VLOOKUP(H598,'Fund Utilization Report'!$A$4:$U$1800,3,FALSE)</f>
        <v>FY2021, RA11518</v>
      </c>
      <c r="V598" s="319" t="str">
        <f>VLOOKUP(H598,'Fund Utilization Report'!$A$4:$U$1800,4,FALSE)</f>
        <v>GAS(GMS)</v>
      </c>
      <c r="W598" s="319" t="str">
        <f>VLOOKUP(H598,'Fund Utilization Report'!$A$4:$U$1800,5,FALSE)</f>
        <v>01101101</v>
      </c>
      <c r="X598" s="319" t="str">
        <f>VLOOKUP(H598,'Fund Utilization Report'!$A$4:$U$1800,6,FALSE)</f>
        <v>GOP</v>
      </c>
      <c r="Y598" s="320" t="str">
        <f>VLOOKUP(H598,'Fund Utilization Report'!$A$4:$U$1800,7,FALSE)</f>
        <v>PS</v>
      </c>
      <c r="Z598" s="321">
        <f>VLOOKUP(H598,'Fund Utilization Report'!$A$4:$U$1800,8,FALSE)</f>
        <v>5010000000</v>
      </c>
      <c r="AA598" s="319" t="str">
        <f>VLOOKUP(H598,'Fund Utilization Report'!$A$4:$U$1800,14,FALSE)</f>
        <v>100000100001000</v>
      </c>
      <c r="AB598" s="349" t="str">
        <f>VLOOKUP(H598,'Fund Utilization Report'!$A$4:$U$1800,15,FALSE)</f>
        <v>General Administration and Supervision - General Management and Supervision</v>
      </c>
      <c r="AC598" s="39"/>
      <c r="AD598" s="34"/>
      <c r="AE598" s="39"/>
      <c r="AF598" s="51"/>
      <c r="AG598" s="40"/>
      <c r="AH598" s="40"/>
    </row>
    <row r="599" spans="1:34" s="32" customFormat="1" ht="27.6">
      <c r="A599" s="338" t="s">
        <v>942</v>
      </c>
      <c r="B599" s="338" t="s">
        <v>945</v>
      </c>
      <c r="C599" s="358">
        <v>44238</v>
      </c>
      <c r="D599" s="351" t="s">
        <v>1028</v>
      </c>
      <c r="E599" s="352" t="s">
        <v>1159</v>
      </c>
      <c r="F599" s="338">
        <v>0.48194444444444445</v>
      </c>
      <c r="G599" s="338">
        <v>0.4861111111111111</v>
      </c>
      <c r="H599" s="338" t="s">
        <v>960</v>
      </c>
      <c r="I599" s="353">
        <v>711</v>
      </c>
      <c r="J599" s="338" t="str">
        <f>IFERROR(VLOOKUP(I599,'Chart of accounts'!A:H,2,FALSE),"")</f>
        <v>50102010 01</v>
      </c>
      <c r="K599" s="338" t="str">
        <f>IFERROR(VLOOKUP(I599,'Chart of accounts'!A:H,3,FALSE),"")</f>
        <v>PERA - Civilian</v>
      </c>
      <c r="L599" s="338" t="str">
        <f>IFERROR(VLOOKUP(I599,'Chart of accounts'!A:H,4,FALSE),"")</f>
        <v>50102010 01 - PERA - Civilian (711)</v>
      </c>
      <c r="M599" s="361">
        <v>2</v>
      </c>
      <c r="N599" s="355" t="s">
        <v>789</v>
      </c>
      <c r="O599" s="355" t="s">
        <v>1113</v>
      </c>
      <c r="P599" s="355"/>
      <c r="Q599" s="363">
        <v>4000</v>
      </c>
      <c r="R599" s="319">
        <f t="shared" si="10"/>
        <v>-4000</v>
      </c>
      <c r="S599" s="319" t="str">
        <f>VLOOKUP(H599,'Fund Utilization Report'!$A$4:$U$1800,13,FALSE)</f>
        <v>PS</v>
      </c>
      <c r="T599" s="319" t="str">
        <f>VLOOKUP(H599,'Fund Utilization Report'!$A$4:$U$1800,2,FALSE)</f>
        <v>GAA</v>
      </c>
      <c r="U599" s="319" t="str">
        <f>VLOOKUP(H599,'Fund Utilization Report'!$A$4:$U$1800,3,FALSE)</f>
        <v>FY2021, RA11518</v>
      </c>
      <c r="V599" s="319" t="str">
        <f>VLOOKUP(H599,'Fund Utilization Report'!$A$4:$U$1800,4,FALSE)</f>
        <v>GAS(GMS)</v>
      </c>
      <c r="W599" s="319" t="str">
        <f>VLOOKUP(H599,'Fund Utilization Report'!$A$4:$U$1800,5,FALSE)</f>
        <v>01101101</v>
      </c>
      <c r="X599" s="319" t="str">
        <f>VLOOKUP(H599,'Fund Utilization Report'!$A$4:$U$1800,6,FALSE)</f>
        <v>GOP</v>
      </c>
      <c r="Y599" s="320" t="str">
        <f>VLOOKUP(H599,'Fund Utilization Report'!$A$4:$U$1800,7,FALSE)</f>
        <v>PS</v>
      </c>
      <c r="Z599" s="321">
        <f>VLOOKUP(H599,'Fund Utilization Report'!$A$4:$U$1800,8,FALSE)</f>
        <v>5010000000</v>
      </c>
      <c r="AA599" s="319" t="str">
        <f>VLOOKUP(H599,'Fund Utilization Report'!$A$4:$U$1800,14,FALSE)</f>
        <v>100000100001000</v>
      </c>
      <c r="AB599" s="349" t="str">
        <f>VLOOKUP(H599,'Fund Utilization Report'!$A$4:$U$1800,15,FALSE)</f>
        <v>General Administration and Supervision - General Management and Supervision</v>
      </c>
      <c r="AC599" s="39"/>
      <c r="AD599" s="34"/>
      <c r="AE599" s="39"/>
      <c r="AF599" s="51"/>
      <c r="AG599" s="40"/>
      <c r="AH599" s="40"/>
    </row>
    <row r="600" spans="1:34" s="32" customFormat="1" ht="27.6">
      <c r="A600" s="338" t="s">
        <v>942</v>
      </c>
      <c r="B600" s="338" t="s">
        <v>945</v>
      </c>
      <c r="C600" s="358">
        <v>44238</v>
      </c>
      <c r="D600" s="351" t="s">
        <v>1028</v>
      </c>
      <c r="E600" s="352" t="s">
        <v>1159</v>
      </c>
      <c r="F600" s="338">
        <v>0.48194444444444445</v>
      </c>
      <c r="G600" s="338">
        <v>0.4861111111111111</v>
      </c>
      <c r="H600" s="338" t="s">
        <v>962</v>
      </c>
      <c r="I600" s="353">
        <v>731</v>
      </c>
      <c r="J600" s="338" t="str">
        <f>IFERROR(VLOOKUP(I600,'Chart of accounts'!A:H,2,FALSE),"")</f>
        <v>50103010 00</v>
      </c>
      <c r="K600" s="338" t="str">
        <f>IFERROR(VLOOKUP(I600,'Chart of accounts'!A:H,3,FALSE),"")</f>
        <v>Retirement and Life Insurance Premiums</v>
      </c>
      <c r="L600" s="338" t="str">
        <f>IFERROR(VLOOKUP(I600,'Chart of accounts'!A:H,4,FALSE),"")</f>
        <v>50103010 00 - Retirement and Life Insurance Premiums (731)</v>
      </c>
      <c r="M600" s="361">
        <v>2</v>
      </c>
      <c r="N600" s="355" t="s">
        <v>789</v>
      </c>
      <c r="O600" s="355" t="s">
        <v>1113</v>
      </c>
      <c r="P600" s="355"/>
      <c r="Q600" s="363">
        <v>6894.24</v>
      </c>
      <c r="R600" s="319">
        <f t="shared" si="10"/>
        <v>-6894.24</v>
      </c>
      <c r="S600" s="319" t="str">
        <f>VLOOKUP(H600,'Fund Utilization Report'!$A$4:$U$1800,13,FALSE)</f>
        <v>PS</v>
      </c>
      <c r="T600" s="319" t="str">
        <f>VLOOKUP(H600,'Fund Utilization Report'!$A$4:$U$1800,2,FALSE)</f>
        <v>GAA</v>
      </c>
      <c r="U600" s="319" t="str">
        <f>VLOOKUP(H600,'Fund Utilization Report'!$A$4:$U$1800,3,FALSE)</f>
        <v>FY2021, RA11518</v>
      </c>
      <c r="V600" s="319" t="str">
        <f>VLOOKUP(H600,'Fund Utilization Report'!$A$4:$U$1800,4,FALSE)</f>
        <v>GAS(GMS)</v>
      </c>
      <c r="W600" s="319" t="str">
        <f>VLOOKUP(H600,'Fund Utilization Report'!$A$4:$U$1800,5,FALSE)</f>
        <v>01101101</v>
      </c>
      <c r="X600" s="319" t="str">
        <f>VLOOKUP(H600,'Fund Utilization Report'!$A$4:$U$1800,6,FALSE)</f>
        <v>GOP</v>
      </c>
      <c r="Y600" s="320" t="str">
        <f>VLOOKUP(H600,'Fund Utilization Report'!$A$4:$U$1800,7,FALSE)</f>
        <v>RLIP</v>
      </c>
      <c r="Z600" s="321" t="str">
        <f>VLOOKUP(H600,'Fund Utilization Report'!$A$4:$U$1800,8,FALSE)</f>
        <v>50103010-00</v>
      </c>
      <c r="AA600" s="319" t="str">
        <f>VLOOKUP(H600,'Fund Utilization Report'!$A$4:$U$1800,14,FALSE)</f>
        <v>100000100001000</v>
      </c>
      <c r="AB600" s="349" t="str">
        <f>VLOOKUP(H600,'Fund Utilization Report'!$A$4:$U$1800,15,FALSE)</f>
        <v>General Administration and Supervision - General Management and Supervision</v>
      </c>
      <c r="AC600" s="39"/>
      <c r="AD600" s="34"/>
      <c r="AE600" s="39"/>
      <c r="AF600" s="51"/>
      <c r="AG600" s="40"/>
      <c r="AH600" s="40"/>
    </row>
    <row r="601" spans="1:34" s="32" customFormat="1" ht="27.6">
      <c r="A601" s="338" t="s">
        <v>942</v>
      </c>
      <c r="B601" s="338" t="s">
        <v>945</v>
      </c>
      <c r="C601" s="358">
        <v>44238</v>
      </c>
      <c r="D601" s="351" t="s">
        <v>1028</v>
      </c>
      <c r="E601" s="352" t="s">
        <v>1159</v>
      </c>
      <c r="F601" s="338">
        <v>0.48194444444444445</v>
      </c>
      <c r="G601" s="338">
        <v>0.4861111111111111</v>
      </c>
      <c r="H601" s="338" t="s">
        <v>960</v>
      </c>
      <c r="I601" s="353">
        <v>732</v>
      </c>
      <c r="J601" s="338" t="str">
        <f>IFERROR(VLOOKUP(I601,'Chart of accounts'!A:H,2,FALSE),"")</f>
        <v>50103020 01</v>
      </c>
      <c r="K601" s="338" t="str">
        <f>IFERROR(VLOOKUP(I601,'Chart of accounts'!A:H,3,FALSE),"")</f>
        <v>Pag-IBIG - Civilian</v>
      </c>
      <c r="L601" s="338" t="str">
        <f>IFERROR(VLOOKUP(I601,'Chart of accounts'!A:H,4,FALSE),"")</f>
        <v>50103020 01 - Pag-IBIG - Civilian (732)</v>
      </c>
      <c r="M601" s="361">
        <v>2</v>
      </c>
      <c r="N601" s="355" t="s">
        <v>789</v>
      </c>
      <c r="O601" s="355" t="s">
        <v>1113</v>
      </c>
      <c r="P601" s="355"/>
      <c r="Q601" s="363">
        <v>200</v>
      </c>
      <c r="R601" s="319">
        <f t="shared" si="10"/>
        <v>-200</v>
      </c>
      <c r="S601" s="319" t="str">
        <f>VLOOKUP(H601,'Fund Utilization Report'!$A$4:$U$1800,13,FALSE)</f>
        <v>PS</v>
      </c>
      <c r="T601" s="319" t="str">
        <f>VLOOKUP(H601,'Fund Utilization Report'!$A$4:$U$1800,2,FALSE)</f>
        <v>GAA</v>
      </c>
      <c r="U601" s="319" t="str">
        <f>VLOOKUP(H601,'Fund Utilization Report'!$A$4:$U$1800,3,FALSE)</f>
        <v>FY2021, RA11518</v>
      </c>
      <c r="V601" s="319" t="str">
        <f>VLOOKUP(H601,'Fund Utilization Report'!$A$4:$U$1800,4,FALSE)</f>
        <v>GAS(GMS)</v>
      </c>
      <c r="W601" s="319" t="str">
        <f>VLOOKUP(H601,'Fund Utilization Report'!$A$4:$U$1800,5,FALSE)</f>
        <v>01101101</v>
      </c>
      <c r="X601" s="319" t="str">
        <f>VLOOKUP(H601,'Fund Utilization Report'!$A$4:$U$1800,6,FALSE)</f>
        <v>GOP</v>
      </c>
      <c r="Y601" s="320" t="str">
        <f>VLOOKUP(H601,'Fund Utilization Report'!$A$4:$U$1800,7,FALSE)</f>
        <v>PS</v>
      </c>
      <c r="Z601" s="321">
        <f>VLOOKUP(H601,'Fund Utilization Report'!$A$4:$U$1800,8,FALSE)</f>
        <v>5010000000</v>
      </c>
      <c r="AA601" s="319" t="str">
        <f>VLOOKUP(H601,'Fund Utilization Report'!$A$4:$U$1800,14,FALSE)</f>
        <v>100000100001000</v>
      </c>
      <c r="AB601" s="349" t="str">
        <f>VLOOKUP(H601,'Fund Utilization Report'!$A$4:$U$1800,15,FALSE)</f>
        <v>General Administration and Supervision - General Management and Supervision</v>
      </c>
      <c r="AC601" s="39"/>
      <c r="AD601" s="34"/>
      <c r="AE601" s="39"/>
      <c r="AF601" s="51"/>
      <c r="AG601" s="40"/>
      <c r="AH601" s="40"/>
    </row>
    <row r="602" spans="1:34" s="32" customFormat="1" ht="27.6">
      <c r="A602" s="338" t="s">
        <v>942</v>
      </c>
      <c r="B602" s="338" t="s">
        <v>945</v>
      </c>
      <c r="C602" s="358">
        <v>44238</v>
      </c>
      <c r="D602" s="351" t="s">
        <v>1028</v>
      </c>
      <c r="E602" s="352" t="s">
        <v>1159</v>
      </c>
      <c r="F602" s="338">
        <v>0.48194444444444445</v>
      </c>
      <c r="G602" s="338">
        <v>0.4861111111111111</v>
      </c>
      <c r="H602" s="338" t="s">
        <v>960</v>
      </c>
      <c r="I602" s="353">
        <v>733</v>
      </c>
      <c r="J602" s="338" t="str">
        <f>IFERROR(VLOOKUP(I602,'Chart of accounts'!A:H,2,FALSE),"")</f>
        <v>50103030 01</v>
      </c>
      <c r="K602" s="338" t="str">
        <f>IFERROR(VLOOKUP(I602,'Chart of accounts'!A:H,3,FALSE),"")</f>
        <v>PhilHealth - Civilian</v>
      </c>
      <c r="L602" s="338" t="str">
        <f>IFERROR(VLOOKUP(I602,'Chart of accounts'!A:H,4,FALSE),"")</f>
        <v>50103030 01 - PhilHealth - Civilian (733)</v>
      </c>
      <c r="M602" s="361">
        <v>2</v>
      </c>
      <c r="N602" s="355" t="s">
        <v>789</v>
      </c>
      <c r="O602" s="355" t="s">
        <v>1113</v>
      </c>
      <c r="P602" s="355"/>
      <c r="Q602" s="363">
        <v>861.79</v>
      </c>
      <c r="R602" s="319">
        <f t="shared" si="10"/>
        <v>-861.79</v>
      </c>
      <c r="S602" s="319" t="str">
        <f>VLOOKUP(H602,'Fund Utilization Report'!$A$4:$U$1800,13,FALSE)</f>
        <v>PS</v>
      </c>
      <c r="T602" s="319" t="str">
        <f>VLOOKUP(H602,'Fund Utilization Report'!$A$4:$U$1800,2,FALSE)</f>
        <v>GAA</v>
      </c>
      <c r="U602" s="319" t="str">
        <f>VLOOKUP(H602,'Fund Utilization Report'!$A$4:$U$1800,3,FALSE)</f>
        <v>FY2021, RA11518</v>
      </c>
      <c r="V602" s="319" t="str">
        <f>VLOOKUP(H602,'Fund Utilization Report'!$A$4:$U$1800,4,FALSE)</f>
        <v>GAS(GMS)</v>
      </c>
      <c r="W602" s="319" t="str">
        <f>VLOOKUP(H602,'Fund Utilization Report'!$A$4:$U$1800,5,FALSE)</f>
        <v>01101101</v>
      </c>
      <c r="X602" s="319" t="str">
        <f>VLOOKUP(H602,'Fund Utilization Report'!$A$4:$U$1800,6,FALSE)</f>
        <v>GOP</v>
      </c>
      <c r="Y602" s="320" t="str">
        <f>VLOOKUP(H602,'Fund Utilization Report'!$A$4:$U$1800,7,FALSE)</f>
        <v>PS</v>
      </c>
      <c r="Z602" s="321">
        <f>VLOOKUP(H602,'Fund Utilization Report'!$A$4:$U$1800,8,FALSE)</f>
        <v>5010000000</v>
      </c>
      <c r="AA602" s="319" t="str">
        <f>VLOOKUP(H602,'Fund Utilization Report'!$A$4:$U$1800,14,FALSE)</f>
        <v>100000100001000</v>
      </c>
      <c r="AB602" s="349" t="str">
        <f>VLOOKUP(H602,'Fund Utilization Report'!$A$4:$U$1800,15,FALSE)</f>
        <v>General Administration and Supervision - General Management and Supervision</v>
      </c>
      <c r="AC602" s="39"/>
      <c r="AD602" s="34"/>
      <c r="AE602" s="39"/>
      <c r="AF602" s="51"/>
      <c r="AG602" s="40"/>
      <c r="AH602" s="40"/>
    </row>
    <row r="603" spans="1:34" s="32" customFormat="1" ht="27.6">
      <c r="A603" s="338" t="s">
        <v>942</v>
      </c>
      <c r="B603" s="338" t="s">
        <v>945</v>
      </c>
      <c r="C603" s="358">
        <v>44238</v>
      </c>
      <c r="D603" s="351" t="s">
        <v>1028</v>
      </c>
      <c r="E603" s="352" t="s">
        <v>1159</v>
      </c>
      <c r="F603" s="338">
        <v>0.48194444444444445</v>
      </c>
      <c r="G603" s="338">
        <v>0.4861111111111111</v>
      </c>
      <c r="H603" s="338" t="s">
        <v>960</v>
      </c>
      <c r="I603" s="353">
        <v>734</v>
      </c>
      <c r="J603" s="338" t="str">
        <f>IFERROR(VLOOKUP(I603,'Chart of accounts'!A:H,2,FALSE),"")</f>
        <v>50103040 01</v>
      </c>
      <c r="K603" s="338" t="str">
        <f>IFERROR(VLOOKUP(I603,'Chart of accounts'!A:H,3,FALSE),"")</f>
        <v>ECIP - Civilian</v>
      </c>
      <c r="L603" s="338" t="str">
        <f>IFERROR(VLOOKUP(I603,'Chart of accounts'!A:H,4,FALSE),"")</f>
        <v>50103040 01 - ECIP - Civilian (734)</v>
      </c>
      <c r="M603" s="361">
        <v>2</v>
      </c>
      <c r="N603" s="355" t="s">
        <v>789</v>
      </c>
      <c r="O603" s="355" t="s">
        <v>1113</v>
      </c>
      <c r="P603" s="355"/>
      <c r="Q603" s="363">
        <v>200</v>
      </c>
      <c r="R603" s="319">
        <f t="shared" si="10"/>
        <v>-200</v>
      </c>
      <c r="S603" s="319" t="str">
        <f>VLOOKUP(H603,'Fund Utilization Report'!$A$4:$U$1800,13,FALSE)</f>
        <v>PS</v>
      </c>
      <c r="T603" s="319" t="str">
        <f>VLOOKUP(H603,'Fund Utilization Report'!$A$4:$U$1800,2,FALSE)</f>
        <v>GAA</v>
      </c>
      <c r="U603" s="319" t="str">
        <f>VLOOKUP(H603,'Fund Utilization Report'!$A$4:$U$1800,3,FALSE)</f>
        <v>FY2021, RA11518</v>
      </c>
      <c r="V603" s="319" t="str">
        <f>VLOOKUP(H603,'Fund Utilization Report'!$A$4:$U$1800,4,FALSE)</f>
        <v>GAS(GMS)</v>
      </c>
      <c r="W603" s="319" t="str">
        <f>VLOOKUP(H603,'Fund Utilization Report'!$A$4:$U$1800,5,FALSE)</f>
        <v>01101101</v>
      </c>
      <c r="X603" s="319" t="str">
        <f>VLOOKUP(H603,'Fund Utilization Report'!$A$4:$U$1800,6,FALSE)</f>
        <v>GOP</v>
      </c>
      <c r="Y603" s="320" t="str">
        <f>VLOOKUP(H603,'Fund Utilization Report'!$A$4:$U$1800,7,FALSE)</f>
        <v>PS</v>
      </c>
      <c r="Z603" s="321">
        <f>VLOOKUP(H603,'Fund Utilization Report'!$A$4:$U$1800,8,FALSE)</f>
        <v>5010000000</v>
      </c>
      <c r="AA603" s="319" t="str">
        <f>VLOOKUP(H603,'Fund Utilization Report'!$A$4:$U$1800,14,FALSE)</f>
        <v>100000100001000</v>
      </c>
      <c r="AB603" s="349" t="str">
        <f>VLOOKUP(H603,'Fund Utilization Report'!$A$4:$U$1800,15,FALSE)</f>
        <v>General Administration and Supervision - General Management and Supervision</v>
      </c>
      <c r="AC603" s="39"/>
      <c r="AD603" s="34"/>
      <c r="AE603" s="39"/>
      <c r="AF603" s="51"/>
      <c r="AG603" s="40"/>
      <c r="AH603" s="40"/>
    </row>
    <row r="604" spans="1:34" s="32" customFormat="1" ht="27.6">
      <c r="A604" s="338" t="s">
        <v>942</v>
      </c>
      <c r="B604" s="338" t="s">
        <v>945</v>
      </c>
      <c r="C604" s="358">
        <v>44238</v>
      </c>
      <c r="D604" s="351" t="s">
        <v>1028</v>
      </c>
      <c r="E604" s="352" t="s">
        <v>1159</v>
      </c>
      <c r="F604" s="338">
        <v>0.48194444444444445</v>
      </c>
      <c r="G604" s="338">
        <v>0.4861111111111111</v>
      </c>
      <c r="H604" s="338" t="s">
        <v>964</v>
      </c>
      <c r="I604" s="353">
        <v>701</v>
      </c>
      <c r="J604" s="338" t="str">
        <f>IFERROR(VLOOKUP(I604,'Chart of accounts'!A:H,2,FALSE),"")</f>
        <v>50101010 01</v>
      </c>
      <c r="K604" s="338" t="str">
        <f>IFERROR(VLOOKUP(I604,'Chart of accounts'!A:H,3,FALSE),"")</f>
        <v>Basic Salary - Civilian</v>
      </c>
      <c r="L604" s="338" t="str">
        <f>IFERROR(VLOOKUP(I604,'Chart of accounts'!A:H,4,FALSE),"")</f>
        <v>50101010 01 - Basic Salary - Civilian (701)</v>
      </c>
      <c r="M604" s="361">
        <v>2</v>
      </c>
      <c r="N604" s="355" t="s">
        <v>789</v>
      </c>
      <c r="O604" s="355" t="s">
        <v>1113</v>
      </c>
      <c r="P604" s="355"/>
      <c r="Q604" s="363">
        <v>130423</v>
      </c>
      <c r="R604" s="319">
        <f t="shared" si="10"/>
        <v>-130423</v>
      </c>
      <c r="S604" s="319" t="str">
        <f>VLOOKUP(H604,'Fund Utilization Report'!$A$4:$U$1800,13,FALSE)</f>
        <v>PS</v>
      </c>
      <c r="T604" s="319" t="str">
        <f>VLOOKUP(H604,'Fund Utilization Report'!$A$4:$U$1800,2,FALSE)</f>
        <v>GAA</v>
      </c>
      <c r="U604" s="319" t="str">
        <f>VLOOKUP(H604,'Fund Utilization Report'!$A$4:$U$1800,3,FALSE)</f>
        <v>FY2021, RA11518</v>
      </c>
      <c r="V604" s="319" t="str">
        <f>VLOOKUP(H604,'Fund Utilization Report'!$A$4:$U$1800,4,FALSE)</f>
        <v>OO1</v>
      </c>
      <c r="W604" s="319" t="str">
        <f>VLOOKUP(H604,'Fund Utilization Report'!$A$4:$U$1800,5,FALSE)</f>
        <v>01101101</v>
      </c>
      <c r="X604" s="319" t="str">
        <f>VLOOKUP(H604,'Fund Utilization Report'!$A$4:$U$1800,6,FALSE)</f>
        <v>GOP</v>
      </c>
      <c r="Y604" s="320" t="str">
        <f>VLOOKUP(H604,'Fund Utilization Report'!$A$4:$U$1800,7,FALSE)</f>
        <v>PS</v>
      </c>
      <c r="Z604" s="321">
        <f>VLOOKUP(H604,'Fund Utilization Report'!$A$4:$U$1800,8,FALSE)</f>
        <v>5010000000</v>
      </c>
      <c r="AA604" s="319" t="str">
        <f>VLOOKUP(H604,'Fund Utilization Report'!$A$4:$U$1800,14,FALSE)</f>
        <v>310100100002000</v>
      </c>
      <c r="AB604" s="349" t="str">
        <f>VLOOKUP(H604,'Fund Utilization Report'!$A$4:$U$1800,15,FALSE)</f>
        <v>Development,Facilitation, and promotion of exports and investment, domestic and foreign</v>
      </c>
      <c r="AC604" s="39"/>
      <c r="AD604" s="34"/>
      <c r="AE604" s="39"/>
      <c r="AF604" s="51"/>
      <c r="AG604" s="40"/>
      <c r="AH604" s="40"/>
    </row>
    <row r="605" spans="1:34" s="32" customFormat="1" ht="27.6">
      <c r="A605" s="338" t="s">
        <v>942</v>
      </c>
      <c r="B605" s="338" t="s">
        <v>945</v>
      </c>
      <c r="C605" s="358">
        <v>44238</v>
      </c>
      <c r="D605" s="351" t="s">
        <v>1028</v>
      </c>
      <c r="E605" s="352" t="s">
        <v>1159</v>
      </c>
      <c r="F605" s="338">
        <v>0.48194444444444445</v>
      </c>
      <c r="G605" s="338">
        <v>0.4861111111111111</v>
      </c>
      <c r="H605" s="338" t="s">
        <v>964</v>
      </c>
      <c r="I605" s="353">
        <v>711</v>
      </c>
      <c r="J605" s="338" t="str">
        <f>IFERROR(VLOOKUP(I605,'Chart of accounts'!A:H,2,FALSE),"")</f>
        <v>50102010 01</v>
      </c>
      <c r="K605" s="338" t="str">
        <f>IFERROR(VLOOKUP(I605,'Chart of accounts'!A:H,3,FALSE),"")</f>
        <v>PERA - Civilian</v>
      </c>
      <c r="L605" s="338" t="str">
        <f>IFERROR(VLOOKUP(I605,'Chart of accounts'!A:H,4,FALSE),"")</f>
        <v>50102010 01 - PERA - Civilian (711)</v>
      </c>
      <c r="M605" s="361">
        <v>2</v>
      </c>
      <c r="N605" s="355" t="s">
        <v>789</v>
      </c>
      <c r="O605" s="355" t="s">
        <v>1113</v>
      </c>
      <c r="P605" s="355"/>
      <c r="Q605" s="363">
        <v>4000</v>
      </c>
      <c r="R605" s="319">
        <f t="shared" si="10"/>
        <v>-4000</v>
      </c>
      <c r="S605" s="319" t="str">
        <f>VLOOKUP(H605,'Fund Utilization Report'!$A$4:$U$1800,13,FALSE)</f>
        <v>PS</v>
      </c>
      <c r="T605" s="319" t="str">
        <f>VLOOKUP(H605,'Fund Utilization Report'!$A$4:$U$1800,2,FALSE)</f>
        <v>GAA</v>
      </c>
      <c r="U605" s="319" t="str">
        <f>VLOOKUP(H605,'Fund Utilization Report'!$A$4:$U$1800,3,FALSE)</f>
        <v>FY2021, RA11518</v>
      </c>
      <c r="V605" s="319" t="str">
        <f>VLOOKUP(H605,'Fund Utilization Report'!$A$4:$U$1800,4,FALSE)</f>
        <v>OO1</v>
      </c>
      <c r="W605" s="319" t="str">
        <f>VLOOKUP(H605,'Fund Utilization Report'!$A$4:$U$1800,5,FALSE)</f>
        <v>01101101</v>
      </c>
      <c r="X605" s="319" t="str">
        <f>VLOOKUP(H605,'Fund Utilization Report'!$A$4:$U$1800,6,FALSE)</f>
        <v>GOP</v>
      </c>
      <c r="Y605" s="320" t="str">
        <f>VLOOKUP(H605,'Fund Utilization Report'!$A$4:$U$1800,7,FALSE)</f>
        <v>PS</v>
      </c>
      <c r="Z605" s="321">
        <f>VLOOKUP(H605,'Fund Utilization Report'!$A$4:$U$1800,8,FALSE)</f>
        <v>5010000000</v>
      </c>
      <c r="AA605" s="319" t="str">
        <f>VLOOKUP(H605,'Fund Utilization Report'!$A$4:$U$1800,14,FALSE)</f>
        <v>310100100002000</v>
      </c>
      <c r="AB605" s="349" t="str">
        <f>VLOOKUP(H605,'Fund Utilization Report'!$A$4:$U$1800,15,FALSE)</f>
        <v>Development,Facilitation, and promotion of exports and investment, domestic and foreign</v>
      </c>
      <c r="AC605" s="39"/>
      <c r="AD605" s="34"/>
      <c r="AE605" s="39"/>
      <c r="AF605" s="51"/>
      <c r="AG605" s="40"/>
      <c r="AH605" s="40"/>
    </row>
    <row r="606" spans="1:34" s="32" customFormat="1" ht="27.6">
      <c r="A606" s="338" t="s">
        <v>942</v>
      </c>
      <c r="B606" s="338" t="s">
        <v>945</v>
      </c>
      <c r="C606" s="358">
        <v>44238</v>
      </c>
      <c r="D606" s="351" t="s">
        <v>1028</v>
      </c>
      <c r="E606" s="352" t="s">
        <v>1159</v>
      </c>
      <c r="F606" s="338">
        <v>0.48194444444444445</v>
      </c>
      <c r="G606" s="338">
        <v>0.4861111111111111</v>
      </c>
      <c r="H606" s="338" t="s">
        <v>966</v>
      </c>
      <c r="I606" s="353">
        <v>731</v>
      </c>
      <c r="J606" s="338" t="str">
        <f>IFERROR(VLOOKUP(I606,'Chart of accounts'!A:H,2,FALSE),"")</f>
        <v>50103010 00</v>
      </c>
      <c r="K606" s="338" t="str">
        <f>IFERROR(VLOOKUP(I606,'Chart of accounts'!A:H,3,FALSE),"")</f>
        <v>Retirement and Life Insurance Premiums</v>
      </c>
      <c r="L606" s="338" t="str">
        <f>IFERROR(VLOOKUP(I606,'Chart of accounts'!A:H,4,FALSE),"")</f>
        <v>50103010 00 - Retirement and Life Insurance Premiums (731)</v>
      </c>
      <c r="M606" s="361">
        <v>2</v>
      </c>
      <c r="N606" s="355" t="s">
        <v>789</v>
      </c>
      <c r="O606" s="355" t="s">
        <v>1113</v>
      </c>
      <c r="P606" s="355"/>
      <c r="Q606" s="363">
        <v>15650.76</v>
      </c>
      <c r="R606" s="319">
        <f t="shared" si="10"/>
        <v>-15650.76</v>
      </c>
      <c r="S606" s="319" t="str">
        <f>VLOOKUP(H606,'Fund Utilization Report'!$A$4:$U$1800,13,FALSE)</f>
        <v>PS</v>
      </c>
      <c r="T606" s="319" t="str">
        <f>VLOOKUP(H606,'Fund Utilization Report'!$A$4:$U$1800,2,FALSE)</f>
        <v>GAA</v>
      </c>
      <c r="U606" s="319" t="str">
        <f>VLOOKUP(H606,'Fund Utilization Report'!$A$4:$U$1800,3,FALSE)</f>
        <v>FY2021, RA11518</v>
      </c>
      <c r="V606" s="319" t="str">
        <f>VLOOKUP(H606,'Fund Utilization Report'!$A$4:$U$1800,4,FALSE)</f>
        <v>OO1</v>
      </c>
      <c r="W606" s="319" t="str">
        <f>VLOOKUP(H606,'Fund Utilization Report'!$A$4:$U$1800,5,FALSE)</f>
        <v>01101101</v>
      </c>
      <c r="X606" s="319" t="str">
        <f>VLOOKUP(H606,'Fund Utilization Report'!$A$4:$U$1800,6,FALSE)</f>
        <v>GOP</v>
      </c>
      <c r="Y606" s="320" t="str">
        <f>VLOOKUP(H606,'Fund Utilization Report'!$A$4:$U$1800,7,FALSE)</f>
        <v>RLIP</v>
      </c>
      <c r="Z606" s="321" t="str">
        <f>VLOOKUP(H606,'Fund Utilization Report'!$A$4:$U$1800,8,FALSE)</f>
        <v>50103010-00</v>
      </c>
      <c r="AA606" s="319" t="str">
        <f>VLOOKUP(H606,'Fund Utilization Report'!$A$4:$U$1800,14,FALSE)</f>
        <v>310100100002000</v>
      </c>
      <c r="AB606" s="349" t="str">
        <f>VLOOKUP(H606,'Fund Utilization Report'!$A$4:$U$1800,15,FALSE)</f>
        <v>Development,Facilitation, and promotion of exports and investment, domestic and foreign</v>
      </c>
      <c r="AC606" s="39"/>
      <c r="AD606" s="34"/>
      <c r="AE606" s="39"/>
      <c r="AF606" s="51"/>
      <c r="AG606" s="40"/>
      <c r="AH606" s="40"/>
    </row>
    <row r="607" spans="1:34" s="32" customFormat="1" ht="27.6">
      <c r="A607" s="338" t="s">
        <v>942</v>
      </c>
      <c r="B607" s="338" t="s">
        <v>945</v>
      </c>
      <c r="C607" s="358">
        <v>44238</v>
      </c>
      <c r="D607" s="351" t="s">
        <v>1028</v>
      </c>
      <c r="E607" s="352" t="s">
        <v>1159</v>
      </c>
      <c r="F607" s="338">
        <v>0.48194444444444445</v>
      </c>
      <c r="G607" s="338">
        <v>0.4861111111111111</v>
      </c>
      <c r="H607" s="338" t="s">
        <v>964</v>
      </c>
      <c r="I607" s="353">
        <v>732</v>
      </c>
      <c r="J607" s="338" t="str">
        <f>IFERROR(VLOOKUP(I607,'Chart of accounts'!A:H,2,FALSE),"")</f>
        <v>50103020 01</v>
      </c>
      <c r="K607" s="338" t="str">
        <f>IFERROR(VLOOKUP(I607,'Chart of accounts'!A:H,3,FALSE),"")</f>
        <v>Pag-IBIG - Civilian</v>
      </c>
      <c r="L607" s="338" t="str">
        <f>IFERROR(VLOOKUP(I607,'Chart of accounts'!A:H,4,FALSE),"")</f>
        <v>50103020 01 - Pag-IBIG - Civilian (732)</v>
      </c>
      <c r="M607" s="361">
        <v>2</v>
      </c>
      <c r="N607" s="355" t="s">
        <v>789</v>
      </c>
      <c r="O607" s="355" t="s">
        <v>1113</v>
      </c>
      <c r="P607" s="355"/>
      <c r="Q607" s="363">
        <v>200</v>
      </c>
      <c r="R607" s="319">
        <f t="shared" si="10"/>
        <v>-200</v>
      </c>
      <c r="S607" s="319" t="str">
        <f>VLOOKUP(H607,'Fund Utilization Report'!$A$4:$U$1800,13,FALSE)</f>
        <v>PS</v>
      </c>
      <c r="T607" s="319" t="str">
        <f>VLOOKUP(H607,'Fund Utilization Report'!$A$4:$U$1800,2,FALSE)</f>
        <v>GAA</v>
      </c>
      <c r="U607" s="319" t="str">
        <f>VLOOKUP(H607,'Fund Utilization Report'!$A$4:$U$1800,3,FALSE)</f>
        <v>FY2021, RA11518</v>
      </c>
      <c r="V607" s="319" t="str">
        <f>VLOOKUP(H607,'Fund Utilization Report'!$A$4:$U$1800,4,FALSE)</f>
        <v>OO1</v>
      </c>
      <c r="W607" s="319" t="str">
        <f>VLOOKUP(H607,'Fund Utilization Report'!$A$4:$U$1800,5,FALSE)</f>
        <v>01101101</v>
      </c>
      <c r="X607" s="319" t="str">
        <f>VLOOKUP(H607,'Fund Utilization Report'!$A$4:$U$1800,6,FALSE)</f>
        <v>GOP</v>
      </c>
      <c r="Y607" s="320" t="str">
        <f>VLOOKUP(H607,'Fund Utilization Report'!$A$4:$U$1800,7,FALSE)</f>
        <v>PS</v>
      </c>
      <c r="Z607" s="321">
        <f>VLOOKUP(H607,'Fund Utilization Report'!$A$4:$U$1800,8,FALSE)</f>
        <v>5010000000</v>
      </c>
      <c r="AA607" s="319" t="str">
        <f>VLOOKUP(H607,'Fund Utilization Report'!$A$4:$U$1800,14,FALSE)</f>
        <v>310100100002000</v>
      </c>
      <c r="AB607" s="349" t="str">
        <f>VLOOKUP(H607,'Fund Utilization Report'!$A$4:$U$1800,15,FALSE)</f>
        <v>Development,Facilitation, and promotion of exports and investment, domestic and foreign</v>
      </c>
      <c r="AC607" s="39"/>
      <c r="AD607" s="34"/>
      <c r="AE607" s="39"/>
      <c r="AF607" s="51"/>
      <c r="AG607" s="40"/>
      <c r="AH607" s="40"/>
    </row>
    <row r="608" spans="1:34" s="32" customFormat="1" ht="27.6">
      <c r="A608" s="338" t="s">
        <v>942</v>
      </c>
      <c r="B608" s="338" t="s">
        <v>945</v>
      </c>
      <c r="C608" s="358">
        <v>44238</v>
      </c>
      <c r="D608" s="351" t="s">
        <v>1028</v>
      </c>
      <c r="E608" s="352" t="s">
        <v>1159</v>
      </c>
      <c r="F608" s="338">
        <v>0.48194444444444445</v>
      </c>
      <c r="G608" s="338">
        <v>0.4861111111111111</v>
      </c>
      <c r="H608" s="338" t="s">
        <v>964</v>
      </c>
      <c r="I608" s="353">
        <v>733</v>
      </c>
      <c r="J608" s="338" t="str">
        <f>IFERROR(VLOOKUP(I608,'Chart of accounts'!A:H,2,FALSE),"")</f>
        <v>50103030 01</v>
      </c>
      <c r="K608" s="338" t="str">
        <f>IFERROR(VLOOKUP(I608,'Chart of accounts'!A:H,3,FALSE),"")</f>
        <v>PhilHealth - Civilian</v>
      </c>
      <c r="L608" s="338" t="str">
        <f>IFERROR(VLOOKUP(I608,'Chart of accounts'!A:H,4,FALSE),"")</f>
        <v>50103030 01 - PhilHealth - Civilian (733)</v>
      </c>
      <c r="M608" s="361">
        <v>2</v>
      </c>
      <c r="N608" s="355" t="s">
        <v>789</v>
      </c>
      <c r="O608" s="355" t="s">
        <v>1113</v>
      </c>
      <c r="P608" s="355"/>
      <c r="Q608" s="363">
        <v>1555.22</v>
      </c>
      <c r="R608" s="319">
        <f t="shared" si="10"/>
        <v>-1555.22</v>
      </c>
      <c r="S608" s="319" t="str">
        <f>VLOOKUP(H608,'Fund Utilization Report'!$A$4:$U$1800,13,FALSE)</f>
        <v>PS</v>
      </c>
      <c r="T608" s="319" t="str">
        <f>VLOOKUP(H608,'Fund Utilization Report'!$A$4:$U$1800,2,FALSE)</f>
        <v>GAA</v>
      </c>
      <c r="U608" s="319" t="str">
        <f>VLOOKUP(H608,'Fund Utilization Report'!$A$4:$U$1800,3,FALSE)</f>
        <v>FY2021, RA11518</v>
      </c>
      <c r="V608" s="319" t="str">
        <f>VLOOKUP(H608,'Fund Utilization Report'!$A$4:$U$1800,4,FALSE)</f>
        <v>OO1</v>
      </c>
      <c r="W608" s="319" t="str">
        <f>VLOOKUP(H608,'Fund Utilization Report'!$A$4:$U$1800,5,FALSE)</f>
        <v>01101101</v>
      </c>
      <c r="X608" s="319" t="str">
        <f>VLOOKUP(H608,'Fund Utilization Report'!$A$4:$U$1800,6,FALSE)</f>
        <v>GOP</v>
      </c>
      <c r="Y608" s="320" t="str">
        <f>VLOOKUP(H608,'Fund Utilization Report'!$A$4:$U$1800,7,FALSE)</f>
        <v>PS</v>
      </c>
      <c r="Z608" s="321">
        <f>VLOOKUP(H608,'Fund Utilization Report'!$A$4:$U$1800,8,FALSE)</f>
        <v>5010000000</v>
      </c>
      <c r="AA608" s="319" t="str">
        <f>VLOOKUP(H608,'Fund Utilization Report'!$A$4:$U$1800,14,FALSE)</f>
        <v>310100100002000</v>
      </c>
      <c r="AB608" s="349" t="str">
        <f>VLOOKUP(H608,'Fund Utilization Report'!$A$4:$U$1800,15,FALSE)</f>
        <v>Development,Facilitation, and promotion of exports and investment, domestic and foreign</v>
      </c>
      <c r="AC608" s="39"/>
      <c r="AD608" s="34"/>
      <c r="AE608" s="39"/>
      <c r="AF608" s="51"/>
      <c r="AG608" s="40"/>
      <c r="AH608" s="40"/>
    </row>
    <row r="609" spans="1:34" s="32" customFormat="1" ht="27.6">
      <c r="A609" s="338" t="s">
        <v>942</v>
      </c>
      <c r="B609" s="338" t="s">
        <v>945</v>
      </c>
      <c r="C609" s="358">
        <v>44238</v>
      </c>
      <c r="D609" s="351" t="s">
        <v>1028</v>
      </c>
      <c r="E609" s="352" t="s">
        <v>1159</v>
      </c>
      <c r="F609" s="338">
        <v>0.48194444444444445</v>
      </c>
      <c r="G609" s="338">
        <v>0.4861111111111111</v>
      </c>
      <c r="H609" s="338" t="s">
        <v>964</v>
      </c>
      <c r="I609" s="353">
        <v>734</v>
      </c>
      <c r="J609" s="338" t="str">
        <f>IFERROR(VLOOKUP(I609,'Chart of accounts'!A:H,2,FALSE),"")</f>
        <v>50103040 01</v>
      </c>
      <c r="K609" s="338" t="str">
        <f>IFERROR(VLOOKUP(I609,'Chart of accounts'!A:H,3,FALSE),"")</f>
        <v>ECIP - Civilian</v>
      </c>
      <c r="L609" s="338" t="str">
        <f>IFERROR(VLOOKUP(I609,'Chart of accounts'!A:H,4,FALSE),"")</f>
        <v>50103040 01 - ECIP - Civilian (734)</v>
      </c>
      <c r="M609" s="361">
        <v>2</v>
      </c>
      <c r="N609" s="355" t="s">
        <v>789</v>
      </c>
      <c r="O609" s="355" t="s">
        <v>1113</v>
      </c>
      <c r="P609" s="355"/>
      <c r="Q609" s="363">
        <v>200</v>
      </c>
      <c r="R609" s="319">
        <f t="shared" si="10"/>
        <v>-200</v>
      </c>
      <c r="S609" s="319" t="str">
        <f>VLOOKUP(H609,'Fund Utilization Report'!$A$4:$U$1800,13,FALSE)</f>
        <v>PS</v>
      </c>
      <c r="T609" s="319" t="str">
        <f>VLOOKUP(H609,'Fund Utilization Report'!$A$4:$U$1800,2,FALSE)</f>
        <v>GAA</v>
      </c>
      <c r="U609" s="319" t="str">
        <f>VLOOKUP(H609,'Fund Utilization Report'!$A$4:$U$1800,3,FALSE)</f>
        <v>FY2021, RA11518</v>
      </c>
      <c r="V609" s="319" t="str">
        <f>VLOOKUP(H609,'Fund Utilization Report'!$A$4:$U$1800,4,FALSE)</f>
        <v>OO1</v>
      </c>
      <c r="W609" s="319" t="str">
        <f>VLOOKUP(H609,'Fund Utilization Report'!$A$4:$U$1800,5,FALSE)</f>
        <v>01101101</v>
      </c>
      <c r="X609" s="319" t="str">
        <f>VLOOKUP(H609,'Fund Utilization Report'!$A$4:$U$1800,6,FALSE)</f>
        <v>GOP</v>
      </c>
      <c r="Y609" s="320" t="str">
        <f>VLOOKUP(H609,'Fund Utilization Report'!$A$4:$U$1800,7,FALSE)</f>
        <v>PS</v>
      </c>
      <c r="Z609" s="321">
        <f>VLOOKUP(H609,'Fund Utilization Report'!$A$4:$U$1800,8,FALSE)</f>
        <v>5010000000</v>
      </c>
      <c r="AA609" s="319" t="str">
        <f>VLOOKUP(H609,'Fund Utilization Report'!$A$4:$U$1800,14,FALSE)</f>
        <v>310100100002000</v>
      </c>
      <c r="AB609" s="349" t="str">
        <f>VLOOKUP(H609,'Fund Utilization Report'!$A$4:$U$1800,15,FALSE)</f>
        <v>Development,Facilitation, and promotion of exports and investment, domestic and foreign</v>
      </c>
      <c r="AC609" s="39"/>
      <c r="AD609" s="34"/>
      <c r="AE609" s="39"/>
      <c r="AF609" s="51"/>
      <c r="AG609" s="40"/>
      <c r="AH609" s="40"/>
    </row>
    <row r="610" spans="1:34" s="32" customFormat="1" ht="27.6">
      <c r="A610" s="338" t="s">
        <v>942</v>
      </c>
      <c r="B610" s="338" t="s">
        <v>945</v>
      </c>
      <c r="C610" s="358">
        <v>44238</v>
      </c>
      <c r="D610" s="351" t="s">
        <v>1028</v>
      </c>
      <c r="E610" s="352" t="s">
        <v>1159</v>
      </c>
      <c r="F610" s="338">
        <v>0.48194444444444445</v>
      </c>
      <c r="G610" s="338">
        <v>0.4861111111111111</v>
      </c>
      <c r="H610" s="338" t="s">
        <v>967</v>
      </c>
      <c r="I610" s="353">
        <v>701</v>
      </c>
      <c r="J610" s="338" t="str">
        <f>IFERROR(VLOOKUP(I610,'Chart of accounts'!A:H,2,FALSE),"")</f>
        <v>50101010 01</v>
      </c>
      <c r="K610" s="338" t="str">
        <f>IFERROR(VLOOKUP(I610,'Chart of accounts'!A:H,3,FALSE),"")</f>
        <v>Basic Salary - Civilian</v>
      </c>
      <c r="L610" s="338" t="str">
        <f>IFERROR(VLOOKUP(I610,'Chart of accounts'!A:H,4,FALSE),"")</f>
        <v>50101010 01 - Basic Salary - Civilian (701)</v>
      </c>
      <c r="M610" s="361">
        <v>2</v>
      </c>
      <c r="N610" s="355" t="s">
        <v>789</v>
      </c>
      <c r="O610" s="355" t="s">
        <v>1113</v>
      </c>
      <c r="P610" s="355"/>
      <c r="Q610" s="363">
        <v>111742</v>
      </c>
      <c r="R610" s="319">
        <f t="shared" si="10"/>
        <v>-111742</v>
      </c>
      <c r="S610" s="319" t="str">
        <f>VLOOKUP(H610,'Fund Utilization Report'!$A$4:$U$1800,13,FALSE)</f>
        <v>PS</v>
      </c>
      <c r="T610" s="319" t="str">
        <f>VLOOKUP(H610,'Fund Utilization Report'!$A$4:$U$1800,2,FALSE)</f>
        <v>GAA</v>
      </c>
      <c r="U610" s="319" t="str">
        <f>VLOOKUP(H610,'Fund Utilization Report'!$A$4:$U$1800,3,FALSE)</f>
        <v>FY2021, RA11518</v>
      </c>
      <c r="V610" s="319" t="str">
        <f>VLOOKUP(H610,'Fund Utilization Report'!$A$4:$U$1800,4,FALSE)</f>
        <v>OO2</v>
      </c>
      <c r="W610" s="319" t="str">
        <f>VLOOKUP(H610,'Fund Utilization Report'!$A$4:$U$1800,5,FALSE)</f>
        <v>01101101</v>
      </c>
      <c r="X610" s="319" t="str">
        <f>VLOOKUP(H610,'Fund Utilization Report'!$A$4:$U$1800,6,FALSE)</f>
        <v>GOP</v>
      </c>
      <c r="Y610" s="320" t="str">
        <f>VLOOKUP(H610,'Fund Utilization Report'!$A$4:$U$1800,7,FALSE)</f>
        <v>PS</v>
      </c>
      <c r="Z610" s="321">
        <f>VLOOKUP(H610,'Fund Utilization Report'!$A$4:$U$1800,8,FALSE)</f>
        <v>5010000000</v>
      </c>
      <c r="AA610" s="319" t="str">
        <f>VLOOKUP(H610,'Fund Utilization Report'!$A$4:$U$1800,14,FALSE)</f>
        <v>320100100001000</v>
      </c>
      <c r="AB610" s="349" t="str">
        <f>VLOOKUP(H610,'Fund Utilization Report'!$A$4:$U$1800,15,FALSE)</f>
        <v>Formulation of Strategic plans,programs, and policies to develop competitve industries</v>
      </c>
      <c r="AC610" s="39"/>
      <c r="AD610" s="34"/>
      <c r="AE610" s="39"/>
      <c r="AF610" s="51"/>
      <c r="AG610" s="40"/>
      <c r="AH610" s="40"/>
    </row>
    <row r="611" spans="1:34" s="32" customFormat="1" ht="27.6">
      <c r="A611" s="338" t="s">
        <v>942</v>
      </c>
      <c r="B611" s="338" t="s">
        <v>945</v>
      </c>
      <c r="C611" s="358">
        <v>44238</v>
      </c>
      <c r="D611" s="351" t="s">
        <v>1028</v>
      </c>
      <c r="E611" s="352" t="s">
        <v>1159</v>
      </c>
      <c r="F611" s="338">
        <v>0.48194444444444445</v>
      </c>
      <c r="G611" s="338">
        <v>0.4861111111111111</v>
      </c>
      <c r="H611" s="338" t="s">
        <v>967</v>
      </c>
      <c r="I611" s="353">
        <v>711</v>
      </c>
      <c r="J611" s="338" t="str">
        <f>IFERROR(VLOOKUP(I611,'Chart of accounts'!A:H,2,FALSE),"")</f>
        <v>50102010 01</v>
      </c>
      <c r="K611" s="338" t="str">
        <f>IFERROR(VLOOKUP(I611,'Chart of accounts'!A:H,3,FALSE),"")</f>
        <v>PERA - Civilian</v>
      </c>
      <c r="L611" s="338" t="str">
        <f>IFERROR(VLOOKUP(I611,'Chart of accounts'!A:H,4,FALSE),"")</f>
        <v>50102010 01 - PERA - Civilian (711)</v>
      </c>
      <c r="M611" s="361">
        <v>2</v>
      </c>
      <c r="N611" s="355" t="s">
        <v>789</v>
      </c>
      <c r="O611" s="355" t="s">
        <v>1113</v>
      </c>
      <c r="P611" s="355"/>
      <c r="Q611" s="363">
        <v>2000</v>
      </c>
      <c r="R611" s="319">
        <f t="shared" si="10"/>
        <v>-2000</v>
      </c>
      <c r="S611" s="319" t="str">
        <f>VLOOKUP(H611,'Fund Utilization Report'!$A$4:$U$1800,13,FALSE)</f>
        <v>PS</v>
      </c>
      <c r="T611" s="319" t="str">
        <f>VLOOKUP(H611,'Fund Utilization Report'!$A$4:$U$1800,2,FALSE)</f>
        <v>GAA</v>
      </c>
      <c r="U611" s="319" t="str">
        <f>VLOOKUP(H611,'Fund Utilization Report'!$A$4:$U$1800,3,FALSE)</f>
        <v>FY2021, RA11518</v>
      </c>
      <c r="V611" s="319" t="str">
        <f>VLOOKUP(H611,'Fund Utilization Report'!$A$4:$U$1800,4,FALSE)</f>
        <v>OO2</v>
      </c>
      <c r="W611" s="319" t="str">
        <f>VLOOKUP(H611,'Fund Utilization Report'!$A$4:$U$1800,5,FALSE)</f>
        <v>01101101</v>
      </c>
      <c r="X611" s="319" t="str">
        <f>VLOOKUP(H611,'Fund Utilization Report'!$A$4:$U$1800,6,FALSE)</f>
        <v>GOP</v>
      </c>
      <c r="Y611" s="320" t="str">
        <f>VLOOKUP(H611,'Fund Utilization Report'!$A$4:$U$1800,7,FALSE)</f>
        <v>PS</v>
      </c>
      <c r="Z611" s="321">
        <f>VLOOKUP(H611,'Fund Utilization Report'!$A$4:$U$1800,8,FALSE)</f>
        <v>5010000000</v>
      </c>
      <c r="AA611" s="319" t="str">
        <f>VLOOKUP(H611,'Fund Utilization Report'!$A$4:$U$1800,14,FALSE)</f>
        <v>320100100001000</v>
      </c>
      <c r="AB611" s="349" t="str">
        <f>VLOOKUP(H611,'Fund Utilization Report'!$A$4:$U$1800,15,FALSE)</f>
        <v>Formulation of Strategic plans,programs, and policies to develop competitve industries</v>
      </c>
      <c r="AC611" s="39"/>
      <c r="AD611" s="34"/>
      <c r="AE611" s="39"/>
      <c r="AF611" s="51"/>
      <c r="AG611" s="40"/>
      <c r="AH611" s="40"/>
    </row>
    <row r="612" spans="1:34" s="32" customFormat="1" ht="27.6">
      <c r="A612" s="338" t="s">
        <v>942</v>
      </c>
      <c r="B612" s="338" t="s">
        <v>945</v>
      </c>
      <c r="C612" s="358">
        <v>44238</v>
      </c>
      <c r="D612" s="351" t="s">
        <v>1028</v>
      </c>
      <c r="E612" s="352" t="s">
        <v>1159</v>
      </c>
      <c r="F612" s="338">
        <v>0.48194444444444445</v>
      </c>
      <c r="G612" s="338">
        <v>0.4861111111111111</v>
      </c>
      <c r="H612" s="338" t="s">
        <v>969</v>
      </c>
      <c r="I612" s="353">
        <v>731</v>
      </c>
      <c r="J612" s="338" t="str">
        <f>IFERROR(VLOOKUP(I612,'Chart of accounts'!A:H,2,FALSE),"")</f>
        <v>50103010 00</v>
      </c>
      <c r="K612" s="338" t="str">
        <f>IFERROR(VLOOKUP(I612,'Chart of accounts'!A:H,3,FALSE),"")</f>
        <v>Retirement and Life Insurance Premiums</v>
      </c>
      <c r="L612" s="338" t="str">
        <f>IFERROR(VLOOKUP(I612,'Chart of accounts'!A:H,4,FALSE),"")</f>
        <v>50103010 00 - Retirement and Life Insurance Premiums (731)</v>
      </c>
      <c r="M612" s="361">
        <v>2</v>
      </c>
      <c r="N612" s="355" t="s">
        <v>789</v>
      </c>
      <c r="O612" s="355" t="s">
        <v>1113</v>
      </c>
      <c r="P612" s="355"/>
      <c r="Q612" s="363">
        <v>13409.04</v>
      </c>
      <c r="R612" s="319">
        <f t="shared" si="10"/>
        <v>-13409.04</v>
      </c>
      <c r="S612" s="319" t="str">
        <f>VLOOKUP(H612,'Fund Utilization Report'!$A$4:$U$1800,13,FALSE)</f>
        <v>PS</v>
      </c>
      <c r="T612" s="319" t="str">
        <f>VLOOKUP(H612,'Fund Utilization Report'!$A$4:$U$1800,2,FALSE)</f>
        <v>GAA</v>
      </c>
      <c r="U612" s="319" t="str">
        <f>VLOOKUP(H612,'Fund Utilization Report'!$A$4:$U$1800,3,FALSE)</f>
        <v>FY2021, RA11518</v>
      </c>
      <c r="V612" s="319" t="str">
        <f>VLOOKUP(H612,'Fund Utilization Report'!$A$4:$U$1800,4,FALSE)</f>
        <v>OO2</v>
      </c>
      <c r="W612" s="319" t="str">
        <f>VLOOKUP(H612,'Fund Utilization Report'!$A$4:$U$1800,5,FALSE)</f>
        <v>01101101</v>
      </c>
      <c r="X612" s="319" t="str">
        <f>VLOOKUP(H612,'Fund Utilization Report'!$A$4:$U$1800,6,FALSE)</f>
        <v>GOP</v>
      </c>
      <c r="Y612" s="320" t="str">
        <f>VLOOKUP(H612,'Fund Utilization Report'!$A$4:$U$1800,7,FALSE)</f>
        <v>RLIP</v>
      </c>
      <c r="Z612" s="321" t="str">
        <f>VLOOKUP(H612,'Fund Utilization Report'!$A$4:$U$1800,8,FALSE)</f>
        <v>50103010-00</v>
      </c>
      <c r="AA612" s="319" t="str">
        <f>VLOOKUP(H612,'Fund Utilization Report'!$A$4:$U$1800,14,FALSE)</f>
        <v>320100100001000</v>
      </c>
      <c r="AB612" s="349" t="str">
        <f>VLOOKUP(H612,'Fund Utilization Report'!$A$4:$U$1800,15,FALSE)</f>
        <v>Formulation of Strategic plans,programs, and policies to develop competitve industries</v>
      </c>
      <c r="AC612" s="39"/>
      <c r="AD612" s="34"/>
      <c r="AE612" s="39"/>
      <c r="AF612" s="51"/>
      <c r="AG612" s="40"/>
      <c r="AH612" s="40"/>
    </row>
    <row r="613" spans="1:34" s="32" customFormat="1" ht="27.6">
      <c r="A613" s="338" t="s">
        <v>942</v>
      </c>
      <c r="B613" s="338" t="s">
        <v>945</v>
      </c>
      <c r="C613" s="358">
        <v>44238</v>
      </c>
      <c r="D613" s="351" t="s">
        <v>1028</v>
      </c>
      <c r="E613" s="352" t="s">
        <v>1159</v>
      </c>
      <c r="F613" s="338">
        <v>0.48194444444444445</v>
      </c>
      <c r="G613" s="338">
        <v>0.4861111111111111</v>
      </c>
      <c r="H613" s="338" t="s">
        <v>967</v>
      </c>
      <c r="I613" s="353">
        <v>732</v>
      </c>
      <c r="J613" s="338" t="str">
        <f>IFERROR(VLOOKUP(I613,'Chart of accounts'!A:H,2,FALSE),"")</f>
        <v>50103020 01</v>
      </c>
      <c r="K613" s="338" t="str">
        <f>IFERROR(VLOOKUP(I613,'Chart of accounts'!A:H,3,FALSE),"")</f>
        <v>Pag-IBIG - Civilian</v>
      </c>
      <c r="L613" s="338" t="str">
        <f>IFERROR(VLOOKUP(I613,'Chart of accounts'!A:H,4,FALSE),"")</f>
        <v>50103020 01 - Pag-IBIG - Civilian (732)</v>
      </c>
      <c r="M613" s="361">
        <v>2</v>
      </c>
      <c r="N613" s="355" t="s">
        <v>789</v>
      </c>
      <c r="O613" s="355" t="s">
        <v>1113</v>
      </c>
      <c r="P613" s="355"/>
      <c r="Q613" s="363">
        <v>100</v>
      </c>
      <c r="R613" s="319">
        <f t="shared" si="10"/>
        <v>-100</v>
      </c>
      <c r="S613" s="319" t="str">
        <f>VLOOKUP(H613,'Fund Utilization Report'!$A$4:$U$1800,13,FALSE)</f>
        <v>PS</v>
      </c>
      <c r="T613" s="319" t="str">
        <f>VLOOKUP(H613,'Fund Utilization Report'!$A$4:$U$1800,2,FALSE)</f>
        <v>GAA</v>
      </c>
      <c r="U613" s="319" t="str">
        <f>VLOOKUP(H613,'Fund Utilization Report'!$A$4:$U$1800,3,FALSE)</f>
        <v>FY2021, RA11518</v>
      </c>
      <c r="V613" s="319" t="str">
        <f>VLOOKUP(H613,'Fund Utilization Report'!$A$4:$U$1800,4,FALSE)</f>
        <v>OO2</v>
      </c>
      <c r="W613" s="319" t="str">
        <f>VLOOKUP(H613,'Fund Utilization Report'!$A$4:$U$1800,5,FALSE)</f>
        <v>01101101</v>
      </c>
      <c r="X613" s="319" t="str">
        <f>VLOOKUP(H613,'Fund Utilization Report'!$A$4:$U$1800,6,FALSE)</f>
        <v>GOP</v>
      </c>
      <c r="Y613" s="320" t="str">
        <f>VLOOKUP(H613,'Fund Utilization Report'!$A$4:$U$1800,7,FALSE)</f>
        <v>PS</v>
      </c>
      <c r="Z613" s="321">
        <f>VLOOKUP(H613,'Fund Utilization Report'!$A$4:$U$1800,8,FALSE)</f>
        <v>5010000000</v>
      </c>
      <c r="AA613" s="319" t="str">
        <f>VLOOKUP(H613,'Fund Utilization Report'!$A$4:$U$1800,14,FALSE)</f>
        <v>320100100001000</v>
      </c>
      <c r="AB613" s="349" t="str">
        <f>VLOOKUP(H613,'Fund Utilization Report'!$A$4:$U$1800,15,FALSE)</f>
        <v>Formulation of Strategic plans,programs, and policies to develop competitve industries</v>
      </c>
      <c r="AC613" s="39"/>
      <c r="AD613" s="34"/>
      <c r="AE613" s="39"/>
      <c r="AF613" s="51"/>
      <c r="AG613" s="40"/>
      <c r="AH613" s="40"/>
    </row>
    <row r="614" spans="1:34" s="32" customFormat="1" ht="27.6">
      <c r="A614" s="338" t="s">
        <v>942</v>
      </c>
      <c r="B614" s="338" t="s">
        <v>945</v>
      </c>
      <c r="C614" s="358">
        <v>44238</v>
      </c>
      <c r="D614" s="351" t="s">
        <v>1028</v>
      </c>
      <c r="E614" s="352" t="s">
        <v>1159</v>
      </c>
      <c r="F614" s="338">
        <v>0.48194444444444445</v>
      </c>
      <c r="G614" s="338">
        <v>0.4861111111111111</v>
      </c>
      <c r="H614" s="338" t="s">
        <v>967</v>
      </c>
      <c r="I614" s="353">
        <v>733</v>
      </c>
      <c r="J614" s="338" t="str">
        <f>IFERROR(VLOOKUP(I614,'Chart of accounts'!A:H,2,FALSE),"")</f>
        <v>50103030 01</v>
      </c>
      <c r="K614" s="338" t="str">
        <f>IFERROR(VLOOKUP(I614,'Chart of accounts'!A:H,3,FALSE),"")</f>
        <v>PhilHealth - Civilian</v>
      </c>
      <c r="L614" s="338" t="str">
        <f>IFERROR(VLOOKUP(I614,'Chart of accounts'!A:H,4,FALSE),"")</f>
        <v>50103030 01 - PhilHealth - Civilian (733)</v>
      </c>
      <c r="M614" s="361">
        <v>2</v>
      </c>
      <c r="N614" s="355" t="s">
        <v>789</v>
      </c>
      <c r="O614" s="355" t="s">
        <v>1113</v>
      </c>
      <c r="P614" s="355"/>
      <c r="Q614" s="363">
        <v>900</v>
      </c>
      <c r="R614" s="319">
        <f t="shared" si="10"/>
        <v>-900</v>
      </c>
      <c r="S614" s="319" t="str">
        <f>VLOOKUP(H614,'Fund Utilization Report'!$A$4:$U$1800,13,FALSE)</f>
        <v>PS</v>
      </c>
      <c r="T614" s="319" t="str">
        <f>VLOOKUP(H614,'Fund Utilization Report'!$A$4:$U$1800,2,FALSE)</f>
        <v>GAA</v>
      </c>
      <c r="U614" s="319" t="str">
        <f>VLOOKUP(H614,'Fund Utilization Report'!$A$4:$U$1800,3,FALSE)</f>
        <v>FY2021, RA11518</v>
      </c>
      <c r="V614" s="319" t="str">
        <f>VLOOKUP(H614,'Fund Utilization Report'!$A$4:$U$1800,4,FALSE)</f>
        <v>OO2</v>
      </c>
      <c r="W614" s="319" t="str">
        <f>VLOOKUP(H614,'Fund Utilization Report'!$A$4:$U$1800,5,FALSE)</f>
        <v>01101101</v>
      </c>
      <c r="X614" s="319" t="str">
        <f>VLOOKUP(H614,'Fund Utilization Report'!$A$4:$U$1800,6,FALSE)</f>
        <v>GOP</v>
      </c>
      <c r="Y614" s="320" t="str">
        <f>VLOOKUP(H614,'Fund Utilization Report'!$A$4:$U$1800,7,FALSE)</f>
        <v>PS</v>
      </c>
      <c r="Z614" s="321">
        <f>VLOOKUP(H614,'Fund Utilization Report'!$A$4:$U$1800,8,FALSE)</f>
        <v>5010000000</v>
      </c>
      <c r="AA614" s="319" t="str">
        <f>VLOOKUP(H614,'Fund Utilization Report'!$A$4:$U$1800,14,FALSE)</f>
        <v>320100100001000</v>
      </c>
      <c r="AB614" s="349" t="str">
        <f>VLOOKUP(H614,'Fund Utilization Report'!$A$4:$U$1800,15,FALSE)</f>
        <v>Formulation of Strategic plans,programs, and policies to develop competitve industries</v>
      </c>
      <c r="AC614" s="39"/>
      <c r="AD614" s="34"/>
      <c r="AE614" s="39"/>
      <c r="AF614" s="51"/>
      <c r="AG614" s="40"/>
      <c r="AH614" s="40"/>
    </row>
    <row r="615" spans="1:34" s="32" customFormat="1" ht="27.6">
      <c r="A615" s="338" t="s">
        <v>942</v>
      </c>
      <c r="B615" s="338" t="s">
        <v>945</v>
      </c>
      <c r="C615" s="358">
        <v>44238</v>
      </c>
      <c r="D615" s="351" t="s">
        <v>1028</v>
      </c>
      <c r="E615" s="352" t="s">
        <v>1159</v>
      </c>
      <c r="F615" s="338">
        <v>0.48194444444444445</v>
      </c>
      <c r="G615" s="338">
        <v>0.4861111111111111</v>
      </c>
      <c r="H615" s="338" t="s">
        <v>967</v>
      </c>
      <c r="I615" s="353">
        <v>734</v>
      </c>
      <c r="J615" s="338" t="str">
        <f>IFERROR(VLOOKUP(I615,'Chart of accounts'!A:H,2,FALSE),"")</f>
        <v>50103040 01</v>
      </c>
      <c r="K615" s="338" t="str">
        <f>IFERROR(VLOOKUP(I615,'Chart of accounts'!A:H,3,FALSE),"")</f>
        <v>ECIP - Civilian</v>
      </c>
      <c r="L615" s="338" t="str">
        <f>IFERROR(VLOOKUP(I615,'Chart of accounts'!A:H,4,FALSE),"")</f>
        <v>50103040 01 - ECIP - Civilian (734)</v>
      </c>
      <c r="M615" s="361">
        <v>2</v>
      </c>
      <c r="N615" s="355" t="s">
        <v>789</v>
      </c>
      <c r="O615" s="355" t="s">
        <v>1113</v>
      </c>
      <c r="P615" s="355"/>
      <c r="Q615" s="363">
        <v>100</v>
      </c>
      <c r="R615" s="319">
        <f t="shared" si="10"/>
        <v>-100</v>
      </c>
      <c r="S615" s="319" t="str">
        <f>VLOOKUP(H615,'Fund Utilization Report'!$A$4:$U$1800,13,FALSE)</f>
        <v>PS</v>
      </c>
      <c r="T615" s="319" t="str">
        <f>VLOOKUP(H615,'Fund Utilization Report'!$A$4:$U$1800,2,FALSE)</f>
        <v>GAA</v>
      </c>
      <c r="U615" s="319" t="str">
        <f>VLOOKUP(H615,'Fund Utilization Report'!$A$4:$U$1800,3,FALSE)</f>
        <v>FY2021, RA11518</v>
      </c>
      <c r="V615" s="319" t="str">
        <f>VLOOKUP(H615,'Fund Utilization Report'!$A$4:$U$1800,4,FALSE)</f>
        <v>OO2</v>
      </c>
      <c r="W615" s="319" t="str">
        <f>VLOOKUP(H615,'Fund Utilization Report'!$A$4:$U$1800,5,FALSE)</f>
        <v>01101101</v>
      </c>
      <c r="X615" s="319" t="str">
        <f>VLOOKUP(H615,'Fund Utilization Report'!$A$4:$U$1800,6,FALSE)</f>
        <v>GOP</v>
      </c>
      <c r="Y615" s="320" t="str">
        <f>VLOOKUP(H615,'Fund Utilization Report'!$A$4:$U$1800,7,FALSE)</f>
        <v>PS</v>
      </c>
      <c r="Z615" s="321">
        <f>VLOOKUP(H615,'Fund Utilization Report'!$A$4:$U$1800,8,FALSE)</f>
        <v>5010000000</v>
      </c>
      <c r="AA615" s="319" t="str">
        <f>VLOOKUP(H615,'Fund Utilization Report'!$A$4:$U$1800,14,FALSE)</f>
        <v>320100100001000</v>
      </c>
      <c r="AB615" s="349" t="str">
        <f>VLOOKUP(H615,'Fund Utilization Report'!$A$4:$U$1800,15,FALSE)</f>
        <v>Formulation of Strategic plans,programs, and policies to develop competitve industries</v>
      </c>
      <c r="AC615" s="39"/>
      <c r="AD615" s="34"/>
      <c r="AE615" s="39"/>
      <c r="AF615" s="51"/>
      <c r="AG615" s="40"/>
      <c r="AH615" s="40"/>
    </row>
    <row r="616" spans="1:34" s="32" customFormat="1" ht="27.6">
      <c r="A616" s="338" t="s">
        <v>942</v>
      </c>
      <c r="B616" s="338" t="s">
        <v>945</v>
      </c>
      <c r="C616" s="358">
        <v>44238</v>
      </c>
      <c r="D616" s="351" t="s">
        <v>1028</v>
      </c>
      <c r="E616" s="352" t="s">
        <v>1159</v>
      </c>
      <c r="F616" s="338">
        <v>0.48194444444444445</v>
      </c>
      <c r="G616" s="338">
        <v>0.4861111111111111</v>
      </c>
      <c r="H616" s="338" t="s">
        <v>970</v>
      </c>
      <c r="I616" s="353">
        <v>701</v>
      </c>
      <c r="J616" s="338" t="str">
        <f>IFERROR(VLOOKUP(I616,'Chart of accounts'!A:H,2,FALSE),"")</f>
        <v>50101010 01</v>
      </c>
      <c r="K616" s="338" t="str">
        <f>IFERROR(VLOOKUP(I616,'Chart of accounts'!A:H,3,FALSE),"")</f>
        <v>Basic Salary - Civilian</v>
      </c>
      <c r="L616" s="338" t="str">
        <f>IFERROR(VLOOKUP(I616,'Chart of accounts'!A:H,4,FALSE),"")</f>
        <v>50101010 01 - Basic Salary - Civilian (701)</v>
      </c>
      <c r="M616" s="361">
        <v>2</v>
      </c>
      <c r="N616" s="355" t="s">
        <v>789</v>
      </c>
      <c r="O616" s="355" t="s">
        <v>1113</v>
      </c>
      <c r="P616" s="355"/>
      <c r="Q616" s="363">
        <v>134419</v>
      </c>
      <c r="R616" s="319">
        <f t="shared" si="10"/>
        <v>-134419</v>
      </c>
      <c r="S616" s="319" t="str">
        <f>VLOOKUP(H616,'Fund Utilization Report'!$A$4:$U$1800,13,FALSE)</f>
        <v>PS</v>
      </c>
      <c r="T616" s="319" t="str">
        <f>VLOOKUP(H616,'Fund Utilization Report'!$A$4:$U$1800,2,FALSE)</f>
        <v>GAA</v>
      </c>
      <c r="U616" s="319" t="str">
        <f>VLOOKUP(H616,'Fund Utilization Report'!$A$4:$U$1800,3,FALSE)</f>
        <v>FY2021, RA11518</v>
      </c>
      <c r="V616" s="319" t="str">
        <f>VLOOKUP(H616,'Fund Utilization Report'!$A$4:$U$1800,4,FALSE)</f>
        <v>OO3</v>
      </c>
      <c r="W616" s="319" t="str">
        <f>VLOOKUP(H616,'Fund Utilization Report'!$A$4:$U$1800,5,FALSE)</f>
        <v>01101101</v>
      </c>
      <c r="X616" s="319" t="str">
        <f>VLOOKUP(H616,'Fund Utilization Report'!$A$4:$U$1800,6,FALSE)</f>
        <v>GOP</v>
      </c>
      <c r="Y616" s="320" t="str">
        <f>VLOOKUP(H616,'Fund Utilization Report'!$A$4:$U$1800,7,FALSE)</f>
        <v>PS</v>
      </c>
      <c r="Z616" s="321">
        <f>VLOOKUP(H616,'Fund Utilization Report'!$A$4:$U$1800,8,FALSE)</f>
        <v>5010000000</v>
      </c>
      <c r="AA616" s="319" t="str">
        <f>VLOOKUP(H616,'Fund Utilization Report'!$A$4:$U$1800,14,FALSE)</f>
        <v>330100100002000</v>
      </c>
      <c r="AB616" s="349" t="str">
        <f>VLOOKUP(H616,'Fund Utilization Report'!$A$4:$U$1800,15,FALSE)</f>
        <v>Implementation of the MSME Development Plan and other initiatives to promote the growth of Micro, Small and Medium Enterprises</v>
      </c>
      <c r="AC616" s="39"/>
      <c r="AD616" s="34"/>
      <c r="AE616" s="39"/>
      <c r="AF616" s="51"/>
      <c r="AG616" s="40"/>
      <c r="AH616" s="40"/>
    </row>
    <row r="617" spans="1:34" s="32" customFormat="1" ht="27.6">
      <c r="A617" s="338" t="s">
        <v>942</v>
      </c>
      <c r="B617" s="338" t="s">
        <v>945</v>
      </c>
      <c r="C617" s="358">
        <v>44238</v>
      </c>
      <c r="D617" s="351" t="s">
        <v>1028</v>
      </c>
      <c r="E617" s="352" t="s">
        <v>1159</v>
      </c>
      <c r="F617" s="338">
        <v>0.48194444444444445</v>
      </c>
      <c r="G617" s="338">
        <v>0.4861111111111111</v>
      </c>
      <c r="H617" s="338" t="s">
        <v>970</v>
      </c>
      <c r="I617" s="353">
        <v>711</v>
      </c>
      <c r="J617" s="338" t="str">
        <f>IFERROR(VLOOKUP(I617,'Chart of accounts'!A:H,2,FALSE),"")</f>
        <v>50102010 01</v>
      </c>
      <c r="K617" s="338" t="str">
        <f>IFERROR(VLOOKUP(I617,'Chart of accounts'!A:H,3,FALSE),"")</f>
        <v>PERA - Civilian</v>
      </c>
      <c r="L617" s="338" t="str">
        <f>IFERROR(VLOOKUP(I617,'Chart of accounts'!A:H,4,FALSE),"")</f>
        <v>50102010 01 - PERA - Civilian (711)</v>
      </c>
      <c r="M617" s="361">
        <v>2</v>
      </c>
      <c r="N617" s="355" t="s">
        <v>789</v>
      </c>
      <c r="O617" s="355" t="s">
        <v>1113</v>
      </c>
      <c r="P617" s="355"/>
      <c r="Q617" s="363">
        <v>4000</v>
      </c>
      <c r="R617" s="319">
        <f t="shared" si="10"/>
        <v>-4000</v>
      </c>
      <c r="S617" s="319" t="str">
        <f>VLOOKUP(H617,'Fund Utilization Report'!$A$4:$U$1800,13,FALSE)</f>
        <v>PS</v>
      </c>
      <c r="T617" s="319" t="str">
        <f>VLOOKUP(H617,'Fund Utilization Report'!$A$4:$U$1800,2,FALSE)</f>
        <v>GAA</v>
      </c>
      <c r="U617" s="319" t="str">
        <f>VLOOKUP(H617,'Fund Utilization Report'!$A$4:$U$1800,3,FALSE)</f>
        <v>FY2021, RA11518</v>
      </c>
      <c r="V617" s="319" t="str">
        <f>VLOOKUP(H617,'Fund Utilization Report'!$A$4:$U$1800,4,FALSE)</f>
        <v>OO3</v>
      </c>
      <c r="W617" s="319" t="str">
        <f>VLOOKUP(H617,'Fund Utilization Report'!$A$4:$U$1800,5,FALSE)</f>
        <v>01101101</v>
      </c>
      <c r="X617" s="319" t="str">
        <f>VLOOKUP(H617,'Fund Utilization Report'!$A$4:$U$1800,6,FALSE)</f>
        <v>GOP</v>
      </c>
      <c r="Y617" s="320" t="str">
        <f>VLOOKUP(H617,'Fund Utilization Report'!$A$4:$U$1800,7,FALSE)</f>
        <v>PS</v>
      </c>
      <c r="Z617" s="321">
        <f>VLOOKUP(H617,'Fund Utilization Report'!$A$4:$U$1800,8,FALSE)</f>
        <v>5010000000</v>
      </c>
      <c r="AA617" s="319" t="str">
        <f>VLOOKUP(H617,'Fund Utilization Report'!$A$4:$U$1800,14,FALSE)</f>
        <v>330100100002000</v>
      </c>
      <c r="AB617" s="349" t="str">
        <f>VLOOKUP(H617,'Fund Utilization Report'!$A$4:$U$1800,15,FALSE)</f>
        <v>Implementation of the MSME Development Plan and other initiatives to promote the growth of Micro, Small and Medium Enterprises</v>
      </c>
      <c r="AC617" s="39"/>
      <c r="AD617" s="34"/>
      <c r="AE617" s="39"/>
      <c r="AF617" s="51"/>
      <c r="AG617" s="40"/>
      <c r="AH617" s="40"/>
    </row>
    <row r="618" spans="1:34" s="32" customFormat="1" ht="27.6">
      <c r="A618" s="338" t="s">
        <v>942</v>
      </c>
      <c r="B618" s="338" t="s">
        <v>945</v>
      </c>
      <c r="C618" s="358">
        <v>44238</v>
      </c>
      <c r="D618" s="351" t="s">
        <v>1028</v>
      </c>
      <c r="E618" s="352" t="s">
        <v>1159</v>
      </c>
      <c r="F618" s="338">
        <v>0.48194444444444445</v>
      </c>
      <c r="G618" s="338">
        <v>0.4861111111111111</v>
      </c>
      <c r="H618" s="338" t="s">
        <v>972</v>
      </c>
      <c r="I618" s="353">
        <v>731</v>
      </c>
      <c r="J618" s="338" t="str">
        <f>IFERROR(VLOOKUP(I618,'Chart of accounts'!A:H,2,FALSE),"")</f>
        <v>50103010 00</v>
      </c>
      <c r="K618" s="338" t="str">
        <f>IFERROR(VLOOKUP(I618,'Chart of accounts'!A:H,3,FALSE),"")</f>
        <v>Retirement and Life Insurance Premiums</v>
      </c>
      <c r="L618" s="338" t="str">
        <f>IFERROR(VLOOKUP(I618,'Chart of accounts'!A:H,4,FALSE),"")</f>
        <v>50103010 00 - Retirement and Life Insurance Premiums (731)</v>
      </c>
      <c r="M618" s="361">
        <v>2</v>
      </c>
      <c r="N618" s="355" t="s">
        <v>789</v>
      </c>
      <c r="O618" s="355" t="s">
        <v>1113</v>
      </c>
      <c r="P618" s="355"/>
      <c r="Q618" s="363">
        <v>16130.28</v>
      </c>
      <c r="R618" s="319">
        <f t="shared" si="10"/>
        <v>-16130.28</v>
      </c>
      <c r="S618" s="319" t="str">
        <f>VLOOKUP(H618,'Fund Utilization Report'!$A$4:$U$1800,13,FALSE)</f>
        <v>PS</v>
      </c>
      <c r="T618" s="319" t="str">
        <f>VLOOKUP(H618,'Fund Utilization Report'!$A$4:$U$1800,2,FALSE)</f>
        <v>GAA</v>
      </c>
      <c r="U618" s="319" t="str">
        <f>VLOOKUP(H618,'Fund Utilization Report'!$A$4:$U$1800,3,FALSE)</f>
        <v>FY2021, RA11518</v>
      </c>
      <c r="V618" s="319" t="str">
        <f>VLOOKUP(H618,'Fund Utilization Report'!$A$4:$U$1800,4,FALSE)</f>
        <v>OO3</v>
      </c>
      <c r="W618" s="319" t="str">
        <f>VLOOKUP(H618,'Fund Utilization Report'!$A$4:$U$1800,5,FALSE)</f>
        <v>01101101</v>
      </c>
      <c r="X618" s="319" t="str">
        <f>VLOOKUP(H618,'Fund Utilization Report'!$A$4:$U$1800,6,FALSE)</f>
        <v>GOP</v>
      </c>
      <c r="Y618" s="320" t="str">
        <f>VLOOKUP(H618,'Fund Utilization Report'!$A$4:$U$1800,7,FALSE)</f>
        <v>RLIP</v>
      </c>
      <c r="Z618" s="321" t="str">
        <f>VLOOKUP(H618,'Fund Utilization Report'!$A$4:$U$1800,8,FALSE)</f>
        <v>50103010-00</v>
      </c>
      <c r="AA618" s="319" t="str">
        <f>VLOOKUP(H618,'Fund Utilization Report'!$A$4:$U$1800,14,FALSE)</f>
        <v>330100100002000</v>
      </c>
      <c r="AB618" s="349" t="str">
        <f>VLOOKUP(H618,'Fund Utilization Report'!$A$4:$U$1800,15,FALSE)</f>
        <v>Implementation of the MSME Development Plan and other initiatives to promote the growth of Micro, Small and Medium Enterprises</v>
      </c>
      <c r="AC618" s="39"/>
      <c r="AD618" s="34"/>
      <c r="AE618" s="39"/>
      <c r="AF618" s="51"/>
      <c r="AG618" s="40"/>
      <c r="AH618" s="40"/>
    </row>
    <row r="619" spans="1:34" s="32" customFormat="1" ht="27.6">
      <c r="A619" s="338" t="s">
        <v>942</v>
      </c>
      <c r="B619" s="338" t="s">
        <v>945</v>
      </c>
      <c r="C619" s="358">
        <v>44238</v>
      </c>
      <c r="D619" s="351" t="s">
        <v>1028</v>
      </c>
      <c r="E619" s="352" t="s">
        <v>1159</v>
      </c>
      <c r="F619" s="338">
        <v>0.48194444444444445</v>
      </c>
      <c r="G619" s="338">
        <v>0.4861111111111111</v>
      </c>
      <c r="H619" s="338" t="s">
        <v>970</v>
      </c>
      <c r="I619" s="353">
        <v>732</v>
      </c>
      <c r="J619" s="338" t="str">
        <f>IFERROR(VLOOKUP(I619,'Chart of accounts'!A:H,2,FALSE),"")</f>
        <v>50103020 01</v>
      </c>
      <c r="K619" s="338" t="str">
        <f>IFERROR(VLOOKUP(I619,'Chart of accounts'!A:H,3,FALSE),"")</f>
        <v>Pag-IBIG - Civilian</v>
      </c>
      <c r="L619" s="338" t="str">
        <f>IFERROR(VLOOKUP(I619,'Chart of accounts'!A:H,4,FALSE),"")</f>
        <v>50103020 01 - Pag-IBIG - Civilian (732)</v>
      </c>
      <c r="M619" s="361">
        <v>2</v>
      </c>
      <c r="N619" s="355" t="s">
        <v>789</v>
      </c>
      <c r="O619" s="355" t="s">
        <v>1113</v>
      </c>
      <c r="P619" s="355"/>
      <c r="Q619" s="363">
        <v>200</v>
      </c>
      <c r="R619" s="319">
        <f t="shared" si="10"/>
        <v>-200</v>
      </c>
      <c r="S619" s="319" t="str">
        <f>VLOOKUP(H619,'Fund Utilization Report'!$A$4:$U$1800,13,FALSE)</f>
        <v>PS</v>
      </c>
      <c r="T619" s="319" t="str">
        <f>VLOOKUP(H619,'Fund Utilization Report'!$A$4:$U$1800,2,FALSE)</f>
        <v>GAA</v>
      </c>
      <c r="U619" s="319" t="str">
        <f>VLOOKUP(H619,'Fund Utilization Report'!$A$4:$U$1800,3,FALSE)</f>
        <v>FY2021, RA11518</v>
      </c>
      <c r="V619" s="319" t="str">
        <f>VLOOKUP(H619,'Fund Utilization Report'!$A$4:$U$1800,4,FALSE)</f>
        <v>OO3</v>
      </c>
      <c r="W619" s="319" t="str">
        <f>VLOOKUP(H619,'Fund Utilization Report'!$A$4:$U$1800,5,FALSE)</f>
        <v>01101101</v>
      </c>
      <c r="X619" s="319" t="str">
        <f>VLOOKUP(H619,'Fund Utilization Report'!$A$4:$U$1800,6,FALSE)</f>
        <v>GOP</v>
      </c>
      <c r="Y619" s="320" t="str">
        <f>VLOOKUP(H619,'Fund Utilization Report'!$A$4:$U$1800,7,FALSE)</f>
        <v>PS</v>
      </c>
      <c r="Z619" s="321">
        <f>VLOOKUP(H619,'Fund Utilization Report'!$A$4:$U$1800,8,FALSE)</f>
        <v>5010000000</v>
      </c>
      <c r="AA619" s="319" t="str">
        <f>VLOOKUP(H619,'Fund Utilization Report'!$A$4:$U$1800,14,FALSE)</f>
        <v>330100100002000</v>
      </c>
      <c r="AB619" s="349" t="str">
        <f>VLOOKUP(H619,'Fund Utilization Report'!$A$4:$U$1800,15,FALSE)</f>
        <v>Implementation of the MSME Development Plan and other initiatives to promote the growth of Micro, Small and Medium Enterprises</v>
      </c>
      <c r="AC619" s="39"/>
      <c r="AD619" s="34"/>
      <c r="AE619" s="39"/>
      <c r="AF619" s="51"/>
      <c r="AG619" s="40"/>
      <c r="AH619" s="40"/>
    </row>
    <row r="620" spans="1:34" s="32" customFormat="1" ht="27.6">
      <c r="A620" s="338" t="s">
        <v>942</v>
      </c>
      <c r="B620" s="338" t="s">
        <v>945</v>
      </c>
      <c r="C620" s="358">
        <v>44238</v>
      </c>
      <c r="D620" s="351" t="s">
        <v>1028</v>
      </c>
      <c r="E620" s="352" t="s">
        <v>1159</v>
      </c>
      <c r="F620" s="338">
        <v>0.48194444444444445</v>
      </c>
      <c r="G620" s="338">
        <v>0.4861111111111111</v>
      </c>
      <c r="H620" s="338" t="s">
        <v>970</v>
      </c>
      <c r="I620" s="353">
        <v>733</v>
      </c>
      <c r="J620" s="338" t="str">
        <f>IFERROR(VLOOKUP(I620,'Chart of accounts'!A:H,2,FALSE),"")</f>
        <v>50103030 01</v>
      </c>
      <c r="K620" s="338" t="str">
        <f>IFERROR(VLOOKUP(I620,'Chart of accounts'!A:H,3,FALSE),"")</f>
        <v>PhilHealth - Civilian</v>
      </c>
      <c r="L620" s="338" t="str">
        <f>IFERROR(VLOOKUP(I620,'Chart of accounts'!A:H,4,FALSE),"")</f>
        <v>50103030 01 - PhilHealth - Civilian (733)</v>
      </c>
      <c r="M620" s="361">
        <v>2</v>
      </c>
      <c r="N620" s="355" t="s">
        <v>789</v>
      </c>
      <c r="O620" s="355" t="s">
        <v>1113</v>
      </c>
      <c r="P620" s="355"/>
      <c r="Q620" s="363">
        <v>1593.92</v>
      </c>
      <c r="R620" s="319">
        <f t="shared" si="10"/>
        <v>-1593.92</v>
      </c>
      <c r="S620" s="319" t="str">
        <f>VLOOKUP(H620,'Fund Utilization Report'!$A$4:$U$1800,13,FALSE)</f>
        <v>PS</v>
      </c>
      <c r="T620" s="319" t="str">
        <f>VLOOKUP(H620,'Fund Utilization Report'!$A$4:$U$1800,2,FALSE)</f>
        <v>GAA</v>
      </c>
      <c r="U620" s="319" t="str">
        <f>VLOOKUP(H620,'Fund Utilization Report'!$A$4:$U$1800,3,FALSE)</f>
        <v>FY2021, RA11518</v>
      </c>
      <c r="V620" s="319" t="str">
        <f>VLOOKUP(H620,'Fund Utilization Report'!$A$4:$U$1800,4,FALSE)</f>
        <v>OO3</v>
      </c>
      <c r="W620" s="319" t="str">
        <f>VLOOKUP(H620,'Fund Utilization Report'!$A$4:$U$1800,5,FALSE)</f>
        <v>01101101</v>
      </c>
      <c r="X620" s="319" t="str">
        <f>VLOOKUP(H620,'Fund Utilization Report'!$A$4:$U$1800,6,FALSE)</f>
        <v>GOP</v>
      </c>
      <c r="Y620" s="320" t="str">
        <f>VLOOKUP(H620,'Fund Utilization Report'!$A$4:$U$1800,7,FALSE)</f>
        <v>PS</v>
      </c>
      <c r="Z620" s="321">
        <f>VLOOKUP(H620,'Fund Utilization Report'!$A$4:$U$1800,8,FALSE)</f>
        <v>5010000000</v>
      </c>
      <c r="AA620" s="319" t="str">
        <f>VLOOKUP(H620,'Fund Utilization Report'!$A$4:$U$1800,14,FALSE)</f>
        <v>330100100002000</v>
      </c>
      <c r="AB620" s="349" t="str">
        <f>VLOOKUP(H620,'Fund Utilization Report'!$A$4:$U$1800,15,FALSE)</f>
        <v>Implementation of the MSME Development Plan and other initiatives to promote the growth of Micro, Small and Medium Enterprises</v>
      </c>
      <c r="AC620" s="39"/>
      <c r="AD620" s="34"/>
      <c r="AE620" s="39"/>
      <c r="AF620" s="51"/>
      <c r="AG620" s="40"/>
      <c r="AH620" s="40"/>
    </row>
    <row r="621" spans="1:34" s="32" customFormat="1" ht="27.6">
      <c r="A621" s="338" t="s">
        <v>942</v>
      </c>
      <c r="B621" s="338" t="s">
        <v>945</v>
      </c>
      <c r="C621" s="358">
        <v>44238</v>
      </c>
      <c r="D621" s="351" t="s">
        <v>1028</v>
      </c>
      <c r="E621" s="352" t="s">
        <v>1159</v>
      </c>
      <c r="F621" s="338">
        <v>0.48194444444444445</v>
      </c>
      <c r="G621" s="338">
        <v>0.4861111111111111</v>
      </c>
      <c r="H621" s="338" t="s">
        <v>970</v>
      </c>
      <c r="I621" s="353">
        <v>734</v>
      </c>
      <c r="J621" s="338" t="str">
        <f>IFERROR(VLOOKUP(I621,'Chart of accounts'!A:H,2,FALSE),"")</f>
        <v>50103040 01</v>
      </c>
      <c r="K621" s="338" t="str">
        <f>IFERROR(VLOOKUP(I621,'Chart of accounts'!A:H,3,FALSE),"")</f>
        <v>ECIP - Civilian</v>
      </c>
      <c r="L621" s="338" t="str">
        <f>IFERROR(VLOOKUP(I621,'Chart of accounts'!A:H,4,FALSE),"")</f>
        <v>50103040 01 - ECIP - Civilian (734)</v>
      </c>
      <c r="M621" s="361">
        <v>2</v>
      </c>
      <c r="N621" s="355" t="s">
        <v>789</v>
      </c>
      <c r="O621" s="355" t="s">
        <v>1113</v>
      </c>
      <c r="P621" s="355"/>
      <c r="Q621" s="363">
        <v>200</v>
      </c>
      <c r="R621" s="319">
        <f t="shared" si="10"/>
        <v>-200</v>
      </c>
      <c r="S621" s="319" t="str">
        <f>VLOOKUP(H621,'Fund Utilization Report'!$A$4:$U$1800,13,FALSE)</f>
        <v>PS</v>
      </c>
      <c r="T621" s="319" t="str">
        <f>VLOOKUP(H621,'Fund Utilization Report'!$A$4:$U$1800,2,FALSE)</f>
        <v>GAA</v>
      </c>
      <c r="U621" s="319" t="str">
        <f>VLOOKUP(H621,'Fund Utilization Report'!$A$4:$U$1800,3,FALSE)</f>
        <v>FY2021, RA11518</v>
      </c>
      <c r="V621" s="319" t="str">
        <f>VLOOKUP(H621,'Fund Utilization Report'!$A$4:$U$1800,4,FALSE)</f>
        <v>OO3</v>
      </c>
      <c r="W621" s="319" t="str">
        <f>VLOOKUP(H621,'Fund Utilization Report'!$A$4:$U$1800,5,FALSE)</f>
        <v>01101101</v>
      </c>
      <c r="X621" s="319" t="str">
        <f>VLOOKUP(H621,'Fund Utilization Report'!$A$4:$U$1800,6,FALSE)</f>
        <v>GOP</v>
      </c>
      <c r="Y621" s="320" t="str">
        <f>VLOOKUP(H621,'Fund Utilization Report'!$A$4:$U$1800,7,FALSE)</f>
        <v>PS</v>
      </c>
      <c r="Z621" s="321">
        <f>VLOOKUP(H621,'Fund Utilization Report'!$A$4:$U$1800,8,FALSE)</f>
        <v>5010000000</v>
      </c>
      <c r="AA621" s="319" t="str">
        <f>VLOOKUP(H621,'Fund Utilization Report'!$A$4:$U$1800,14,FALSE)</f>
        <v>330100100002000</v>
      </c>
      <c r="AB621" s="349" t="str">
        <f>VLOOKUP(H621,'Fund Utilization Report'!$A$4:$U$1800,15,FALSE)</f>
        <v>Implementation of the MSME Development Plan and other initiatives to promote the growth of Micro, Small and Medium Enterprises</v>
      </c>
      <c r="AC621" s="39"/>
      <c r="AD621" s="34"/>
      <c r="AE621" s="39"/>
      <c r="AF621" s="51"/>
      <c r="AG621" s="40"/>
      <c r="AH621" s="40"/>
    </row>
    <row r="622" spans="1:34" s="32" customFormat="1" ht="27.6">
      <c r="A622" s="338" t="s">
        <v>942</v>
      </c>
      <c r="B622" s="338" t="s">
        <v>945</v>
      </c>
      <c r="C622" s="358">
        <v>44238</v>
      </c>
      <c r="D622" s="351" t="s">
        <v>1028</v>
      </c>
      <c r="E622" s="352" t="s">
        <v>1159</v>
      </c>
      <c r="F622" s="338">
        <v>0.48194444444444445</v>
      </c>
      <c r="G622" s="338">
        <v>0.4861111111111111</v>
      </c>
      <c r="H622" s="338" t="s">
        <v>973</v>
      </c>
      <c r="I622" s="353">
        <v>701</v>
      </c>
      <c r="J622" s="338" t="str">
        <f>IFERROR(VLOOKUP(I622,'Chart of accounts'!A:H,2,FALSE),"")</f>
        <v>50101010 01</v>
      </c>
      <c r="K622" s="338" t="str">
        <f>IFERROR(VLOOKUP(I622,'Chart of accounts'!A:H,3,FALSE),"")</f>
        <v>Basic Salary - Civilian</v>
      </c>
      <c r="L622" s="338" t="str">
        <f>IFERROR(VLOOKUP(I622,'Chart of accounts'!A:H,4,FALSE),"")</f>
        <v>50101010 01 - Basic Salary - Civilian (701)</v>
      </c>
      <c r="M622" s="361">
        <v>2</v>
      </c>
      <c r="N622" s="355" t="s">
        <v>789</v>
      </c>
      <c r="O622" s="355" t="s">
        <v>1113</v>
      </c>
      <c r="P622" s="355"/>
      <c r="Q622" s="363">
        <v>91522</v>
      </c>
      <c r="R622" s="319">
        <f t="shared" si="10"/>
        <v>-91522</v>
      </c>
      <c r="S622" s="319" t="str">
        <f>VLOOKUP(H622,'Fund Utilization Report'!$A$4:$U$1800,13,FALSE)</f>
        <v>PS</v>
      </c>
      <c r="T622" s="319" t="str">
        <f>VLOOKUP(H622,'Fund Utilization Report'!$A$4:$U$1800,2,FALSE)</f>
        <v>GAA</v>
      </c>
      <c r="U622" s="319" t="str">
        <f>VLOOKUP(H622,'Fund Utilization Report'!$A$4:$U$1800,3,FALSE)</f>
        <v>FY2021, RA11518</v>
      </c>
      <c r="V622" s="319" t="str">
        <f>VLOOKUP(H622,'Fund Utilization Report'!$A$4:$U$1800,4,FALSE)</f>
        <v>OO4.1(FTL)</v>
      </c>
      <c r="W622" s="319" t="str">
        <f>VLOOKUP(H622,'Fund Utilization Report'!$A$4:$U$1800,5,FALSE)</f>
        <v>01101101</v>
      </c>
      <c r="X622" s="319" t="str">
        <f>VLOOKUP(H622,'Fund Utilization Report'!$A$4:$U$1800,6,FALSE)</f>
        <v>GOP</v>
      </c>
      <c r="Y622" s="320" t="str">
        <f>VLOOKUP(H622,'Fund Utilization Report'!$A$4:$U$1800,7,FALSE)</f>
        <v>PS</v>
      </c>
      <c r="Z622" s="321">
        <f>VLOOKUP(H622,'Fund Utilization Report'!$A$4:$U$1800,8,FALSE)</f>
        <v>5010000000</v>
      </c>
      <c r="AA622" s="319" t="str">
        <f>VLOOKUP(H622,'Fund Utilization Report'!$A$4:$U$1800,14,FALSE)</f>
        <v>340100100002000</v>
      </c>
      <c r="AB622" s="349" t="str">
        <f>VLOOKUP(H622,'Fund Utilization Report'!$A$4:$U$1800,15,FALSE)</f>
        <v>Monitoring and Enforcement of FTL including consumer complaints handling</v>
      </c>
      <c r="AC622" s="39"/>
      <c r="AD622" s="34"/>
      <c r="AE622" s="39"/>
      <c r="AF622" s="51"/>
      <c r="AG622" s="40"/>
      <c r="AH622" s="40"/>
    </row>
    <row r="623" spans="1:34" s="32" customFormat="1" ht="27.6">
      <c r="A623" s="338" t="s">
        <v>942</v>
      </c>
      <c r="B623" s="338" t="s">
        <v>945</v>
      </c>
      <c r="C623" s="358">
        <v>44238</v>
      </c>
      <c r="D623" s="351" t="s">
        <v>1028</v>
      </c>
      <c r="E623" s="352" t="s">
        <v>1159</v>
      </c>
      <c r="F623" s="338">
        <v>0.48194444444444445</v>
      </c>
      <c r="G623" s="338">
        <v>0.4861111111111111</v>
      </c>
      <c r="H623" s="338" t="s">
        <v>973</v>
      </c>
      <c r="I623" s="353">
        <v>711</v>
      </c>
      <c r="J623" s="338" t="str">
        <f>IFERROR(VLOOKUP(I623,'Chart of accounts'!A:H,2,FALSE),"")</f>
        <v>50102010 01</v>
      </c>
      <c r="K623" s="338" t="str">
        <f>IFERROR(VLOOKUP(I623,'Chart of accounts'!A:H,3,FALSE),"")</f>
        <v>PERA - Civilian</v>
      </c>
      <c r="L623" s="338" t="str">
        <f>IFERROR(VLOOKUP(I623,'Chart of accounts'!A:H,4,FALSE),"")</f>
        <v>50102010 01 - PERA - Civilian (711)</v>
      </c>
      <c r="M623" s="361">
        <v>2</v>
      </c>
      <c r="N623" s="355" t="s">
        <v>789</v>
      </c>
      <c r="O623" s="355" t="s">
        <v>1113</v>
      </c>
      <c r="P623" s="355"/>
      <c r="Q623" s="363">
        <v>4000</v>
      </c>
      <c r="R623" s="319">
        <f t="shared" si="10"/>
        <v>-4000</v>
      </c>
      <c r="S623" s="319" t="str">
        <f>VLOOKUP(H623,'Fund Utilization Report'!$A$4:$U$1800,13,FALSE)</f>
        <v>PS</v>
      </c>
      <c r="T623" s="319" t="str">
        <f>VLOOKUP(H623,'Fund Utilization Report'!$A$4:$U$1800,2,FALSE)</f>
        <v>GAA</v>
      </c>
      <c r="U623" s="319" t="str">
        <f>VLOOKUP(H623,'Fund Utilization Report'!$A$4:$U$1800,3,FALSE)</f>
        <v>FY2021, RA11518</v>
      </c>
      <c r="V623" s="319" t="str">
        <f>VLOOKUP(H623,'Fund Utilization Report'!$A$4:$U$1800,4,FALSE)</f>
        <v>OO4.1(FTL)</v>
      </c>
      <c r="W623" s="319" t="str">
        <f>VLOOKUP(H623,'Fund Utilization Report'!$A$4:$U$1800,5,FALSE)</f>
        <v>01101101</v>
      </c>
      <c r="X623" s="319" t="str">
        <f>VLOOKUP(H623,'Fund Utilization Report'!$A$4:$U$1800,6,FALSE)</f>
        <v>GOP</v>
      </c>
      <c r="Y623" s="320" t="str">
        <f>VLOOKUP(H623,'Fund Utilization Report'!$A$4:$U$1800,7,FALSE)</f>
        <v>PS</v>
      </c>
      <c r="Z623" s="321">
        <f>VLOOKUP(H623,'Fund Utilization Report'!$A$4:$U$1800,8,FALSE)</f>
        <v>5010000000</v>
      </c>
      <c r="AA623" s="319" t="str">
        <f>VLOOKUP(H623,'Fund Utilization Report'!$A$4:$U$1800,14,FALSE)</f>
        <v>340100100002000</v>
      </c>
      <c r="AB623" s="349" t="str">
        <f>VLOOKUP(H623,'Fund Utilization Report'!$A$4:$U$1800,15,FALSE)</f>
        <v>Monitoring and Enforcement of FTL including consumer complaints handling</v>
      </c>
      <c r="AC623" s="39"/>
      <c r="AD623" s="34"/>
      <c r="AE623" s="39"/>
      <c r="AF623" s="51"/>
      <c r="AG623" s="40"/>
      <c r="AH623" s="40"/>
    </row>
    <row r="624" spans="1:34" s="32" customFormat="1" ht="27.6">
      <c r="A624" s="338" t="s">
        <v>942</v>
      </c>
      <c r="B624" s="338" t="s">
        <v>945</v>
      </c>
      <c r="C624" s="358">
        <v>44238</v>
      </c>
      <c r="D624" s="351" t="s">
        <v>1028</v>
      </c>
      <c r="E624" s="352" t="s">
        <v>1159</v>
      </c>
      <c r="F624" s="338">
        <v>0.48194444444444445</v>
      </c>
      <c r="G624" s="338">
        <v>0.4861111111111111</v>
      </c>
      <c r="H624" s="338" t="s">
        <v>975</v>
      </c>
      <c r="I624" s="353">
        <v>731</v>
      </c>
      <c r="J624" s="338" t="str">
        <f>IFERROR(VLOOKUP(I624,'Chart of accounts'!A:H,2,FALSE),"")</f>
        <v>50103010 00</v>
      </c>
      <c r="K624" s="338" t="str">
        <f>IFERROR(VLOOKUP(I624,'Chart of accounts'!A:H,3,FALSE),"")</f>
        <v>Retirement and Life Insurance Premiums</v>
      </c>
      <c r="L624" s="338" t="str">
        <f>IFERROR(VLOOKUP(I624,'Chart of accounts'!A:H,4,FALSE),"")</f>
        <v>50103010 00 - Retirement and Life Insurance Premiums (731)</v>
      </c>
      <c r="M624" s="361">
        <v>2</v>
      </c>
      <c r="N624" s="355" t="s">
        <v>789</v>
      </c>
      <c r="O624" s="355" t="s">
        <v>1113</v>
      </c>
      <c r="P624" s="355"/>
      <c r="Q624" s="363">
        <v>10982.64</v>
      </c>
      <c r="R624" s="319">
        <f t="shared" si="10"/>
        <v>-10982.64</v>
      </c>
      <c r="S624" s="319" t="str">
        <f>VLOOKUP(H624,'Fund Utilization Report'!$A$4:$U$1800,13,FALSE)</f>
        <v>PS</v>
      </c>
      <c r="T624" s="319" t="str">
        <f>VLOOKUP(H624,'Fund Utilization Report'!$A$4:$U$1800,2,FALSE)</f>
        <v>GAA</v>
      </c>
      <c r="U624" s="319" t="str">
        <f>VLOOKUP(H624,'Fund Utilization Report'!$A$4:$U$1800,3,FALSE)</f>
        <v>FY2021, RA11518</v>
      </c>
      <c r="V624" s="319" t="str">
        <f>VLOOKUP(H624,'Fund Utilization Report'!$A$4:$U$1800,4,FALSE)</f>
        <v>OO4.1(FTL)</v>
      </c>
      <c r="W624" s="319" t="str">
        <f>VLOOKUP(H624,'Fund Utilization Report'!$A$4:$U$1800,5,FALSE)</f>
        <v>01101101</v>
      </c>
      <c r="X624" s="319" t="str">
        <f>VLOOKUP(H624,'Fund Utilization Report'!$A$4:$U$1800,6,FALSE)</f>
        <v>GOP</v>
      </c>
      <c r="Y624" s="320" t="str">
        <f>VLOOKUP(H624,'Fund Utilization Report'!$A$4:$U$1800,7,FALSE)</f>
        <v>RLIP</v>
      </c>
      <c r="Z624" s="321" t="str">
        <f>VLOOKUP(H624,'Fund Utilization Report'!$A$4:$U$1800,8,FALSE)</f>
        <v>50103010-00</v>
      </c>
      <c r="AA624" s="319" t="str">
        <f>VLOOKUP(H624,'Fund Utilization Report'!$A$4:$U$1800,14,FALSE)</f>
        <v>340100100002000</v>
      </c>
      <c r="AB624" s="349" t="str">
        <f>VLOOKUP(H624,'Fund Utilization Report'!$A$4:$U$1800,15,FALSE)</f>
        <v>Monitoring and Enforcement of FTL including consumer complaints handling</v>
      </c>
      <c r="AC624" s="39"/>
      <c r="AD624" s="34"/>
      <c r="AE624" s="39"/>
      <c r="AF624" s="51"/>
      <c r="AG624" s="40"/>
      <c r="AH624" s="40"/>
    </row>
    <row r="625" spans="1:34" s="32" customFormat="1" ht="27.6">
      <c r="A625" s="338" t="s">
        <v>942</v>
      </c>
      <c r="B625" s="338" t="s">
        <v>945</v>
      </c>
      <c r="C625" s="358">
        <v>44238</v>
      </c>
      <c r="D625" s="351" t="s">
        <v>1028</v>
      </c>
      <c r="E625" s="352" t="s">
        <v>1159</v>
      </c>
      <c r="F625" s="338">
        <v>0.48194444444444445</v>
      </c>
      <c r="G625" s="338">
        <v>0.4861111111111111</v>
      </c>
      <c r="H625" s="338" t="s">
        <v>973</v>
      </c>
      <c r="I625" s="353">
        <v>732</v>
      </c>
      <c r="J625" s="338" t="str">
        <f>IFERROR(VLOOKUP(I625,'Chart of accounts'!A:H,2,FALSE),"")</f>
        <v>50103020 01</v>
      </c>
      <c r="K625" s="338" t="str">
        <f>IFERROR(VLOOKUP(I625,'Chart of accounts'!A:H,3,FALSE),"")</f>
        <v>Pag-IBIG - Civilian</v>
      </c>
      <c r="L625" s="338" t="str">
        <f>IFERROR(VLOOKUP(I625,'Chart of accounts'!A:H,4,FALSE),"")</f>
        <v>50103020 01 - Pag-IBIG - Civilian (732)</v>
      </c>
      <c r="M625" s="361">
        <v>2</v>
      </c>
      <c r="N625" s="355" t="s">
        <v>789</v>
      </c>
      <c r="O625" s="355" t="s">
        <v>1113</v>
      </c>
      <c r="P625" s="355"/>
      <c r="Q625" s="363">
        <v>200</v>
      </c>
      <c r="R625" s="319">
        <f t="shared" si="10"/>
        <v>-200</v>
      </c>
      <c r="S625" s="319" t="str">
        <f>VLOOKUP(H625,'Fund Utilization Report'!$A$4:$U$1800,13,FALSE)</f>
        <v>PS</v>
      </c>
      <c r="T625" s="319" t="str">
        <f>VLOOKUP(H625,'Fund Utilization Report'!$A$4:$U$1800,2,FALSE)</f>
        <v>GAA</v>
      </c>
      <c r="U625" s="319" t="str">
        <f>VLOOKUP(H625,'Fund Utilization Report'!$A$4:$U$1800,3,FALSE)</f>
        <v>FY2021, RA11518</v>
      </c>
      <c r="V625" s="319" t="str">
        <f>VLOOKUP(H625,'Fund Utilization Report'!$A$4:$U$1800,4,FALSE)</f>
        <v>OO4.1(FTL)</v>
      </c>
      <c r="W625" s="319" t="str">
        <f>VLOOKUP(H625,'Fund Utilization Report'!$A$4:$U$1800,5,FALSE)</f>
        <v>01101101</v>
      </c>
      <c r="X625" s="319" t="str">
        <f>VLOOKUP(H625,'Fund Utilization Report'!$A$4:$U$1800,6,FALSE)</f>
        <v>GOP</v>
      </c>
      <c r="Y625" s="320" t="str">
        <f>VLOOKUP(H625,'Fund Utilization Report'!$A$4:$U$1800,7,FALSE)</f>
        <v>PS</v>
      </c>
      <c r="Z625" s="321">
        <f>VLOOKUP(H625,'Fund Utilization Report'!$A$4:$U$1800,8,FALSE)</f>
        <v>5010000000</v>
      </c>
      <c r="AA625" s="319" t="str">
        <f>VLOOKUP(H625,'Fund Utilization Report'!$A$4:$U$1800,14,FALSE)</f>
        <v>340100100002000</v>
      </c>
      <c r="AB625" s="349" t="str">
        <f>VLOOKUP(H625,'Fund Utilization Report'!$A$4:$U$1800,15,FALSE)</f>
        <v>Monitoring and Enforcement of FTL including consumer complaints handling</v>
      </c>
      <c r="AC625" s="39"/>
      <c r="AD625" s="34"/>
      <c r="AE625" s="39"/>
      <c r="AF625" s="51"/>
      <c r="AG625" s="40"/>
      <c r="AH625" s="40"/>
    </row>
    <row r="626" spans="1:34" s="32" customFormat="1" ht="27.6">
      <c r="A626" s="338" t="s">
        <v>942</v>
      </c>
      <c r="B626" s="338" t="s">
        <v>945</v>
      </c>
      <c r="C626" s="358">
        <v>44238</v>
      </c>
      <c r="D626" s="351" t="s">
        <v>1028</v>
      </c>
      <c r="E626" s="352" t="s">
        <v>1159</v>
      </c>
      <c r="F626" s="338">
        <v>0.48194444444444445</v>
      </c>
      <c r="G626" s="338">
        <v>0.4861111111111111</v>
      </c>
      <c r="H626" s="338" t="s">
        <v>973</v>
      </c>
      <c r="I626" s="353">
        <v>733</v>
      </c>
      <c r="J626" s="338" t="str">
        <f>IFERROR(VLOOKUP(I626,'Chart of accounts'!A:H,2,FALSE),"")</f>
        <v>50103030 01</v>
      </c>
      <c r="K626" s="338" t="str">
        <f>IFERROR(VLOOKUP(I626,'Chart of accounts'!A:H,3,FALSE),"")</f>
        <v>PhilHealth - Civilian</v>
      </c>
      <c r="L626" s="338" t="str">
        <f>IFERROR(VLOOKUP(I626,'Chart of accounts'!A:H,4,FALSE),"")</f>
        <v>50103030 01 - PhilHealth - Civilian (733)</v>
      </c>
      <c r="M626" s="361">
        <v>2</v>
      </c>
      <c r="N626" s="355" t="s">
        <v>789</v>
      </c>
      <c r="O626" s="355" t="s">
        <v>1113</v>
      </c>
      <c r="P626" s="355"/>
      <c r="Q626" s="363">
        <v>1372.83</v>
      </c>
      <c r="R626" s="319">
        <f t="shared" si="10"/>
        <v>-1372.83</v>
      </c>
      <c r="S626" s="319" t="str">
        <f>VLOOKUP(H626,'Fund Utilization Report'!$A$4:$U$1800,13,FALSE)</f>
        <v>PS</v>
      </c>
      <c r="T626" s="319" t="str">
        <f>VLOOKUP(H626,'Fund Utilization Report'!$A$4:$U$1800,2,FALSE)</f>
        <v>GAA</v>
      </c>
      <c r="U626" s="319" t="str">
        <f>VLOOKUP(H626,'Fund Utilization Report'!$A$4:$U$1800,3,FALSE)</f>
        <v>FY2021, RA11518</v>
      </c>
      <c r="V626" s="319" t="str">
        <f>VLOOKUP(H626,'Fund Utilization Report'!$A$4:$U$1800,4,FALSE)</f>
        <v>OO4.1(FTL)</v>
      </c>
      <c r="W626" s="319" t="str">
        <f>VLOOKUP(H626,'Fund Utilization Report'!$A$4:$U$1800,5,FALSE)</f>
        <v>01101101</v>
      </c>
      <c r="X626" s="319" t="str">
        <f>VLOOKUP(H626,'Fund Utilization Report'!$A$4:$U$1800,6,FALSE)</f>
        <v>GOP</v>
      </c>
      <c r="Y626" s="320" t="str">
        <f>VLOOKUP(H626,'Fund Utilization Report'!$A$4:$U$1800,7,FALSE)</f>
        <v>PS</v>
      </c>
      <c r="Z626" s="321">
        <f>VLOOKUP(H626,'Fund Utilization Report'!$A$4:$U$1800,8,FALSE)</f>
        <v>5010000000</v>
      </c>
      <c r="AA626" s="319" t="str">
        <f>VLOOKUP(H626,'Fund Utilization Report'!$A$4:$U$1800,14,FALSE)</f>
        <v>340100100002000</v>
      </c>
      <c r="AB626" s="349" t="str">
        <f>VLOOKUP(H626,'Fund Utilization Report'!$A$4:$U$1800,15,FALSE)</f>
        <v>Monitoring and Enforcement of FTL including consumer complaints handling</v>
      </c>
      <c r="AC626" s="39"/>
      <c r="AD626" s="34"/>
      <c r="AE626" s="39"/>
      <c r="AF626" s="51"/>
      <c r="AG626" s="40"/>
      <c r="AH626" s="40"/>
    </row>
    <row r="627" spans="1:34" s="32" customFormat="1" ht="27.6">
      <c r="A627" s="338" t="s">
        <v>942</v>
      </c>
      <c r="B627" s="338" t="s">
        <v>945</v>
      </c>
      <c r="C627" s="358">
        <v>44238</v>
      </c>
      <c r="D627" s="351" t="s">
        <v>1028</v>
      </c>
      <c r="E627" s="352" t="s">
        <v>1159</v>
      </c>
      <c r="F627" s="338">
        <v>0.48194444444444445</v>
      </c>
      <c r="G627" s="338">
        <v>0.4861111111111111</v>
      </c>
      <c r="H627" s="338" t="s">
        <v>973</v>
      </c>
      <c r="I627" s="353">
        <v>734</v>
      </c>
      <c r="J627" s="338" t="str">
        <f>IFERROR(VLOOKUP(I627,'Chart of accounts'!A:H,2,FALSE),"")</f>
        <v>50103040 01</v>
      </c>
      <c r="K627" s="338" t="str">
        <f>IFERROR(VLOOKUP(I627,'Chart of accounts'!A:H,3,FALSE),"")</f>
        <v>ECIP - Civilian</v>
      </c>
      <c r="L627" s="338" t="str">
        <f>IFERROR(VLOOKUP(I627,'Chart of accounts'!A:H,4,FALSE),"")</f>
        <v>50103040 01 - ECIP - Civilian (734)</v>
      </c>
      <c r="M627" s="361">
        <v>2</v>
      </c>
      <c r="N627" s="355" t="s">
        <v>789</v>
      </c>
      <c r="O627" s="355" t="s">
        <v>1113</v>
      </c>
      <c r="P627" s="355"/>
      <c r="Q627" s="363">
        <v>200</v>
      </c>
      <c r="R627" s="319">
        <f t="shared" si="10"/>
        <v>-200</v>
      </c>
      <c r="S627" s="319" t="str">
        <f>VLOOKUP(H627,'Fund Utilization Report'!$A$4:$U$1800,13,FALSE)</f>
        <v>PS</v>
      </c>
      <c r="T627" s="319" t="str">
        <f>VLOOKUP(H627,'Fund Utilization Report'!$A$4:$U$1800,2,FALSE)</f>
        <v>GAA</v>
      </c>
      <c r="U627" s="319" t="str">
        <f>VLOOKUP(H627,'Fund Utilization Report'!$A$4:$U$1800,3,FALSE)</f>
        <v>FY2021, RA11518</v>
      </c>
      <c r="V627" s="319" t="str">
        <f>VLOOKUP(H627,'Fund Utilization Report'!$A$4:$U$1800,4,FALSE)</f>
        <v>OO4.1(FTL)</v>
      </c>
      <c r="W627" s="319" t="str">
        <f>VLOOKUP(H627,'Fund Utilization Report'!$A$4:$U$1800,5,FALSE)</f>
        <v>01101101</v>
      </c>
      <c r="X627" s="319" t="str">
        <f>VLOOKUP(H627,'Fund Utilization Report'!$A$4:$U$1800,6,FALSE)</f>
        <v>GOP</v>
      </c>
      <c r="Y627" s="320" t="str">
        <f>VLOOKUP(H627,'Fund Utilization Report'!$A$4:$U$1800,7,FALSE)</f>
        <v>PS</v>
      </c>
      <c r="Z627" s="321">
        <f>VLOOKUP(H627,'Fund Utilization Report'!$A$4:$U$1800,8,FALSE)</f>
        <v>5010000000</v>
      </c>
      <c r="AA627" s="319" t="str">
        <f>VLOOKUP(H627,'Fund Utilization Report'!$A$4:$U$1800,14,FALSE)</f>
        <v>340100100002000</v>
      </c>
      <c r="AB627" s="349" t="str">
        <f>VLOOKUP(H627,'Fund Utilization Report'!$A$4:$U$1800,15,FALSE)</f>
        <v>Monitoring and Enforcement of FTL including consumer complaints handling</v>
      </c>
      <c r="AC627" s="39"/>
      <c r="AD627" s="34"/>
      <c r="AE627" s="39"/>
      <c r="AF627" s="51"/>
      <c r="AG627" s="40"/>
      <c r="AH627" s="40"/>
    </row>
    <row r="628" spans="1:34" s="32" customFormat="1" ht="27.6">
      <c r="A628" s="338" t="s">
        <v>942</v>
      </c>
      <c r="B628" s="338" t="s">
        <v>945</v>
      </c>
      <c r="C628" s="358">
        <v>44238</v>
      </c>
      <c r="D628" s="351" t="s">
        <v>1028</v>
      </c>
      <c r="E628" s="352" t="s">
        <v>1159</v>
      </c>
      <c r="F628" s="338">
        <v>0.48194444444444445</v>
      </c>
      <c r="G628" s="338">
        <v>0.4861111111111111</v>
      </c>
      <c r="H628" s="338" t="s">
        <v>976</v>
      </c>
      <c r="I628" s="353">
        <v>701</v>
      </c>
      <c r="J628" s="338" t="str">
        <f>IFERROR(VLOOKUP(I628,'Chart of accounts'!A:H,2,FALSE),"")</f>
        <v>50101010 01</v>
      </c>
      <c r="K628" s="338" t="str">
        <f>IFERROR(VLOOKUP(I628,'Chart of accounts'!A:H,3,FALSE),"")</f>
        <v>Basic Salary - Civilian</v>
      </c>
      <c r="L628" s="338" t="str">
        <f>IFERROR(VLOOKUP(I628,'Chart of accounts'!A:H,4,FALSE),"")</f>
        <v>50101010 01 - Basic Salary - Civilian (701)</v>
      </c>
      <c r="M628" s="361">
        <v>2</v>
      </c>
      <c r="N628" s="355" t="s">
        <v>789</v>
      </c>
      <c r="O628" s="355" t="s">
        <v>1113</v>
      </c>
      <c r="P628" s="355"/>
      <c r="Q628" s="363">
        <v>43681</v>
      </c>
      <c r="R628" s="319">
        <f t="shared" si="10"/>
        <v>-43681</v>
      </c>
      <c r="S628" s="319" t="str">
        <f>VLOOKUP(H628,'Fund Utilization Report'!$A$4:$U$1800,13,FALSE)</f>
        <v>PS</v>
      </c>
      <c r="T628" s="319" t="str">
        <f>VLOOKUP(H628,'Fund Utilization Report'!$A$4:$U$1800,2,FALSE)</f>
        <v>GAA</v>
      </c>
      <c r="U628" s="319" t="str">
        <f>VLOOKUP(H628,'Fund Utilization Report'!$A$4:$U$1800,3,FALSE)</f>
        <v>FY2021, RA11518</v>
      </c>
      <c r="V628" s="319" t="str">
        <f>VLOOKUP(H628,'Fund Utilization Report'!$A$4:$U$1800,4,FALSE)</f>
        <v>OO4.1(Acc)</v>
      </c>
      <c r="W628" s="319" t="str">
        <f>VLOOKUP(H628,'Fund Utilization Report'!$A$4:$U$1800,5,FALSE)</f>
        <v>01101101</v>
      </c>
      <c r="X628" s="319" t="str">
        <f>VLOOKUP(H628,'Fund Utilization Report'!$A$4:$U$1800,6,FALSE)</f>
        <v>GOP</v>
      </c>
      <c r="Y628" s="320" t="str">
        <f>VLOOKUP(H628,'Fund Utilization Report'!$A$4:$U$1800,7,FALSE)</f>
        <v>PS</v>
      </c>
      <c r="Z628" s="321">
        <f>VLOOKUP(H628,'Fund Utilization Report'!$A$4:$U$1800,8,FALSE)</f>
        <v>5010000000</v>
      </c>
      <c r="AA628" s="319" t="str">
        <f>VLOOKUP(H628,'Fund Utilization Report'!$A$4:$U$1800,14,FALSE)</f>
        <v>340100100003000</v>
      </c>
      <c r="AB628" s="349" t="str">
        <f>VLOOKUP(H628,'Fund Utilization Report'!$A$4:$U$1800,15,FALSE)</f>
        <v>Accreditation and Issuance of Business Licenses, Permits, registration and authorities</v>
      </c>
      <c r="AC628" s="39"/>
      <c r="AD628" s="34"/>
      <c r="AE628" s="39"/>
      <c r="AF628" s="51"/>
      <c r="AG628" s="40"/>
      <c r="AH628" s="40"/>
    </row>
    <row r="629" spans="1:34" s="32" customFormat="1" ht="27.6">
      <c r="A629" s="338" t="s">
        <v>942</v>
      </c>
      <c r="B629" s="338" t="s">
        <v>945</v>
      </c>
      <c r="C629" s="358">
        <v>44238</v>
      </c>
      <c r="D629" s="351" t="s">
        <v>1028</v>
      </c>
      <c r="E629" s="352" t="s">
        <v>1159</v>
      </c>
      <c r="F629" s="338">
        <v>0.48194444444444445</v>
      </c>
      <c r="G629" s="338">
        <v>0.4861111111111111</v>
      </c>
      <c r="H629" s="338" t="s">
        <v>976</v>
      </c>
      <c r="I629" s="353">
        <v>711</v>
      </c>
      <c r="J629" s="338" t="str">
        <f>IFERROR(VLOOKUP(I629,'Chart of accounts'!A:H,2,FALSE),"")</f>
        <v>50102010 01</v>
      </c>
      <c r="K629" s="338" t="str">
        <f>IFERROR(VLOOKUP(I629,'Chart of accounts'!A:H,3,FALSE),"")</f>
        <v>PERA - Civilian</v>
      </c>
      <c r="L629" s="338" t="str">
        <f>IFERROR(VLOOKUP(I629,'Chart of accounts'!A:H,4,FALSE),"")</f>
        <v>50102010 01 - PERA - Civilian (711)</v>
      </c>
      <c r="M629" s="361">
        <v>2</v>
      </c>
      <c r="N629" s="355" t="s">
        <v>789</v>
      </c>
      <c r="O629" s="355" t="s">
        <v>1113</v>
      </c>
      <c r="P629" s="355"/>
      <c r="Q629" s="363">
        <v>2000</v>
      </c>
      <c r="R629" s="319">
        <f t="shared" si="10"/>
        <v>-2000</v>
      </c>
      <c r="S629" s="319" t="str">
        <f>VLOOKUP(H629,'Fund Utilization Report'!$A$4:$U$1800,13,FALSE)</f>
        <v>PS</v>
      </c>
      <c r="T629" s="319" t="str">
        <f>VLOOKUP(H629,'Fund Utilization Report'!$A$4:$U$1800,2,FALSE)</f>
        <v>GAA</v>
      </c>
      <c r="U629" s="319" t="str">
        <f>VLOOKUP(H629,'Fund Utilization Report'!$A$4:$U$1800,3,FALSE)</f>
        <v>FY2021, RA11518</v>
      </c>
      <c r="V629" s="319" t="str">
        <f>VLOOKUP(H629,'Fund Utilization Report'!$A$4:$U$1800,4,FALSE)</f>
        <v>OO4.1(Acc)</v>
      </c>
      <c r="W629" s="319" t="str">
        <f>VLOOKUP(H629,'Fund Utilization Report'!$A$4:$U$1800,5,FALSE)</f>
        <v>01101101</v>
      </c>
      <c r="X629" s="319" t="str">
        <f>VLOOKUP(H629,'Fund Utilization Report'!$A$4:$U$1800,6,FALSE)</f>
        <v>GOP</v>
      </c>
      <c r="Y629" s="320" t="str">
        <f>VLOOKUP(H629,'Fund Utilization Report'!$A$4:$U$1800,7,FALSE)</f>
        <v>PS</v>
      </c>
      <c r="Z629" s="321">
        <f>VLOOKUP(H629,'Fund Utilization Report'!$A$4:$U$1800,8,FALSE)</f>
        <v>5010000000</v>
      </c>
      <c r="AA629" s="319" t="str">
        <f>VLOOKUP(H629,'Fund Utilization Report'!$A$4:$U$1800,14,FALSE)</f>
        <v>340100100003000</v>
      </c>
      <c r="AB629" s="349" t="str">
        <f>VLOOKUP(H629,'Fund Utilization Report'!$A$4:$U$1800,15,FALSE)</f>
        <v>Accreditation and Issuance of Business Licenses, Permits, registration and authorities</v>
      </c>
      <c r="AC629" s="39"/>
      <c r="AD629" s="34"/>
      <c r="AE629" s="39"/>
      <c r="AF629" s="51"/>
      <c r="AG629" s="40"/>
      <c r="AH629" s="40"/>
    </row>
    <row r="630" spans="1:34" s="32" customFormat="1" ht="27.6">
      <c r="A630" s="338" t="s">
        <v>942</v>
      </c>
      <c r="B630" s="338" t="s">
        <v>945</v>
      </c>
      <c r="C630" s="358">
        <v>44238</v>
      </c>
      <c r="D630" s="351" t="s">
        <v>1028</v>
      </c>
      <c r="E630" s="352" t="s">
        <v>1159</v>
      </c>
      <c r="F630" s="338">
        <v>0.48194444444444445</v>
      </c>
      <c r="G630" s="338">
        <v>0.4861111111111111</v>
      </c>
      <c r="H630" s="338" t="s">
        <v>978</v>
      </c>
      <c r="I630" s="353">
        <v>731</v>
      </c>
      <c r="J630" s="338" t="str">
        <f>IFERROR(VLOOKUP(I630,'Chart of accounts'!A:H,2,FALSE),"")</f>
        <v>50103010 00</v>
      </c>
      <c r="K630" s="338" t="str">
        <f>IFERROR(VLOOKUP(I630,'Chart of accounts'!A:H,3,FALSE),"")</f>
        <v>Retirement and Life Insurance Premiums</v>
      </c>
      <c r="L630" s="338" t="str">
        <f>IFERROR(VLOOKUP(I630,'Chart of accounts'!A:H,4,FALSE),"")</f>
        <v>50103010 00 - Retirement and Life Insurance Premiums (731)</v>
      </c>
      <c r="M630" s="361">
        <v>2</v>
      </c>
      <c r="N630" s="355" t="s">
        <v>789</v>
      </c>
      <c r="O630" s="355" t="s">
        <v>1113</v>
      </c>
      <c r="P630" s="355"/>
      <c r="Q630" s="363">
        <v>5241.72</v>
      </c>
      <c r="R630" s="319">
        <f t="shared" si="10"/>
        <v>-5241.72</v>
      </c>
      <c r="S630" s="319" t="str">
        <f>VLOOKUP(H630,'Fund Utilization Report'!$A$4:$U$1800,13,FALSE)</f>
        <v>PS</v>
      </c>
      <c r="T630" s="319" t="str">
        <f>VLOOKUP(H630,'Fund Utilization Report'!$A$4:$U$1800,2,FALSE)</f>
        <v>GAA</v>
      </c>
      <c r="U630" s="319" t="str">
        <f>VLOOKUP(H630,'Fund Utilization Report'!$A$4:$U$1800,3,FALSE)</f>
        <v>FY2021, RA11518</v>
      </c>
      <c r="V630" s="319" t="str">
        <f>VLOOKUP(H630,'Fund Utilization Report'!$A$4:$U$1800,4,FALSE)</f>
        <v>OO4.1(Acc)</v>
      </c>
      <c r="W630" s="319" t="str">
        <f>VLOOKUP(H630,'Fund Utilization Report'!$A$4:$U$1800,5,FALSE)</f>
        <v>01101101</v>
      </c>
      <c r="X630" s="319" t="str">
        <f>VLOOKUP(H630,'Fund Utilization Report'!$A$4:$U$1800,6,FALSE)</f>
        <v>GOP</v>
      </c>
      <c r="Y630" s="320" t="str">
        <f>VLOOKUP(H630,'Fund Utilization Report'!$A$4:$U$1800,7,FALSE)</f>
        <v>RLIP</v>
      </c>
      <c r="Z630" s="321" t="str">
        <f>VLOOKUP(H630,'Fund Utilization Report'!$A$4:$U$1800,8,FALSE)</f>
        <v>50103010-00</v>
      </c>
      <c r="AA630" s="319" t="str">
        <f>VLOOKUP(H630,'Fund Utilization Report'!$A$4:$U$1800,14,FALSE)</f>
        <v>340100100003000</v>
      </c>
      <c r="AB630" s="349" t="str">
        <f>VLOOKUP(H630,'Fund Utilization Report'!$A$4:$U$1800,15,FALSE)</f>
        <v>Accreditation and Issuance of Business Licenses, Permits, registration and authorities</v>
      </c>
      <c r="AC630" s="39"/>
      <c r="AD630" s="34"/>
      <c r="AE630" s="39"/>
      <c r="AF630" s="51"/>
      <c r="AG630" s="40"/>
      <c r="AH630" s="40"/>
    </row>
    <row r="631" spans="1:34" s="32" customFormat="1" ht="27.6">
      <c r="A631" s="338" t="s">
        <v>942</v>
      </c>
      <c r="B631" s="338" t="s">
        <v>945</v>
      </c>
      <c r="C631" s="358">
        <v>44238</v>
      </c>
      <c r="D631" s="351" t="s">
        <v>1028</v>
      </c>
      <c r="E631" s="352" t="s">
        <v>1159</v>
      </c>
      <c r="F631" s="338">
        <v>0.48194444444444445</v>
      </c>
      <c r="G631" s="338">
        <v>0.4861111111111111</v>
      </c>
      <c r="H631" s="338" t="s">
        <v>976</v>
      </c>
      <c r="I631" s="353">
        <v>732</v>
      </c>
      <c r="J631" s="338" t="str">
        <f>IFERROR(VLOOKUP(I631,'Chart of accounts'!A:H,2,FALSE),"")</f>
        <v>50103020 01</v>
      </c>
      <c r="K631" s="338" t="str">
        <f>IFERROR(VLOOKUP(I631,'Chart of accounts'!A:H,3,FALSE),"")</f>
        <v>Pag-IBIG - Civilian</v>
      </c>
      <c r="L631" s="338" t="str">
        <f>IFERROR(VLOOKUP(I631,'Chart of accounts'!A:H,4,FALSE),"")</f>
        <v>50103020 01 - Pag-IBIG - Civilian (732)</v>
      </c>
      <c r="M631" s="361">
        <v>2</v>
      </c>
      <c r="N631" s="355" t="s">
        <v>789</v>
      </c>
      <c r="O631" s="355" t="s">
        <v>1113</v>
      </c>
      <c r="P631" s="355"/>
      <c r="Q631" s="363">
        <v>100</v>
      </c>
      <c r="R631" s="319">
        <f t="shared" si="10"/>
        <v>-100</v>
      </c>
      <c r="S631" s="319" t="str">
        <f>VLOOKUP(H631,'Fund Utilization Report'!$A$4:$U$1800,13,FALSE)</f>
        <v>PS</v>
      </c>
      <c r="T631" s="319" t="str">
        <f>VLOOKUP(H631,'Fund Utilization Report'!$A$4:$U$1800,2,FALSE)</f>
        <v>GAA</v>
      </c>
      <c r="U631" s="319" t="str">
        <f>VLOOKUP(H631,'Fund Utilization Report'!$A$4:$U$1800,3,FALSE)</f>
        <v>FY2021, RA11518</v>
      </c>
      <c r="V631" s="319" t="str">
        <f>VLOOKUP(H631,'Fund Utilization Report'!$A$4:$U$1800,4,FALSE)</f>
        <v>OO4.1(Acc)</v>
      </c>
      <c r="W631" s="319" t="str">
        <f>VLOOKUP(H631,'Fund Utilization Report'!$A$4:$U$1800,5,FALSE)</f>
        <v>01101101</v>
      </c>
      <c r="X631" s="319" t="str">
        <f>VLOOKUP(H631,'Fund Utilization Report'!$A$4:$U$1800,6,FALSE)</f>
        <v>GOP</v>
      </c>
      <c r="Y631" s="320" t="str">
        <f>VLOOKUP(H631,'Fund Utilization Report'!$A$4:$U$1800,7,FALSE)</f>
        <v>PS</v>
      </c>
      <c r="Z631" s="321">
        <f>VLOOKUP(H631,'Fund Utilization Report'!$A$4:$U$1800,8,FALSE)</f>
        <v>5010000000</v>
      </c>
      <c r="AA631" s="319" t="str">
        <f>VLOOKUP(H631,'Fund Utilization Report'!$A$4:$U$1800,14,FALSE)</f>
        <v>340100100003000</v>
      </c>
      <c r="AB631" s="349" t="str">
        <f>VLOOKUP(H631,'Fund Utilization Report'!$A$4:$U$1800,15,FALSE)</f>
        <v>Accreditation and Issuance of Business Licenses, Permits, registration and authorities</v>
      </c>
      <c r="AC631" s="39"/>
      <c r="AD631" s="34"/>
      <c r="AE631" s="39"/>
      <c r="AF631" s="51"/>
      <c r="AG631" s="40"/>
      <c r="AH631" s="40"/>
    </row>
    <row r="632" spans="1:34" s="32" customFormat="1" ht="27.6">
      <c r="A632" s="338" t="s">
        <v>942</v>
      </c>
      <c r="B632" s="338" t="s">
        <v>945</v>
      </c>
      <c r="C632" s="358">
        <v>44238</v>
      </c>
      <c r="D632" s="351" t="s">
        <v>1028</v>
      </c>
      <c r="E632" s="352" t="s">
        <v>1159</v>
      </c>
      <c r="F632" s="338">
        <v>0.48194444444444445</v>
      </c>
      <c r="G632" s="338">
        <v>0.4861111111111111</v>
      </c>
      <c r="H632" s="338" t="s">
        <v>976</v>
      </c>
      <c r="I632" s="353">
        <v>733</v>
      </c>
      <c r="J632" s="338" t="str">
        <f>IFERROR(VLOOKUP(I632,'Chart of accounts'!A:H,2,FALSE),"")</f>
        <v>50103030 01</v>
      </c>
      <c r="K632" s="338" t="str">
        <f>IFERROR(VLOOKUP(I632,'Chart of accounts'!A:H,3,FALSE),"")</f>
        <v>PhilHealth - Civilian</v>
      </c>
      <c r="L632" s="338" t="str">
        <f>IFERROR(VLOOKUP(I632,'Chart of accounts'!A:H,4,FALSE),"")</f>
        <v>50103030 01 - PhilHealth - Civilian (733)</v>
      </c>
      <c r="M632" s="361">
        <v>2</v>
      </c>
      <c r="N632" s="355" t="s">
        <v>789</v>
      </c>
      <c r="O632" s="355" t="s">
        <v>1113</v>
      </c>
      <c r="P632" s="355"/>
      <c r="Q632" s="363">
        <v>655.22</v>
      </c>
      <c r="R632" s="319">
        <f t="shared" si="10"/>
        <v>-655.22</v>
      </c>
      <c r="S632" s="319" t="str">
        <f>VLOOKUP(H632,'Fund Utilization Report'!$A$4:$U$1800,13,FALSE)</f>
        <v>PS</v>
      </c>
      <c r="T632" s="319" t="str">
        <f>VLOOKUP(H632,'Fund Utilization Report'!$A$4:$U$1800,2,FALSE)</f>
        <v>GAA</v>
      </c>
      <c r="U632" s="319" t="str">
        <f>VLOOKUP(H632,'Fund Utilization Report'!$A$4:$U$1800,3,FALSE)</f>
        <v>FY2021, RA11518</v>
      </c>
      <c r="V632" s="319" t="str">
        <f>VLOOKUP(H632,'Fund Utilization Report'!$A$4:$U$1800,4,FALSE)</f>
        <v>OO4.1(Acc)</v>
      </c>
      <c r="W632" s="319" t="str">
        <f>VLOOKUP(H632,'Fund Utilization Report'!$A$4:$U$1800,5,FALSE)</f>
        <v>01101101</v>
      </c>
      <c r="X632" s="319" t="str">
        <f>VLOOKUP(H632,'Fund Utilization Report'!$A$4:$U$1800,6,FALSE)</f>
        <v>GOP</v>
      </c>
      <c r="Y632" s="320" t="str">
        <f>VLOOKUP(H632,'Fund Utilization Report'!$A$4:$U$1800,7,FALSE)</f>
        <v>PS</v>
      </c>
      <c r="Z632" s="321">
        <f>VLOOKUP(H632,'Fund Utilization Report'!$A$4:$U$1800,8,FALSE)</f>
        <v>5010000000</v>
      </c>
      <c r="AA632" s="319" t="str">
        <f>VLOOKUP(H632,'Fund Utilization Report'!$A$4:$U$1800,14,FALSE)</f>
        <v>340100100003000</v>
      </c>
      <c r="AB632" s="349" t="str">
        <f>VLOOKUP(H632,'Fund Utilization Report'!$A$4:$U$1800,15,FALSE)</f>
        <v>Accreditation and Issuance of Business Licenses, Permits, registration and authorities</v>
      </c>
      <c r="AC632" s="39"/>
      <c r="AD632" s="34"/>
      <c r="AE632" s="39"/>
      <c r="AF632" s="51"/>
      <c r="AG632" s="40"/>
      <c r="AH632" s="40"/>
    </row>
    <row r="633" spans="1:34" s="32" customFormat="1" ht="27.6">
      <c r="A633" s="338" t="s">
        <v>942</v>
      </c>
      <c r="B633" s="338" t="s">
        <v>945</v>
      </c>
      <c r="C633" s="358">
        <v>44238</v>
      </c>
      <c r="D633" s="351" t="s">
        <v>1028</v>
      </c>
      <c r="E633" s="352" t="s">
        <v>1159</v>
      </c>
      <c r="F633" s="338">
        <v>0.48194444444444445</v>
      </c>
      <c r="G633" s="338">
        <v>0.4861111111111111</v>
      </c>
      <c r="H633" s="338" t="s">
        <v>976</v>
      </c>
      <c r="I633" s="353">
        <v>734</v>
      </c>
      <c r="J633" s="338" t="str">
        <f>IFERROR(VLOOKUP(I633,'Chart of accounts'!A:H,2,FALSE),"")</f>
        <v>50103040 01</v>
      </c>
      <c r="K633" s="338" t="str">
        <f>IFERROR(VLOOKUP(I633,'Chart of accounts'!A:H,3,FALSE),"")</f>
        <v>ECIP - Civilian</v>
      </c>
      <c r="L633" s="338" t="str">
        <f>IFERROR(VLOOKUP(I633,'Chart of accounts'!A:H,4,FALSE),"")</f>
        <v>50103040 01 - ECIP - Civilian (734)</v>
      </c>
      <c r="M633" s="361">
        <v>2</v>
      </c>
      <c r="N633" s="355" t="s">
        <v>789</v>
      </c>
      <c r="O633" s="355" t="s">
        <v>1113</v>
      </c>
      <c r="P633" s="355"/>
      <c r="Q633" s="363">
        <v>100</v>
      </c>
      <c r="R633" s="319">
        <f t="shared" si="10"/>
        <v>-100</v>
      </c>
      <c r="S633" s="319" t="str">
        <f>VLOOKUP(H633,'Fund Utilization Report'!$A$4:$U$1800,13,FALSE)</f>
        <v>PS</v>
      </c>
      <c r="T633" s="319" t="str">
        <f>VLOOKUP(H633,'Fund Utilization Report'!$A$4:$U$1800,2,FALSE)</f>
        <v>GAA</v>
      </c>
      <c r="U633" s="319" t="str">
        <f>VLOOKUP(H633,'Fund Utilization Report'!$A$4:$U$1800,3,FALSE)</f>
        <v>FY2021, RA11518</v>
      </c>
      <c r="V633" s="319" t="str">
        <f>VLOOKUP(H633,'Fund Utilization Report'!$A$4:$U$1800,4,FALSE)</f>
        <v>OO4.1(Acc)</v>
      </c>
      <c r="W633" s="319" t="str">
        <f>VLOOKUP(H633,'Fund Utilization Report'!$A$4:$U$1800,5,FALSE)</f>
        <v>01101101</v>
      </c>
      <c r="X633" s="319" t="str">
        <f>VLOOKUP(H633,'Fund Utilization Report'!$A$4:$U$1800,6,FALSE)</f>
        <v>GOP</v>
      </c>
      <c r="Y633" s="320" t="str">
        <f>VLOOKUP(H633,'Fund Utilization Report'!$A$4:$U$1800,7,FALSE)</f>
        <v>PS</v>
      </c>
      <c r="Z633" s="321">
        <f>VLOOKUP(H633,'Fund Utilization Report'!$A$4:$U$1800,8,FALSE)</f>
        <v>5010000000</v>
      </c>
      <c r="AA633" s="319" t="str">
        <f>VLOOKUP(H633,'Fund Utilization Report'!$A$4:$U$1800,14,FALSE)</f>
        <v>340100100003000</v>
      </c>
      <c r="AB633" s="349" t="str">
        <f>VLOOKUP(H633,'Fund Utilization Report'!$A$4:$U$1800,15,FALSE)</f>
        <v>Accreditation and Issuance of Business Licenses, Permits, registration and authorities</v>
      </c>
      <c r="AC633" s="39"/>
      <c r="AD633" s="34"/>
      <c r="AE633" s="39"/>
      <c r="AF633" s="51"/>
      <c r="AG633" s="40"/>
      <c r="AH633" s="40"/>
    </row>
    <row r="634" spans="1:34" s="32" customFormat="1" ht="27.6">
      <c r="A634" s="338" t="s">
        <v>942</v>
      </c>
      <c r="B634" s="338" t="s">
        <v>945</v>
      </c>
      <c r="C634" s="358">
        <v>44238</v>
      </c>
      <c r="D634" s="351" t="s">
        <v>1028</v>
      </c>
      <c r="E634" s="352" t="s">
        <v>1160</v>
      </c>
      <c r="F634" s="338">
        <v>0.4861111111111111</v>
      </c>
      <c r="G634" s="338">
        <v>0.48749999999999999</v>
      </c>
      <c r="H634" s="338" t="s">
        <v>999</v>
      </c>
      <c r="I634" s="353">
        <v>706</v>
      </c>
      <c r="J634" s="338" t="str">
        <f>IFERROR(VLOOKUP(I634,'Chart of accounts'!A:H,2,FALSE),"")</f>
        <v>50101020 00</v>
      </c>
      <c r="K634" s="338" t="str">
        <f>IFERROR(VLOOKUP(I634,'Chart of accounts'!A:H,3,FALSE),"")</f>
        <v>Basic Salary - Contractual</v>
      </c>
      <c r="L634" s="338" t="str">
        <f>IFERROR(VLOOKUP(I634,'Chart of accounts'!A:H,4,FALSE),"")</f>
        <v>50101020 00 - Basic Salary - Contractual (706)</v>
      </c>
      <c r="M634" s="361">
        <v>2</v>
      </c>
      <c r="N634" s="355" t="s">
        <v>789</v>
      </c>
      <c r="O634" s="355" t="s">
        <v>1125</v>
      </c>
      <c r="P634" s="355"/>
      <c r="Q634" s="363">
        <v>77256</v>
      </c>
      <c r="R634" s="319">
        <f t="shared" si="10"/>
        <v>-77256</v>
      </c>
      <c r="S634" s="319" t="str">
        <f>VLOOKUP(H634,'Fund Utilization Report'!$A$4:$U$1800,13,FALSE)</f>
        <v>PS</v>
      </c>
      <c r="T634" s="319" t="str">
        <f>VLOOKUP(H634,'Fund Utilization Report'!$A$4:$U$1800,2,FALSE)</f>
        <v>SAA15</v>
      </c>
      <c r="U634" s="319" t="str">
        <f>VLOOKUP(H634,'Fund Utilization Report'!$A$4:$U$1800,3,FALSE)</f>
        <v>2021-01-0015</v>
      </c>
      <c r="V634" s="319" t="str">
        <f>VLOOKUP(H634,'Fund Utilization Report'!$A$4:$U$1800,4,FALSE)</f>
        <v>CARP</v>
      </c>
      <c r="W634" s="319" t="str">
        <f>VLOOKUP(H634,'Fund Utilization Report'!$A$4:$U$1800,5,FALSE)</f>
        <v>01101101</v>
      </c>
      <c r="X634" s="319" t="str">
        <f>VLOOKUP(H634,'Fund Utilization Report'!$A$4:$U$1800,6,FALSE)</f>
        <v>GOP</v>
      </c>
      <c r="Y634" s="320">
        <f>VLOOKUP(H634,'Fund Utilization Report'!$A$4:$U$1800,7,FALSE)</f>
        <v>706</v>
      </c>
      <c r="Z634" s="321" t="str">
        <f>VLOOKUP(H634,'Fund Utilization Report'!$A$4:$U$1800,8,FALSE)</f>
        <v>50101020 00</v>
      </c>
      <c r="AA634" s="319" t="str">
        <f>VLOOKUP(H634,'Fund Utilization Report'!$A$4:$U$1800,14,FALSE)</f>
        <v>330100100003000</v>
      </c>
      <c r="AB634" s="349" t="str">
        <f>VLOOKUP(H634,'Fund Utilization Report'!$A$4:$U$1800,15,FALSE)</f>
        <v>MSME Development Program : Program Beneficiaries Development Component of the Comprehensive Agrarian Reform Program</v>
      </c>
      <c r="AC634" s="39"/>
      <c r="AD634" s="34"/>
      <c r="AE634" s="39"/>
      <c r="AF634" s="51"/>
      <c r="AG634" s="40"/>
      <c r="AH634" s="40"/>
    </row>
    <row r="635" spans="1:34" s="32" customFormat="1" ht="27.6">
      <c r="A635" s="338" t="s">
        <v>942</v>
      </c>
      <c r="B635" s="338" t="s">
        <v>945</v>
      </c>
      <c r="C635" s="358">
        <v>44238</v>
      </c>
      <c r="D635" s="351" t="s">
        <v>1028</v>
      </c>
      <c r="E635" s="352" t="s">
        <v>1160</v>
      </c>
      <c r="F635" s="338">
        <v>0.4861111111111111</v>
      </c>
      <c r="G635" s="338">
        <v>0.48749999999999999</v>
      </c>
      <c r="H635" s="338" t="s">
        <v>999</v>
      </c>
      <c r="I635" s="353">
        <v>711</v>
      </c>
      <c r="J635" s="338" t="str">
        <f>IFERROR(VLOOKUP(I635,'Chart of accounts'!A:H,2,FALSE),"")</f>
        <v>50102010 01</v>
      </c>
      <c r="K635" s="338" t="str">
        <f>IFERROR(VLOOKUP(I635,'Chart of accounts'!A:H,3,FALSE),"")</f>
        <v>PERA - Civilian</v>
      </c>
      <c r="L635" s="338" t="str">
        <f>IFERROR(VLOOKUP(I635,'Chart of accounts'!A:H,4,FALSE),"")</f>
        <v>50102010 01 - PERA - Civilian (711)</v>
      </c>
      <c r="M635" s="361">
        <v>2</v>
      </c>
      <c r="N635" s="355" t="s">
        <v>789</v>
      </c>
      <c r="O635" s="355" t="s">
        <v>1125</v>
      </c>
      <c r="P635" s="355"/>
      <c r="Q635" s="363">
        <v>4000</v>
      </c>
      <c r="R635" s="319">
        <f t="shared" si="10"/>
        <v>-4000</v>
      </c>
      <c r="S635" s="319" t="str">
        <f>VLOOKUP(H635,'Fund Utilization Report'!$A$4:$U$1800,13,FALSE)</f>
        <v>PS</v>
      </c>
      <c r="T635" s="319" t="str">
        <f>VLOOKUP(H635,'Fund Utilization Report'!$A$4:$U$1800,2,FALSE)</f>
        <v>SAA15</v>
      </c>
      <c r="U635" s="319" t="str">
        <f>VLOOKUP(H635,'Fund Utilization Report'!$A$4:$U$1800,3,FALSE)</f>
        <v>2021-01-0015</v>
      </c>
      <c r="V635" s="319" t="str">
        <f>VLOOKUP(H635,'Fund Utilization Report'!$A$4:$U$1800,4,FALSE)</f>
        <v>CARP</v>
      </c>
      <c r="W635" s="319" t="str">
        <f>VLOOKUP(H635,'Fund Utilization Report'!$A$4:$U$1800,5,FALSE)</f>
        <v>01101101</v>
      </c>
      <c r="X635" s="319" t="str">
        <f>VLOOKUP(H635,'Fund Utilization Report'!$A$4:$U$1800,6,FALSE)</f>
        <v>GOP</v>
      </c>
      <c r="Y635" s="320">
        <f>VLOOKUP(H635,'Fund Utilization Report'!$A$4:$U$1800,7,FALSE)</f>
        <v>706</v>
      </c>
      <c r="Z635" s="321" t="str">
        <f>VLOOKUP(H635,'Fund Utilization Report'!$A$4:$U$1800,8,FALSE)</f>
        <v>50101020 00</v>
      </c>
      <c r="AA635" s="319" t="str">
        <f>VLOOKUP(H635,'Fund Utilization Report'!$A$4:$U$1800,14,FALSE)</f>
        <v>330100100003000</v>
      </c>
      <c r="AB635" s="349" t="str">
        <f>VLOOKUP(H635,'Fund Utilization Report'!$A$4:$U$1800,15,FALSE)</f>
        <v>MSME Development Program : Program Beneficiaries Development Component of the Comprehensive Agrarian Reform Program</v>
      </c>
      <c r="AC635" s="39"/>
      <c r="AD635" s="34"/>
      <c r="AE635" s="39"/>
      <c r="AF635" s="51"/>
      <c r="AG635" s="40"/>
      <c r="AH635" s="40"/>
    </row>
    <row r="636" spans="1:34" s="32" customFormat="1" ht="27.6">
      <c r="A636" s="338" t="s">
        <v>942</v>
      </c>
      <c r="B636" s="338" t="s">
        <v>945</v>
      </c>
      <c r="C636" s="358">
        <v>44238</v>
      </c>
      <c r="D636" s="351" t="s">
        <v>1028</v>
      </c>
      <c r="E636" s="352" t="s">
        <v>1160</v>
      </c>
      <c r="F636" s="338">
        <v>0.4861111111111111</v>
      </c>
      <c r="G636" s="338">
        <v>0.48749999999999999</v>
      </c>
      <c r="H636" s="338" t="s">
        <v>999</v>
      </c>
      <c r="I636" s="353">
        <v>731</v>
      </c>
      <c r="J636" s="338" t="str">
        <f>IFERROR(VLOOKUP(I636,'Chart of accounts'!A:H,2,FALSE),"")</f>
        <v>50103010 00</v>
      </c>
      <c r="K636" s="338" t="str">
        <f>IFERROR(VLOOKUP(I636,'Chart of accounts'!A:H,3,FALSE),"")</f>
        <v>Retirement and Life Insurance Premiums</v>
      </c>
      <c r="L636" s="338" t="str">
        <f>IFERROR(VLOOKUP(I636,'Chart of accounts'!A:H,4,FALSE),"")</f>
        <v>50103010 00 - Retirement and Life Insurance Premiums (731)</v>
      </c>
      <c r="M636" s="361">
        <v>2</v>
      </c>
      <c r="N636" s="355" t="s">
        <v>789</v>
      </c>
      <c r="O636" s="355" t="s">
        <v>1125</v>
      </c>
      <c r="P636" s="355"/>
      <c r="Q636" s="363">
        <v>9270.7199999999993</v>
      </c>
      <c r="R636" s="319">
        <f t="shared" si="10"/>
        <v>-9270.7199999999993</v>
      </c>
      <c r="S636" s="319" t="str">
        <f>VLOOKUP(H636,'Fund Utilization Report'!$A$4:$U$1800,13,FALSE)</f>
        <v>PS</v>
      </c>
      <c r="T636" s="319" t="str">
        <f>VLOOKUP(H636,'Fund Utilization Report'!$A$4:$U$1800,2,FALSE)</f>
        <v>SAA15</v>
      </c>
      <c r="U636" s="319" t="str">
        <f>VLOOKUP(H636,'Fund Utilization Report'!$A$4:$U$1800,3,FALSE)</f>
        <v>2021-01-0015</v>
      </c>
      <c r="V636" s="319" t="str">
        <f>VLOOKUP(H636,'Fund Utilization Report'!$A$4:$U$1800,4,FALSE)</f>
        <v>CARP</v>
      </c>
      <c r="W636" s="319" t="str">
        <f>VLOOKUP(H636,'Fund Utilization Report'!$A$4:$U$1800,5,FALSE)</f>
        <v>01101101</v>
      </c>
      <c r="X636" s="319" t="str">
        <f>VLOOKUP(H636,'Fund Utilization Report'!$A$4:$U$1800,6,FALSE)</f>
        <v>GOP</v>
      </c>
      <c r="Y636" s="320">
        <f>VLOOKUP(H636,'Fund Utilization Report'!$A$4:$U$1800,7,FALSE)</f>
        <v>706</v>
      </c>
      <c r="Z636" s="321" t="str">
        <f>VLOOKUP(H636,'Fund Utilization Report'!$A$4:$U$1800,8,FALSE)</f>
        <v>50101020 00</v>
      </c>
      <c r="AA636" s="319" t="str">
        <f>VLOOKUP(H636,'Fund Utilization Report'!$A$4:$U$1800,14,FALSE)</f>
        <v>330100100003000</v>
      </c>
      <c r="AB636" s="349" t="str">
        <f>VLOOKUP(H636,'Fund Utilization Report'!$A$4:$U$1800,15,FALSE)</f>
        <v>MSME Development Program : Program Beneficiaries Development Component of the Comprehensive Agrarian Reform Program</v>
      </c>
      <c r="AC636" s="39"/>
      <c r="AD636" s="34"/>
      <c r="AE636" s="39"/>
      <c r="AF636" s="51"/>
      <c r="AG636" s="40"/>
      <c r="AH636" s="40"/>
    </row>
    <row r="637" spans="1:34" s="32" customFormat="1" ht="27.6">
      <c r="A637" s="338" t="s">
        <v>942</v>
      </c>
      <c r="B637" s="338" t="s">
        <v>945</v>
      </c>
      <c r="C637" s="358">
        <v>44238</v>
      </c>
      <c r="D637" s="351" t="s">
        <v>1028</v>
      </c>
      <c r="E637" s="352" t="s">
        <v>1160</v>
      </c>
      <c r="F637" s="338">
        <v>0.4861111111111111</v>
      </c>
      <c r="G637" s="338">
        <v>0.48749999999999999</v>
      </c>
      <c r="H637" s="338" t="s">
        <v>999</v>
      </c>
      <c r="I637" s="353">
        <v>732</v>
      </c>
      <c r="J637" s="338" t="str">
        <f>IFERROR(VLOOKUP(I637,'Chart of accounts'!A:H,2,FALSE),"")</f>
        <v>50103020 01</v>
      </c>
      <c r="K637" s="338" t="str">
        <f>IFERROR(VLOOKUP(I637,'Chart of accounts'!A:H,3,FALSE),"")</f>
        <v>Pag-IBIG - Civilian</v>
      </c>
      <c r="L637" s="338" t="str">
        <f>IFERROR(VLOOKUP(I637,'Chart of accounts'!A:H,4,FALSE),"")</f>
        <v>50103020 01 - Pag-IBIG - Civilian (732)</v>
      </c>
      <c r="M637" s="361">
        <v>2</v>
      </c>
      <c r="N637" s="355" t="s">
        <v>789</v>
      </c>
      <c r="O637" s="355" t="s">
        <v>1125</v>
      </c>
      <c r="P637" s="355"/>
      <c r="Q637" s="363">
        <v>200</v>
      </c>
      <c r="R637" s="319">
        <f t="shared" si="10"/>
        <v>-200</v>
      </c>
      <c r="S637" s="319" t="str">
        <f>VLOOKUP(H637,'Fund Utilization Report'!$A$4:$U$1800,13,FALSE)</f>
        <v>PS</v>
      </c>
      <c r="T637" s="319" t="str">
        <f>VLOOKUP(H637,'Fund Utilization Report'!$A$4:$U$1800,2,FALSE)</f>
        <v>SAA15</v>
      </c>
      <c r="U637" s="319" t="str">
        <f>VLOOKUP(H637,'Fund Utilization Report'!$A$4:$U$1800,3,FALSE)</f>
        <v>2021-01-0015</v>
      </c>
      <c r="V637" s="319" t="str">
        <f>VLOOKUP(H637,'Fund Utilization Report'!$A$4:$U$1800,4,FALSE)</f>
        <v>CARP</v>
      </c>
      <c r="W637" s="319" t="str">
        <f>VLOOKUP(H637,'Fund Utilization Report'!$A$4:$U$1800,5,FALSE)</f>
        <v>01101101</v>
      </c>
      <c r="X637" s="319" t="str">
        <f>VLOOKUP(H637,'Fund Utilization Report'!$A$4:$U$1800,6,FALSE)</f>
        <v>GOP</v>
      </c>
      <c r="Y637" s="320">
        <f>VLOOKUP(H637,'Fund Utilization Report'!$A$4:$U$1800,7,FALSE)</f>
        <v>706</v>
      </c>
      <c r="Z637" s="321" t="str">
        <f>VLOOKUP(H637,'Fund Utilization Report'!$A$4:$U$1800,8,FALSE)</f>
        <v>50101020 00</v>
      </c>
      <c r="AA637" s="319" t="str">
        <f>VLOOKUP(H637,'Fund Utilization Report'!$A$4:$U$1800,14,FALSE)</f>
        <v>330100100003000</v>
      </c>
      <c r="AB637" s="349" t="str">
        <f>VLOOKUP(H637,'Fund Utilization Report'!$A$4:$U$1800,15,FALSE)</f>
        <v>MSME Development Program : Program Beneficiaries Development Component of the Comprehensive Agrarian Reform Program</v>
      </c>
      <c r="AC637" s="39"/>
      <c r="AD637" s="34"/>
      <c r="AE637" s="39"/>
      <c r="AF637" s="51"/>
      <c r="AG637" s="40"/>
      <c r="AH637" s="40"/>
    </row>
    <row r="638" spans="1:34" s="32" customFormat="1" ht="27.6">
      <c r="A638" s="338" t="s">
        <v>942</v>
      </c>
      <c r="B638" s="338" t="s">
        <v>945</v>
      </c>
      <c r="C638" s="358">
        <v>44238</v>
      </c>
      <c r="D638" s="351" t="s">
        <v>1028</v>
      </c>
      <c r="E638" s="352" t="s">
        <v>1160</v>
      </c>
      <c r="F638" s="338">
        <v>0.4861111111111111</v>
      </c>
      <c r="G638" s="338">
        <v>0.48749999999999999</v>
      </c>
      <c r="H638" s="338" t="s">
        <v>999</v>
      </c>
      <c r="I638" s="353">
        <v>733</v>
      </c>
      <c r="J638" s="338" t="str">
        <f>IFERROR(VLOOKUP(I638,'Chart of accounts'!A:H,2,FALSE),"")</f>
        <v>50103030 01</v>
      </c>
      <c r="K638" s="338" t="str">
        <f>IFERROR(VLOOKUP(I638,'Chart of accounts'!A:H,3,FALSE),"")</f>
        <v>PhilHealth - Civilian</v>
      </c>
      <c r="L638" s="338" t="str">
        <f>IFERROR(VLOOKUP(I638,'Chart of accounts'!A:H,4,FALSE),"")</f>
        <v>50103030 01 - PhilHealth - Civilian (733)</v>
      </c>
      <c r="M638" s="361">
        <v>2</v>
      </c>
      <c r="N638" s="355" t="s">
        <v>789</v>
      </c>
      <c r="O638" s="355" t="s">
        <v>1125</v>
      </c>
      <c r="P638" s="355"/>
      <c r="Q638" s="363">
        <v>1158.8499999999999</v>
      </c>
      <c r="R638" s="319">
        <f t="shared" si="10"/>
        <v>-1158.8499999999999</v>
      </c>
      <c r="S638" s="319" t="str">
        <f>VLOOKUP(H638,'Fund Utilization Report'!$A$4:$U$1800,13,FALSE)</f>
        <v>PS</v>
      </c>
      <c r="T638" s="319" t="str">
        <f>VLOOKUP(H638,'Fund Utilization Report'!$A$4:$U$1800,2,FALSE)</f>
        <v>SAA15</v>
      </c>
      <c r="U638" s="319" t="str">
        <f>VLOOKUP(H638,'Fund Utilization Report'!$A$4:$U$1800,3,FALSE)</f>
        <v>2021-01-0015</v>
      </c>
      <c r="V638" s="319" t="str">
        <f>VLOOKUP(H638,'Fund Utilization Report'!$A$4:$U$1800,4,FALSE)</f>
        <v>CARP</v>
      </c>
      <c r="W638" s="319" t="str">
        <f>VLOOKUP(H638,'Fund Utilization Report'!$A$4:$U$1800,5,FALSE)</f>
        <v>01101101</v>
      </c>
      <c r="X638" s="319" t="str">
        <f>VLOOKUP(H638,'Fund Utilization Report'!$A$4:$U$1800,6,FALSE)</f>
        <v>GOP</v>
      </c>
      <c r="Y638" s="320">
        <f>VLOOKUP(H638,'Fund Utilization Report'!$A$4:$U$1800,7,FALSE)</f>
        <v>706</v>
      </c>
      <c r="Z638" s="321" t="str">
        <f>VLOOKUP(H638,'Fund Utilization Report'!$A$4:$U$1800,8,FALSE)</f>
        <v>50101020 00</v>
      </c>
      <c r="AA638" s="319" t="str">
        <f>VLOOKUP(H638,'Fund Utilization Report'!$A$4:$U$1800,14,FALSE)</f>
        <v>330100100003000</v>
      </c>
      <c r="AB638" s="349" t="str">
        <f>VLOOKUP(H638,'Fund Utilization Report'!$A$4:$U$1800,15,FALSE)</f>
        <v>MSME Development Program : Program Beneficiaries Development Component of the Comprehensive Agrarian Reform Program</v>
      </c>
      <c r="AC638" s="39"/>
      <c r="AD638" s="34"/>
      <c r="AE638" s="39"/>
      <c r="AF638" s="51"/>
      <c r="AG638" s="40"/>
      <c r="AH638" s="40"/>
    </row>
    <row r="639" spans="1:34" s="32" customFormat="1" ht="27.6">
      <c r="A639" s="338" t="s">
        <v>942</v>
      </c>
      <c r="B639" s="338" t="s">
        <v>945</v>
      </c>
      <c r="C639" s="358">
        <v>44238</v>
      </c>
      <c r="D639" s="351" t="s">
        <v>1028</v>
      </c>
      <c r="E639" s="352" t="s">
        <v>1160</v>
      </c>
      <c r="F639" s="338">
        <v>0.4861111111111111</v>
      </c>
      <c r="G639" s="338">
        <v>0.48749999999999999</v>
      </c>
      <c r="H639" s="338" t="s">
        <v>999</v>
      </c>
      <c r="I639" s="353">
        <v>734</v>
      </c>
      <c r="J639" s="338" t="str">
        <f>IFERROR(VLOOKUP(I639,'Chart of accounts'!A:H,2,FALSE),"")</f>
        <v>50103040 01</v>
      </c>
      <c r="K639" s="338" t="str">
        <f>IFERROR(VLOOKUP(I639,'Chart of accounts'!A:H,3,FALSE),"")</f>
        <v>ECIP - Civilian</v>
      </c>
      <c r="L639" s="338" t="str">
        <f>IFERROR(VLOOKUP(I639,'Chart of accounts'!A:H,4,FALSE),"")</f>
        <v>50103040 01 - ECIP - Civilian (734)</v>
      </c>
      <c r="M639" s="361">
        <v>2</v>
      </c>
      <c r="N639" s="355" t="s">
        <v>789</v>
      </c>
      <c r="O639" s="355" t="s">
        <v>1125</v>
      </c>
      <c r="P639" s="355"/>
      <c r="Q639" s="363">
        <v>200</v>
      </c>
      <c r="R639" s="319">
        <f t="shared" si="10"/>
        <v>-200</v>
      </c>
      <c r="S639" s="319" t="str">
        <f>VLOOKUP(H639,'Fund Utilization Report'!$A$4:$U$1800,13,FALSE)</f>
        <v>PS</v>
      </c>
      <c r="T639" s="319" t="str">
        <f>VLOOKUP(H639,'Fund Utilization Report'!$A$4:$U$1800,2,FALSE)</f>
        <v>SAA15</v>
      </c>
      <c r="U639" s="319" t="str">
        <f>VLOOKUP(H639,'Fund Utilization Report'!$A$4:$U$1800,3,FALSE)</f>
        <v>2021-01-0015</v>
      </c>
      <c r="V639" s="319" t="str">
        <f>VLOOKUP(H639,'Fund Utilization Report'!$A$4:$U$1800,4,FALSE)</f>
        <v>CARP</v>
      </c>
      <c r="W639" s="319" t="str">
        <f>VLOOKUP(H639,'Fund Utilization Report'!$A$4:$U$1800,5,FALSE)</f>
        <v>01101101</v>
      </c>
      <c r="X639" s="319" t="str">
        <f>VLOOKUP(H639,'Fund Utilization Report'!$A$4:$U$1800,6,FALSE)</f>
        <v>GOP</v>
      </c>
      <c r="Y639" s="320">
        <f>VLOOKUP(H639,'Fund Utilization Report'!$A$4:$U$1800,7,FALSE)</f>
        <v>706</v>
      </c>
      <c r="Z639" s="321" t="str">
        <f>VLOOKUP(H639,'Fund Utilization Report'!$A$4:$U$1800,8,FALSE)</f>
        <v>50101020 00</v>
      </c>
      <c r="AA639" s="319" t="str">
        <f>VLOOKUP(H639,'Fund Utilization Report'!$A$4:$U$1800,14,FALSE)</f>
        <v>330100100003000</v>
      </c>
      <c r="AB639" s="349" t="str">
        <f>VLOOKUP(H639,'Fund Utilization Report'!$A$4:$U$1800,15,FALSE)</f>
        <v>MSME Development Program : Program Beneficiaries Development Component of the Comprehensive Agrarian Reform Program</v>
      </c>
      <c r="AC639" s="39"/>
      <c r="AD639" s="34"/>
      <c r="AE639" s="39"/>
      <c r="AF639" s="51"/>
      <c r="AG639" s="40"/>
      <c r="AH639" s="40"/>
    </row>
    <row r="640" spans="1:34" s="32" customFormat="1" ht="27.6">
      <c r="A640" s="338" t="s">
        <v>942</v>
      </c>
      <c r="B640" s="338" t="s">
        <v>945</v>
      </c>
      <c r="C640" s="358">
        <v>44238</v>
      </c>
      <c r="D640" s="351" t="s">
        <v>1028</v>
      </c>
      <c r="E640" s="352" t="s">
        <v>1161</v>
      </c>
      <c r="F640" s="338">
        <v>0.48749999999999999</v>
      </c>
      <c r="G640" s="338">
        <v>0.49027777777777781</v>
      </c>
      <c r="H640" s="338" t="s">
        <v>960</v>
      </c>
      <c r="I640" s="353">
        <v>701</v>
      </c>
      <c r="J640" s="338" t="str">
        <f>IFERROR(VLOOKUP(I640,'Chart of accounts'!A:H,2,FALSE),"")</f>
        <v>50101010 01</v>
      </c>
      <c r="K640" s="338" t="str">
        <f>IFERROR(VLOOKUP(I640,'Chart of accounts'!A:H,3,FALSE),"")</f>
        <v>Basic Salary - Civilian</v>
      </c>
      <c r="L640" s="338" t="str">
        <f>IFERROR(VLOOKUP(I640,'Chart of accounts'!A:H,4,FALSE),"")</f>
        <v>50101010 01 - Basic Salary - Civilian (701)</v>
      </c>
      <c r="M640" s="361">
        <v>67</v>
      </c>
      <c r="N640" s="355" t="s">
        <v>768</v>
      </c>
      <c r="O640" s="355" t="s">
        <v>1113</v>
      </c>
      <c r="P640" s="355"/>
      <c r="Q640" s="363">
        <v>145528</v>
      </c>
      <c r="R640" s="319">
        <f t="shared" ref="R640:R675" si="11">P640-Q640</f>
        <v>-145528</v>
      </c>
      <c r="S640" s="319" t="str">
        <f>VLOOKUP(H640,'Fund Utilization Report'!$A$4:$U$1800,13,FALSE)</f>
        <v>PS</v>
      </c>
      <c r="T640" s="319" t="str">
        <f>VLOOKUP(H640,'Fund Utilization Report'!$A$4:$U$1800,2,FALSE)</f>
        <v>GAA</v>
      </c>
      <c r="U640" s="319" t="str">
        <f>VLOOKUP(H640,'Fund Utilization Report'!$A$4:$U$1800,3,FALSE)</f>
        <v>FY2021, RA11518</v>
      </c>
      <c r="V640" s="319" t="str">
        <f>VLOOKUP(H640,'Fund Utilization Report'!$A$4:$U$1800,4,FALSE)</f>
        <v>GAS(GMS)</v>
      </c>
      <c r="W640" s="319" t="str">
        <f>VLOOKUP(H640,'Fund Utilization Report'!$A$4:$U$1800,5,FALSE)</f>
        <v>01101101</v>
      </c>
      <c r="X640" s="319" t="str">
        <f>VLOOKUP(H640,'Fund Utilization Report'!$A$4:$U$1800,6,FALSE)</f>
        <v>GOP</v>
      </c>
      <c r="Y640" s="320" t="str">
        <f>VLOOKUP(H640,'Fund Utilization Report'!$A$4:$U$1800,7,FALSE)</f>
        <v>PS</v>
      </c>
      <c r="Z640" s="321">
        <f>VLOOKUP(H640,'Fund Utilization Report'!$A$4:$U$1800,8,FALSE)</f>
        <v>5010000000</v>
      </c>
      <c r="AA640" s="319" t="str">
        <f>VLOOKUP(H640,'Fund Utilization Report'!$A$4:$U$1800,14,FALSE)</f>
        <v>100000100001000</v>
      </c>
      <c r="AB640" s="349" t="str">
        <f>VLOOKUP(H640,'Fund Utilization Report'!$A$4:$U$1800,15,FALSE)</f>
        <v>General Administration and Supervision - General Management and Supervision</v>
      </c>
      <c r="AC640" s="39"/>
      <c r="AD640" s="34"/>
      <c r="AE640" s="39"/>
      <c r="AF640" s="51"/>
      <c r="AG640" s="40"/>
      <c r="AH640" s="40"/>
    </row>
    <row r="641" spans="1:34" s="32" customFormat="1" ht="27.6">
      <c r="A641" s="338" t="s">
        <v>942</v>
      </c>
      <c r="B641" s="338" t="s">
        <v>945</v>
      </c>
      <c r="C641" s="358">
        <v>44238</v>
      </c>
      <c r="D641" s="351" t="s">
        <v>1028</v>
      </c>
      <c r="E641" s="352" t="s">
        <v>1161</v>
      </c>
      <c r="F641" s="338">
        <v>0.48749999999999999</v>
      </c>
      <c r="G641" s="338">
        <v>0.49027777777777781</v>
      </c>
      <c r="H641" s="338" t="s">
        <v>960</v>
      </c>
      <c r="I641" s="353">
        <v>711</v>
      </c>
      <c r="J641" s="338" t="str">
        <f>IFERROR(VLOOKUP(I641,'Chart of accounts'!A:H,2,FALSE),"")</f>
        <v>50102010 01</v>
      </c>
      <c r="K641" s="338" t="str">
        <f>IFERROR(VLOOKUP(I641,'Chart of accounts'!A:H,3,FALSE),"")</f>
        <v>PERA - Civilian</v>
      </c>
      <c r="L641" s="338" t="str">
        <f>IFERROR(VLOOKUP(I641,'Chart of accounts'!A:H,4,FALSE),"")</f>
        <v>50102010 01 - PERA - Civilian (711)</v>
      </c>
      <c r="M641" s="361">
        <v>67</v>
      </c>
      <c r="N641" s="355" t="s">
        <v>768</v>
      </c>
      <c r="O641" s="355" t="s">
        <v>1113</v>
      </c>
      <c r="P641" s="355"/>
      <c r="Q641" s="363">
        <v>6000</v>
      </c>
      <c r="R641" s="319">
        <f t="shared" si="11"/>
        <v>-6000</v>
      </c>
      <c r="S641" s="319" t="str">
        <f>VLOOKUP(H641,'Fund Utilization Report'!$A$4:$U$1800,13,FALSE)</f>
        <v>PS</v>
      </c>
      <c r="T641" s="319" t="str">
        <f>VLOOKUP(H641,'Fund Utilization Report'!$A$4:$U$1800,2,FALSE)</f>
        <v>GAA</v>
      </c>
      <c r="U641" s="319" t="str">
        <f>VLOOKUP(H641,'Fund Utilization Report'!$A$4:$U$1800,3,FALSE)</f>
        <v>FY2021, RA11518</v>
      </c>
      <c r="V641" s="319" t="str">
        <f>VLOOKUP(H641,'Fund Utilization Report'!$A$4:$U$1800,4,FALSE)</f>
        <v>GAS(GMS)</v>
      </c>
      <c r="W641" s="319" t="str">
        <f>VLOOKUP(H641,'Fund Utilization Report'!$A$4:$U$1800,5,FALSE)</f>
        <v>01101101</v>
      </c>
      <c r="X641" s="319" t="str">
        <f>VLOOKUP(H641,'Fund Utilization Report'!$A$4:$U$1800,6,FALSE)</f>
        <v>GOP</v>
      </c>
      <c r="Y641" s="320" t="str">
        <f>VLOOKUP(H641,'Fund Utilization Report'!$A$4:$U$1800,7,FALSE)</f>
        <v>PS</v>
      </c>
      <c r="Z641" s="321">
        <f>VLOOKUP(H641,'Fund Utilization Report'!$A$4:$U$1800,8,FALSE)</f>
        <v>5010000000</v>
      </c>
      <c r="AA641" s="319" t="str">
        <f>VLOOKUP(H641,'Fund Utilization Report'!$A$4:$U$1800,14,FALSE)</f>
        <v>100000100001000</v>
      </c>
      <c r="AB641" s="349" t="str">
        <f>VLOOKUP(H641,'Fund Utilization Report'!$A$4:$U$1800,15,FALSE)</f>
        <v>General Administration and Supervision - General Management and Supervision</v>
      </c>
      <c r="AC641" s="39"/>
      <c r="AD641" s="34"/>
      <c r="AE641" s="39"/>
      <c r="AF641" s="51"/>
      <c r="AG641" s="40"/>
      <c r="AH641" s="40"/>
    </row>
    <row r="642" spans="1:34" s="32" customFormat="1" ht="27.6">
      <c r="A642" s="338" t="s">
        <v>942</v>
      </c>
      <c r="B642" s="338" t="s">
        <v>945</v>
      </c>
      <c r="C642" s="358">
        <v>44238</v>
      </c>
      <c r="D642" s="351" t="s">
        <v>1028</v>
      </c>
      <c r="E642" s="352" t="s">
        <v>1161</v>
      </c>
      <c r="F642" s="338">
        <v>0.48749999999999999</v>
      </c>
      <c r="G642" s="338">
        <v>0.49027777777777781</v>
      </c>
      <c r="H642" s="338" t="s">
        <v>962</v>
      </c>
      <c r="I642" s="353">
        <v>731</v>
      </c>
      <c r="J642" s="338" t="str">
        <f>IFERROR(VLOOKUP(I642,'Chart of accounts'!A:H,2,FALSE),"")</f>
        <v>50103010 00</v>
      </c>
      <c r="K642" s="338" t="str">
        <f>IFERROR(VLOOKUP(I642,'Chart of accounts'!A:H,3,FALSE),"")</f>
        <v>Retirement and Life Insurance Premiums</v>
      </c>
      <c r="L642" s="338" t="str">
        <f>IFERROR(VLOOKUP(I642,'Chart of accounts'!A:H,4,FALSE),"")</f>
        <v>50103010 00 - Retirement and Life Insurance Premiums (731)</v>
      </c>
      <c r="M642" s="361">
        <v>67</v>
      </c>
      <c r="N642" s="355" t="s">
        <v>768</v>
      </c>
      <c r="O642" s="355" t="s">
        <v>1113</v>
      </c>
      <c r="P642" s="355"/>
      <c r="Q642" s="363">
        <v>17463.36</v>
      </c>
      <c r="R642" s="319">
        <f t="shared" si="11"/>
        <v>-17463.36</v>
      </c>
      <c r="S642" s="319" t="str">
        <f>VLOOKUP(H642,'Fund Utilization Report'!$A$4:$U$1800,13,FALSE)</f>
        <v>PS</v>
      </c>
      <c r="T642" s="319" t="str">
        <f>VLOOKUP(H642,'Fund Utilization Report'!$A$4:$U$1800,2,FALSE)</f>
        <v>GAA</v>
      </c>
      <c r="U642" s="319" t="str">
        <f>VLOOKUP(H642,'Fund Utilization Report'!$A$4:$U$1800,3,FALSE)</f>
        <v>FY2021, RA11518</v>
      </c>
      <c r="V642" s="319" t="str">
        <f>VLOOKUP(H642,'Fund Utilization Report'!$A$4:$U$1800,4,FALSE)</f>
        <v>GAS(GMS)</v>
      </c>
      <c r="W642" s="319" t="str">
        <f>VLOOKUP(H642,'Fund Utilization Report'!$A$4:$U$1800,5,FALSE)</f>
        <v>01101101</v>
      </c>
      <c r="X642" s="319" t="str">
        <f>VLOOKUP(H642,'Fund Utilization Report'!$A$4:$U$1800,6,FALSE)</f>
        <v>GOP</v>
      </c>
      <c r="Y642" s="320" t="str">
        <f>VLOOKUP(H642,'Fund Utilization Report'!$A$4:$U$1800,7,FALSE)</f>
        <v>RLIP</v>
      </c>
      <c r="Z642" s="321" t="str">
        <f>VLOOKUP(H642,'Fund Utilization Report'!$A$4:$U$1800,8,FALSE)</f>
        <v>50103010-00</v>
      </c>
      <c r="AA642" s="319" t="str">
        <f>VLOOKUP(H642,'Fund Utilization Report'!$A$4:$U$1800,14,FALSE)</f>
        <v>100000100001000</v>
      </c>
      <c r="AB642" s="349" t="str">
        <f>VLOOKUP(H642,'Fund Utilization Report'!$A$4:$U$1800,15,FALSE)</f>
        <v>General Administration and Supervision - General Management and Supervision</v>
      </c>
      <c r="AC642" s="39"/>
      <c r="AD642" s="34"/>
      <c r="AE642" s="39"/>
      <c r="AF642" s="51"/>
      <c r="AG642" s="40"/>
      <c r="AH642" s="40"/>
    </row>
    <row r="643" spans="1:34" s="32" customFormat="1" ht="27.6">
      <c r="A643" s="338" t="s">
        <v>942</v>
      </c>
      <c r="B643" s="338" t="s">
        <v>945</v>
      </c>
      <c r="C643" s="358">
        <v>44238</v>
      </c>
      <c r="D643" s="351" t="s">
        <v>1028</v>
      </c>
      <c r="E643" s="352" t="s">
        <v>1161</v>
      </c>
      <c r="F643" s="338">
        <v>0.48749999999999999</v>
      </c>
      <c r="G643" s="338">
        <v>0.49027777777777781</v>
      </c>
      <c r="H643" s="338" t="s">
        <v>960</v>
      </c>
      <c r="I643" s="353">
        <v>732</v>
      </c>
      <c r="J643" s="338" t="str">
        <f>IFERROR(VLOOKUP(I643,'Chart of accounts'!A:H,2,FALSE),"")</f>
        <v>50103020 01</v>
      </c>
      <c r="K643" s="338" t="str">
        <f>IFERROR(VLOOKUP(I643,'Chart of accounts'!A:H,3,FALSE),"")</f>
        <v>Pag-IBIG - Civilian</v>
      </c>
      <c r="L643" s="338" t="str">
        <f>IFERROR(VLOOKUP(I643,'Chart of accounts'!A:H,4,FALSE),"")</f>
        <v>50103020 01 - Pag-IBIG - Civilian (732)</v>
      </c>
      <c r="M643" s="361">
        <v>67</v>
      </c>
      <c r="N643" s="355" t="s">
        <v>768</v>
      </c>
      <c r="O643" s="355" t="s">
        <v>1113</v>
      </c>
      <c r="P643" s="355"/>
      <c r="Q643" s="363">
        <v>300</v>
      </c>
      <c r="R643" s="319">
        <f t="shared" si="11"/>
        <v>-300</v>
      </c>
      <c r="S643" s="319" t="str">
        <f>VLOOKUP(H643,'Fund Utilization Report'!$A$4:$U$1800,13,FALSE)</f>
        <v>PS</v>
      </c>
      <c r="T643" s="319" t="str">
        <f>VLOOKUP(H643,'Fund Utilization Report'!$A$4:$U$1800,2,FALSE)</f>
        <v>GAA</v>
      </c>
      <c r="U643" s="319" t="str">
        <f>VLOOKUP(H643,'Fund Utilization Report'!$A$4:$U$1800,3,FALSE)</f>
        <v>FY2021, RA11518</v>
      </c>
      <c r="V643" s="319" t="str">
        <f>VLOOKUP(H643,'Fund Utilization Report'!$A$4:$U$1800,4,FALSE)</f>
        <v>GAS(GMS)</v>
      </c>
      <c r="W643" s="319" t="str">
        <f>VLOOKUP(H643,'Fund Utilization Report'!$A$4:$U$1800,5,FALSE)</f>
        <v>01101101</v>
      </c>
      <c r="X643" s="319" t="str">
        <f>VLOOKUP(H643,'Fund Utilization Report'!$A$4:$U$1800,6,FALSE)</f>
        <v>GOP</v>
      </c>
      <c r="Y643" s="320" t="str">
        <f>VLOOKUP(H643,'Fund Utilization Report'!$A$4:$U$1800,7,FALSE)</f>
        <v>PS</v>
      </c>
      <c r="Z643" s="321">
        <f>VLOOKUP(H643,'Fund Utilization Report'!$A$4:$U$1800,8,FALSE)</f>
        <v>5010000000</v>
      </c>
      <c r="AA643" s="319" t="str">
        <f>VLOOKUP(H643,'Fund Utilization Report'!$A$4:$U$1800,14,FALSE)</f>
        <v>100000100001000</v>
      </c>
      <c r="AB643" s="349" t="str">
        <f>VLOOKUP(H643,'Fund Utilization Report'!$A$4:$U$1800,15,FALSE)</f>
        <v>General Administration and Supervision - General Management and Supervision</v>
      </c>
      <c r="AC643" s="39"/>
      <c r="AD643" s="34"/>
      <c r="AE643" s="39"/>
      <c r="AF643" s="51"/>
      <c r="AG643" s="40"/>
      <c r="AH643" s="40"/>
    </row>
    <row r="644" spans="1:34" s="32" customFormat="1" ht="27.6">
      <c r="A644" s="338" t="s">
        <v>942</v>
      </c>
      <c r="B644" s="338" t="s">
        <v>945</v>
      </c>
      <c r="C644" s="358">
        <v>44238</v>
      </c>
      <c r="D644" s="351" t="s">
        <v>1028</v>
      </c>
      <c r="E644" s="352" t="s">
        <v>1161</v>
      </c>
      <c r="F644" s="338">
        <v>0.48749999999999999</v>
      </c>
      <c r="G644" s="338">
        <v>0.49027777777777781</v>
      </c>
      <c r="H644" s="338" t="s">
        <v>960</v>
      </c>
      <c r="I644" s="353">
        <v>733</v>
      </c>
      <c r="J644" s="338" t="str">
        <f>IFERROR(VLOOKUP(I644,'Chart of accounts'!A:H,2,FALSE),"")</f>
        <v>50103030 01</v>
      </c>
      <c r="K644" s="338" t="str">
        <f>IFERROR(VLOOKUP(I644,'Chart of accounts'!A:H,3,FALSE),"")</f>
        <v>PhilHealth - Civilian</v>
      </c>
      <c r="L644" s="338" t="str">
        <f>IFERROR(VLOOKUP(I644,'Chart of accounts'!A:H,4,FALSE),"")</f>
        <v>50103030 01 - PhilHealth - Civilian (733)</v>
      </c>
      <c r="M644" s="361">
        <v>67</v>
      </c>
      <c r="N644" s="355" t="s">
        <v>768</v>
      </c>
      <c r="O644" s="355" t="s">
        <v>1113</v>
      </c>
      <c r="P644" s="355"/>
      <c r="Q644" s="363">
        <v>1781.79</v>
      </c>
      <c r="R644" s="319">
        <f t="shared" si="11"/>
        <v>-1781.79</v>
      </c>
      <c r="S644" s="319" t="str">
        <f>VLOOKUP(H644,'Fund Utilization Report'!$A$4:$U$1800,13,FALSE)</f>
        <v>PS</v>
      </c>
      <c r="T644" s="319" t="str">
        <f>VLOOKUP(H644,'Fund Utilization Report'!$A$4:$U$1800,2,FALSE)</f>
        <v>GAA</v>
      </c>
      <c r="U644" s="319" t="str">
        <f>VLOOKUP(H644,'Fund Utilization Report'!$A$4:$U$1800,3,FALSE)</f>
        <v>FY2021, RA11518</v>
      </c>
      <c r="V644" s="319" t="str">
        <f>VLOOKUP(H644,'Fund Utilization Report'!$A$4:$U$1800,4,FALSE)</f>
        <v>GAS(GMS)</v>
      </c>
      <c r="W644" s="319" t="str">
        <f>VLOOKUP(H644,'Fund Utilization Report'!$A$4:$U$1800,5,FALSE)</f>
        <v>01101101</v>
      </c>
      <c r="X644" s="319" t="str">
        <f>VLOOKUP(H644,'Fund Utilization Report'!$A$4:$U$1800,6,FALSE)</f>
        <v>GOP</v>
      </c>
      <c r="Y644" s="320" t="str">
        <f>VLOOKUP(H644,'Fund Utilization Report'!$A$4:$U$1800,7,FALSE)</f>
        <v>PS</v>
      </c>
      <c r="Z644" s="321">
        <f>VLOOKUP(H644,'Fund Utilization Report'!$A$4:$U$1800,8,FALSE)</f>
        <v>5010000000</v>
      </c>
      <c r="AA644" s="319" t="str">
        <f>VLOOKUP(H644,'Fund Utilization Report'!$A$4:$U$1800,14,FALSE)</f>
        <v>100000100001000</v>
      </c>
      <c r="AB644" s="349" t="str">
        <f>VLOOKUP(H644,'Fund Utilization Report'!$A$4:$U$1800,15,FALSE)</f>
        <v>General Administration and Supervision - General Management and Supervision</v>
      </c>
      <c r="AC644" s="39"/>
      <c r="AD644" s="34"/>
      <c r="AE644" s="39"/>
      <c r="AF644" s="51"/>
      <c r="AG644" s="40"/>
      <c r="AH644" s="40"/>
    </row>
    <row r="645" spans="1:34" s="32" customFormat="1" ht="27.6">
      <c r="A645" s="338" t="s">
        <v>942</v>
      </c>
      <c r="B645" s="338" t="s">
        <v>945</v>
      </c>
      <c r="C645" s="358">
        <v>44238</v>
      </c>
      <c r="D645" s="351" t="s">
        <v>1028</v>
      </c>
      <c r="E645" s="352" t="s">
        <v>1161</v>
      </c>
      <c r="F645" s="338">
        <v>0.48749999999999999</v>
      </c>
      <c r="G645" s="338">
        <v>0.49027777777777781</v>
      </c>
      <c r="H645" s="338" t="s">
        <v>960</v>
      </c>
      <c r="I645" s="353">
        <v>734</v>
      </c>
      <c r="J645" s="338" t="str">
        <f>IFERROR(VLOOKUP(I645,'Chart of accounts'!A:H,2,FALSE),"")</f>
        <v>50103040 01</v>
      </c>
      <c r="K645" s="338" t="str">
        <f>IFERROR(VLOOKUP(I645,'Chart of accounts'!A:H,3,FALSE),"")</f>
        <v>ECIP - Civilian</v>
      </c>
      <c r="L645" s="338" t="str">
        <f>IFERROR(VLOOKUP(I645,'Chart of accounts'!A:H,4,FALSE),"")</f>
        <v>50103040 01 - ECIP - Civilian (734)</v>
      </c>
      <c r="M645" s="361">
        <v>67</v>
      </c>
      <c r="N645" s="355" t="s">
        <v>768</v>
      </c>
      <c r="O645" s="355" t="s">
        <v>1113</v>
      </c>
      <c r="P645" s="355"/>
      <c r="Q645" s="363">
        <v>300</v>
      </c>
      <c r="R645" s="319">
        <f t="shared" si="11"/>
        <v>-300</v>
      </c>
      <c r="S645" s="319" t="str">
        <f>VLOOKUP(H645,'Fund Utilization Report'!$A$4:$U$1800,13,FALSE)</f>
        <v>PS</v>
      </c>
      <c r="T645" s="319" t="str">
        <f>VLOOKUP(H645,'Fund Utilization Report'!$A$4:$U$1800,2,FALSE)</f>
        <v>GAA</v>
      </c>
      <c r="U645" s="319" t="str">
        <f>VLOOKUP(H645,'Fund Utilization Report'!$A$4:$U$1800,3,FALSE)</f>
        <v>FY2021, RA11518</v>
      </c>
      <c r="V645" s="319" t="str">
        <f>VLOOKUP(H645,'Fund Utilization Report'!$A$4:$U$1800,4,FALSE)</f>
        <v>GAS(GMS)</v>
      </c>
      <c r="W645" s="319" t="str">
        <f>VLOOKUP(H645,'Fund Utilization Report'!$A$4:$U$1800,5,FALSE)</f>
        <v>01101101</v>
      </c>
      <c r="X645" s="319" t="str">
        <f>VLOOKUP(H645,'Fund Utilization Report'!$A$4:$U$1800,6,FALSE)</f>
        <v>GOP</v>
      </c>
      <c r="Y645" s="320" t="str">
        <f>VLOOKUP(H645,'Fund Utilization Report'!$A$4:$U$1800,7,FALSE)</f>
        <v>PS</v>
      </c>
      <c r="Z645" s="321">
        <f>VLOOKUP(H645,'Fund Utilization Report'!$A$4:$U$1800,8,FALSE)</f>
        <v>5010000000</v>
      </c>
      <c r="AA645" s="319" t="str">
        <f>VLOOKUP(H645,'Fund Utilization Report'!$A$4:$U$1800,14,FALSE)</f>
        <v>100000100001000</v>
      </c>
      <c r="AB645" s="349" t="str">
        <f>VLOOKUP(H645,'Fund Utilization Report'!$A$4:$U$1800,15,FALSE)</f>
        <v>General Administration and Supervision - General Management and Supervision</v>
      </c>
      <c r="AC645" s="39"/>
      <c r="AD645" s="34"/>
      <c r="AE645" s="39"/>
      <c r="AF645" s="51"/>
      <c r="AG645" s="40"/>
      <c r="AH645" s="40"/>
    </row>
    <row r="646" spans="1:34" s="32" customFormat="1" ht="27.6">
      <c r="A646" s="338" t="s">
        <v>942</v>
      </c>
      <c r="B646" s="338" t="s">
        <v>945</v>
      </c>
      <c r="C646" s="358">
        <v>44238</v>
      </c>
      <c r="D646" s="351" t="s">
        <v>1028</v>
      </c>
      <c r="E646" s="352" t="s">
        <v>1161</v>
      </c>
      <c r="F646" s="338">
        <v>0.48749999999999999</v>
      </c>
      <c r="G646" s="338">
        <v>0.49027777777777781</v>
      </c>
      <c r="H646" s="338" t="s">
        <v>964</v>
      </c>
      <c r="I646" s="353">
        <v>701</v>
      </c>
      <c r="J646" s="338" t="str">
        <f>IFERROR(VLOOKUP(I646,'Chart of accounts'!A:H,2,FALSE),"")</f>
        <v>50101010 01</v>
      </c>
      <c r="K646" s="338" t="str">
        <f>IFERROR(VLOOKUP(I646,'Chart of accounts'!A:H,3,FALSE),"")</f>
        <v>Basic Salary - Civilian</v>
      </c>
      <c r="L646" s="338" t="str">
        <f>IFERROR(VLOOKUP(I646,'Chart of accounts'!A:H,4,FALSE),"")</f>
        <v>50101010 01 - Basic Salary - Civilian (701)</v>
      </c>
      <c r="M646" s="361">
        <v>67</v>
      </c>
      <c r="N646" s="355" t="s">
        <v>768</v>
      </c>
      <c r="O646" s="355" t="s">
        <v>1113</v>
      </c>
      <c r="P646" s="355"/>
      <c r="Q646" s="363">
        <v>46261</v>
      </c>
      <c r="R646" s="319">
        <f t="shared" si="11"/>
        <v>-46261</v>
      </c>
      <c r="S646" s="319" t="str">
        <f>VLOOKUP(H646,'Fund Utilization Report'!$A$4:$U$1800,13,FALSE)</f>
        <v>PS</v>
      </c>
      <c r="T646" s="319" t="str">
        <f>VLOOKUP(H646,'Fund Utilization Report'!$A$4:$U$1800,2,FALSE)</f>
        <v>GAA</v>
      </c>
      <c r="U646" s="319" t="str">
        <f>VLOOKUP(H646,'Fund Utilization Report'!$A$4:$U$1800,3,FALSE)</f>
        <v>FY2021, RA11518</v>
      </c>
      <c r="V646" s="319" t="str">
        <f>VLOOKUP(H646,'Fund Utilization Report'!$A$4:$U$1800,4,FALSE)</f>
        <v>OO1</v>
      </c>
      <c r="W646" s="319" t="str">
        <f>VLOOKUP(H646,'Fund Utilization Report'!$A$4:$U$1800,5,FALSE)</f>
        <v>01101101</v>
      </c>
      <c r="X646" s="319" t="str">
        <f>VLOOKUP(H646,'Fund Utilization Report'!$A$4:$U$1800,6,FALSE)</f>
        <v>GOP</v>
      </c>
      <c r="Y646" s="320" t="str">
        <f>VLOOKUP(H646,'Fund Utilization Report'!$A$4:$U$1800,7,FALSE)</f>
        <v>PS</v>
      </c>
      <c r="Z646" s="321">
        <f>VLOOKUP(H646,'Fund Utilization Report'!$A$4:$U$1800,8,FALSE)</f>
        <v>5010000000</v>
      </c>
      <c r="AA646" s="319" t="str">
        <f>VLOOKUP(H646,'Fund Utilization Report'!$A$4:$U$1800,14,FALSE)</f>
        <v>310100100002000</v>
      </c>
      <c r="AB646" s="349" t="str">
        <f>VLOOKUP(H646,'Fund Utilization Report'!$A$4:$U$1800,15,FALSE)</f>
        <v>Development,Facilitation, and promotion of exports and investment, domestic and foreign</v>
      </c>
      <c r="AC646" s="39"/>
      <c r="AD646" s="34"/>
      <c r="AE646" s="39"/>
      <c r="AF646" s="51"/>
      <c r="AG646" s="40"/>
      <c r="AH646" s="40"/>
    </row>
    <row r="647" spans="1:34" s="32" customFormat="1" ht="27.6">
      <c r="A647" s="338" t="s">
        <v>942</v>
      </c>
      <c r="B647" s="338" t="s">
        <v>945</v>
      </c>
      <c r="C647" s="358">
        <v>44238</v>
      </c>
      <c r="D647" s="351" t="s">
        <v>1028</v>
      </c>
      <c r="E647" s="352" t="s">
        <v>1161</v>
      </c>
      <c r="F647" s="338">
        <v>0.48749999999999999</v>
      </c>
      <c r="G647" s="338">
        <v>0.49027777777777781</v>
      </c>
      <c r="H647" s="338" t="s">
        <v>964</v>
      </c>
      <c r="I647" s="353">
        <v>711</v>
      </c>
      <c r="J647" s="338" t="str">
        <f>IFERROR(VLOOKUP(I647,'Chart of accounts'!A:H,2,FALSE),"")</f>
        <v>50102010 01</v>
      </c>
      <c r="K647" s="338" t="str">
        <f>IFERROR(VLOOKUP(I647,'Chart of accounts'!A:H,3,FALSE),"")</f>
        <v>PERA - Civilian</v>
      </c>
      <c r="L647" s="338" t="str">
        <f>IFERROR(VLOOKUP(I647,'Chart of accounts'!A:H,4,FALSE),"")</f>
        <v>50102010 01 - PERA - Civilian (711)</v>
      </c>
      <c r="M647" s="361">
        <v>67</v>
      </c>
      <c r="N647" s="355" t="s">
        <v>768</v>
      </c>
      <c r="O647" s="355" t="s">
        <v>1113</v>
      </c>
      <c r="P647" s="355"/>
      <c r="Q647" s="363">
        <v>2000</v>
      </c>
      <c r="R647" s="319">
        <f t="shared" si="11"/>
        <v>-2000</v>
      </c>
      <c r="S647" s="319" t="str">
        <f>VLOOKUP(H647,'Fund Utilization Report'!$A$4:$U$1800,13,FALSE)</f>
        <v>PS</v>
      </c>
      <c r="T647" s="319" t="str">
        <f>VLOOKUP(H647,'Fund Utilization Report'!$A$4:$U$1800,2,FALSE)</f>
        <v>GAA</v>
      </c>
      <c r="U647" s="319" t="str">
        <f>VLOOKUP(H647,'Fund Utilization Report'!$A$4:$U$1800,3,FALSE)</f>
        <v>FY2021, RA11518</v>
      </c>
      <c r="V647" s="319" t="str">
        <f>VLOOKUP(H647,'Fund Utilization Report'!$A$4:$U$1800,4,FALSE)</f>
        <v>OO1</v>
      </c>
      <c r="W647" s="319" t="str">
        <f>VLOOKUP(H647,'Fund Utilization Report'!$A$4:$U$1800,5,FALSE)</f>
        <v>01101101</v>
      </c>
      <c r="X647" s="319" t="str">
        <f>VLOOKUP(H647,'Fund Utilization Report'!$A$4:$U$1800,6,FALSE)</f>
        <v>GOP</v>
      </c>
      <c r="Y647" s="320" t="str">
        <f>VLOOKUP(H647,'Fund Utilization Report'!$A$4:$U$1800,7,FALSE)</f>
        <v>PS</v>
      </c>
      <c r="Z647" s="321">
        <f>VLOOKUP(H647,'Fund Utilization Report'!$A$4:$U$1800,8,FALSE)</f>
        <v>5010000000</v>
      </c>
      <c r="AA647" s="319" t="str">
        <f>VLOOKUP(H647,'Fund Utilization Report'!$A$4:$U$1800,14,FALSE)</f>
        <v>310100100002000</v>
      </c>
      <c r="AB647" s="349" t="str">
        <f>VLOOKUP(H647,'Fund Utilization Report'!$A$4:$U$1800,15,FALSE)</f>
        <v>Development,Facilitation, and promotion of exports and investment, domestic and foreign</v>
      </c>
      <c r="AC647" s="39"/>
      <c r="AD647" s="34"/>
      <c r="AE647" s="39"/>
      <c r="AF647" s="51"/>
      <c r="AG647" s="40"/>
      <c r="AH647" s="40"/>
    </row>
    <row r="648" spans="1:34" s="32" customFormat="1" ht="27.6">
      <c r="A648" s="338" t="s">
        <v>942</v>
      </c>
      <c r="B648" s="338" t="s">
        <v>945</v>
      </c>
      <c r="C648" s="358">
        <v>44238</v>
      </c>
      <c r="D648" s="351" t="s">
        <v>1028</v>
      </c>
      <c r="E648" s="352" t="s">
        <v>1161</v>
      </c>
      <c r="F648" s="338">
        <v>0.48749999999999999</v>
      </c>
      <c r="G648" s="338">
        <v>0.49027777777777781</v>
      </c>
      <c r="H648" s="338" t="s">
        <v>966</v>
      </c>
      <c r="I648" s="353">
        <v>731</v>
      </c>
      <c r="J648" s="338" t="str">
        <f>IFERROR(VLOOKUP(I648,'Chart of accounts'!A:H,2,FALSE),"")</f>
        <v>50103010 00</v>
      </c>
      <c r="K648" s="338" t="str">
        <f>IFERROR(VLOOKUP(I648,'Chart of accounts'!A:H,3,FALSE),"")</f>
        <v>Retirement and Life Insurance Premiums</v>
      </c>
      <c r="L648" s="338" t="str">
        <f>IFERROR(VLOOKUP(I648,'Chart of accounts'!A:H,4,FALSE),"")</f>
        <v>50103010 00 - Retirement and Life Insurance Premiums (731)</v>
      </c>
      <c r="M648" s="361">
        <v>67</v>
      </c>
      <c r="N648" s="355" t="s">
        <v>768</v>
      </c>
      <c r="O648" s="355" t="s">
        <v>1113</v>
      </c>
      <c r="P648" s="355"/>
      <c r="Q648" s="363">
        <v>5551.32</v>
      </c>
      <c r="R648" s="319">
        <f t="shared" si="11"/>
        <v>-5551.32</v>
      </c>
      <c r="S648" s="319" t="str">
        <f>VLOOKUP(H648,'Fund Utilization Report'!$A$4:$U$1800,13,FALSE)</f>
        <v>PS</v>
      </c>
      <c r="T648" s="319" t="str">
        <f>VLOOKUP(H648,'Fund Utilization Report'!$A$4:$U$1800,2,FALSE)</f>
        <v>GAA</v>
      </c>
      <c r="U648" s="319" t="str">
        <f>VLOOKUP(H648,'Fund Utilization Report'!$A$4:$U$1800,3,FALSE)</f>
        <v>FY2021, RA11518</v>
      </c>
      <c r="V648" s="319" t="str">
        <f>VLOOKUP(H648,'Fund Utilization Report'!$A$4:$U$1800,4,FALSE)</f>
        <v>OO1</v>
      </c>
      <c r="W648" s="319" t="str">
        <f>VLOOKUP(H648,'Fund Utilization Report'!$A$4:$U$1800,5,FALSE)</f>
        <v>01101101</v>
      </c>
      <c r="X648" s="319" t="str">
        <f>VLOOKUP(H648,'Fund Utilization Report'!$A$4:$U$1800,6,FALSE)</f>
        <v>GOP</v>
      </c>
      <c r="Y648" s="320" t="str">
        <f>VLOOKUP(H648,'Fund Utilization Report'!$A$4:$U$1800,7,FALSE)</f>
        <v>RLIP</v>
      </c>
      <c r="Z648" s="321" t="str">
        <f>VLOOKUP(H648,'Fund Utilization Report'!$A$4:$U$1800,8,FALSE)</f>
        <v>50103010-00</v>
      </c>
      <c r="AA648" s="319" t="str">
        <f>VLOOKUP(H648,'Fund Utilization Report'!$A$4:$U$1800,14,FALSE)</f>
        <v>310100100002000</v>
      </c>
      <c r="AB648" s="349" t="str">
        <f>VLOOKUP(H648,'Fund Utilization Report'!$A$4:$U$1800,15,FALSE)</f>
        <v>Development,Facilitation, and promotion of exports and investment, domestic and foreign</v>
      </c>
      <c r="AC648" s="39"/>
      <c r="AD648" s="34"/>
      <c r="AE648" s="39"/>
      <c r="AF648" s="51"/>
      <c r="AG648" s="40"/>
      <c r="AH648" s="40"/>
    </row>
    <row r="649" spans="1:34" s="32" customFormat="1" ht="27.6">
      <c r="A649" s="338" t="s">
        <v>942</v>
      </c>
      <c r="B649" s="338" t="s">
        <v>945</v>
      </c>
      <c r="C649" s="358">
        <v>44238</v>
      </c>
      <c r="D649" s="351" t="s">
        <v>1028</v>
      </c>
      <c r="E649" s="352" t="s">
        <v>1161</v>
      </c>
      <c r="F649" s="338">
        <v>0.48749999999999999</v>
      </c>
      <c r="G649" s="338">
        <v>0.49027777777777781</v>
      </c>
      <c r="H649" s="338" t="s">
        <v>964</v>
      </c>
      <c r="I649" s="353">
        <v>732</v>
      </c>
      <c r="J649" s="338" t="str">
        <f>IFERROR(VLOOKUP(I649,'Chart of accounts'!A:H,2,FALSE),"")</f>
        <v>50103020 01</v>
      </c>
      <c r="K649" s="338" t="str">
        <f>IFERROR(VLOOKUP(I649,'Chart of accounts'!A:H,3,FALSE),"")</f>
        <v>Pag-IBIG - Civilian</v>
      </c>
      <c r="L649" s="338" t="str">
        <f>IFERROR(VLOOKUP(I649,'Chart of accounts'!A:H,4,FALSE),"")</f>
        <v>50103020 01 - Pag-IBIG - Civilian (732)</v>
      </c>
      <c r="M649" s="361">
        <v>67</v>
      </c>
      <c r="N649" s="355" t="s">
        <v>768</v>
      </c>
      <c r="O649" s="355" t="s">
        <v>1113</v>
      </c>
      <c r="P649" s="355"/>
      <c r="Q649" s="363">
        <v>100</v>
      </c>
      <c r="R649" s="319">
        <f t="shared" si="11"/>
        <v>-100</v>
      </c>
      <c r="S649" s="319" t="str">
        <f>VLOOKUP(H649,'Fund Utilization Report'!$A$4:$U$1800,13,FALSE)</f>
        <v>PS</v>
      </c>
      <c r="T649" s="319" t="str">
        <f>VLOOKUP(H649,'Fund Utilization Report'!$A$4:$U$1800,2,FALSE)</f>
        <v>GAA</v>
      </c>
      <c r="U649" s="319" t="str">
        <f>VLOOKUP(H649,'Fund Utilization Report'!$A$4:$U$1800,3,FALSE)</f>
        <v>FY2021, RA11518</v>
      </c>
      <c r="V649" s="319" t="str">
        <f>VLOOKUP(H649,'Fund Utilization Report'!$A$4:$U$1800,4,FALSE)</f>
        <v>OO1</v>
      </c>
      <c r="W649" s="319" t="str">
        <f>VLOOKUP(H649,'Fund Utilization Report'!$A$4:$U$1800,5,FALSE)</f>
        <v>01101101</v>
      </c>
      <c r="X649" s="319" t="str">
        <f>VLOOKUP(H649,'Fund Utilization Report'!$A$4:$U$1800,6,FALSE)</f>
        <v>GOP</v>
      </c>
      <c r="Y649" s="320" t="str">
        <f>VLOOKUP(H649,'Fund Utilization Report'!$A$4:$U$1800,7,FALSE)</f>
        <v>PS</v>
      </c>
      <c r="Z649" s="321">
        <f>VLOOKUP(H649,'Fund Utilization Report'!$A$4:$U$1800,8,FALSE)</f>
        <v>5010000000</v>
      </c>
      <c r="AA649" s="319" t="str">
        <f>VLOOKUP(H649,'Fund Utilization Report'!$A$4:$U$1800,14,FALSE)</f>
        <v>310100100002000</v>
      </c>
      <c r="AB649" s="349" t="str">
        <f>VLOOKUP(H649,'Fund Utilization Report'!$A$4:$U$1800,15,FALSE)</f>
        <v>Development,Facilitation, and promotion of exports and investment, domestic and foreign</v>
      </c>
      <c r="AC649" s="39"/>
      <c r="AD649" s="34"/>
      <c r="AE649" s="39"/>
      <c r="AF649" s="51"/>
      <c r="AG649" s="40"/>
      <c r="AH649" s="40"/>
    </row>
    <row r="650" spans="1:34" s="32" customFormat="1" ht="27.6">
      <c r="A650" s="338" t="s">
        <v>942</v>
      </c>
      <c r="B650" s="338" t="s">
        <v>945</v>
      </c>
      <c r="C650" s="358">
        <v>44238</v>
      </c>
      <c r="D650" s="351" t="s">
        <v>1028</v>
      </c>
      <c r="E650" s="352" t="s">
        <v>1161</v>
      </c>
      <c r="F650" s="338">
        <v>0.48749999999999999</v>
      </c>
      <c r="G650" s="338">
        <v>0.49027777777777781</v>
      </c>
      <c r="H650" s="338" t="s">
        <v>964</v>
      </c>
      <c r="I650" s="353">
        <v>733</v>
      </c>
      <c r="J650" s="338" t="str">
        <f>IFERROR(VLOOKUP(I650,'Chart of accounts'!A:H,2,FALSE),"")</f>
        <v>50103030 01</v>
      </c>
      <c r="K650" s="338" t="str">
        <f>IFERROR(VLOOKUP(I650,'Chart of accounts'!A:H,3,FALSE),"")</f>
        <v>PhilHealth - Civilian</v>
      </c>
      <c r="L650" s="338" t="str">
        <f>IFERROR(VLOOKUP(I650,'Chart of accounts'!A:H,4,FALSE),"")</f>
        <v>50103030 01 - PhilHealth - Civilian (733)</v>
      </c>
      <c r="M650" s="361">
        <v>67</v>
      </c>
      <c r="N650" s="355" t="s">
        <v>768</v>
      </c>
      <c r="O650" s="355" t="s">
        <v>1113</v>
      </c>
      <c r="P650" s="355"/>
      <c r="Q650" s="363">
        <v>693.92</v>
      </c>
      <c r="R650" s="319">
        <f t="shared" si="11"/>
        <v>-693.92</v>
      </c>
      <c r="S650" s="319" t="str">
        <f>VLOOKUP(H650,'Fund Utilization Report'!$A$4:$U$1800,13,FALSE)</f>
        <v>PS</v>
      </c>
      <c r="T650" s="319" t="str">
        <f>VLOOKUP(H650,'Fund Utilization Report'!$A$4:$U$1800,2,FALSE)</f>
        <v>GAA</v>
      </c>
      <c r="U650" s="319" t="str">
        <f>VLOOKUP(H650,'Fund Utilization Report'!$A$4:$U$1800,3,FALSE)</f>
        <v>FY2021, RA11518</v>
      </c>
      <c r="V650" s="319" t="str">
        <f>VLOOKUP(H650,'Fund Utilization Report'!$A$4:$U$1800,4,FALSE)</f>
        <v>OO1</v>
      </c>
      <c r="W650" s="319" t="str">
        <f>VLOOKUP(H650,'Fund Utilization Report'!$A$4:$U$1800,5,FALSE)</f>
        <v>01101101</v>
      </c>
      <c r="X650" s="319" t="str">
        <f>VLOOKUP(H650,'Fund Utilization Report'!$A$4:$U$1800,6,FALSE)</f>
        <v>GOP</v>
      </c>
      <c r="Y650" s="320" t="str">
        <f>VLOOKUP(H650,'Fund Utilization Report'!$A$4:$U$1800,7,FALSE)</f>
        <v>PS</v>
      </c>
      <c r="Z650" s="321">
        <f>VLOOKUP(H650,'Fund Utilization Report'!$A$4:$U$1800,8,FALSE)</f>
        <v>5010000000</v>
      </c>
      <c r="AA650" s="319" t="str">
        <f>VLOOKUP(H650,'Fund Utilization Report'!$A$4:$U$1800,14,FALSE)</f>
        <v>310100100002000</v>
      </c>
      <c r="AB650" s="349" t="str">
        <f>VLOOKUP(H650,'Fund Utilization Report'!$A$4:$U$1800,15,FALSE)</f>
        <v>Development,Facilitation, and promotion of exports and investment, domestic and foreign</v>
      </c>
      <c r="AC650" s="39"/>
      <c r="AD650" s="34"/>
      <c r="AE650" s="39"/>
      <c r="AF650" s="51"/>
      <c r="AG650" s="40"/>
      <c r="AH650" s="40"/>
    </row>
    <row r="651" spans="1:34" s="32" customFormat="1" ht="27.6">
      <c r="A651" s="338" t="s">
        <v>942</v>
      </c>
      <c r="B651" s="338" t="s">
        <v>945</v>
      </c>
      <c r="C651" s="358">
        <v>44238</v>
      </c>
      <c r="D651" s="351" t="s">
        <v>1028</v>
      </c>
      <c r="E651" s="352" t="s">
        <v>1161</v>
      </c>
      <c r="F651" s="338">
        <v>0.48749999999999999</v>
      </c>
      <c r="G651" s="338">
        <v>0.49027777777777781</v>
      </c>
      <c r="H651" s="338" t="s">
        <v>964</v>
      </c>
      <c r="I651" s="353">
        <v>734</v>
      </c>
      <c r="J651" s="338" t="str">
        <f>IFERROR(VLOOKUP(I651,'Chart of accounts'!A:H,2,FALSE),"")</f>
        <v>50103040 01</v>
      </c>
      <c r="K651" s="338" t="str">
        <f>IFERROR(VLOOKUP(I651,'Chart of accounts'!A:H,3,FALSE),"")</f>
        <v>ECIP - Civilian</v>
      </c>
      <c r="L651" s="338" t="str">
        <f>IFERROR(VLOOKUP(I651,'Chart of accounts'!A:H,4,FALSE),"")</f>
        <v>50103040 01 - ECIP - Civilian (734)</v>
      </c>
      <c r="M651" s="361">
        <v>67</v>
      </c>
      <c r="N651" s="355" t="s">
        <v>768</v>
      </c>
      <c r="O651" s="355" t="s">
        <v>1113</v>
      </c>
      <c r="P651" s="355"/>
      <c r="Q651" s="363">
        <v>100</v>
      </c>
      <c r="R651" s="319">
        <f t="shared" si="11"/>
        <v>-100</v>
      </c>
      <c r="S651" s="319" t="str">
        <f>VLOOKUP(H651,'Fund Utilization Report'!$A$4:$U$1800,13,FALSE)</f>
        <v>PS</v>
      </c>
      <c r="T651" s="319" t="str">
        <f>VLOOKUP(H651,'Fund Utilization Report'!$A$4:$U$1800,2,FALSE)</f>
        <v>GAA</v>
      </c>
      <c r="U651" s="319" t="str">
        <f>VLOOKUP(H651,'Fund Utilization Report'!$A$4:$U$1800,3,FALSE)</f>
        <v>FY2021, RA11518</v>
      </c>
      <c r="V651" s="319" t="str">
        <f>VLOOKUP(H651,'Fund Utilization Report'!$A$4:$U$1800,4,FALSE)</f>
        <v>OO1</v>
      </c>
      <c r="W651" s="319" t="str">
        <f>VLOOKUP(H651,'Fund Utilization Report'!$A$4:$U$1800,5,FALSE)</f>
        <v>01101101</v>
      </c>
      <c r="X651" s="319" t="str">
        <f>VLOOKUP(H651,'Fund Utilization Report'!$A$4:$U$1800,6,FALSE)</f>
        <v>GOP</v>
      </c>
      <c r="Y651" s="320" t="str">
        <f>VLOOKUP(H651,'Fund Utilization Report'!$A$4:$U$1800,7,FALSE)</f>
        <v>PS</v>
      </c>
      <c r="Z651" s="321">
        <f>VLOOKUP(H651,'Fund Utilization Report'!$A$4:$U$1800,8,FALSE)</f>
        <v>5010000000</v>
      </c>
      <c r="AA651" s="319" t="str">
        <f>VLOOKUP(H651,'Fund Utilization Report'!$A$4:$U$1800,14,FALSE)</f>
        <v>310100100002000</v>
      </c>
      <c r="AB651" s="349" t="str">
        <f>VLOOKUP(H651,'Fund Utilization Report'!$A$4:$U$1800,15,FALSE)</f>
        <v>Development,Facilitation, and promotion of exports and investment, domestic and foreign</v>
      </c>
      <c r="AC651" s="39"/>
      <c r="AD651" s="34"/>
      <c r="AE651" s="39"/>
      <c r="AF651" s="51"/>
      <c r="AG651" s="40"/>
      <c r="AH651" s="40"/>
    </row>
    <row r="652" spans="1:34" s="32" customFormat="1" ht="27.6">
      <c r="A652" s="338" t="s">
        <v>942</v>
      </c>
      <c r="B652" s="338" t="s">
        <v>945</v>
      </c>
      <c r="C652" s="358">
        <v>44238</v>
      </c>
      <c r="D652" s="351" t="s">
        <v>1028</v>
      </c>
      <c r="E652" s="352" t="s">
        <v>1161</v>
      </c>
      <c r="F652" s="338">
        <v>0.48749999999999999</v>
      </c>
      <c r="G652" s="338">
        <v>0.49027777777777781</v>
      </c>
      <c r="H652" s="338" t="s">
        <v>967</v>
      </c>
      <c r="I652" s="353">
        <v>701</v>
      </c>
      <c r="J652" s="338" t="str">
        <f>IFERROR(VLOOKUP(I652,'Chart of accounts'!A:H,2,FALSE),"")</f>
        <v>50101010 01</v>
      </c>
      <c r="K652" s="338" t="str">
        <f>IFERROR(VLOOKUP(I652,'Chart of accounts'!A:H,3,FALSE),"")</f>
        <v>Basic Salary - Civilian</v>
      </c>
      <c r="L652" s="338" t="str">
        <f>IFERROR(VLOOKUP(I652,'Chart of accounts'!A:H,4,FALSE),"")</f>
        <v>50101010 01 - Basic Salary - Civilian (701)</v>
      </c>
      <c r="M652" s="361">
        <v>67</v>
      </c>
      <c r="N652" s="355" t="s">
        <v>768</v>
      </c>
      <c r="O652" s="355" t="s">
        <v>1113</v>
      </c>
      <c r="P652" s="355"/>
      <c r="Q652" s="363">
        <v>111742</v>
      </c>
      <c r="R652" s="319">
        <f t="shared" si="11"/>
        <v>-111742</v>
      </c>
      <c r="S652" s="319" t="str">
        <f>VLOOKUP(H652,'Fund Utilization Report'!$A$4:$U$1800,13,FALSE)</f>
        <v>PS</v>
      </c>
      <c r="T652" s="319" t="str">
        <f>VLOOKUP(H652,'Fund Utilization Report'!$A$4:$U$1800,2,FALSE)</f>
        <v>GAA</v>
      </c>
      <c r="U652" s="319" t="str">
        <f>VLOOKUP(H652,'Fund Utilization Report'!$A$4:$U$1800,3,FALSE)</f>
        <v>FY2021, RA11518</v>
      </c>
      <c r="V652" s="319" t="str">
        <f>VLOOKUP(H652,'Fund Utilization Report'!$A$4:$U$1800,4,FALSE)</f>
        <v>OO2</v>
      </c>
      <c r="W652" s="319" t="str">
        <f>VLOOKUP(H652,'Fund Utilization Report'!$A$4:$U$1800,5,FALSE)</f>
        <v>01101101</v>
      </c>
      <c r="X652" s="319" t="str">
        <f>VLOOKUP(H652,'Fund Utilization Report'!$A$4:$U$1800,6,FALSE)</f>
        <v>GOP</v>
      </c>
      <c r="Y652" s="320" t="str">
        <f>VLOOKUP(H652,'Fund Utilization Report'!$A$4:$U$1800,7,FALSE)</f>
        <v>PS</v>
      </c>
      <c r="Z652" s="321">
        <f>VLOOKUP(H652,'Fund Utilization Report'!$A$4:$U$1800,8,FALSE)</f>
        <v>5010000000</v>
      </c>
      <c r="AA652" s="319" t="str">
        <f>VLOOKUP(H652,'Fund Utilization Report'!$A$4:$U$1800,14,FALSE)</f>
        <v>320100100001000</v>
      </c>
      <c r="AB652" s="349" t="str">
        <f>VLOOKUP(H652,'Fund Utilization Report'!$A$4:$U$1800,15,FALSE)</f>
        <v>Formulation of Strategic plans,programs, and policies to develop competitve industries</v>
      </c>
      <c r="AC652" s="39"/>
      <c r="AD652" s="34"/>
      <c r="AE652" s="39"/>
      <c r="AF652" s="51"/>
      <c r="AG652" s="40"/>
      <c r="AH652" s="40"/>
    </row>
    <row r="653" spans="1:34" s="32" customFormat="1" ht="27.6">
      <c r="A653" s="338" t="s">
        <v>942</v>
      </c>
      <c r="B653" s="338" t="s">
        <v>945</v>
      </c>
      <c r="C653" s="358">
        <v>44238</v>
      </c>
      <c r="D653" s="351" t="s">
        <v>1028</v>
      </c>
      <c r="E653" s="352" t="s">
        <v>1161</v>
      </c>
      <c r="F653" s="338">
        <v>0.48749999999999999</v>
      </c>
      <c r="G653" s="338">
        <v>0.49027777777777781</v>
      </c>
      <c r="H653" s="338" t="s">
        <v>967</v>
      </c>
      <c r="I653" s="353">
        <v>711</v>
      </c>
      <c r="J653" s="338" t="str">
        <f>IFERROR(VLOOKUP(I653,'Chart of accounts'!A:H,2,FALSE),"")</f>
        <v>50102010 01</v>
      </c>
      <c r="K653" s="338" t="str">
        <f>IFERROR(VLOOKUP(I653,'Chart of accounts'!A:H,3,FALSE),"")</f>
        <v>PERA - Civilian</v>
      </c>
      <c r="L653" s="338" t="str">
        <f>IFERROR(VLOOKUP(I653,'Chart of accounts'!A:H,4,FALSE),"")</f>
        <v>50102010 01 - PERA - Civilian (711)</v>
      </c>
      <c r="M653" s="361">
        <v>67</v>
      </c>
      <c r="N653" s="355" t="s">
        <v>768</v>
      </c>
      <c r="O653" s="355" t="s">
        <v>1113</v>
      </c>
      <c r="P653" s="355"/>
      <c r="Q653" s="363">
        <v>2000</v>
      </c>
      <c r="R653" s="319">
        <f t="shared" si="11"/>
        <v>-2000</v>
      </c>
      <c r="S653" s="319" t="str">
        <f>VLOOKUP(H653,'Fund Utilization Report'!$A$4:$U$1800,13,FALSE)</f>
        <v>PS</v>
      </c>
      <c r="T653" s="319" t="str">
        <f>VLOOKUP(H653,'Fund Utilization Report'!$A$4:$U$1800,2,FALSE)</f>
        <v>GAA</v>
      </c>
      <c r="U653" s="319" t="str">
        <f>VLOOKUP(H653,'Fund Utilization Report'!$A$4:$U$1800,3,FALSE)</f>
        <v>FY2021, RA11518</v>
      </c>
      <c r="V653" s="319" t="str">
        <f>VLOOKUP(H653,'Fund Utilization Report'!$A$4:$U$1800,4,FALSE)</f>
        <v>OO2</v>
      </c>
      <c r="W653" s="319" t="str">
        <f>VLOOKUP(H653,'Fund Utilization Report'!$A$4:$U$1800,5,FALSE)</f>
        <v>01101101</v>
      </c>
      <c r="X653" s="319" t="str">
        <f>VLOOKUP(H653,'Fund Utilization Report'!$A$4:$U$1800,6,FALSE)</f>
        <v>GOP</v>
      </c>
      <c r="Y653" s="320" t="str">
        <f>VLOOKUP(H653,'Fund Utilization Report'!$A$4:$U$1800,7,FALSE)</f>
        <v>PS</v>
      </c>
      <c r="Z653" s="321">
        <f>VLOOKUP(H653,'Fund Utilization Report'!$A$4:$U$1800,8,FALSE)</f>
        <v>5010000000</v>
      </c>
      <c r="AA653" s="319" t="str">
        <f>VLOOKUP(H653,'Fund Utilization Report'!$A$4:$U$1800,14,FALSE)</f>
        <v>320100100001000</v>
      </c>
      <c r="AB653" s="349" t="str">
        <f>VLOOKUP(H653,'Fund Utilization Report'!$A$4:$U$1800,15,FALSE)</f>
        <v>Formulation of Strategic plans,programs, and policies to develop competitve industries</v>
      </c>
      <c r="AC653" s="39"/>
      <c r="AD653" s="34"/>
      <c r="AE653" s="39"/>
      <c r="AF653" s="51"/>
      <c r="AG653" s="40"/>
      <c r="AH653" s="40"/>
    </row>
    <row r="654" spans="1:34" s="32" customFormat="1" ht="27.6">
      <c r="A654" s="338" t="s">
        <v>942</v>
      </c>
      <c r="B654" s="338" t="s">
        <v>945</v>
      </c>
      <c r="C654" s="358">
        <v>44238</v>
      </c>
      <c r="D654" s="351" t="s">
        <v>1028</v>
      </c>
      <c r="E654" s="352" t="s">
        <v>1161</v>
      </c>
      <c r="F654" s="338">
        <v>0.48749999999999999</v>
      </c>
      <c r="G654" s="338">
        <v>0.49027777777777781</v>
      </c>
      <c r="H654" s="338" t="s">
        <v>969</v>
      </c>
      <c r="I654" s="353">
        <v>731</v>
      </c>
      <c r="J654" s="338" t="str">
        <f>IFERROR(VLOOKUP(I654,'Chart of accounts'!A:H,2,FALSE),"")</f>
        <v>50103010 00</v>
      </c>
      <c r="K654" s="338" t="str">
        <f>IFERROR(VLOOKUP(I654,'Chart of accounts'!A:H,3,FALSE),"")</f>
        <v>Retirement and Life Insurance Premiums</v>
      </c>
      <c r="L654" s="338" t="str">
        <f>IFERROR(VLOOKUP(I654,'Chart of accounts'!A:H,4,FALSE),"")</f>
        <v>50103010 00 - Retirement and Life Insurance Premiums (731)</v>
      </c>
      <c r="M654" s="361">
        <v>67</v>
      </c>
      <c r="N654" s="355" t="s">
        <v>768</v>
      </c>
      <c r="O654" s="355" t="s">
        <v>1113</v>
      </c>
      <c r="P654" s="355"/>
      <c r="Q654" s="363">
        <v>13409.04</v>
      </c>
      <c r="R654" s="319">
        <f t="shared" si="11"/>
        <v>-13409.04</v>
      </c>
      <c r="S654" s="319" t="str">
        <f>VLOOKUP(H654,'Fund Utilization Report'!$A$4:$U$1800,13,FALSE)</f>
        <v>PS</v>
      </c>
      <c r="T654" s="319" t="str">
        <f>VLOOKUP(H654,'Fund Utilization Report'!$A$4:$U$1800,2,FALSE)</f>
        <v>GAA</v>
      </c>
      <c r="U654" s="319" t="str">
        <f>VLOOKUP(H654,'Fund Utilization Report'!$A$4:$U$1800,3,FALSE)</f>
        <v>FY2021, RA11518</v>
      </c>
      <c r="V654" s="319" t="str">
        <f>VLOOKUP(H654,'Fund Utilization Report'!$A$4:$U$1800,4,FALSE)</f>
        <v>OO2</v>
      </c>
      <c r="W654" s="319" t="str">
        <f>VLOOKUP(H654,'Fund Utilization Report'!$A$4:$U$1800,5,FALSE)</f>
        <v>01101101</v>
      </c>
      <c r="X654" s="319" t="str">
        <f>VLOOKUP(H654,'Fund Utilization Report'!$A$4:$U$1800,6,FALSE)</f>
        <v>GOP</v>
      </c>
      <c r="Y654" s="320" t="str">
        <f>VLOOKUP(H654,'Fund Utilization Report'!$A$4:$U$1800,7,FALSE)</f>
        <v>RLIP</v>
      </c>
      <c r="Z654" s="321" t="str">
        <f>VLOOKUP(H654,'Fund Utilization Report'!$A$4:$U$1800,8,FALSE)</f>
        <v>50103010-00</v>
      </c>
      <c r="AA654" s="319" t="str">
        <f>VLOOKUP(H654,'Fund Utilization Report'!$A$4:$U$1800,14,FALSE)</f>
        <v>320100100001000</v>
      </c>
      <c r="AB654" s="349" t="str">
        <f>VLOOKUP(H654,'Fund Utilization Report'!$A$4:$U$1800,15,FALSE)</f>
        <v>Formulation of Strategic plans,programs, and policies to develop competitve industries</v>
      </c>
      <c r="AC654" s="39"/>
      <c r="AD654" s="34"/>
      <c r="AE654" s="39"/>
      <c r="AF654" s="51"/>
      <c r="AG654" s="40"/>
      <c r="AH654" s="40"/>
    </row>
    <row r="655" spans="1:34" s="32" customFormat="1" ht="27.6">
      <c r="A655" s="338" t="s">
        <v>942</v>
      </c>
      <c r="B655" s="338" t="s">
        <v>945</v>
      </c>
      <c r="C655" s="358">
        <v>44238</v>
      </c>
      <c r="D655" s="351" t="s">
        <v>1028</v>
      </c>
      <c r="E655" s="352" t="s">
        <v>1161</v>
      </c>
      <c r="F655" s="338">
        <v>0.48749999999999999</v>
      </c>
      <c r="G655" s="338">
        <v>0.49027777777777781</v>
      </c>
      <c r="H655" s="338" t="s">
        <v>967</v>
      </c>
      <c r="I655" s="353">
        <v>732</v>
      </c>
      <c r="J655" s="338" t="str">
        <f>IFERROR(VLOOKUP(I655,'Chart of accounts'!A:H,2,FALSE),"")</f>
        <v>50103020 01</v>
      </c>
      <c r="K655" s="338" t="str">
        <f>IFERROR(VLOOKUP(I655,'Chart of accounts'!A:H,3,FALSE),"")</f>
        <v>Pag-IBIG - Civilian</v>
      </c>
      <c r="L655" s="338" t="str">
        <f>IFERROR(VLOOKUP(I655,'Chart of accounts'!A:H,4,FALSE),"")</f>
        <v>50103020 01 - Pag-IBIG - Civilian (732)</v>
      </c>
      <c r="M655" s="361">
        <v>67</v>
      </c>
      <c r="N655" s="355" t="s">
        <v>768</v>
      </c>
      <c r="O655" s="355" t="s">
        <v>1113</v>
      </c>
      <c r="P655" s="355"/>
      <c r="Q655" s="363">
        <v>100</v>
      </c>
      <c r="R655" s="319">
        <f t="shared" si="11"/>
        <v>-100</v>
      </c>
      <c r="S655" s="319" t="str">
        <f>VLOOKUP(H655,'Fund Utilization Report'!$A$4:$U$1800,13,FALSE)</f>
        <v>PS</v>
      </c>
      <c r="T655" s="319" t="str">
        <f>VLOOKUP(H655,'Fund Utilization Report'!$A$4:$U$1800,2,FALSE)</f>
        <v>GAA</v>
      </c>
      <c r="U655" s="319" t="str">
        <f>VLOOKUP(H655,'Fund Utilization Report'!$A$4:$U$1800,3,FALSE)</f>
        <v>FY2021, RA11518</v>
      </c>
      <c r="V655" s="319" t="str">
        <f>VLOOKUP(H655,'Fund Utilization Report'!$A$4:$U$1800,4,FALSE)</f>
        <v>OO2</v>
      </c>
      <c r="W655" s="319" t="str">
        <f>VLOOKUP(H655,'Fund Utilization Report'!$A$4:$U$1800,5,FALSE)</f>
        <v>01101101</v>
      </c>
      <c r="X655" s="319" t="str">
        <f>VLOOKUP(H655,'Fund Utilization Report'!$A$4:$U$1800,6,FALSE)</f>
        <v>GOP</v>
      </c>
      <c r="Y655" s="320" t="str">
        <f>VLOOKUP(H655,'Fund Utilization Report'!$A$4:$U$1800,7,FALSE)</f>
        <v>PS</v>
      </c>
      <c r="Z655" s="321">
        <f>VLOOKUP(H655,'Fund Utilization Report'!$A$4:$U$1800,8,FALSE)</f>
        <v>5010000000</v>
      </c>
      <c r="AA655" s="319" t="str">
        <f>VLOOKUP(H655,'Fund Utilization Report'!$A$4:$U$1800,14,FALSE)</f>
        <v>320100100001000</v>
      </c>
      <c r="AB655" s="349" t="str">
        <f>VLOOKUP(H655,'Fund Utilization Report'!$A$4:$U$1800,15,FALSE)</f>
        <v>Formulation of Strategic plans,programs, and policies to develop competitve industries</v>
      </c>
      <c r="AC655" s="39"/>
      <c r="AD655" s="34"/>
      <c r="AE655" s="39"/>
      <c r="AF655" s="51"/>
      <c r="AG655" s="40"/>
      <c r="AH655" s="40"/>
    </row>
    <row r="656" spans="1:34" s="32" customFormat="1" ht="27.6">
      <c r="A656" s="338" t="s">
        <v>942</v>
      </c>
      <c r="B656" s="338" t="s">
        <v>945</v>
      </c>
      <c r="C656" s="358">
        <v>44238</v>
      </c>
      <c r="D656" s="351" t="s">
        <v>1028</v>
      </c>
      <c r="E656" s="352" t="s">
        <v>1161</v>
      </c>
      <c r="F656" s="338">
        <v>0.48749999999999999</v>
      </c>
      <c r="G656" s="338">
        <v>0.49027777777777781</v>
      </c>
      <c r="H656" s="338" t="s">
        <v>967</v>
      </c>
      <c r="I656" s="353">
        <v>733</v>
      </c>
      <c r="J656" s="338" t="str">
        <f>IFERROR(VLOOKUP(I656,'Chart of accounts'!A:H,2,FALSE),"")</f>
        <v>50103030 01</v>
      </c>
      <c r="K656" s="338" t="str">
        <f>IFERROR(VLOOKUP(I656,'Chart of accounts'!A:H,3,FALSE),"")</f>
        <v>PhilHealth - Civilian</v>
      </c>
      <c r="L656" s="338" t="str">
        <f>IFERROR(VLOOKUP(I656,'Chart of accounts'!A:H,4,FALSE),"")</f>
        <v>50103030 01 - PhilHealth - Civilian (733)</v>
      </c>
      <c r="M656" s="361">
        <v>67</v>
      </c>
      <c r="N656" s="355" t="s">
        <v>768</v>
      </c>
      <c r="O656" s="355" t="s">
        <v>1113</v>
      </c>
      <c r="P656" s="355"/>
      <c r="Q656" s="363">
        <v>900</v>
      </c>
      <c r="R656" s="319">
        <f t="shared" si="11"/>
        <v>-900</v>
      </c>
      <c r="S656" s="319" t="str">
        <f>VLOOKUP(H656,'Fund Utilization Report'!$A$4:$U$1800,13,FALSE)</f>
        <v>PS</v>
      </c>
      <c r="T656" s="319" t="str">
        <f>VLOOKUP(H656,'Fund Utilization Report'!$A$4:$U$1800,2,FALSE)</f>
        <v>GAA</v>
      </c>
      <c r="U656" s="319" t="str">
        <f>VLOOKUP(H656,'Fund Utilization Report'!$A$4:$U$1800,3,FALSE)</f>
        <v>FY2021, RA11518</v>
      </c>
      <c r="V656" s="319" t="str">
        <f>VLOOKUP(H656,'Fund Utilization Report'!$A$4:$U$1800,4,FALSE)</f>
        <v>OO2</v>
      </c>
      <c r="W656" s="319" t="str">
        <f>VLOOKUP(H656,'Fund Utilization Report'!$A$4:$U$1800,5,FALSE)</f>
        <v>01101101</v>
      </c>
      <c r="X656" s="319" t="str">
        <f>VLOOKUP(H656,'Fund Utilization Report'!$A$4:$U$1800,6,FALSE)</f>
        <v>GOP</v>
      </c>
      <c r="Y656" s="320" t="str">
        <f>VLOOKUP(H656,'Fund Utilization Report'!$A$4:$U$1800,7,FALSE)</f>
        <v>PS</v>
      </c>
      <c r="Z656" s="321">
        <f>VLOOKUP(H656,'Fund Utilization Report'!$A$4:$U$1800,8,FALSE)</f>
        <v>5010000000</v>
      </c>
      <c r="AA656" s="319" t="str">
        <f>VLOOKUP(H656,'Fund Utilization Report'!$A$4:$U$1800,14,FALSE)</f>
        <v>320100100001000</v>
      </c>
      <c r="AB656" s="349" t="str">
        <f>VLOOKUP(H656,'Fund Utilization Report'!$A$4:$U$1800,15,FALSE)</f>
        <v>Formulation of Strategic plans,programs, and policies to develop competitve industries</v>
      </c>
      <c r="AC656" s="39"/>
      <c r="AD656" s="34"/>
      <c r="AE656" s="39"/>
      <c r="AF656" s="51"/>
      <c r="AG656" s="40"/>
      <c r="AH656" s="40"/>
    </row>
    <row r="657" spans="1:34" s="32" customFormat="1" ht="27.6">
      <c r="A657" s="338" t="s">
        <v>942</v>
      </c>
      <c r="B657" s="338" t="s">
        <v>945</v>
      </c>
      <c r="C657" s="358">
        <v>44238</v>
      </c>
      <c r="D657" s="351" t="s">
        <v>1028</v>
      </c>
      <c r="E657" s="352" t="s">
        <v>1161</v>
      </c>
      <c r="F657" s="338">
        <v>0.48749999999999999</v>
      </c>
      <c r="G657" s="338">
        <v>0.49027777777777781</v>
      </c>
      <c r="H657" s="338" t="s">
        <v>967</v>
      </c>
      <c r="I657" s="353">
        <v>734</v>
      </c>
      <c r="J657" s="338" t="str">
        <f>IFERROR(VLOOKUP(I657,'Chart of accounts'!A:H,2,FALSE),"")</f>
        <v>50103040 01</v>
      </c>
      <c r="K657" s="338" t="str">
        <f>IFERROR(VLOOKUP(I657,'Chart of accounts'!A:H,3,FALSE),"")</f>
        <v>ECIP - Civilian</v>
      </c>
      <c r="L657" s="338" t="str">
        <f>IFERROR(VLOOKUP(I657,'Chart of accounts'!A:H,4,FALSE),"")</f>
        <v>50103040 01 - ECIP - Civilian (734)</v>
      </c>
      <c r="M657" s="361">
        <v>67</v>
      </c>
      <c r="N657" s="355" t="s">
        <v>768</v>
      </c>
      <c r="O657" s="355" t="s">
        <v>1113</v>
      </c>
      <c r="P657" s="355"/>
      <c r="Q657" s="363">
        <v>100</v>
      </c>
      <c r="R657" s="319">
        <f t="shared" si="11"/>
        <v>-100</v>
      </c>
      <c r="S657" s="319" t="str">
        <f>VLOOKUP(H657,'Fund Utilization Report'!$A$4:$U$1800,13,FALSE)</f>
        <v>PS</v>
      </c>
      <c r="T657" s="319" t="str">
        <f>VLOOKUP(H657,'Fund Utilization Report'!$A$4:$U$1800,2,FALSE)</f>
        <v>GAA</v>
      </c>
      <c r="U657" s="319" t="str">
        <f>VLOOKUP(H657,'Fund Utilization Report'!$A$4:$U$1800,3,FALSE)</f>
        <v>FY2021, RA11518</v>
      </c>
      <c r="V657" s="319" t="str">
        <f>VLOOKUP(H657,'Fund Utilization Report'!$A$4:$U$1800,4,FALSE)</f>
        <v>OO2</v>
      </c>
      <c r="W657" s="319" t="str">
        <f>VLOOKUP(H657,'Fund Utilization Report'!$A$4:$U$1800,5,FALSE)</f>
        <v>01101101</v>
      </c>
      <c r="X657" s="319" t="str">
        <f>VLOOKUP(H657,'Fund Utilization Report'!$A$4:$U$1800,6,FALSE)</f>
        <v>GOP</v>
      </c>
      <c r="Y657" s="320" t="str">
        <f>VLOOKUP(H657,'Fund Utilization Report'!$A$4:$U$1800,7,FALSE)</f>
        <v>PS</v>
      </c>
      <c r="Z657" s="321">
        <f>VLOOKUP(H657,'Fund Utilization Report'!$A$4:$U$1800,8,FALSE)</f>
        <v>5010000000</v>
      </c>
      <c r="AA657" s="319" t="str">
        <f>VLOOKUP(H657,'Fund Utilization Report'!$A$4:$U$1800,14,FALSE)</f>
        <v>320100100001000</v>
      </c>
      <c r="AB657" s="349" t="str">
        <f>VLOOKUP(H657,'Fund Utilization Report'!$A$4:$U$1800,15,FALSE)</f>
        <v>Formulation of Strategic plans,programs, and policies to develop competitve industries</v>
      </c>
      <c r="AC657" s="39"/>
      <c r="AD657" s="34"/>
      <c r="AE657" s="39"/>
      <c r="AF657" s="51"/>
      <c r="AG657" s="40"/>
      <c r="AH657" s="40"/>
    </row>
    <row r="658" spans="1:34" s="32" customFormat="1" ht="27.6">
      <c r="A658" s="338" t="s">
        <v>942</v>
      </c>
      <c r="B658" s="338" t="s">
        <v>945</v>
      </c>
      <c r="C658" s="358">
        <v>44238</v>
      </c>
      <c r="D658" s="351" t="s">
        <v>1028</v>
      </c>
      <c r="E658" s="352" t="s">
        <v>1161</v>
      </c>
      <c r="F658" s="338">
        <v>0.48749999999999999</v>
      </c>
      <c r="G658" s="338">
        <v>0.49027777777777781</v>
      </c>
      <c r="H658" s="338" t="s">
        <v>970</v>
      </c>
      <c r="I658" s="353">
        <v>701</v>
      </c>
      <c r="J658" s="338" t="str">
        <f>IFERROR(VLOOKUP(I658,'Chart of accounts'!A:H,2,FALSE),"")</f>
        <v>50101010 01</v>
      </c>
      <c r="K658" s="338" t="str">
        <f>IFERROR(VLOOKUP(I658,'Chart of accounts'!A:H,3,FALSE),"")</f>
        <v>Basic Salary - Civilian</v>
      </c>
      <c r="L658" s="338" t="str">
        <f>IFERROR(VLOOKUP(I658,'Chart of accounts'!A:H,4,FALSE),"")</f>
        <v>50101010 01 - Basic Salary - Civilian (701)</v>
      </c>
      <c r="M658" s="361">
        <v>67</v>
      </c>
      <c r="N658" s="355" t="s">
        <v>768</v>
      </c>
      <c r="O658" s="355" t="s">
        <v>1113</v>
      </c>
      <c r="P658" s="355"/>
      <c r="Q658" s="363">
        <v>236044</v>
      </c>
      <c r="R658" s="319">
        <f t="shared" si="11"/>
        <v>-236044</v>
      </c>
      <c r="S658" s="319" t="str">
        <f>VLOOKUP(H658,'Fund Utilization Report'!$A$4:$U$1800,13,FALSE)</f>
        <v>PS</v>
      </c>
      <c r="T658" s="319" t="str">
        <f>VLOOKUP(H658,'Fund Utilization Report'!$A$4:$U$1800,2,FALSE)</f>
        <v>GAA</v>
      </c>
      <c r="U658" s="319" t="str">
        <f>VLOOKUP(H658,'Fund Utilization Report'!$A$4:$U$1800,3,FALSE)</f>
        <v>FY2021, RA11518</v>
      </c>
      <c r="V658" s="319" t="str">
        <f>VLOOKUP(H658,'Fund Utilization Report'!$A$4:$U$1800,4,FALSE)</f>
        <v>OO3</v>
      </c>
      <c r="W658" s="319" t="str">
        <f>VLOOKUP(H658,'Fund Utilization Report'!$A$4:$U$1800,5,FALSE)</f>
        <v>01101101</v>
      </c>
      <c r="X658" s="319" t="str">
        <f>VLOOKUP(H658,'Fund Utilization Report'!$A$4:$U$1800,6,FALSE)</f>
        <v>GOP</v>
      </c>
      <c r="Y658" s="320" t="str">
        <f>VLOOKUP(H658,'Fund Utilization Report'!$A$4:$U$1800,7,FALSE)</f>
        <v>PS</v>
      </c>
      <c r="Z658" s="321">
        <f>VLOOKUP(H658,'Fund Utilization Report'!$A$4:$U$1800,8,FALSE)</f>
        <v>5010000000</v>
      </c>
      <c r="AA658" s="319" t="str">
        <f>VLOOKUP(H658,'Fund Utilization Report'!$A$4:$U$1800,14,FALSE)</f>
        <v>330100100002000</v>
      </c>
      <c r="AB658" s="349" t="str">
        <f>VLOOKUP(H658,'Fund Utilization Report'!$A$4:$U$1800,15,FALSE)</f>
        <v>Implementation of the MSME Development Plan and other initiatives to promote the growth of Micro, Small and Medium Enterprises</v>
      </c>
      <c r="AC658" s="39"/>
      <c r="AD658" s="34"/>
      <c r="AE658" s="39"/>
      <c r="AF658" s="51"/>
      <c r="AG658" s="40"/>
      <c r="AH658" s="40"/>
    </row>
    <row r="659" spans="1:34" s="32" customFormat="1" ht="27.6">
      <c r="A659" s="338" t="s">
        <v>942</v>
      </c>
      <c r="B659" s="338" t="s">
        <v>945</v>
      </c>
      <c r="C659" s="358">
        <v>44238</v>
      </c>
      <c r="D659" s="351" t="s">
        <v>1028</v>
      </c>
      <c r="E659" s="352" t="s">
        <v>1161</v>
      </c>
      <c r="F659" s="338">
        <v>0.48749999999999999</v>
      </c>
      <c r="G659" s="338">
        <v>0.49027777777777781</v>
      </c>
      <c r="H659" s="338" t="s">
        <v>970</v>
      </c>
      <c r="I659" s="353">
        <v>711</v>
      </c>
      <c r="J659" s="338" t="str">
        <f>IFERROR(VLOOKUP(I659,'Chart of accounts'!A:H,2,FALSE),"")</f>
        <v>50102010 01</v>
      </c>
      <c r="K659" s="338" t="str">
        <f>IFERROR(VLOOKUP(I659,'Chart of accounts'!A:H,3,FALSE),"")</f>
        <v>PERA - Civilian</v>
      </c>
      <c r="L659" s="338" t="str">
        <f>IFERROR(VLOOKUP(I659,'Chart of accounts'!A:H,4,FALSE),"")</f>
        <v>50102010 01 - PERA - Civilian (711)</v>
      </c>
      <c r="M659" s="361">
        <v>67</v>
      </c>
      <c r="N659" s="355" t="s">
        <v>768</v>
      </c>
      <c r="O659" s="355" t="s">
        <v>1113</v>
      </c>
      <c r="P659" s="355"/>
      <c r="Q659" s="363">
        <v>12000</v>
      </c>
      <c r="R659" s="319">
        <f t="shared" si="11"/>
        <v>-12000</v>
      </c>
      <c r="S659" s="319" t="str">
        <f>VLOOKUP(H659,'Fund Utilization Report'!$A$4:$U$1800,13,FALSE)</f>
        <v>PS</v>
      </c>
      <c r="T659" s="319" t="str">
        <f>VLOOKUP(H659,'Fund Utilization Report'!$A$4:$U$1800,2,FALSE)</f>
        <v>GAA</v>
      </c>
      <c r="U659" s="319" t="str">
        <f>VLOOKUP(H659,'Fund Utilization Report'!$A$4:$U$1800,3,FALSE)</f>
        <v>FY2021, RA11518</v>
      </c>
      <c r="V659" s="319" t="str">
        <f>VLOOKUP(H659,'Fund Utilization Report'!$A$4:$U$1800,4,FALSE)</f>
        <v>OO3</v>
      </c>
      <c r="W659" s="319" t="str">
        <f>VLOOKUP(H659,'Fund Utilization Report'!$A$4:$U$1800,5,FALSE)</f>
        <v>01101101</v>
      </c>
      <c r="X659" s="319" t="str">
        <f>VLOOKUP(H659,'Fund Utilization Report'!$A$4:$U$1800,6,FALSE)</f>
        <v>GOP</v>
      </c>
      <c r="Y659" s="320" t="str">
        <f>VLOOKUP(H659,'Fund Utilization Report'!$A$4:$U$1800,7,FALSE)</f>
        <v>PS</v>
      </c>
      <c r="Z659" s="321">
        <f>VLOOKUP(H659,'Fund Utilization Report'!$A$4:$U$1800,8,FALSE)</f>
        <v>5010000000</v>
      </c>
      <c r="AA659" s="319" t="str">
        <f>VLOOKUP(H659,'Fund Utilization Report'!$A$4:$U$1800,14,FALSE)</f>
        <v>330100100002000</v>
      </c>
      <c r="AB659" s="349" t="str">
        <f>VLOOKUP(H659,'Fund Utilization Report'!$A$4:$U$1800,15,FALSE)</f>
        <v>Implementation of the MSME Development Plan and other initiatives to promote the growth of Micro, Small and Medium Enterprises</v>
      </c>
      <c r="AC659" s="39"/>
      <c r="AD659" s="34"/>
      <c r="AE659" s="39"/>
      <c r="AF659" s="51"/>
      <c r="AG659" s="40"/>
      <c r="AH659" s="40"/>
    </row>
    <row r="660" spans="1:34" s="32" customFormat="1" ht="27.6">
      <c r="A660" s="338" t="s">
        <v>942</v>
      </c>
      <c r="B660" s="338" t="s">
        <v>945</v>
      </c>
      <c r="C660" s="358">
        <v>44238</v>
      </c>
      <c r="D660" s="351" t="s">
        <v>1028</v>
      </c>
      <c r="E660" s="352" t="s">
        <v>1161</v>
      </c>
      <c r="F660" s="338">
        <v>0.48749999999999999</v>
      </c>
      <c r="G660" s="338">
        <v>0.49027777777777781</v>
      </c>
      <c r="H660" s="338" t="s">
        <v>972</v>
      </c>
      <c r="I660" s="353">
        <v>731</v>
      </c>
      <c r="J660" s="338" t="str">
        <f>IFERROR(VLOOKUP(I660,'Chart of accounts'!A:H,2,FALSE),"")</f>
        <v>50103010 00</v>
      </c>
      <c r="K660" s="338" t="str">
        <f>IFERROR(VLOOKUP(I660,'Chart of accounts'!A:H,3,FALSE),"")</f>
        <v>Retirement and Life Insurance Premiums</v>
      </c>
      <c r="L660" s="338" t="str">
        <f>IFERROR(VLOOKUP(I660,'Chart of accounts'!A:H,4,FALSE),"")</f>
        <v>50103010 00 - Retirement and Life Insurance Premiums (731)</v>
      </c>
      <c r="M660" s="361">
        <v>67</v>
      </c>
      <c r="N660" s="355" t="s">
        <v>768</v>
      </c>
      <c r="O660" s="355" t="s">
        <v>1113</v>
      </c>
      <c r="P660" s="355"/>
      <c r="Q660" s="363">
        <v>28325.279999999999</v>
      </c>
      <c r="R660" s="319">
        <f t="shared" si="11"/>
        <v>-28325.279999999999</v>
      </c>
      <c r="S660" s="319" t="str">
        <f>VLOOKUP(H660,'Fund Utilization Report'!$A$4:$U$1800,13,FALSE)</f>
        <v>PS</v>
      </c>
      <c r="T660" s="319" t="str">
        <f>VLOOKUP(H660,'Fund Utilization Report'!$A$4:$U$1800,2,FALSE)</f>
        <v>GAA</v>
      </c>
      <c r="U660" s="319" t="str">
        <f>VLOOKUP(H660,'Fund Utilization Report'!$A$4:$U$1800,3,FALSE)</f>
        <v>FY2021, RA11518</v>
      </c>
      <c r="V660" s="319" t="str">
        <f>VLOOKUP(H660,'Fund Utilization Report'!$A$4:$U$1800,4,FALSE)</f>
        <v>OO3</v>
      </c>
      <c r="W660" s="319" t="str">
        <f>VLOOKUP(H660,'Fund Utilization Report'!$A$4:$U$1800,5,FALSE)</f>
        <v>01101101</v>
      </c>
      <c r="X660" s="319" t="str">
        <f>VLOOKUP(H660,'Fund Utilization Report'!$A$4:$U$1800,6,FALSE)</f>
        <v>GOP</v>
      </c>
      <c r="Y660" s="320" t="str">
        <f>VLOOKUP(H660,'Fund Utilization Report'!$A$4:$U$1800,7,FALSE)</f>
        <v>RLIP</v>
      </c>
      <c r="Z660" s="321" t="str">
        <f>VLOOKUP(H660,'Fund Utilization Report'!$A$4:$U$1800,8,FALSE)</f>
        <v>50103010-00</v>
      </c>
      <c r="AA660" s="319" t="str">
        <f>VLOOKUP(H660,'Fund Utilization Report'!$A$4:$U$1800,14,FALSE)</f>
        <v>330100100002000</v>
      </c>
      <c r="AB660" s="349" t="str">
        <f>VLOOKUP(H660,'Fund Utilization Report'!$A$4:$U$1800,15,FALSE)</f>
        <v>Implementation of the MSME Development Plan and other initiatives to promote the growth of Micro, Small and Medium Enterprises</v>
      </c>
      <c r="AC660" s="39"/>
      <c r="AD660" s="34"/>
      <c r="AE660" s="39"/>
      <c r="AF660" s="51"/>
      <c r="AG660" s="40"/>
      <c r="AH660" s="40"/>
    </row>
    <row r="661" spans="1:34" s="32" customFormat="1" ht="27.6">
      <c r="A661" s="338" t="s">
        <v>942</v>
      </c>
      <c r="B661" s="338" t="s">
        <v>945</v>
      </c>
      <c r="C661" s="358">
        <v>44238</v>
      </c>
      <c r="D661" s="351" t="s">
        <v>1028</v>
      </c>
      <c r="E661" s="352" t="s">
        <v>1161</v>
      </c>
      <c r="F661" s="338">
        <v>0.48749999999999999</v>
      </c>
      <c r="G661" s="338">
        <v>0.49027777777777781</v>
      </c>
      <c r="H661" s="338" t="s">
        <v>970</v>
      </c>
      <c r="I661" s="353">
        <v>732</v>
      </c>
      <c r="J661" s="338" t="str">
        <f>IFERROR(VLOOKUP(I661,'Chart of accounts'!A:H,2,FALSE),"")</f>
        <v>50103020 01</v>
      </c>
      <c r="K661" s="338" t="str">
        <f>IFERROR(VLOOKUP(I661,'Chart of accounts'!A:H,3,FALSE),"")</f>
        <v>Pag-IBIG - Civilian</v>
      </c>
      <c r="L661" s="338" t="str">
        <f>IFERROR(VLOOKUP(I661,'Chart of accounts'!A:H,4,FALSE),"")</f>
        <v>50103020 01 - Pag-IBIG - Civilian (732)</v>
      </c>
      <c r="M661" s="361">
        <v>67</v>
      </c>
      <c r="N661" s="355" t="s">
        <v>768</v>
      </c>
      <c r="O661" s="355" t="s">
        <v>1113</v>
      </c>
      <c r="P661" s="355"/>
      <c r="Q661" s="363">
        <v>600</v>
      </c>
      <c r="R661" s="319">
        <f t="shared" si="11"/>
        <v>-600</v>
      </c>
      <c r="S661" s="319" t="str">
        <f>VLOOKUP(H661,'Fund Utilization Report'!$A$4:$U$1800,13,FALSE)</f>
        <v>PS</v>
      </c>
      <c r="T661" s="319" t="str">
        <f>VLOOKUP(H661,'Fund Utilization Report'!$A$4:$U$1800,2,FALSE)</f>
        <v>GAA</v>
      </c>
      <c r="U661" s="319" t="str">
        <f>VLOOKUP(H661,'Fund Utilization Report'!$A$4:$U$1800,3,FALSE)</f>
        <v>FY2021, RA11518</v>
      </c>
      <c r="V661" s="319" t="str">
        <f>VLOOKUP(H661,'Fund Utilization Report'!$A$4:$U$1800,4,FALSE)</f>
        <v>OO3</v>
      </c>
      <c r="W661" s="319" t="str">
        <f>VLOOKUP(H661,'Fund Utilization Report'!$A$4:$U$1800,5,FALSE)</f>
        <v>01101101</v>
      </c>
      <c r="X661" s="319" t="str">
        <f>VLOOKUP(H661,'Fund Utilization Report'!$A$4:$U$1800,6,FALSE)</f>
        <v>GOP</v>
      </c>
      <c r="Y661" s="320" t="str">
        <f>VLOOKUP(H661,'Fund Utilization Report'!$A$4:$U$1800,7,FALSE)</f>
        <v>PS</v>
      </c>
      <c r="Z661" s="321">
        <f>VLOOKUP(H661,'Fund Utilization Report'!$A$4:$U$1800,8,FALSE)</f>
        <v>5010000000</v>
      </c>
      <c r="AA661" s="319" t="str">
        <f>VLOOKUP(H661,'Fund Utilization Report'!$A$4:$U$1800,14,FALSE)</f>
        <v>330100100002000</v>
      </c>
      <c r="AB661" s="349" t="str">
        <f>VLOOKUP(H661,'Fund Utilization Report'!$A$4:$U$1800,15,FALSE)</f>
        <v>Implementation of the MSME Development Plan and other initiatives to promote the growth of Micro, Small and Medium Enterprises</v>
      </c>
      <c r="AC661" s="39"/>
      <c r="AD661" s="34"/>
      <c r="AE661" s="39"/>
      <c r="AF661" s="51"/>
      <c r="AG661" s="40"/>
      <c r="AH661" s="40"/>
    </row>
    <row r="662" spans="1:34" s="32" customFormat="1" ht="27.6">
      <c r="A662" s="338" t="s">
        <v>942</v>
      </c>
      <c r="B662" s="338" t="s">
        <v>945</v>
      </c>
      <c r="C662" s="358">
        <v>44238</v>
      </c>
      <c r="D662" s="351" t="s">
        <v>1028</v>
      </c>
      <c r="E662" s="352" t="s">
        <v>1161</v>
      </c>
      <c r="F662" s="338">
        <v>0.48749999999999999</v>
      </c>
      <c r="G662" s="338">
        <v>0.49027777777777781</v>
      </c>
      <c r="H662" s="338" t="s">
        <v>970</v>
      </c>
      <c r="I662" s="353">
        <v>733</v>
      </c>
      <c r="J662" s="338" t="str">
        <f>IFERROR(VLOOKUP(I662,'Chart of accounts'!A:H,2,FALSE),"")</f>
        <v>50103030 01</v>
      </c>
      <c r="K662" s="338" t="str">
        <f>IFERROR(VLOOKUP(I662,'Chart of accounts'!A:H,3,FALSE),"")</f>
        <v>PhilHealth - Civilian</v>
      </c>
      <c r="L662" s="338" t="str">
        <f>IFERROR(VLOOKUP(I662,'Chart of accounts'!A:H,4,FALSE),"")</f>
        <v>50103030 01 - PhilHealth - Civilian (733)</v>
      </c>
      <c r="M662" s="361">
        <v>67</v>
      </c>
      <c r="N662" s="355" t="s">
        <v>768</v>
      </c>
      <c r="O662" s="355" t="s">
        <v>1113</v>
      </c>
      <c r="P662" s="355"/>
      <c r="Q662" s="363">
        <v>3540.69</v>
      </c>
      <c r="R662" s="319">
        <f t="shared" si="11"/>
        <v>-3540.69</v>
      </c>
      <c r="S662" s="319" t="str">
        <f>VLOOKUP(H662,'Fund Utilization Report'!$A$4:$U$1800,13,FALSE)</f>
        <v>PS</v>
      </c>
      <c r="T662" s="319" t="str">
        <f>VLOOKUP(H662,'Fund Utilization Report'!$A$4:$U$1800,2,FALSE)</f>
        <v>GAA</v>
      </c>
      <c r="U662" s="319" t="str">
        <f>VLOOKUP(H662,'Fund Utilization Report'!$A$4:$U$1800,3,FALSE)</f>
        <v>FY2021, RA11518</v>
      </c>
      <c r="V662" s="319" t="str">
        <f>VLOOKUP(H662,'Fund Utilization Report'!$A$4:$U$1800,4,FALSE)</f>
        <v>OO3</v>
      </c>
      <c r="W662" s="319" t="str">
        <f>VLOOKUP(H662,'Fund Utilization Report'!$A$4:$U$1800,5,FALSE)</f>
        <v>01101101</v>
      </c>
      <c r="X662" s="319" t="str">
        <f>VLOOKUP(H662,'Fund Utilization Report'!$A$4:$U$1800,6,FALSE)</f>
        <v>GOP</v>
      </c>
      <c r="Y662" s="320" t="str">
        <f>VLOOKUP(H662,'Fund Utilization Report'!$A$4:$U$1800,7,FALSE)</f>
        <v>PS</v>
      </c>
      <c r="Z662" s="321">
        <f>VLOOKUP(H662,'Fund Utilization Report'!$A$4:$U$1800,8,FALSE)</f>
        <v>5010000000</v>
      </c>
      <c r="AA662" s="319" t="str">
        <f>VLOOKUP(H662,'Fund Utilization Report'!$A$4:$U$1800,14,FALSE)</f>
        <v>330100100002000</v>
      </c>
      <c r="AB662" s="349" t="str">
        <f>VLOOKUP(H662,'Fund Utilization Report'!$A$4:$U$1800,15,FALSE)</f>
        <v>Implementation of the MSME Development Plan and other initiatives to promote the growth of Micro, Small and Medium Enterprises</v>
      </c>
      <c r="AC662" s="39"/>
      <c r="AD662" s="34"/>
      <c r="AE662" s="39"/>
      <c r="AF662" s="51"/>
      <c r="AG662" s="40"/>
      <c r="AH662" s="40"/>
    </row>
    <row r="663" spans="1:34" s="32" customFormat="1" ht="27.6">
      <c r="A663" s="338" t="s">
        <v>942</v>
      </c>
      <c r="B663" s="338" t="s">
        <v>945</v>
      </c>
      <c r="C663" s="358">
        <v>44238</v>
      </c>
      <c r="D663" s="351" t="s">
        <v>1028</v>
      </c>
      <c r="E663" s="352" t="s">
        <v>1161</v>
      </c>
      <c r="F663" s="338">
        <v>0.48749999999999999</v>
      </c>
      <c r="G663" s="338">
        <v>0.49027777777777781</v>
      </c>
      <c r="H663" s="338" t="s">
        <v>970</v>
      </c>
      <c r="I663" s="353">
        <v>734</v>
      </c>
      <c r="J663" s="338" t="str">
        <f>IFERROR(VLOOKUP(I663,'Chart of accounts'!A:H,2,FALSE),"")</f>
        <v>50103040 01</v>
      </c>
      <c r="K663" s="338" t="str">
        <f>IFERROR(VLOOKUP(I663,'Chart of accounts'!A:H,3,FALSE),"")</f>
        <v>ECIP - Civilian</v>
      </c>
      <c r="L663" s="338" t="str">
        <f>IFERROR(VLOOKUP(I663,'Chart of accounts'!A:H,4,FALSE),"")</f>
        <v>50103040 01 - ECIP - Civilian (734)</v>
      </c>
      <c r="M663" s="361">
        <v>67</v>
      </c>
      <c r="N663" s="355" t="s">
        <v>768</v>
      </c>
      <c r="O663" s="355" t="s">
        <v>1113</v>
      </c>
      <c r="P663" s="355"/>
      <c r="Q663" s="363">
        <v>600</v>
      </c>
      <c r="R663" s="319">
        <f t="shared" si="11"/>
        <v>-600</v>
      </c>
      <c r="S663" s="319" t="str">
        <f>VLOOKUP(H663,'Fund Utilization Report'!$A$4:$U$1800,13,FALSE)</f>
        <v>PS</v>
      </c>
      <c r="T663" s="319" t="str">
        <f>VLOOKUP(H663,'Fund Utilization Report'!$A$4:$U$1800,2,FALSE)</f>
        <v>GAA</v>
      </c>
      <c r="U663" s="319" t="str">
        <f>VLOOKUP(H663,'Fund Utilization Report'!$A$4:$U$1800,3,FALSE)</f>
        <v>FY2021, RA11518</v>
      </c>
      <c r="V663" s="319" t="str">
        <f>VLOOKUP(H663,'Fund Utilization Report'!$A$4:$U$1800,4,FALSE)</f>
        <v>OO3</v>
      </c>
      <c r="W663" s="319" t="str">
        <f>VLOOKUP(H663,'Fund Utilization Report'!$A$4:$U$1800,5,FALSE)</f>
        <v>01101101</v>
      </c>
      <c r="X663" s="319" t="str">
        <f>VLOOKUP(H663,'Fund Utilization Report'!$A$4:$U$1800,6,FALSE)</f>
        <v>GOP</v>
      </c>
      <c r="Y663" s="320" t="str">
        <f>VLOOKUP(H663,'Fund Utilization Report'!$A$4:$U$1800,7,FALSE)</f>
        <v>PS</v>
      </c>
      <c r="Z663" s="321">
        <f>VLOOKUP(H663,'Fund Utilization Report'!$A$4:$U$1800,8,FALSE)</f>
        <v>5010000000</v>
      </c>
      <c r="AA663" s="319" t="str">
        <f>VLOOKUP(H663,'Fund Utilization Report'!$A$4:$U$1800,14,FALSE)</f>
        <v>330100100002000</v>
      </c>
      <c r="AB663" s="349" t="str">
        <f>VLOOKUP(H663,'Fund Utilization Report'!$A$4:$U$1800,15,FALSE)</f>
        <v>Implementation of the MSME Development Plan and other initiatives to promote the growth of Micro, Small and Medium Enterprises</v>
      </c>
      <c r="AC663" s="39"/>
      <c r="AD663" s="34"/>
      <c r="AE663" s="39"/>
      <c r="AF663" s="51"/>
      <c r="AG663" s="40"/>
      <c r="AH663" s="40"/>
    </row>
    <row r="664" spans="1:34" s="32" customFormat="1" ht="27.6">
      <c r="A664" s="338" t="s">
        <v>942</v>
      </c>
      <c r="B664" s="338" t="s">
        <v>945</v>
      </c>
      <c r="C664" s="358">
        <v>44238</v>
      </c>
      <c r="D664" s="351" t="s">
        <v>1028</v>
      </c>
      <c r="E664" s="352" t="s">
        <v>1161</v>
      </c>
      <c r="F664" s="338">
        <v>0.48749999999999999</v>
      </c>
      <c r="G664" s="338">
        <v>0.49027777777777781</v>
      </c>
      <c r="H664" s="338" t="s">
        <v>973</v>
      </c>
      <c r="I664" s="353">
        <v>701</v>
      </c>
      <c r="J664" s="338" t="str">
        <f>IFERROR(VLOOKUP(I664,'Chart of accounts'!A:H,2,FALSE),"")</f>
        <v>50101010 01</v>
      </c>
      <c r="K664" s="338" t="str">
        <f>IFERROR(VLOOKUP(I664,'Chart of accounts'!A:H,3,FALSE),"")</f>
        <v>Basic Salary - Civilian</v>
      </c>
      <c r="L664" s="338" t="str">
        <f>IFERROR(VLOOKUP(I664,'Chart of accounts'!A:H,4,FALSE),"")</f>
        <v>50101010 01 - Basic Salary - Civilian (701)</v>
      </c>
      <c r="M664" s="361">
        <v>67</v>
      </c>
      <c r="N664" s="355" t="s">
        <v>768</v>
      </c>
      <c r="O664" s="355" t="s">
        <v>1113</v>
      </c>
      <c r="P664" s="355"/>
      <c r="Q664" s="363">
        <v>44694</v>
      </c>
      <c r="R664" s="319">
        <f t="shared" si="11"/>
        <v>-44694</v>
      </c>
      <c r="S664" s="319" t="str">
        <f>VLOOKUP(H664,'Fund Utilization Report'!$A$4:$U$1800,13,FALSE)</f>
        <v>PS</v>
      </c>
      <c r="T664" s="319" t="str">
        <f>VLOOKUP(H664,'Fund Utilization Report'!$A$4:$U$1800,2,FALSE)</f>
        <v>GAA</v>
      </c>
      <c r="U664" s="319" t="str">
        <f>VLOOKUP(H664,'Fund Utilization Report'!$A$4:$U$1800,3,FALSE)</f>
        <v>FY2021, RA11518</v>
      </c>
      <c r="V664" s="319" t="str">
        <f>VLOOKUP(H664,'Fund Utilization Report'!$A$4:$U$1800,4,FALSE)</f>
        <v>OO4.1(FTL)</v>
      </c>
      <c r="W664" s="319" t="str">
        <f>VLOOKUP(H664,'Fund Utilization Report'!$A$4:$U$1800,5,FALSE)</f>
        <v>01101101</v>
      </c>
      <c r="X664" s="319" t="str">
        <f>VLOOKUP(H664,'Fund Utilization Report'!$A$4:$U$1800,6,FALSE)</f>
        <v>GOP</v>
      </c>
      <c r="Y664" s="320" t="str">
        <f>VLOOKUP(H664,'Fund Utilization Report'!$A$4:$U$1800,7,FALSE)</f>
        <v>PS</v>
      </c>
      <c r="Z664" s="321">
        <f>VLOOKUP(H664,'Fund Utilization Report'!$A$4:$U$1800,8,FALSE)</f>
        <v>5010000000</v>
      </c>
      <c r="AA664" s="319" t="str">
        <f>VLOOKUP(H664,'Fund Utilization Report'!$A$4:$U$1800,14,FALSE)</f>
        <v>340100100002000</v>
      </c>
      <c r="AB664" s="349" t="str">
        <f>VLOOKUP(H664,'Fund Utilization Report'!$A$4:$U$1800,15,FALSE)</f>
        <v>Monitoring and Enforcement of FTL including consumer complaints handling</v>
      </c>
      <c r="AC664" s="39"/>
      <c r="AD664" s="34"/>
      <c r="AE664" s="39"/>
      <c r="AF664" s="51"/>
      <c r="AG664" s="40"/>
      <c r="AH664" s="40"/>
    </row>
    <row r="665" spans="1:34" s="32" customFormat="1" ht="27.6">
      <c r="A665" s="338" t="s">
        <v>942</v>
      </c>
      <c r="B665" s="338" t="s">
        <v>945</v>
      </c>
      <c r="C665" s="358">
        <v>44238</v>
      </c>
      <c r="D665" s="351" t="s">
        <v>1028</v>
      </c>
      <c r="E665" s="352" t="s">
        <v>1161</v>
      </c>
      <c r="F665" s="338">
        <v>0.48749999999999999</v>
      </c>
      <c r="G665" s="338">
        <v>0.49027777777777781</v>
      </c>
      <c r="H665" s="338" t="s">
        <v>973</v>
      </c>
      <c r="I665" s="353">
        <v>711</v>
      </c>
      <c r="J665" s="338" t="str">
        <f>IFERROR(VLOOKUP(I665,'Chart of accounts'!A:H,2,FALSE),"")</f>
        <v>50102010 01</v>
      </c>
      <c r="K665" s="338" t="str">
        <f>IFERROR(VLOOKUP(I665,'Chart of accounts'!A:H,3,FALSE),"")</f>
        <v>PERA - Civilian</v>
      </c>
      <c r="L665" s="338" t="str">
        <f>IFERROR(VLOOKUP(I665,'Chart of accounts'!A:H,4,FALSE),"")</f>
        <v>50102010 01 - PERA - Civilian (711)</v>
      </c>
      <c r="M665" s="361">
        <v>67</v>
      </c>
      <c r="N665" s="355" t="s">
        <v>768</v>
      </c>
      <c r="O665" s="355" t="s">
        <v>1113</v>
      </c>
      <c r="P665" s="355"/>
      <c r="Q665" s="363">
        <v>2000</v>
      </c>
      <c r="R665" s="319">
        <f t="shared" si="11"/>
        <v>-2000</v>
      </c>
      <c r="S665" s="319" t="str">
        <f>VLOOKUP(H665,'Fund Utilization Report'!$A$4:$U$1800,13,FALSE)</f>
        <v>PS</v>
      </c>
      <c r="T665" s="319" t="str">
        <f>VLOOKUP(H665,'Fund Utilization Report'!$A$4:$U$1800,2,FALSE)</f>
        <v>GAA</v>
      </c>
      <c r="U665" s="319" t="str">
        <f>VLOOKUP(H665,'Fund Utilization Report'!$A$4:$U$1800,3,FALSE)</f>
        <v>FY2021, RA11518</v>
      </c>
      <c r="V665" s="319" t="str">
        <f>VLOOKUP(H665,'Fund Utilization Report'!$A$4:$U$1800,4,FALSE)</f>
        <v>OO4.1(FTL)</v>
      </c>
      <c r="W665" s="319" t="str">
        <f>VLOOKUP(H665,'Fund Utilization Report'!$A$4:$U$1800,5,FALSE)</f>
        <v>01101101</v>
      </c>
      <c r="X665" s="319" t="str">
        <f>VLOOKUP(H665,'Fund Utilization Report'!$A$4:$U$1800,6,FALSE)</f>
        <v>GOP</v>
      </c>
      <c r="Y665" s="320" t="str">
        <f>VLOOKUP(H665,'Fund Utilization Report'!$A$4:$U$1800,7,FALSE)</f>
        <v>PS</v>
      </c>
      <c r="Z665" s="321">
        <f>VLOOKUP(H665,'Fund Utilization Report'!$A$4:$U$1800,8,FALSE)</f>
        <v>5010000000</v>
      </c>
      <c r="AA665" s="319" t="str">
        <f>VLOOKUP(H665,'Fund Utilization Report'!$A$4:$U$1800,14,FALSE)</f>
        <v>340100100002000</v>
      </c>
      <c r="AB665" s="349" t="str">
        <f>VLOOKUP(H665,'Fund Utilization Report'!$A$4:$U$1800,15,FALSE)</f>
        <v>Monitoring and Enforcement of FTL including consumer complaints handling</v>
      </c>
      <c r="AC665" s="39"/>
      <c r="AD665" s="34"/>
      <c r="AE665" s="39"/>
      <c r="AF665" s="51"/>
      <c r="AG665" s="40"/>
      <c r="AH665" s="40"/>
    </row>
    <row r="666" spans="1:34" s="32" customFormat="1" ht="27.6">
      <c r="A666" s="338" t="s">
        <v>942</v>
      </c>
      <c r="B666" s="338" t="s">
        <v>945</v>
      </c>
      <c r="C666" s="358">
        <v>44238</v>
      </c>
      <c r="D666" s="351" t="s">
        <v>1028</v>
      </c>
      <c r="E666" s="352" t="s">
        <v>1161</v>
      </c>
      <c r="F666" s="338">
        <v>0.48749999999999999</v>
      </c>
      <c r="G666" s="338">
        <v>0.49027777777777781</v>
      </c>
      <c r="H666" s="338" t="s">
        <v>975</v>
      </c>
      <c r="I666" s="353">
        <v>731</v>
      </c>
      <c r="J666" s="338" t="str">
        <f>IFERROR(VLOOKUP(I666,'Chart of accounts'!A:H,2,FALSE),"")</f>
        <v>50103010 00</v>
      </c>
      <c r="K666" s="338" t="str">
        <f>IFERROR(VLOOKUP(I666,'Chart of accounts'!A:H,3,FALSE),"")</f>
        <v>Retirement and Life Insurance Premiums</v>
      </c>
      <c r="L666" s="338" t="str">
        <f>IFERROR(VLOOKUP(I666,'Chart of accounts'!A:H,4,FALSE),"")</f>
        <v>50103010 00 - Retirement and Life Insurance Premiums (731)</v>
      </c>
      <c r="M666" s="361">
        <v>67</v>
      </c>
      <c r="N666" s="355" t="s">
        <v>768</v>
      </c>
      <c r="O666" s="355" t="s">
        <v>1113</v>
      </c>
      <c r="P666" s="355"/>
      <c r="Q666" s="363">
        <v>5363.28</v>
      </c>
      <c r="R666" s="319">
        <f t="shared" si="11"/>
        <v>-5363.28</v>
      </c>
      <c r="S666" s="319" t="str">
        <f>VLOOKUP(H666,'Fund Utilization Report'!$A$4:$U$1800,13,FALSE)</f>
        <v>PS</v>
      </c>
      <c r="T666" s="319" t="str">
        <f>VLOOKUP(H666,'Fund Utilization Report'!$A$4:$U$1800,2,FALSE)</f>
        <v>GAA</v>
      </c>
      <c r="U666" s="319" t="str">
        <f>VLOOKUP(H666,'Fund Utilization Report'!$A$4:$U$1800,3,FALSE)</f>
        <v>FY2021, RA11518</v>
      </c>
      <c r="V666" s="319" t="str">
        <f>VLOOKUP(H666,'Fund Utilization Report'!$A$4:$U$1800,4,FALSE)</f>
        <v>OO4.1(FTL)</v>
      </c>
      <c r="W666" s="319" t="str">
        <f>VLOOKUP(H666,'Fund Utilization Report'!$A$4:$U$1800,5,FALSE)</f>
        <v>01101101</v>
      </c>
      <c r="X666" s="319" t="str">
        <f>VLOOKUP(H666,'Fund Utilization Report'!$A$4:$U$1800,6,FALSE)</f>
        <v>GOP</v>
      </c>
      <c r="Y666" s="320" t="str">
        <f>VLOOKUP(H666,'Fund Utilization Report'!$A$4:$U$1800,7,FALSE)</f>
        <v>RLIP</v>
      </c>
      <c r="Z666" s="321" t="str">
        <f>VLOOKUP(H666,'Fund Utilization Report'!$A$4:$U$1800,8,FALSE)</f>
        <v>50103010-00</v>
      </c>
      <c r="AA666" s="319" t="str">
        <f>VLOOKUP(H666,'Fund Utilization Report'!$A$4:$U$1800,14,FALSE)</f>
        <v>340100100002000</v>
      </c>
      <c r="AB666" s="349" t="str">
        <f>VLOOKUP(H666,'Fund Utilization Report'!$A$4:$U$1800,15,FALSE)</f>
        <v>Monitoring and Enforcement of FTL including consumer complaints handling</v>
      </c>
      <c r="AC666" s="39"/>
      <c r="AD666" s="34"/>
      <c r="AE666" s="39"/>
      <c r="AF666" s="51"/>
      <c r="AG666" s="40"/>
      <c r="AH666" s="40"/>
    </row>
    <row r="667" spans="1:34" s="32" customFormat="1" ht="27.6">
      <c r="A667" s="338" t="s">
        <v>942</v>
      </c>
      <c r="B667" s="338" t="s">
        <v>945</v>
      </c>
      <c r="C667" s="358">
        <v>44238</v>
      </c>
      <c r="D667" s="351" t="s">
        <v>1028</v>
      </c>
      <c r="E667" s="352" t="s">
        <v>1161</v>
      </c>
      <c r="F667" s="338">
        <v>0.48749999999999999</v>
      </c>
      <c r="G667" s="338">
        <v>0.49027777777777781</v>
      </c>
      <c r="H667" s="338" t="s">
        <v>973</v>
      </c>
      <c r="I667" s="353">
        <v>732</v>
      </c>
      <c r="J667" s="338" t="str">
        <f>IFERROR(VLOOKUP(I667,'Chart of accounts'!A:H,2,FALSE),"")</f>
        <v>50103020 01</v>
      </c>
      <c r="K667" s="338" t="str">
        <f>IFERROR(VLOOKUP(I667,'Chart of accounts'!A:H,3,FALSE),"")</f>
        <v>Pag-IBIG - Civilian</v>
      </c>
      <c r="L667" s="338" t="str">
        <f>IFERROR(VLOOKUP(I667,'Chart of accounts'!A:H,4,FALSE),"")</f>
        <v>50103020 01 - Pag-IBIG - Civilian (732)</v>
      </c>
      <c r="M667" s="361">
        <v>67</v>
      </c>
      <c r="N667" s="355" t="s">
        <v>768</v>
      </c>
      <c r="O667" s="355" t="s">
        <v>1113</v>
      </c>
      <c r="P667" s="355"/>
      <c r="Q667" s="363">
        <v>100</v>
      </c>
      <c r="R667" s="319">
        <f t="shared" si="11"/>
        <v>-100</v>
      </c>
      <c r="S667" s="319" t="str">
        <f>VLOOKUP(H667,'Fund Utilization Report'!$A$4:$U$1800,13,FALSE)</f>
        <v>PS</v>
      </c>
      <c r="T667" s="319" t="str">
        <f>VLOOKUP(H667,'Fund Utilization Report'!$A$4:$U$1800,2,FALSE)</f>
        <v>GAA</v>
      </c>
      <c r="U667" s="319" t="str">
        <f>VLOOKUP(H667,'Fund Utilization Report'!$A$4:$U$1800,3,FALSE)</f>
        <v>FY2021, RA11518</v>
      </c>
      <c r="V667" s="319" t="str">
        <f>VLOOKUP(H667,'Fund Utilization Report'!$A$4:$U$1800,4,FALSE)</f>
        <v>OO4.1(FTL)</v>
      </c>
      <c r="W667" s="319" t="str">
        <f>VLOOKUP(H667,'Fund Utilization Report'!$A$4:$U$1800,5,FALSE)</f>
        <v>01101101</v>
      </c>
      <c r="X667" s="319" t="str">
        <f>VLOOKUP(H667,'Fund Utilization Report'!$A$4:$U$1800,6,FALSE)</f>
        <v>GOP</v>
      </c>
      <c r="Y667" s="320" t="str">
        <f>VLOOKUP(H667,'Fund Utilization Report'!$A$4:$U$1800,7,FALSE)</f>
        <v>PS</v>
      </c>
      <c r="Z667" s="321">
        <f>VLOOKUP(H667,'Fund Utilization Report'!$A$4:$U$1800,8,FALSE)</f>
        <v>5010000000</v>
      </c>
      <c r="AA667" s="319" t="str">
        <f>VLOOKUP(H667,'Fund Utilization Report'!$A$4:$U$1800,14,FALSE)</f>
        <v>340100100002000</v>
      </c>
      <c r="AB667" s="349" t="str">
        <f>VLOOKUP(H667,'Fund Utilization Report'!$A$4:$U$1800,15,FALSE)</f>
        <v>Monitoring and Enforcement of FTL including consumer complaints handling</v>
      </c>
      <c r="AC667" s="39"/>
      <c r="AD667" s="34"/>
      <c r="AE667" s="39"/>
      <c r="AF667" s="51"/>
      <c r="AG667" s="40"/>
      <c r="AH667" s="40"/>
    </row>
    <row r="668" spans="1:34" s="32" customFormat="1" ht="27.6">
      <c r="A668" s="338" t="s">
        <v>942</v>
      </c>
      <c r="B668" s="338" t="s">
        <v>945</v>
      </c>
      <c r="C668" s="358">
        <v>44238</v>
      </c>
      <c r="D668" s="351" t="s">
        <v>1028</v>
      </c>
      <c r="E668" s="352" t="s">
        <v>1161</v>
      </c>
      <c r="F668" s="338">
        <v>0.48749999999999999</v>
      </c>
      <c r="G668" s="338">
        <v>0.49027777777777781</v>
      </c>
      <c r="H668" s="338" t="s">
        <v>973</v>
      </c>
      <c r="I668" s="353">
        <v>733</v>
      </c>
      <c r="J668" s="338" t="str">
        <f>IFERROR(VLOOKUP(I668,'Chart of accounts'!A:H,2,FALSE),"")</f>
        <v>50103030 01</v>
      </c>
      <c r="K668" s="338" t="str">
        <f>IFERROR(VLOOKUP(I668,'Chart of accounts'!A:H,3,FALSE),"")</f>
        <v>PhilHealth - Civilian</v>
      </c>
      <c r="L668" s="338" t="str">
        <f>IFERROR(VLOOKUP(I668,'Chart of accounts'!A:H,4,FALSE),"")</f>
        <v>50103030 01 - PhilHealth - Civilian (733)</v>
      </c>
      <c r="M668" s="361">
        <v>67</v>
      </c>
      <c r="N668" s="355" t="s">
        <v>768</v>
      </c>
      <c r="O668" s="355" t="s">
        <v>1113</v>
      </c>
      <c r="P668" s="355"/>
      <c r="Q668" s="363">
        <v>670.41</v>
      </c>
      <c r="R668" s="319">
        <f t="shared" si="11"/>
        <v>-670.41</v>
      </c>
      <c r="S668" s="319" t="str">
        <f>VLOOKUP(H668,'Fund Utilization Report'!$A$4:$U$1800,13,FALSE)</f>
        <v>PS</v>
      </c>
      <c r="T668" s="319" t="str">
        <f>VLOOKUP(H668,'Fund Utilization Report'!$A$4:$U$1800,2,FALSE)</f>
        <v>GAA</v>
      </c>
      <c r="U668" s="319" t="str">
        <f>VLOOKUP(H668,'Fund Utilization Report'!$A$4:$U$1800,3,FALSE)</f>
        <v>FY2021, RA11518</v>
      </c>
      <c r="V668" s="319" t="str">
        <f>VLOOKUP(H668,'Fund Utilization Report'!$A$4:$U$1800,4,FALSE)</f>
        <v>OO4.1(FTL)</v>
      </c>
      <c r="W668" s="319" t="str">
        <f>VLOOKUP(H668,'Fund Utilization Report'!$A$4:$U$1800,5,FALSE)</f>
        <v>01101101</v>
      </c>
      <c r="X668" s="319" t="str">
        <f>VLOOKUP(H668,'Fund Utilization Report'!$A$4:$U$1800,6,FALSE)</f>
        <v>GOP</v>
      </c>
      <c r="Y668" s="320" t="str">
        <f>VLOOKUP(H668,'Fund Utilization Report'!$A$4:$U$1800,7,FALSE)</f>
        <v>PS</v>
      </c>
      <c r="Z668" s="321">
        <f>VLOOKUP(H668,'Fund Utilization Report'!$A$4:$U$1800,8,FALSE)</f>
        <v>5010000000</v>
      </c>
      <c r="AA668" s="319" t="str">
        <f>VLOOKUP(H668,'Fund Utilization Report'!$A$4:$U$1800,14,FALSE)</f>
        <v>340100100002000</v>
      </c>
      <c r="AB668" s="349" t="str">
        <f>VLOOKUP(H668,'Fund Utilization Report'!$A$4:$U$1800,15,FALSE)</f>
        <v>Monitoring and Enforcement of FTL including consumer complaints handling</v>
      </c>
      <c r="AC668" s="39"/>
      <c r="AD668" s="34"/>
      <c r="AE668" s="39"/>
      <c r="AF668" s="51"/>
      <c r="AG668" s="40"/>
      <c r="AH668" s="40"/>
    </row>
    <row r="669" spans="1:34" s="32" customFormat="1" ht="27.6">
      <c r="A669" s="338" t="s">
        <v>942</v>
      </c>
      <c r="B669" s="338" t="s">
        <v>945</v>
      </c>
      <c r="C669" s="358">
        <v>44238</v>
      </c>
      <c r="D669" s="351" t="s">
        <v>1028</v>
      </c>
      <c r="E669" s="352" t="s">
        <v>1161</v>
      </c>
      <c r="F669" s="338">
        <v>0.48749999999999999</v>
      </c>
      <c r="G669" s="338">
        <v>0.49027777777777781</v>
      </c>
      <c r="H669" s="338" t="s">
        <v>973</v>
      </c>
      <c r="I669" s="353">
        <v>734</v>
      </c>
      <c r="J669" s="338" t="str">
        <f>IFERROR(VLOOKUP(I669,'Chart of accounts'!A:H,2,FALSE),"")</f>
        <v>50103040 01</v>
      </c>
      <c r="K669" s="338" t="str">
        <f>IFERROR(VLOOKUP(I669,'Chart of accounts'!A:H,3,FALSE),"")</f>
        <v>ECIP - Civilian</v>
      </c>
      <c r="L669" s="338" t="str">
        <f>IFERROR(VLOOKUP(I669,'Chart of accounts'!A:H,4,FALSE),"")</f>
        <v>50103040 01 - ECIP - Civilian (734)</v>
      </c>
      <c r="M669" s="361">
        <v>67</v>
      </c>
      <c r="N669" s="355" t="s">
        <v>768</v>
      </c>
      <c r="O669" s="355" t="s">
        <v>1113</v>
      </c>
      <c r="P669" s="355"/>
      <c r="Q669" s="363">
        <v>100</v>
      </c>
      <c r="R669" s="319">
        <f t="shared" si="11"/>
        <v>-100</v>
      </c>
      <c r="S669" s="319" t="str">
        <f>VLOOKUP(H669,'Fund Utilization Report'!$A$4:$U$1800,13,FALSE)</f>
        <v>PS</v>
      </c>
      <c r="T669" s="319" t="str">
        <f>VLOOKUP(H669,'Fund Utilization Report'!$A$4:$U$1800,2,FALSE)</f>
        <v>GAA</v>
      </c>
      <c r="U669" s="319" t="str">
        <f>VLOOKUP(H669,'Fund Utilization Report'!$A$4:$U$1800,3,FALSE)</f>
        <v>FY2021, RA11518</v>
      </c>
      <c r="V669" s="319" t="str">
        <f>VLOOKUP(H669,'Fund Utilization Report'!$A$4:$U$1800,4,FALSE)</f>
        <v>OO4.1(FTL)</v>
      </c>
      <c r="W669" s="319" t="str">
        <f>VLOOKUP(H669,'Fund Utilization Report'!$A$4:$U$1800,5,FALSE)</f>
        <v>01101101</v>
      </c>
      <c r="X669" s="319" t="str">
        <f>VLOOKUP(H669,'Fund Utilization Report'!$A$4:$U$1800,6,FALSE)</f>
        <v>GOP</v>
      </c>
      <c r="Y669" s="320" t="str">
        <f>VLOOKUP(H669,'Fund Utilization Report'!$A$4:$U$1800,7,FALSE)</f>
        <v>PS</v>
      </c>
      <c r="Z669" s="321">
        <f>VLOOKUP(H669,'Fund Utilization Report'!$A$4:$U$1800,8,FALSE)</f>
        <v>5010000000</v>
      </c>
      <c r="AA669" s="319" t="str">
        <f>VLOOKUP(H669,'Fund Utilization Report'!$A$4:$U$1800,14,FALSE)</f>
        <v>340100100002000</v>
      </c>
      <c r="AB669" s="349" t="str">
        <f>VLOOKUP(H669,'Fund Utilization Report'!$A$4:$U$1800,15,FALSE)</f>
        <v>Monitoring and Enforcement of FTL including consumer complaints handling</v>
      </c>
      <c r="AC669" s="39"/>
      <c r="AD669" s="34"/>
      <c r="AE669" s="39"/>
      <c r="AF669" s="51"/>
      <c r="AG669" s="40"/>
      <c r="AH669" s="40"/>
    </row>
    <row r="670" spans="1:34" s="32" customFormat="1" ht="27.6">
      <c r="A670" s="338" t="s">
        <v>942</v>
      </c>
      <c r="B670" s="338" t="s">
        <v>945</v>
      </c>
      <c r="C670" s="358">
        <v>44238</v>
      </c>
      <c r="D670" s="351" t="s">
        <v>1028</v>
      </c>
      <c r="E670" s="352" t="s">
        <v>1162</v>
      </c>
      <c r="F670" s="338">
        <v>0.49027777777777781</v>
      </c>
      <c r="G670" s="338">
        <v>0.4916666666666667</v>
      </c>
      <c r="H670" s="338" t="s">
        <v>999</v>
      </c>
      <c r="I670" s="353">
        <v>706</v>
      </c>
      <c r="J670" s="338" t="str">
        <f>IFERROR(VLOOKUP(I670,'Chart of accounts'!A:H,2,FALSE),"")</f>
        <v>50101020 00</v>
      </c>
      <c r="K670" s="338" t="str">
        <f>IFERROR(VLOOKUP(I670,'Chart of accounts'!A:H,3,FALSE),"")</f>
        <v>Basic Salary - Contractual</v>
      </c>
      <c r="L670" s="338" t="str">
        <f>IFERROR(VLOOKUP(I670,'Chart of accounts'!A:H,4,FALSE),"")</f>
        <v>50101020 00 - Basic Salary - Contractual (706)</v>
      </c>
      <c r="M670" s="361">
        <v>67</v>
      </c>
      <c r="N670" s="355" t="s">
        <v>768</v>
      </c>
      <c r="O670" s="355" t="s">
        <v>1125</v>
      </c>
      <c r="P670" s="355"/>
      <c r="Q670" s="363">
        <v>77256</v>
      </c>
      <c r="R670" s="319">
        <f t="shared" si="11"/>
        <v>-77256</v>
      </c>
      <c r="S670" s="319" t="str">
        <f>VLOOKUP(H670,'Fund Utilization Report'!$A$4:$U$1800,13,FALSE)</f>
        <v>PS</v>
      </c>
      <c r="T670" s="319" t="str">
        <f>VLOOKUP(H670,'Fund Utilization Report'!$A$4:$U$1800,2,FALSE)</f>
        <v>SAA15</v>
      </c>
      <c r="U670" s="319" t="str">
        <f>VLOOKUP(H670,'Fund Utilization Report'!$A$4:$U$1800,3,FALSE)</f>
        <v>2021-01-0015</v>
      </c>
      <c r="V670" s="319" t="str">
        <f>VLOOKUP(H670,'Fund Utilization Report'!$A$4:$U$1800,4,FALSE)</f>
        <v>CARP</v>
      </c>
      <c r="W670" s="319" t="str">
        <f>VLOOKUP(H670,'Fund Utilization Report'!$A$4:$U$1800,5,FALSE)</f>
        <v>01101101</v>
      </c>
      <c r="X670" s="319" t="str">
        <f>VLOOKUP(H670,'Fund Utilization Report'!$A$4:$U$1800,6,FALSE)</f>
        <v>GOP</v>
      </c>
      <c r="Y670" s="320">
        <f>VLOOKUP(H670,'Fund Utilization Report'!$A$4:$U$1800,7,FALSE)</f>
        <v>706</v>
      </c>
      <c r="Z670" s="321" t="str">
        <f>VLOOKUP(H670,'Fund Utilization Report'!$A$4:$U$1800,8,FALSE)</f>
        <v>50101020 00</v>
      </c>
      <c r="AA670" s="319" t="str">
        <f>VLOOKUP(H670,'Fund Utilization Report'!$A$4:$U$1800,14,FALSE)</f>
        <v>330100100003000</v>
      </c>
      <c r="AB670" s="349" t="str">
        <f>VLOOKUP(H670,'Fund Utilization Report'!$A$4:$U$1800,15,FALSE)</f>
        <v>MSME Development Program : Program Beneficiaries Development Component of the Comprehensive Agrarian Reform Program</v>
      </c>
      <c r="AC670" s="39"/>
      <c r="AD670" s="34"/>
      <c r="AE670" s="39"/>
      <c r="AF670" s="51"/>
      <c r="AG670" s="40"/>
      <c r="AH670" s="40"/>
    </row>
    <row r="671" spans="1:34" s="32" customFormat="1" ht="27.6">
      <c r="A671" s="338" t="s">
        <v>942</v>
      </c>
      <c r="B671" s="338" t="s">
        <v>945</v>
      </c>
      <c r="C671" s="358">
        <v>44238</v>
      </c>
      <c r="D671" s="351" t="s">
        <v>1028</v>
      </c>
      <c r="E671" s="352" t="s">
        <v>1162</v>
      </c>
      <c r="F671" s="338">
        <v>0.49027777777777781</v>
      </c>
      <c r="G671" s="338">
        <v>0.4916666666666667</v>
      </c>
      <c r="H671" s="338" t="s">
        <v>999</v>
      </c>
      <c r="I671" s="353">
        <v>711</v>
      </c>
      <c r="J671" s="338" t="str">
        <f>IFERROR(VLOOKUP(I671,'Chart of accounts'!A:H,2,FALSE),"")</f>
        <v>50102010 01</v>
      </c>
      <c r="K671" s="338" t="str">
        <f>IFERROR(VLOOKUP(I671,'Chart of accounts'!A:H,3,FALSE),"")</f>
        <v>PERA - Civilian</v>
      </c>
      <c r="L671" s="338" t="str">
        <f>IFERROR(VLOOKUP(I671,'Chart of accounts'!A:H,4,FALSE),"")</f>
        <v>50102010 01 - PERA - Civilian (711)</v>
      </c>
      <c r="M671" s="361">
        <v>67</v>
      </c>
      <c r="N671" s="355" t="s">
        <v>768</v>
      </c>
      <c r="O671" s="355" t="s">
        <v>1125</v>
      </c>
      <c r="P671" s="355"/>
      <c r="Q671" s="363">
        <v>4000</v>
      </c>
      <c r="R671" s="319">
        <f t="shared" si="11"/>
        <v>-4000</v>
      </c>
      <c r="S671" s="319" t="str">
        <f>VLOOKUP(H671,'Fund Utilization Report'!$A$4:$U$1800,13,FALSE)</f>
        <v>PS</v>
      </c>
      <c r="T671" s="319" t="str">
        <f>VLOOKUP(H671,'Fund Utilization Report'!$A$4:$U$1800,2,FALSE)</f>
        <v>SAA15</v>
      </c>
      <c r="U671" s="319" t="str">
        <f>VLOOKUP(H671,'Fund Utilization Report'!$A$4:$U$1800,3,FALSE)</f>
        <v>2021-01-0015</v>
      </c>
      <c r="V671" s="319" t="str">
        <f>VLOOKUP(H671,'Fund Utilization Report'!$A$4:$U$1800,4,FALSE)</f>
        <v>CARP</v>
      </c>
      <c r="W671" s="319" t="str">
        <f>VLOOKUP(H671,'Fund Utilization Report'!$A$4:$U$1800,5,FALSE)</f>
        <v>01101101</v>
      </c>
      <c r="X671" s="319" t="str">
        <f>VLOOKUP(H671,'Fund Utilization Report'!$A$4:$U$1800,6,FALSE)</f>
        <v>GOP</v>
      </c>
      <c r="Y671" s="320">
        <f>VLOOKUP(H671,'Fund Utilization Report'!$A$4:$U$1800,7,FALSE)</f>
        <v>706</v>
      </c>
      <c r="Z671" s="321" t="str">
        <f>VLOOKUP(H671,'Fund Utilization Report'!$A$4:$U$1800,8,FALSE)</f>
        <v>50101020 00</v>
      </c>
      <c r="AA671" s="319" t="str">
        <f>VLOOKUP(H671,'Fund Utilization Report'!$A$4:$U$1800,14,FALSE)</f>
        <v>330100100003000</v>
      </c>
      <c r="AB671" s="349" t="str">
        <f>VLOOKUP(H671,'Fund Utilization Report'!$A$4:$U$1800,15,FALSE)</f>
        <v>MSME Development Program : Program Beneficiaries Development Component of the Comprehensive Agrarian Reform Program</v>
      </c>
      <c r="AC671" s="39"/>
      <c r="AD671" s="34"/>
      <c r="AE671" s="39"/>
      <c r="AF671" s="51"/>
      <c r="AG671" s="40"/>
      <c r="AH671" s="40"/>
    </row>
    <row r="672" spans="1:34" s="32" customFormat="1" ht="27.6">
      <c r="A672" s="338" t="s">
        <v>942</v>
      </c>
      <c r="B672" s="338" t="s">
        <v>945</v>
      </c>
      <c r="C672" s="358">
        <v>44238</v>
      </c>
      <c r="D672" s="351" t="s">
        <v>1028</v>
      </c>
      <c r="E672" s="352" t="s">
        <v>1162</v>
      </c>
      <c r="F672" s="338">
        <v>0.49027777777777781</v>
      </c>
      <c r="G672" s="338">
        <v>0.4916666666666667</v>
      </c>
      <c r="H672" s="338" t="s">
        <v>999</v>
      </c>
      <c r="I672" s="353">
        <v>731</v>
      </c>
      <c r="J672" s="338" t="str">
        <f>IFERROR(VLOOKUP(I672,'Chart of accounts'!A:H,2,FALSE),"")</f>
        <v>50103010 00</v>
      </c>
      <c r="K672" s="338" t="str">
        <f>IFERROR(VLOOKUP(I672,'Chart of accounts'!A:H,3,FALSE),"")</f>
        <v>Retirement and Life Insurance Premiums</v>
      </c>
      <c r="L672" s="338" t="str">
        <f>IFERROR(VLOOKUP(I672,'Chart of accounts'!A:H,4,FALSE),"")</f>
        <v>50103010 00 - Retirement and Life Insurance Premiums (731)</v>
      </c>
      <c r="M672" s="361">
        <v>67</v>
      </c>
      <c r="N672" s="355" t="s">
        <v>768</v>
      </c>
      <c r="O672" s="355" t="s">
        <v>1125</v>
      </c>
      <c r="P672" s="355"/>
      <c r="Q672" s="363">
        <v>9270.7199999999993</v>
      </c>
      <c r="R672" s="319">
        <f t="shared" si="11"/>
        <v>-9270.7199999999993</v>
      </c>
      <c r="S672" s="319" t="str">
        <f>VLOOKUP(H672,'Fund Utilization Report'!$A$4:$U$1800,13,FALSE)</f>
        <v>PS</v>
      </c>
      <c r="T672" s="319" t="str">
        <f>VLOOKUP(H672,'Fund Utilization Report'!$A$4:$U$1800,2,FALSE)</f>
        <v>SAA15</v>
      </c>
      <c r="U672" s="319" t="str">
        <f>VLOOKUP(H672,'Fund Utilization Report'!$A$4:$U$1800,3,FALSE)</f>
        <v>2021-01-0015</v>
      </c>
      <c r="V672" s="319" t="str">
        <f>VLOOKUP(H672,'Fund Utilization Report'!$A$4:$U$1800,4,FALSE)</f>
        <v>CARP</v>
      </c>
      <c r="W672" s="319" t="str">
        <f>VLOOKUP(H672,'Fund Utilization Report'!$A$4:$U$1800,5,FALSE)</f>
        <v>01101101</v>
      </c>
      <c r="X672" s="319" t="str">
        <f>VLOOKUP(H672,'Fund Utilization Report'!$A$4:$U$1800,6,FALSE)</f>
        <v>GOP</v>
      </c>
      <c r="Y672" s="320">
        <f>VLOOKUP(H672,'Fund Utilization Report'!$A$4:$U$1800,7,FALSE)</f>
        <v>706</v>
      </c>
      <c r="Z672" s="321" t="str">
        <f>VLOOKUP(H672,'Fund Utilization Report'!$A$4:$U$1800,8,FALSE)</f>
        <v>50101020 00</v>
      </c>
      <c r="AA672" s="319" t="str">
        <f>VLOOKUP(H672,'Fund Utilization Report'!$A$4:$U$1800,14,FALSE)</f>
        <v>330100100003000</v>
      </c>
      <c r="AB672" s="349" t="str">
        <f>VLOOKUP(H672,'Fund Utilization Report'!$A$4:$U$1800,15,FALSE)</f>
        <v>MSME Development Program : Program Beneficiaries Development Component of the Comprehensive Agrarian Reform Program</v>
      </c>
      <c r="AC672" s="39"/>
      <c r="AD672" s="34"/>
      <c r="AE672" s="39"/>
      <c r="AF672" s="51"/>
      <c r="AG672" s="40"/>
      <c r="AH672" s="40"/>
    </row>
    <row r="673" spans="1:34" s="32" customFormat="1" ht="27.6">
      <c r="A673" s="338" t="s">
        <v>942</v>
      </c>
      <c r="B673" s="338" t="s">
        <v>945</v>
      </c>
      <c r="C673" s="358">
        <v>44238</v>
      </c>
      <c r="D673" s="351" t="s">
        <v>1028</v>
      </c>
      <c r="E673" s="352" t="s">
        <v>1162</v>
      </c>
      <c r="F673" s="338">
        <v>0.49027777777777781</v>
      </c>
      <c r="G673" s="338">
        <v>0.4916666666666667</v>
      </c>
      <c r="H673" s="338" t="s">
        <v>999</v>
      </c>
      <c r="I673" s="353">
        <v>732</v>
      </c>
      <c r="J673" s="338" t="str">
        <f>IFERROR(VLOOKUP(I673,'Chart of accounts'!A:H,2,FALSE),"")</f>
        <v>50103020 01</v>
      </c>
      <c r="K673" s="338" t="str">
        <f>IFERROR(VLOOKUP(I673,'Chart of accounts'!A:H,3,FALSE),"")</f>
        <v>Pag-IBIG - Civilian</v>
      </c>
      <c r="L673" s="338" t="str">
        <f>IFERROR(VLOOKUP(I673,'Chart of accounts'!A:H,4,FALSE),"")</f>
        <v>50103020 01 - Pag-IBIG - Civilian (732)</v>
      </c>
      <c r="M673" s="361">
        <v>67</v>
      </c>
      <c r="N673" s="355" t="s">
        <v>768</v>
      </c>
      <c r="O673" s="355" t="s">
        <v>1125</v>
      </c>
      <c r="P673" s="355"/>
      <c r="Q673" s="363">
        <v>200</v>
      </c>
      <c r="R673" s="319">
        <f t="shared" si="11"/>
        <v>-200</v>
      </c>
      <c r="S673" s="319" t="str">
        <f>VLOOKUP(H673,'Fund Utilization Report'!$A$4:$U$1800,13,FALSE)</f>
        <v>PS</v>
      </c>
      <c r="T673" s="319" t="str">
        <f>VLOOKUP(H673,'Fund Utilization Report'!$A$4:$U$1800,2,FALSE)</f>
        <v>SAA15</v>
      </c>
      <c r="U673" s="319" t="str">
        <f>VLOOKUP(H673,'Fund Utilization Report'!$A$4:$U$1800,3,FALSE)</f>
        <v>2021-01-0015</v>
      </c>
      <c r="V673" s="319" t="str">
        <f>VLOOKUP(H673,'Fund Utilization Report'!$A$4:$U$1800,4,FALSE)</f>
        <v>CARP</v>
      </c>
      <c r="W673" s="319" t="str">
        <f>VLOOKUP(H673,'Fund Utilization Report'!$A$4:$U$1800,5,FALSE)</f>
        <v>01101101</v>
      </c>
      <c r="X673" s="319" t="str">
        <f>VLOOKUP(H673,'Fund Utilization Report'!$A$4:$U$1800,6,FALSE)</f>
        <v>GOP</v>
      </c>
      <c r="Y673" s="320">
        <f>VLOOKUP(H673,'Fund Utilization Report'!$A$4:$U$1800,7,FALSE)</f>
        <v>706</v>
      </c>
      <c r="Z673" s="321" t="str">
        <f>VLOOKUP(H673,'Fund Utilization Report'!$A$4:$U$1800,8,FALSE)</f>
        <v>50101020 00</v>
      </c>
      <c r="AA673" s="319" t="str">
        <f>VLOOKUP(H673,'Fund Utilization Report'!$A$4:$U$1800,14,FALSE)</f>
        <v>330100100003000</v>
      </c>
      <c r="AB673" s="349" t="str">
        <f>VLOOKUP(H673,'Fund Utilization Report'!$A$4:$U$1800,15,FALSE)</f>
        <v>MSME Development Program : Program Beneficiaries Development Component of the Comprehensive Agrarian Reform Program</v>
      </c>
      <c r="AC673" s="39"/>
      <c r="AD673" s="34"/>
      <c r="AE673" s="39"/>
      <c r="AF673" s="51"/>
      <c r="AG673" s="40"/>
      <c r="AH673" s="40"/>
    </row>
    <row r="674" spans="1:34" s="32" customFormat="1" ht="27.6">
      <c r="A674" s="338" t="s">
        <v>942</v>
      </c>
      <c r="B674" s="338" t="s">
        <v>945</v>
      </c>
      <c r="C674" s="358">
        <v>44238</v>
      </c>
      <c r="D674" s="351" t="s">
        <v>1028</v>
      </c>
      <c r="E674" s="352" t="s">
        <v>1162</v>
      </c>
      <c r="F674" s="338">
        <v>0.49027777777777781</v>
      </c>
      <c r="G674" s="338">
        <v>0.4916666666666667</v>
      </c>
      <c r="H674" s="338" t="s">
        <v>999</v>
      </c>
      <c r="I674" s="353">
        <v>733</v>
      </c>
      <c r="J674" s="338" t="str">
        <f>IFERROR(VLOOKUP(I674,'Chart of accounts'!A:H,2,FALSE),"")</f>
        <v>50103030 01</v>
      </c>
      <c r="K674" s="338" t="str">
        <f>IFERROR(VLOOKUP(I674,'Chart of accounts'!A:H,3,FALSE),"")</f>
        <v>PhilHealth - Civilian</v>
      </c>
      <c r="L674" s="338" t="str">
        <f>IFERROR(VLOOKUP(I674,'Chart of accounts'!A:H,4,FALSE),"")</f>
        <v>50103030 01 - PhilHealth - Civilian (733)</v>
      </c>
      <c r="M674" s="361">
        <v>67</v>
      </c>
      <c r="N674" s="355" t="s">
        <v>768</v>
      </c>
      <c r="O674" s="355" t="s">
        <v>1125</v>
      </c>
      <c r="P674" s="355"/>
      <c r="Q674" s="363">
        <v>1158.8499999999999</v>
      </c>
      <c r="R674" s="319">
        <f t="shared" si="11"/>
        <v>-1158.8499999999999</v>
      </c>
      <c r="S674" s="319" t="str">
        <f>VLOOKUP(H674,'Fund Utilization Report'!$A$4:$U$1800,13,FALSE)</f>
        <v>PS</v>
      </c>
      <c r="T674" s="319" t="str">
        <f>VLOOKUP(H674,'Fund Utilization Report'!$A$4:$U$1800,2,FALSE)</f>
        <v>SAA15</v>
      </c>
      <c r="U674" s="319" t="str">
        <f>VLOOKUP(H674,'Fund Utilization Report'!$A$4:$U$1800,3,FALSE)</f>
        <v>2021-01-0015</v>
      </c>
      <c r="V674" s="319" t="str">
        <f>VLOOKUP(H674,'Fund Utilization Report'!$A$4:$U$1800,4,FALSE)</f>
        <v>CARP</v>
      </c>
      <c r="W674" s="319" t="str">
        <f>VLOOKUP(H674,'Fund Utilization Report'!$A$4:$U$1800,5,FALSE)</f>
        <v>01101101</v>
      </c>
      <c r="X674" s="319" t="str">
        <f>VLOOKUP(H674,'Fund Utilization Report'!$A$4:$U$1800,6,FALSE)</f>
        <v>GOP</v>
      </c>
      <c r="Y674" s="320">
        <f>VLOOKUP(H674,'Fund Utilization Report'!$A$4:$U$1800,7,FALSE)</f>
        <v>706</v>
      </c>
      <c r="Z674" s="321" t="str">
        <f>VLOOKUP(H674,'Fund Utilization Report'!$A$4:$U$1800,8,FALSE)</f>
        <v>50101020 00</v>
      </c>
      <c r="AA674" s="319" t="str">
        <f>VLOOKUP(H674,'Fund Utilization Report'!$A$4:$U$1800,14,FALSE)</f>
        <v>330100100003000</v>
      </c>
      <c r="AB674" s="349" t="str">
        <f>VLOOKUP(H674,'Fund Utilization Report'!$A$4:$U$1800,15,FALSE)</f>
        <v>MSME Development Program : Program Beneficiaries Development Component of the Comprehensive Agrarian Reform Program</v>
      </c>
      <c r="AC674" s="39"/>
      <c r="AD674" s="34"/>
      <c r="AE674" s="39"/>
      <c r="AF674" s="51"/>
      <c r="AG674" s="40"/>
      <c r="AH674" s="40"/>
    </row>
    <row r="675" spans="1:34" s="32" customFormat="1" ht="27.6">
      <c r="A675" s="338" t="s">
        <v>942</v>
      </c>
      <c r="B675" s="338" t="s">
        <v>945</v>
      </c>
      <c r="C675" s="358">
        <v>44238</v>
      </c>
      <c r="D675" s="351" t="s">
        <v>1028</v>
      </c>
      <c r="E675" s="352" t="s">
        <v>1162</v>
      </c>
      <c r="F675" s="338">
        <v>0.49027777777777781</v>
      </c>
      <c r="G675" s="338">
        <v>0.4916666666666667</v>
      </c>
      <c r="H675" s="338" t="s">
        <v>999</v>
      </c>
      <c r="I675" s="353">
        <v>734</v>
      </c>
      <c r="J675" s="338" t="str">
        <f>IFERROR(VLOOKUP(I675,'Chart of accounts'!A:H,2,FALSE),"")</f>
        <v>50103040 01</v>
      </c>
      <c r="K675" s="338" t="str">
        <f>IFERROR(VLOOKUP(I675,'Chart of accounts'!A:H,3,FALSE),"")</f>
        <v>ECIP - Civilian</v>
      </c>
      <c r="L675" s="338" t="str">
        <f>IFERROR(VLOOKUP(I675,'Chart of accounts'!A:H,4,FALSE),"")</f>
        <v>50103040 01 - ECIP - Civilian (734)</v>
      </c>
      <c r="M675" s="361">
        <v>67</v>
      </c>
      <c r="N675" s="355" t="s">
        <v>768</v>
      </c>
      <c r="O675" s="355" t="s">
        <v>1125</v>
      </c>
      <c r="P675" s="355"/>
      <c r="Q675" s="363">
        <v>200</v>
      </c>
      <c r="R675" s="319">
        <f t="shared" si="11"/>
        <v>-200</v>
      </c>
      <c r="S675" s="319" t="str">
        <f>VLOOKUP(H675,'Fund Utilization Report'!$A$4:$U$1800,13,FALSE)</f>
        <v>PS</v>
      </c>
      <c r="T675" s="319" t="str">
        <f>VLOOKUP(H675,'Fund Utilization Report'!$A$4:$U$1800,2,FALSE)</f>
        <v>SAA15</v>
      </c>
      <c r="U675" s="319" t="str">
        <f>VLOOKUP(H675,'Fund Utilization Report'!$A$4:$U$1800,3,FALSE)</f>
        <v>2021-01-0015</v>
      </c>
      <c r="V675" s="319" t="str">
        <f>VLOOKUP(H675,'Fund Utilization Report'!$A$4:$U$1800,4,FALSE)</f>
        <v>CARP</v>
      </c>
      <c r="W675" s="319" t="str">
        <f>VLOOKUP(H675,'Fund Utilization Report'!$A$4:$U$1800,5,FALSE)</f>
        <v>01101101</v>
      </c>
      <c r="X675" s="319" t="str">
        <f>VLOOKUP(H675,'Fund Utilization Report'!$A$4:$U$1800,6,FALSE)</f>
        <v>GOP</v>
      </c>
      <c r="Y675" s="320">
        <f>VLOOKUP(H675,'Fund Utilization Report'!$A$4:$U$1800,7,FALSE)</f>
        <v>706</v>
      </c>
      <c r="Z675" s="321" t="str">
        <f>VLOOKUP(H675,'Fund Utilization Report'!$A$4:$U$1800,8,FALSE)</f>
        <v>50101020 00</v>
      </c>
      <c r="AA675" s="319" t="str">
        <f>VLOOKUP(H675,'Fund Utilization Report'!$A$4:$U$1800,14,FALSE)</f>
        <v>330100100003000</v>
      </c>
      <c r="AB675" s="349" t="str">
        <f>VLOOKUP(H675,'Fund Utilization Report'!$A$4:$U$1800,15,FALSE)</f>
        <v>MSME Development Program : Program Beneficiaries Development Component of the Comprehensive Agrarian Reform Program</v>
      </c>
      <c r="AC675" s="39"/>
      <c r="AD675" s="34"/>
      <c r="AE675" s="39"/>
      <c r="AF675" s="51"/>
      <c r="AG675" s="40"/>
      <c r="AH675" s="40"/>
    </row>
    <row r="676" spans="1:34" s="32" customFormat="1" ht="27.6">
      <c r="A676" s="338" t="s">
        <v>942</v>
      </c>
      <c r="B676" s="338" t="s">
        <v>945</v>
      </c>
      <c r="C676" s="358">
        <v>44238</v>
      </c>
      <c r="D676" s="351" t="s">
        <v>1028</v>
      </c>
      <c r="E676" s="352" t="s">
        <v>1163</v>
      </c>
      <c r="F676" s="338">
        <v>0.4916666666666667</v>
      </c>
      <c r="G676" s="338">
        <v>0.49236111111111108</v>
      </c>
      <c r="H676" s="338" t="s">
        <v>999</v>
      </c>
      <c r="I676" s="353">
        <v>706</v>
      </c>
      <c r="J676" s="338" t="str">
        <f>IFERROR(VLOOKUP(I676,'Chart of accounts'!A:H,2,FALSE),"")</f>
        <v>50101020 00</v>
      </c>
      <c r="K676" s="338" t="str">
        <f>IFERROR(VLOOKUP(I676,'Chart of accounts'!A:H,3,FALSE),"")</f>
        <v>Basic Salary - Contractual</v>
      </c>
      <c r="L676" s="338" t="str">
        <f>IFERROR(VLOOKUP(I676,'Chart of accounts'!A:H,4,FALSE),"")</f>
        <v>50101020 00 - Basic Salary - Contractual (706)</v>
      </c>
      <c r="M676" s="361">
        <v>3</v>
      </c>
      <c r="N676" s="355" t="s">
        <v>867</v>
      </c>
      <c r="O676" s="355" t="s">
        <v>1125</v>
      </c>
      <c r="P676" s="355"/>
      <c r="Q676" s="363">
        <v>33575</v>
      </c>
      <c r="R676" s="319">
        <f t="shared" ref="R676:R705" si="12">P676-Q676</f>
        <v>-33575</v>
      </c>
      <c r="S676" s="319" t="str">
        <f>VLOOKUP(H676,'Fund Utilization Report'!$A$4:$U$1800,13,FALSE)</f>
        <v>PS</v>
      </c>
      <c r="T676" s="319" t="str">
        <f>VLOOKUP(H676,'Fund Utilization Report'!$A$4:$U$1800,2,FALSE)</f>
        <v>SAA15</v>
      </c>
      <c r="U676" s="319" t="str">
        <f>VLOOKUP(H676,'Fund Utilization Report'!$A$4:$U$1800,3,FALSE)</f>
        <v>2021-01-0015</v>
      </c>
      <c r="V676" s="319" t="str">
        <f>VLOOKUP(H676,'Fund Utilization Report'!$A$4:$U$1800,4,FALSE)</f>
        <v>CARP</v>
      </c>
      <c r="W676" s="319" t="str">
        <f>VLOOKUP(H676,'Fund Utilization Report'!$A$4:$U$1800,5,FALSE)</f>
        <v>01101101</v>
      </c>
      <c r="X676" s="319" t="str">
        <f>VLOOKUP(H676,'Fund Utilization Report'!$A$4:$U$1800,6,FALSE)</f>
        <v>GOP</v>
      </c>
      <c r="Y676" s="320">
        <f>VLOOKUP(H676,'Fund Utilization Report'!$A$4:$U$1800,7,FALSE)</f>
        <v>706</v>
      </c>
      <c r="Z676" s="321" t="str">
        <f>VLOOKUP(H676,'Fund Utilization Report'!$A$4:$U$1800,8,FALSE)</f>
        <v>50101020 00</v>
      </c>
      <c r="AA676" s="319" t="str">
        <f>VLOOKUP(H676,'Fund Utilization Report'!$A$4:$U$1800,14,FALSE)</f>
        <v>330100100003000</v>
      </c>
      <c r="AB676" s="349" t="str">
        <f>VLOOKUP(H676,'Fund Utilization Report'!$A$4:$U$1800,15,FALSE)</f>
        <v>MSME Development Program : Program Beneficiaries Development Component of the Comprehensive Agrarian Reform Program</v>
      </c>
      <c r="AC676" s="39"/>
      <c r="AD676" s="34"/>
      <c r="AE676" s="39"/>
      <c r="AF676" s="51"/>
      <c r="AG676" s="40"/>
      <c r="AH676" s="40"/>
    </row>
    <row r="677" spans="1:34" s="32" customFormat="1" ht="27.6">
      <c r="A677" s="338" t="s">
        <v>942</v>
      </c>
      <c r="B677" s="338" t="s">
        <v>945</v>
      </c>
      <c r="C677" s="358">
        <v>44238</v>
      </c>
      <c r="D677" s="351" t="s">
        <v>1028</v>
      </c>
      <c r="E677" s="352" t="s">
        <v>1163</v>
      </c>
      <c r="F677" s="338">
        <v>0.4916666666666667</v>
      </c>
      <c r="G677" s="338">
        <v>0.49236111111111108</v>
      </c>
      <c r="H677" s="338" t="s">
        <v>999</v>
      </c>
      <c r="I677" s="353">
        <v>711</v>
      </c>
      <c r="J677" s="338" t="str">
        <f>IFERROR(VLOOKUP(I677,'Chart of accounts'!A:H,2,FALSE),"")</f>
        <v>50102010 01</v>
      </c>
      <c r="K677" s="338" t="str">
        <f>IFERROR(VLOOKUP(I677,'Chart of accounts'!A:H,3,FALSE),"")</f>
        <v>PERA - Civilian</v>
      </c>
      <c r="L677" s="338" t="str">
        <f>IFERROR(VLOOKUP(I677,'Chart of accounts'!A:H,4,FALSE),"")</f>
        <v>50102010 01 - PERA - Civilian (711)</v>
      </c>
      <c r="M677" s="361">
        <v>3</v>
      </c>
      <c r="N677" s="355" t="s">
        <v>867</v>
      </c>
      <c r="O677" s="355" t="s">
        <v>1125</v>
      </c>
      <c r="P677" s="355"/>
      <c r="Q677" s="363">
        <v>2000</v>
      </c>
      <c r="R677" s="319">
        <f t="shared" si="12"/>
        <v>-2000</v>
      </c>
      <c r="S677" s="319" t="str">
        <f>VLOOKUP(H677,'Fund Utilization Report'!$A$4:$U$1800,13,FALSE)</f>
        <v>PS</v>
      </c>
      <c r="T677" s="319" t="str">
        <f>VLOOKUP(H677,'Fund Utilization Report'!$A$4:$U$1800,2,FALSE)</f>
        <v>SAA15</v>
      </c>
      <c r="U677" s="319" t="str">
        <f>VLOOKUP(H677,'Fund Utilization Report'!$A$4:$U$1800,3,FALSE)</f>
        <v>2021-01-0015</v>
      </c>
      <c r="V677" s="319" t="str">
        <f>VLOOKUP(H677,'Fund Utilization Report'!$A$4:$U$1800,4,FALSE)</f>
        <v>CARP</v>
      </c>
      <c r="W677" s="319" t="str">
        <f>VLOOKUP(H677,'Fund Utilization Report'!$A$4:$U$1800,5,FALSE)</f>
        <v>01101101</v>
      </c>
      <c r="X677" s="319" t="str">
        <f>VLOOKUP(H677,'Fund Utilization Report'!$A$4:$U$1800,6,FALSE)</f>
        <v>GOP</v>
      </c>
      <c r="Y677" s="320">
        <f>VLOOKUP(H677,'Fund Utilization Report'!$A$4:$U$1800,7,FALSE)</f>
        <v>706</v>
      </c>
      <c r="Z677" s="321" t="str">
        <f>VLOOKUP(H677,'Fund Utilization Report'!$A$4:$U$1800,8,FALSE)</f>
        <v>50101020 00</v>
      </c>
      <c r="AA677" s="319" t="str">
        <f>VLOOKUP(H677,'Fund Utilization Report'!$A$4:$U$1800,14,FALSE)</f>
        <v>330100100003000</v>
      </c>
      <c r="AB677" s="349" t="str">
        <f>VLOOKUP(H677,'Fund Utilization Report'!$A$4:$U$1800,15,FALSE)</f>
        <v>MSME Development Program : Program Beneficiaries Development Component of the Comprehensive Agrarian Reform Program</v>
      </c>
      <c r="AC677" s="39"/>
      <c r="AD677" s="34"/>
      <c r="AE677" s="39"/>
      <c r="AF677" s="51"/>
      <c r="AG677" s="40"/>
      <c r="AH677" s="40"/>
    </row>
    <row r="678" spans="1:34" s="32" customFormat="1" ht="27.6">
      <c r="A678" s="338" t="s">
        <v>942</v>
      </c>
      <c r="B678" s="338" t="s">
        <v>945</v>
      </c>
      <c r="C678" s="358">
        <v>44238</v>
      </c>
      <c r="D678" s="351" t="s">
        <v>1028</v>
      </c>
      <c r="E678" s="352" t="s">
        <v>1163</v>
      </c>
      <c r="F678" s="338">
        <v>0.4916666666666667</v>
      </c>
      <c r="G678" s="338">
        <v>0.49236111111111108</v>
      </c>
      <c r="H678" s="338" t="s">
        <v>999</v>
      </c>
      <c r="I678" s="353">
        <v>731</v>
      </c>
      <c r="J678" s="338" t="str">
        <f>IFERROR(VLOOKUP(I678,'Chart of accounts'!A:H,2,FALSE),"")</f>
        <v>50103010 00</v>
      </c>
      <c r="K678" s="338" t="str">
        <f>IFERROR(VLOOKUP(I678,'Chart of accounts'!A:H,3,FALSE),"")</f>
        <v>Retirement and Life Insurance Premiums</v>
      </c>
      <c r="L678" s="338" t="str">
        <f>IFERROR(VLOOKUP(I678,'Chart of accounts'!A:H,4,FALSE),"")</f>
        <v>50103010 00 - Retirement and Life Insurance Premiums (731)</v>
      </c>
      <c r="M678" s="361">
        <v>3</v>
      </c>
      <c r="N678" s="355" t="s">
        <v>867</v>
      </c>
      <c r="O678" s="355" t="s">
        <v>1125</v>
      </c>
      <c r="P678" s="355"/>
      <c r="Q678" s="363">
        <v>4029</v>
      </c>
      <c r="R678" s="319">
        <f t="shared" si="12"/>
        <v>-4029</v>
      </c>
      <c r="S678" s="319" t="str">
        <f>VLOOKUP(H678,'Fund Utilization Report'!$A$4:$U$1800,13,FALSE)</f>
        <v>PS</v>
      </c>
      <c r="T678" s="319" t="str">
        <f>VLOOKUP(H678,'Fund Utilization Report'!$A$4:$U$1800,2,FALSE)</f>
        <v>SAA15</v>
      </c>
      <c r="U678" s="319" t="str">
        <f>VLOOKUP(H678,'Fund Utilization Report'!$A$4:$U$1800,3,FALSE)</f>
        <v>2021-01-0015</v>
      </c>
      <c r="V678" s="319" t="str">
        <f>VLOOKUP(H678,'Fund Utilization Report'!$A$4:$U$1800,4,FALSE)</f>
        <v>CARP</v>
      </c>
      <c r="W678" s="319" t="str">
        <f>VLOOKUP(H678,'Fund Utilization Report'!$A$4:$U$1800,5,FALSE)</f>
        <v>01101101</v>
      </c>
      <c r="X678" s="319" t="str">
        <f>VLOOKUP(H678,'Fund Utilization Report'!$A$4:$U$1800,6,FALSE)</f>
        <v>GOP</v>
      </c>
      <c r="Y678" s="320">
        <f>VLOOKUP(H678,'Fund Utilization Report'!$A$4:$U$1800,7,FALSE)</f>
        <v>706</v>
      </c>
      <c r="Z678" s="321" t="str">
        <f>VLOOKUP(H678,'Fund Utilization Report'!$A$4:$U$1800,8,FALSE)</f>
        <v>50101020 00</v>
      </c>
      <c r="AA678" s="319" t="str">
        <f>VLOOKUP(H678,'Fund Utilization Report'!$A$4:$U$1800,14,FALSE)</f>
        <v>330100100003000</v>
      </c>
      <c r="AB678" s="349" t="str">
        <f>VLOOKUP(H678,'Fund Utilization Report'!$A$4:$U$1800,15,FALSE)</f>
        <v>MSME Development Program : Program Beneficiaries Development Component of the Comprehensive Agrarian Reform Program</v>
      </c>
      <c r="AC678" s="39"/>
      <c r="AD678" s="34"/>
      <c r="AE678" s="39"/>
      <c r="AF678" s="51"/>
      <c r="AG678" s="40"/>
      <c r="AH678" s="40"/>
    </row>
    <row r="679" spans="1:34" s="32" customFormat="1" ht="27.6">
      <c r="A679" s="338" t="s">
        <v>942</v>
      </c>
      <c r="B679" s="338" t="s">
        <v>945</v>
      </c>
      <c r="C679" s="358">
        <v>44238</v>
      </c>
      <c r="D679" s="351" t="s">
        <v>1028</v>
      </c>
      <c r="E679" s="352" t="s">
        <v>1163</v>
      </c>
      <c r="F679" s="338">
        <v>0.4916666666666667</v>
      </c>
      <c r="G679" s="338">
        <v>0.49236111111111108</v>
      </c>
      <c r="H679" s="338" t="s">
        <v>999</v>
      </c>
      <c r="I679" s="353">
        <v>732</v>
      </c>
      <c r="J679" s="338" t="str">
        <f>IFERROR(VLOOKUP(I679,'Chart of accounts'!A:H,2,FALSE),"")</f>
        <v>50103020 01</v>
      </c>
      <c r="K679" s="338" t="str">
        <f>IFERROR(VLOOKUP(I679,'Chart of accounts'!A:H,3,FALSE),"")</f>
        <v>Pag-IBIG - Civilian</v>
      </c>
      <c r="L679" s="338" t="str">
        <f>IFERROR(VLOOKUP(I679,'Chart of accounts'!A:H,4,FALSE),"")</f>
        <v>50103020 01 - Pag-IBIG - Civilian (732)</v>
      </c>
      <c r="M679" s="361">
        <v>3</v>
      </c>
      <c r="N679" s="355" t="s">
        <v>867</v>
      </c>
      <c r="O679" s="355" t="s">
        <v>1125</v>
      </c>
      <c r="P679" s="355"/>
      <c r="Q679" s="363">
        <v>100</v>
      </c>
      <c r="R679" s="319">
        <f t="shared" si="12"/>
        <v>-100</v>
      </c>
      <c r="S679" s="319" t="str">
        <f>VLOOKUP(H679,'Fund Utilization Report'!$A$4:$U$1800,13,FALSE)</f>
        <v>PS</v>
      </c>
      <c r="T679" s="319" t="str">
        <f>VLOOKUP(H679,'Fund Utilization Report'!$A$4:$U$1800,2,FALSE)</f>
        <v>SAA15</v>
      </c>
      <c r="U679" s="319" t="str">
        <f>VLOOKUP(H679,'Fund Utilization Report'!$A$4:$U$1800,3,FALSE)</f>
        <v>2021-01-0015</v>
      </c>
      <c r="V679" s="319" t="str">
        <f>VLOOKUP(H679,'Fund Utilization Report'!$A$4:$U$1800,4,FALSE)</f>
        <v>CARP</v>
      </c>
      <c r="W679" s="319" t="str">
        <f>VLOOKUP(H679,'Fund Utilization Report'!$A$4:$U$1800,5,FALSE)</f>
        <v>01101101</v>
      </c>
      <c r="X679" s="319" t="str">
        <f>VLOOKUP(H679,'Fund Utilization Report'!$A$4:$U$1800,6,FALSE)</f>
        <v>GOP</v>
      </c>
      <c r="Y679" s="320">
        <f>VLOOKUP(H679,'Fund Utilization Report'!$A$4:$U$1800,7,FALSE)</f>
        <v>706</v>
      </c>
      <c r="Z679" s="321" t="str">
        <f>VLOOKUP(H679,'Fund Utilization Report'!$A$4:$U$1800,8,FALSE)</f>
        <v>50101020 00</v>
      </c>
      <c r="AA679" s="319" t="str">
        <f>VLOOKUP(H679,'Fund Utilization Report'!$A$4:$U$1800,14,FALSE)</f>
        <v>330100100003000</v>
      </c>
      <c r="AB679" s="349" t="str">
        <f>VLOOKUP(H679,'Fund Utilization Report'!$A$4:$U$1800,15,FALSE)</f>
        <v>MSME Development Program : Program Beneficiaries Development Component of the Comprehensive Agrarian Reform Program</v>
      </c>
      <c r="AC679" s="39"/>
      <c r="AD679" s="34"/>
      <c r="AE679" s="39"/>
      <c r="AF679" s="51"/>
      <c r="AG679" s="40"/>
      <c r="AH679" s="40"/>
    </row>
    <row r="680" spans="1:34" s="32" customFormat="1" ht="27.6">
      <c r="A680" s="338" t="s">
        <v>942</v>
      </c>
      <c r="B680" s="338" t="s">
        <v>945</v>
      </c>
      <c r="C680" s="358">
        <v>44238</v>
      </c>
      <c r="D680" s="351" t="s">
        <v>1028</v>
      </c>
      <c r="E680" s="352" t="s">
        <v>1163</v>
      </c>
      <c r="F680" s="338">
        <v>0.4916666666666667</v>
      </c>
      <c r="G680" s="338">
        <v>0.49236111111111108</v>
      </c>
      <c r="H680" s="338" t="s">
        <v>999</v>
      </c>
      <c r="I680" s="353">
        <v>733</v>
      </c>
      <c r="J680" s="338" t="str">
        <f>IFERROR(VLOOKUP(I680,'Chart of accounts'!A:H,2,FALSE),"")</f>
        <v>50103030 01</v>
      </c>
      <c r="K680" s="338" t="str">
        <f>IFERROR(VLOOKUP(I680,'Chart of accounts'!A:H,3,FALSE),"")</f>
        <v>PhilHealth - Civilian</v>
      </c>
      <c r="L680" s="338" t="str">
        <f>IFERROR(VLOOKUP(I680,'Chart of accounts'!A:H,4,FALSE),"")</f>
        <v>50103030 01 - PhilHealth - Civilian (733)</v>
      </c>
      <c r="M680" s="361">
        <v>3</v>
      </c>
      <c r="N680" s="355" t="s">
        <v>867</v>
      </c>
      <c r="O680" s="355" t="s">
        <v>1125</v>
      </c>
      <c r="P680" s="355"/>
      <c r="Q680" s="363">
        <v>503.63</v>
      </c>
      <c r="R680" s="319">
        <f t="shared" si="12"/>
        <v>-503.63</v>
      </c>
      <c r="S680" s="319" t="str">
        <f>VLOOKUP(H680,'Fund Utilization Report'!$A$4:$U$1800,13,FALSE)</f>
        <v>PS</v>
      </c>
      <c r="T680" s="319" t="str">
        <f>VLOOKUP(H680,'Fund Utilization Report'!$A$4:$U$1800,2,FALSE)</f>
        <v>SAA15</v>
      </c>
      <c r="U680" s="319" t="str">
        <f>VLOOKUP(H680,'Fund Utilization Report'!$A$4:$U$1800,3,FALSE)</f>
        <v>2021-01-0015</v>
      </c>
      <c r="V680" s="319" t="str">
        <f>VLOOKUP(H680,'Fund Utilization Report'!$A$4:$U$1800,4,FALSE)</f>
        <v>CARP</v>
      </c>
      <c r="W680" s="319" t="str">
        <f>VLOOKUP(H680,'Fund Utilization Report'!$A$4:$U$1800,5,FALSE)</f>
        <v>01101101</v>
      </c>
      <c r="X680" s="319" t="str">
        <f>VLOOKUP(H680,'Fund Utilization Report'!$A$4:$U$1800,6,FALSE)</f>
        <v>GOP</v>
      </c>
      <c r="Y680" s="320">
        <f>VLOOKUP(H680,'Fund Utilization Report'!$A$4:$U$1800,7,FALSE)</f>
        <v>706</v>
      </c>
      <c r="Z680" s="321" t="str">
        <f>VLOOKUP(H680,'Fund Utilization Report'!$A$4:$U$1800,8,FALSE)</f>
        <v>50101020 00</v>
      </c>
      <c r="AA680" s="319" t="str">
        <f>VLOOKUP(H680,'Fund Utilization Report'!$A$4:$U$1800,14,FALSE)</f>
        <v>330100100003000</v>
      </c>
      <c r="AB680" s="349" t="str">
        <f>VLOOKUP(H680,'Fund Utilization Report'!$A$4:$U$1800,15,FALSE)</f>
        <v>MSME Development Program : Program Beneficiaries Development Component of the Comprehensive Agrarian Reform Program</v>
      </c>
      <c r="AC680" s="39"/>
      <c r="AD680" s="34"/>
      <c r="AE680" s="39"/>
      <c r="AF680" s="51"/>
      <c r="AG680" s="40"/>
      <c r="AH680" s="40"/>
    </row>
    <row r="681" spans="1:34" s="32" customFormat="1" ht="27.6">
      <c r="A681" s="338" t="s">
        <v>942</v>
      </c>
      <c r="B681" s="338" t="s">
        <v>945</v>
      </c>
      <c r="C681" s="358">
        <v>44238</v>
      </c>
      <c r="D681" s="351" t="s">
        <v>1028</v>
      </c>
      <c r="E681" s="352" t="s">
        <v>1163</v>
      </c>
      <c r="F681" s="338">
        <v>0.4916666666666667</v>
      </c>
      <c r="G681" s="338">
        <v>0.49236111111111108</v>
      </c>
      <c r="H681" s="338" t="s">
        <v>999</v>
      </c>
      <c r="I681" s="353">
        <v>734</v>
      </c>
      <c r="J681" s="338" t="str">
        <f>IFERROR(VLOOKUP(I681,'Chart of accounts'!A:H,2,FALSE),"")</f>
        <v>50103040 01</v>
      </c>
      <c r="K681" s="338" t="str">
        <f>IFERROR(VLOOKUP(I681,'Chart of accounts'!A:H,3,FALSE),"")</f>
        <v>ECIP - Civilian</v>
      </c>
      <c r="L681" s="338" t="str">
        <f>IFERROR(VLOOKUP(I681,'Chart of accounts'!A:H,4,FALSE),"")</f>
        <v>50103040 01 - ECIP - Civilian (734)</v>
      </c>
      <c r="M681" s="361">
        <v>3</v>
      </c>
      <c r="N681" s="355" t="s">
        <v>867</v>
      </c>
      <c r="O681" s="355" t="s">
        <v>1125</v>
      </c>
      <c r="P681" s="355"/>
      <c r="Q681" s="363">
        <v>100</v>
      </c>
      <c r="R681" s="319">
        <f t="shared" si="12"/>
        <v>-100</v>
      </c>
      <c r="S681" s="319" t="str">
        <f>VLOOKUP(H681,'Fund Utilization Report'!$A$4:$U$1800,13,FALSE)</f>
        <v>PS</v>
      </c>
      <c r="T681" s="319" t="str">
        <f>VLOOKUP(H681,'Fund Utilization Report'!$A$4:$U$1800,2,FALSE)</f>
        <v>SAA15</v>
      </c>
      <c r="U681" s="319" t="str">
        <f>VLOOKUP(H681,'Fund Utilization Report'!$A$4:$U$1800,3,FALSE)</f>
        <v>2021-01-0015</v>
      </c>
      <c r="V681" s="319" t="str">
        <f>VLOOKUP(H681,'Fund Utilization Report'!$A$4:$U$1800,4,FALSE)</f>
        <v>CARP</v>
      </c>
      <c r="W681" s="319" t="str">
        <f>VLOOKUP(H681,'Fund Utilization Report'!$A$4:$U$1800,5,FALSE)</f>
        <v>01101101</v>
      </c>
      <c r="X681" s="319" t="str">
        <f>VLOOKUP(H681,'Fund Utilization Report'!$A$4:$U$1800,6,FALSE)</f>
        <v>GOP</v>
      </c>
      <c r="Y681" s="320">
        <f>VLOOKUP(H681,'Fund Utilization Report'!$A$4:$U$1800,7,FALSE)</f>
        <v>706</v>
      </c>
      <c r="Z681" s="321" t="str">
        <f>VLOOKUP(H681,'Fund Utilization Report'!$A$4:$U$1800,8,FALSE)</f>
        <v>50101020 00</v>
      </c>
      <c r="AA681" s="319" t="str">
        <f>VLOOKUP(H681,'Fund Utilization Report'!$A$4:$U$1800,14,FALSE)</f>
        <v>330100100003000</v>
      </c>
      <c r="AB681" s="349" t="str">
        <f>VLOOKUP(H681,'Fund Utilization Report'!$A$4:$U$1800,15,FALSE)</f>
        <v>MSME Development Program : Program Beneficiaries Development Component of the Comprehensive Agrarian Reform Program</v>
      </c>
      <c r="AC681" s="39"/>
      <c r="AD681" s="34"/>
      <c r="AE681" s="39"/>
      <c r="AF681" s="51"/>
      <c r="AG681" s="40"/>
      <c r="AH681" s="40"/>
    </row>
    <row r="682" spans="1:34" s="32" customFormat="1" ht="27.6">
      <c r="A682" s="338" t="s">
        <v>942</v>
      </c>
      <c r="B682" s="338" t="s">
        <v>945</v>
      </c>
      <c r="C682" s="358">
        <v>44238</v>
      </c>
      <c r="D682" s="351" t="s">
        <v>1028</v>
      </c>
      <c r="E682" s="352" t="s">
        <v>1164</v>
      </c>
      <c r="F682" s="338">
        <v>0.49236111111111108</v>
      </c>
      <c r="G682" s="338">
        <v>0.49861111111111112</v>
      </c>
      <c r="H682" s="338" t="s">
        <v>960</v>
      </c>
      <c r="I682" s="353">
        <v>701</v>
      </c>
      <c r="J682" s="338" t="str">
        <f>IFERROR(VLOOKUP(I682,'Chart of accounts'!A:H,2,FALSE),"")</f>
        <v>50101010 01</v>
      </c>
      <c r="K682" s="338" t="str">
        <f>IFERROR(VLOOKUP(I682,'Chart of accounts'!A:H,3,FALSE),"")</f>
        <v>Basic Salary - Civilian</v>
      </c>
      <c r="L682" s="338" t="str">
        <f>IFERROR(VLOOKUP(I682,'Chart of accounts'!A:H,4,FALSE),"")</f>
        <v>50101010 01 - Basic Salary - Civilian (701)</v>
      </c>
      <c r="M682" s="361">
        <v>68</v>
      </c>
      <c r="N682" s="355" t="s">
        <v>764</v>
      </c>
      <c r="O682" s="355" t="s">
        <v>1113</v>
      </c>
      <c r="P682" s="355"/>
      <c r="Q682" s="363">
        <v>99206</v>
      </c>
      <c r="R682" s="319">
        <f t="shared" si="12"/>
        <v>-99206</v>
      </c>
      <c r="S682" s="319" t="str">
        <f>VLOOKUP(H682,'Fund Utilization Report'!$A$4:$U$1800,13,FALSE)</f>
        <v>PS</v>
      </c>
      <c r="T682" s="319" t="str">
        <f>VLOOKUP(H682,'Fund Utilization Report'!$A$4:$U$1800,2,FALSE)</f>
        <v>GAA</v>
      </c>
      <c r="U682" s="319" t="str">
        <f>VLOOKUP(H682,'Fund Utilization Report'!$A$4:$U$1800,3,FALSE)</f>
        <v>FY2021, RA11518</v>
      </c>
      <c r="V682" s="319" t="str">
        <f>VLOOKUP(H682,'Fund Utilization Report'!$A$4:$U$1800,4,FALSE)</f>
        <v>GAS(GMS)</v>
      </c>
      <c r="W682" s="319" t="str">
        <f>VLOOKUP(H682,'Fund Utilization Report'!$A$4:$U$1800,5,FALSE)</f>
        <v>01101101</v>
      </c>
      <c r="X682" s="319" t="str">
        <f>VLOOKUP(H682,'Fund Utilization Report'!$A$4:$U$1800,6,FALSE)</f>
        <v>GOP</v>
      </c>
      <c r="Y682" s="320" t="str">
        <f>VLOOKUP(H682,'Fund Utilization Report'!$A$4:$U$1800,7,FALSE)</f>
        <v>PS</v>
      </c>
      <c r="Z682" s="321">
        <f>VLOOKUP(H682,'Fund Utilization Report'!$A$4:$U$1800,8,FALSE)</f>
        <v>5010000000</v>
      </c>
      <c r="AA682" s="319" t="str">
        <f>VLOOKUP(H682,'Fund Utilization Report'!$A$4:$U$1800,14,FALSE)</f>
        <v>100000100001000</v>
      </c>
      <c r="AB682" s="349" t="str">
        <f>VLOOKUP(H682,'Fund Utilization Report'!$A$4:$U$1800,15,FALSE)</f>
        <v>General Administration and Supervision - General Management and Supervision</v>
      </c>
      <c r="AC682" s="39"/>
      <c r="AD682" s="34"/>
      <c r="AE682" s="39"/>
      <c r="AF682" s="51"/>
      <c r="AG682" s="40"/>
      <c r="AH682" s="40"/>
    </row>
    <row r="683" spans="1:34" s="32" customFormat="1" ht="27.6">
      <c r="A683" s="338" t="s">
        <v>942</v>
      </c>
      <c r="B683" s="338" t="s">
        <v>945</v>
      </c>
      <c r="C683" s="358">
        <v>44238</v>
      </c>
      <c r="D683" s="351" t="s">
        <v>1028</v>
      </c>
      <c r="E683" s="352" t="s">
        <v>1164</v>
      </c>
      <c r="F683" s="338">
        <v>0.49236111111111108</v>
      </c>
      <c r="G683" s="338">
        <v>0.49861111111111112</v>
      </c>
      <c r="H683" s="338" t="s">
        <v>960</v>
      </c>
      <c r="I683" s="353">
        <v>711</v>
      </c>
      <c r="J683" s="338" t="str">
        <f>IFERROR(VLOOKUP(I683,'Chart of accounts'!A:H,2,FALSE),"")</f>
        <v>50102010 01</v>
      </c>
      <c r="K683" s="338" t="str">
        <f>IFERROR(VLOOKUP(I683,'Chart of accounts'!A:H,3,FALSE),"")</f>
        <v>PERA - Civilian</v>
      </c>
      <c r="L683" s="338" t="str">
        <f>IFERROR(VLOOKUP(I683,'Chart of accounts'!A:H,4,FALSE),"")</f>
        <v>50102010 01 - PERA - Civilian (711)</v>
      </c>
      <c r="M683" s="361">
        <v>68</v>
      </c>
      <c r="N683" s="355" t="s">
        <v>764</v>
      </c>
      <c r="O683" s="355" t="s">
        <v>1113</v>
      </c>
      <c r="P683" s="355"/>
      <c r="Q683" s="363">
        <v>8000</v>
      </c>
      <c r="R683" s="319">
        <f t="shared" si="12"/>
        <v>-8000</v>
      </c>
      <c r="S683" s="319" t="str">
        <f>VLOOKUP(H683,'Fund Utilization Report'!$A$4:$U$1800,13,FALSE)</f>
        <v>PS</v>
      </c>
      <c r="T683" s="319" t="str">
        <f>VLOOKUP(H683,'Fund Utilization Report'!$A$4:$U$1800,2,FALSE)</f>
        <v>GAA</v>
      </c>
      <c r="U683" s="319" t="str">
        <f>VLOOKUP(H683,'Fund Utilization Report'!$A$4:$U$1800,3,FALSE)</f>
        <v>FY2021, RA11518</v>
      </c>
      <c r="V683" s="319" t="str">
        <f>VLOOKUP(H683,'Fund Utilization Report'!$A$4:$U$1800,4,FALSE)</f>
        <v>GAS(GMS)</v>
      </c>
      <c r="W683" s="319" t="str">
        <f>VLOOKUP(H683,'Fund Utilization Report'!$A$4:$U$1800,5,FALSE)</f>
        <v>01101101</v>
      </c>
      <c r="X683" s="319" t="str">
        <f>VLOOKUP(H683,'Fund Utilization Report'!$A$4:$U$1800,6,FALSE)</f>
        <v>GOP</v>
      </c>
      <c r="Y683" s="320" t="str">
        <f>VLOOKUP(H683,'Fund Utilization Report'!$A$4:$U$1800,7,FALSE)</f>
        <v>PS</v>
      </c>
      <c r="Z683" s="321">
        <f>VLOOKUP(H683,'Fund Utilization Report'!$A$4:$U$1800,8,FALSE)</f>
        <v>5010000000</v>
      </c>
      <c r="AA683" s="319" t="str">
        <f>VLOOKUP(H683,'Fund Utilization Report'!$A$4:$U$1800,14,FALSE)</f>
        <v>100000100001000</v>
      </c>
      <c r="AB683" s="349" t="str">
        <f>VLOOKUP(H683,'Fund Utilization Report'!$A$4:$U$1800,15,FALSE)</f>
        <v>General Administration and Supervision - General Management and Supervision</v>
      </c>
      <c r="AC683" s="39"/>
      <c r="AD683" s="34"/>
      <c r="AE683" s="39"/>
      <c r="AF683" s="51"/>
      <c r="AG683" s="40"/>
      <c r="AH683" s="40"/>
    </row>
    <row r="684" spans="1:34" s="32" customFormat="1" ht="27.6">
      <c r="A684" s="338" t="s">
        <v>942</v>
      </c>
      <c r="B684" s="338" t="s">
        <v>945</v>
      </c>
      <c r="C684" s="358">
        <v>44238</v>
      </c>
      <c r="D684" s="351" t="s">
        <v>1028</v>
      </c>
      <c r="E684" s="352" t="s">
        <v>1164</v>
      </c>
      <c r="F684" s="338">
        <v>0.49236111111111108</v>
      </c>
      <c r="G684" s="338">
        <v>0.49861111111111112</v>
      </c>
      <c r="H684" s="338" t="s">
        <v>962</v>
      </c>
      <c r="I684" s="353">
        <v>731</v>
      </c>
      <c r="J684" s="338" t="str">
        <f>IFERROR(VLOOKUP(I684,'Chart of accounts'!A:H,2,FALSE),"")</f>
        <v>50103010 00</v>
      </c>
      <c r="K684" s="338" t="str">
        <f>IFERROR(VLOOKUP(I684,'Chart of accounts'!A:H,3,FALSE),"")</f>
        <v>Retirement and Life Insurance Premiums</v>
      </c>
      <c r="L684" s="338" t="str">
        <f>IFERROR(VLOOKUP(I684,'Chart of accounts'!A:H,4,FALSE),"")</f>
        <v>50103010 00 - Retirement and Life Insurance Premiums (731)</v>
      </c>
      <c r="M684" s="361">
        <v>68</v>
      </c>
      <c r="N684" s="355" t="s">
        <v>764</v>
      </c>
      <c r="O684" s="355" t="s">
        <v>1113</v>
      </c>
      <c r="P684" s="355"/>
      <c r="Q684" s="363">
        <v>11904.72</v>
      </c>
      <c r="R684" s="319">
        <f t="shared" si="12"/>
        <v>-11904.72</v>
      </c>
      <c r="S684" s="319" t="str">
        <f>VLOOKUP(H684,'Fund Utilization Report'!$A$4:$U$1800,13,FALSE)</f>
        <v>PS</v>
      </c>
      <c r="T684" s="319" t="str">
        <f>VLOOKUP(H684,'Fund Utilization Report'!$A$4:$U$1800,2,FALSE)</f>
        <v>GAA</v>
      </c>
      <c r="U684" s="319" t="str">
        <f>VLOOKUP(H684,'Fund Utilization Report'!$A$4:$U$1800,3,FALSE)</f>
        <v>FY2021, RA11518</v>
      </c>
      <c r="V684" s="319" t="str">
        <f>VLOOKUP(H684,'Fund Utilization Report'!$A$4:$U$1800,4,FALSE)</f>
        <v>GAS(GMS)</v>
      </c>
      <c r="W684" s="319" t="str">
        <f>VLOOKUP(H684,'Fund Utilization Report'!$A$4:$U$1800,5,FALSE)</f>
        <v>01101101</v>
      </c>
      <c r="X684" s="319" t="str">
        <f>VLOOKUP(H684,'Fund Utilization Report'!$A$4:$U$1800,6,FALSE)</f>
        <v>GOP</v>
      </c>
      <c r="Y684" s="320" t="str">
        <f>VLOOKUP(H684,'Fund Utilization Report'!$A$4:$U$1800,7,FALSE)</f>
        <v>RLIP</v>
      </c>
      <c r="Z684" s="321" t="str">
        <f>VLOOKUP(H684,'Fund Utilization Report'!$A$4:$U$1800,8,FALSE)</f>
        <v>50103010-00</v>
      </c>
      <c r="AA684" s="319" t="str">
        <f>VLOOKUP(H684,'Fund Utilization Report'!$A$4:$U$1800,14,FALSE)</f>
        <v>100000100001000</v>
      </c>
      <c r="AB684" s="349" t="str">
        <f>VLOOKUP(H684,'Fund Utilization Report'!$A$4:$U$1800,15,FALSE)</f>
        <v>General Administration and Supervision - General Management and Supervision</v>
      </c>
      <c r="AC684" s="39"/>
      <c r="AD684" s="34"/>
      <c r="AE684" s="39"/>
      <c r="AF684" s="51"/>
      <c r="AG684" s="40"/>
      <c r="AH684" s="40"/>
    </row>
    <row r="685" spans="1:34" s="32" customFormat="1" ht="27.6">
      <c r="A685" s="338" t="s">
        <v>942</v>
      </c>
      <c r="B685" s="338" t="s">
        <v>945</v>
      </c>
      <c r="C685" s="358">
        <v>44238</v>
      </c>
      <c r="D685" s="351" t="s">
        <v>1028</v>
      </c>
      <c r="E685" s="352" t="s">
        <v>1164</v>
      </c>
      <c r="F685" s="338">
        <v>0.49236111111111108</v>
      </c>
      <c r="G685" s="338">
        <v>0.49861111111111112</v>
      </c>
      <c r="H685" s="338" t="s">
        <v>960</v>
      </c>
      <c r="I685" s="353">
        <v>732</v>
      </c>
      <c r="J685" s="338" t="str">
        <f>IFERROR(VLOOKUP(I685,'Chart of accounts'!A:H,2,FALSE),"")</f>
        <v>50103020 01</v>
      </c>
      <c r="K685" s="338" t="str">
        <f>IFERROR(VLOOKUP(I685,'Chart of accounts'!A:H,3,FALSE),"")</f>
        <v>Pag-IBIG - Civilian</v>
      </c>
      <c r="L685" s="338" t="str">
        <f>IFERROR(VLOOKUP(I685,'Chart of accounts'!A:H,4,FALSE),"")</f>
        <v>50103020 01 - Pag-IBIG - Civilian (732)</v>
      </c>
      <c r="M685" s="361">
        <v>68</v>
      </c>
      <c r="N685" s="355" t="s">
        <v>764</v>
      </c>
      <c r="O685" s="355" t="s">
        <v>1113</v>
      </c>
      <c r="P685" s="355"/>
      <c r="Q685" s="363">
        <v>400</v>
      </c>
      <c r="R685" s="319">
        <f t="shared" si="12"/>
        <v>-400</v>
      </c>
      <c r="S685" s="319" t="str">
        <f>VLOOKUP(H685,'Fund Utilization Report'!$A$4:$U$1800,13,FALSE)</f>
        <v>PS</v>
      </c>
      <c r="T685" s="319" t="str">
        <f>VLOOKUP(H685,'Fund Utilization Report'!$A$4:$U$1800,2,FALSE)</f>
        <v>GAA</v>
      </c>
      <c r="U685" s="319" t="str">
        <f>VLOOKUP(H685,'Fund Utilization Report'!$A$4:$U$1800,3,FALSE)</f>
        <v>FY2021, RA11518</v>
      </c>
      <c r="V685" s="319" t="str">
        <f>VLOOKUP(H685,'Fund Utilization Report'!$A$4:$U$1800,4,FALSE)</f>
        <v>GAS(GMS)</v>
      </c>
      <c r="W685" s="319" t="str">
        <f>VLOOKUP(H685,'Fund Utilization Report'!$A$4:$U$1800,5,FALSE)</f>
        <v>01101101</v>
      </c>
      <c r="X685" s="319" t="str">
        <f>VLOOKUP(H685,'Fund Utilization Report'!$A$4:$U$1800,6,FALSE)</f>
        <v>GOP</v>
      </c>
      <c r="Y685" s="320" t="str">
        <f>VLOOKUP(H685,'Fund Utilization Report'!$A$4:$U$1800,7,FALSE)</f>
        <v>PS</v>
      </c>
      <c r="Z685" s="321">
        <f>VLOOKUP(H685,'Fund Utilization Report'!$A$4:$U$1800,8,FALSE)</f>
        <v>5010000000</v>
      </c>
      <c r="AA685" s="319" t="str">
        <f>VLOOKUP(H685,'Fund Utilization Report'!$A$4:$U$1800,14,FALSE)</f>
        <v>100000100001000</v>
      </c>
      <c r="AB685" s="349" t="str">
        <f>VLOOKUP(H685,'Fund Utilization Report'!$A$4:$U$1800,15,FALSE)</f>
        <v>General Administration and Supervision - General Management and Supervision</v>
      </c>
      <c r="AC685" s="39"/>
      <c r="AD685" s="34"/>
      <c r="AE685" s="39"/>
      <c r="AF685" s="51"/>
      <c r="AG685" s="40"/>
      <c r="AH685" s="40"/>
    </row>
    <row r="686" spans="1:34" s="32" customFormat="1" ht="27.6">
      <c r="A686" s="338" t="s">
        <v>942</v>
      </c>
      <c r="B686" s="338" t="s">
        <v>945</v>
      </c>
      <c r="C686" s="358">
        <v>44238</v>
      </c>
      <c r="D686" s="351" t="s">
        <v>1028</v>
      </c>
      <c r="E686" s="352" t="s">
        <v>1164</v>
      </c>
      <c r="F686" s="338">
        <v>0.49236111111111108</v>
      </c>
      <c r="G686" s="338">
        <v>0.49861111111111112</v>
      </c>
      <c r="H686" s="338" t="s">
        <v>960</v>
      </c>
      <c r="I686" s="353">
        <v>733</v>
      </c>
      <c r="J686" s="338" t="str">
        <f>IFERROR(VLOOKUP(I686,'Chart of accounts'!A:H,2,FALSE),"")</f>
        <v>50103030 01</v>
      </c>
      <c r="K686" s="338" t="str">
        <f>IFERROR(VLOOKUP(I686,'Chart of accounts'!A:H,3,FALSE),"")</f>
        <v>PhilHealth - Civilian</v>
      </c>
      <c r="L686" s="338" t="str">
        <f>IFERROR(VLOOKUP(I686,'Chart of accounts'!A:H,4,FALSE),"")</f>
        <v>50103030 01 - PhilHealth - Civilian (733)</v>
      </c>
      <c r="M686" s="361">
        <v>68</v>
      </c>
      <c r="N686" s="355" t="s">
        <v>764</v>
      </c>
      <c r="O686" s="355" t="s">
        <v>1113</v>
      </c>
      <c r="P686" s="355"/>
      <c r="Q686" s="363">
        <v>1488.1</v>
      </c>
      <c r="R686" s="319">
        <f t="shared" si="12"/>
        <v>-1488.1</v>
      </c>
      <c r="S686" s="319" t="str">
        <f>VLOOKUP(H686,'Fund Utilization Report'!$A$4:$U$1800,13,FALSE)</f>
        <v>PS</v>
      </c>
      <c r="T686" s="319" t="str">
        <f>VLOOKUP(H686,'Fund Utilization Report'!$A$4:$U$1800,2,FALSE)</f>
        <v>GAA</v>
      </c>
      <c r="U686" s="319" t="str">
        <f>VLOOKUP(H686,'Fund Utilization Report'!$A$4:$U$1800,3,FALSE)</f>
        <v>FY2021, RA11518</v>
      </c>
      <c r="V686" s="319" t="str">
        <f>VLOOKUP(H686,'Fund Utilization Report'!$A$4:$U$1800,4,FALSE)</f>
        <v>GAS(GMS)</v>
      </c>
      <c r="W686" s="319" t="str">
        <f>VLOOKUP(H686,'Fund Utilization Report'!$A$4:$U$1800,5,FALSE)</f>
        <v>01101101</v>
      </c>
      <c r="X686" s="319" t="str">
        <f>VLOOKUP(H686,'Fund Utilization Report'!$A$4:$U$1800,6,FALSE)</f>
        <v>GOP</v>
      </c>
      <c r="Y686" s="320" t="str">
        <f>VLOOKUP(H686,'Fund Utilization Report'!$A$4:$U$1800,7,FALSE)</f>
        <v>PS</v>
      </c>
      <c r="Z686" s="321">
        <f>VLOOKUP(H686,'Fund Utilization Report'!$A$4:$U$1800,8,FALSE)</f>
        <v>5010000000</v>
      </c>
      <c r="AA686" s="319" t="str">
        <f>VLOOKUP(H686,'Fund Utilization Report'!$A$4:$U$1800,14,FALSE)</f>
        <v>100000100001000</v>
      </c>
      <c r="AB686" s="349" t="str">
        <f>VLOOKUP(H686,'Fund Utilization Report'!$A$4:$U$1800,15,FALSE)</f>
        <v>General Administration and Supervision - General Management and Supervision</v>
      </c>
      <c r="AC686" s="39"/>
      <c r="AD686" s="34"/>
      <c r="AE686" s="39"/>
      <c r="AF686" s="51"/>
      <c r="AG686" s="40"/>
      <c r="AH686" s="40"/>
    </row>
    <row r="687" spans="1:34" s="32" customFormat="1" ht="27.6">
      <c r="A687" s="338" t="s">
        <v>942</v>
      </c>
      <c r="B687" s="338" t="s">
        <v>945</v>
      </c>
      <c r="C687" s="358">
        <v>44238</v>
      </c>
      <c r="D687" s="351" t="s">
        <v>1028</v>
      </c>
      <c r="E687" s="352" t="s">
        <v>1164</v>
      </c>
      <c r="F687" s="338">
        <v>0.49236111111111108</v>
      </c>
      <c r="G687" s="338">
        <v>0.49861111111111112</v>
      </c>
      <c r="H687" s="338" t="s">
        <v>960</v>
      </c>
      <c r="I687" s="353">
        <v>734</v>
      </c>
      <c r="J687" s="338" t="str">
        <f>IFERROR(VLOOKUP(I687,'Chart of accounts'!A:H,2,FALSE),"")</f>
        <v>50103040 01</v>
      </c>
      <c r="K687" s="338" t="str">
        <f>IFERROR(VLOOKUP(I687,'Chart of accounts'!A:H,3,FALSE),"")</f>
        <v>ECIP - Civilian</v>
      </c>
      <c r="L687" s="338" t="str">
        <f>IFERROR(VLOOKUP(I687,'Chart of accounts'!A:H,4,FALSE),"")</f>
        <v>50103040 01 - ECIP - Civilian (734)</v>
      </c>
      <c r="M687" s="361">
        <v>68</v>
      </c>
      <c r="N687" s="355" t="s">
        <v>764</v>
      </c>
      <c r="O687" s="355" t="s">
        <v>1113</v>
      </c>
      <c r="P687" s="355"/>
      <c r="Q687" s="363">
        <v>400</v>
      </c>
      <c r="R687" s="319">
        <f t="shared" si="12"/>
        <v>-400</v>
      </c>
      <c r="S687" s="319" t="str">
        <f>VLOOKUP(H687,'Fund Utilization Report'!$A$4:$U$1800,13,FALSE)</f>
        <v>PS</v>
      </c>
      <c r="T687" s="319" t="str">
        <f>VLOOKUP(H687,'Fund Utilization Report'!$A$4:$U$1800,2,FALSE)</f>
        <v>GAA</v>
      </c>
      <c r="U687" s="319" t="str">
        <f>VLOOKUP(H687,'Fund Utilization Report'!$A$4:$U$1800,3,FALSE)</f>
        <v>FY2021, RA11518</v>
      </c>
      <c r="V687" s="319" t="str">
        <f>VLOOKUP(H687,'Fund Utilization Report'!$A$4:$U$1800,4,FALSE)</f>
        <v>GAS(GMS)</v>
      </c>
      <c r="W687" s="319" t="str">
        <f>VLOOKUP(H687,'Fund Utilization Report'!$A$4:$U$1800,5,FALSE)</f>
        <v>01101101</v>
      </c>
      <c r="X687" s="319" t="str">
        <f>VLOOKUP(H687,'Fund Utilization Report'!$A$4:$U$1800,6,FALSE)</f>
        <v>GOP</v>
      </c>
      <c r="Y687" s="320" t="str">
        <f>VLOOKUP(H687,'Fund Utilization Report'!$A$4:$U$1800,7,FALSE)</f>
        <v>PS</v>
      </c>
      <c r="Z687" s="321">
        <f>VLOOKUP(H687,'Fund Utilization Report'!$A$4:$U$1800,8,FALSE)</f>
        <v>5010000000</v>
      </c>
      <c r="AA687" s="319" t="str">
        <f>VLOOKUP(H687,'Fund Utilization Report'!$A$4:$U$1800,14,FALSE)</f>
        <v>100000100001000</v>
      </c>
      <c r="AB687" s="349" t="str">
        <f>VLOOKUP(H687,'Fund Utilization Report'!$A$4:$U$1800,15,FALSE)</f>
        <v>General Administration and Supervision - General Management and Supervision</v>
      </c>
      <c r="AC687" s="39"/>
      <c r="AD687" s="34"/>
      <c r="AE687" s="39"/>
      <c r="AF687" s="51"/>
      <c r="AG687" s="40"/>
      <c r="AH687" s="40"/>
    </row>
    <row r="688" spans="1:34" s="32" customFormat="1" ht="27.6">
      <c r="A688" s="338" t="s">
        <v>942</v>
      </c>
      <c r="B688" s="338" t="s">
        <v>945</v>
      </c>
      <c r="C688" s="358">
        <v>44238</v>
      </c>
      <c r="D688" s="351" t="s">
        <v>1028</v>
      </c>
      <c r="E688" s="352" t="s">
        <v>1164</v>
      </c>
      <c r="F688" s="338">
        <v>0.49236111111111108</v>
      </c>
      <c r="G688" s="338">
        <v>0.49861111111111112</v>
      </c>
      <c r="H688" s="338" t="s">
        <v>964</v>
      </c>
      <c r="I688" s="353">
        <v>701</v>
      </c>
      <c r="J688" s="338" t="str">
        <f>IFERROR(VLOOKUP(I688,'Chart of accounts'!A:H,2,FALSE),"")</f>
        <v>50101010 01</v>
      </c>
      <c r="K688" s="338" t="str">
        <f>IFERROR(VLOOKUP(I688,'Chart of accounts'!A:H,3,FALSE),"")</f>
        <v>Basic Salary - Civilian</v>
      </c>
      <c r="L688" s="338" t="str">
        <f>IFERROR(VLOOKUP(I688,'Chart of accounts'!A:H,4,FALSE),"")</f>
        <v>50101010 01 - Basic Salary - Civilian (701)</v>
      </c>
      <c r="M688" s="361">
        <v>68</v>
      </c>
      <c r="N688" s="355" t="s">
        <v>764</v>
      </c>
      <c r="O688" s="355" t="s">
        <v>1113</v>
      </c>
      <c r="P688" s="355"/>
      <c r="Q688" s="363">
        <v>44184</v>
      </c>
      <c r="R688" s="319">
        <f t="shared" si="12"/>
        <v>-44184</v>
      </c>
      <c r="S688" s="319" t="str">
        <f>VLOOKUP(H688,'Fund Utilization Report'!$A$4:$U$1800,13,FALSE)</f>
        <v>PS</v>
      </c>
      <c r="T688" s="319" t="str">
        <f>VLOOKUP(H688,'Fund Utilization Report'!$A$4:$U$1800,2,FALSE)</f>
        <v>GAA</v>
      </c>
      <c r="U688" s="319" t="str">
        <f>VLOOKUP(H688,'Fund Utilization Report'!$A$4:$U$1800,3,FALSE)</f>
        <v>FY2021, RA11518</v>
      </c>
      <c r="V688" s="319" t="str">
        <f>VLOOKUP(H688,'Fund Utilization Report'!$A$4:$U$1800,4,FALSE)</f>
        <v>OO1</v>
      </c>
      <c r="W688" s="319" t="str">
        <f>VLOOKUP(H688,'Fund Utilization Report'!$A$4:$U$1800,5,FALSE)</f>
        <v>01101101</v>
      </c>
      <c r="X688" s="319" t="str">
        <f>VLOOKUP(H688,'Fund Utilization Report'!$A$4:$U$1800,6,FALSE)</f>
        <v>GOP</v>
      </c>
      <c r="Y688" s="320" t="str">
        <f>VLOOKUP(H688,'Fund Utilization Report'!$A$4:$U$1800,7,FALSE)</f>
        <v>PS</v>
      </c>
      <c r="Z688" s="321">
        <f>VLOOKUP(H688,'Fund Utilization Report'!$A$4:$U$1800,8,FALSE)</f>
        <v>5010000000</v>
      </c>
      <c r="AA688" s="319" t="str">
        <f>VLOOKUP(H688,'Fund Utilization Report'!$A$4:$U$1800,14,FALSE)</f>
        <v>310100100002000</v>
      </c>
      <c r="AB688" s="349" t="str">
        <f>VLOOKUP(H688,'Fund Utilization Report'!$A$4:$U$1800,15,FALSE)</f>
        <v>Development,Facilitation, and promotion of exports and investment, domestic and foreign</v>
      </c>
      <c r="AC688" s="39"/>
      <c r="AD688" s="34"/>
      <c r="AE688" s="39"/>
      <c r="AF688" s="51"/>
      <c r="AG688" s="40"/>
      <c r="AH688" s="40"/>
    </row>
    <row r="689" spans="1:34" s="32" customFormat="1" ht="27.6">
      <c r="A689" s="338" t="s">
        <v>942</v>
      </c>
      <c r="B689" s="338" t="s">
        <v>945</v>
      </c>
      <c r="C689" s="358">
        <v>44238</v>
      </c>
      <c r="D689" s="351" t="s">
        <v>1028</v>
      </c>
      <c r="E689" s="352" t="s">
        <v>1164</v>
      </c>
      <c r="F689" s="338">
        <v>0.49236111111111108</v>
      </c>
      <c r="G689" s="338">
        <v>0.49861111111111112</v>
      </c>
      <c r="H689" s="338" t="s">
        <v>964</v>
      </c>
      <c r="I689" s="353">
        <v>711</v>
      </c>
      <c r="J689" s="338" t="str">
        <f>IFERROR(VLOOKUP(I689,'Chart of accounts'!A:H,2,FALSE),"")</f>
        <v>50102010 01</v>
      </c>
      <c r="K689" s="338" t="str">
        <f>IFERROR(VLOOKUP(I689,'Chart of accounts'!A:H,3,FALSE),"")</f>
        <v>PERA - Civilian</v>
      </c>
      <c r="L689" s="338" t="str">
        <f>IFERROR(VLOOKUP(I689,'Chart of accounts'!A:H,4,FALSE),"")</f>
        <v>50102010 01 - PERA - Civilian (711)</v>
      </c>
      <c r="M689" s="361">
        <v>68</v>
      </c>
      <c r="N689" s="355" t="s">
        <v>764</v>
      </c>
      <c r="O689" s="355" t="s">
        <v>1113</v>
      </c>
      <c r="P689" s="355"/>
      <c r="Q689" s="363">
        <v>2000</v>
      </c>
      <c r="R689" s="319">
        <f t="shared" si="12"/>
        <v>-2000</v>
      </c>
      <c r="S689" s="319" t="str">
        <f>VLOOKUP(H689,'Fund Utilization Report'!$A$4:$U$1800,13,FALSE)</f>
        <v>PS</v>
      </c>
      <c r="T689" s="319" t="str">
        <f>VLOOKUP(H689,'Fund Utilization Report'!$A$4:$U$1800,2,FALSE)</f>
        <v>GAA</v>
      </c>
      <c r="U689" s="319" t="str">
        <f>VLOOKUP(H689,'Fund Utilization Report'!$A$4:$U$1800,3,FALSE)</f>
        <v>FY2021, RA11518</v>
      </c>
      <c r="V689" s="319" t="str">
        <f>VLOOKUP(H689,'Fund Utilization Report'!$A$4:$U$1800,4,FALSE)</f>
        <v>OO1</v>
      </c>
      <c r="W689" s="319" t="str">
        <f>VLOOKUP(H689,'Fund Utilization Report'!$A$4:$U$1800,5,FALSE)</f>
        <v>01101101</v>
      </c>
      <c r="X689" s="319" t="str">
        <f>VLOOKUP(H689,'Fund Utilization Report'!$A$4:$U$1800,6,FALSE)</f>
        <v>GOP</v>
      </c>
      <c r="Y689" s="320" t="str">
        <f>VLOOKUP(H689,'Fund Utilization Report'!$A$4:$U$1800,7,FALSE)</f>
        <v>PS</v>
      </c>
      <c r="Z689" s="321">
        <f>VLOOKUP(H689,'Fund Utilization Report'!$A$4:$U$1800,8,FALSE)</f>
        <v>5010000000</v>
      </c>
      <c r="AA689" s="319" t="str">
        <f>VLOOKUP(H689,'Fund Utilization Report'!$A$4:$U$1800,14,FALSE)</f>
        <v>310100100002000</v>
      </c>
      <c r="AB689" s="349" t="str">
        <f>VLOOKUP(H689,'Fund Utilization Report'!$A$4:$U$1800,15,FALSE)</f>
        <v>Development,Facilitation, and promotion of exports and investment, domestic and foreign</v>
      </c>
      <c r="AC689" s="39"/>
      <c r="AD689" s="34"/>
      <c r="AE689" s="39"/>
      <c r="AF689" s="51"/>
      <c r="AG689" s="40"/>
      <c r="AH689" s="40"/>
    </row>
    <row r="690" spans="1:34" s="32" customFormat="1" ht="27.6">
      <c r="A690" s="338" t="s">
        <v>942</v>
      </c>
      <c r="B690" s="338" t="s">
        <v>945</v>
      </c>
      <c r="C690" s="358">
        <v>44238</v>
      </c>
      <c r="D690" s="351" t="s">
        <v>1028</v>
      </c>
      <c r="E690" s="352" t="s">
        <v>1164</v>
      </c>
      <c r="F690" s="338">
        <v>0.49236111111111108</v>
      </c>
      <c r="G690" s="338">
        <v>0.49861111111111112</v>
      </c>
      <c r="H690" s="338" t="s">
        <v>966</v>
      </c>
      <c r="I690" s="353">
        <v>731</v>
      </c>
      <c r="J690" s="338" t="str">
        <f>IFERROR(VLOOKUP(I690,'Chart of accounts'!A:H,2,FALSE),"")</f>
        <v>50103010 00</v>
      </c>
      <c r="K690" s="338" t="str">
        <f>IFERROR(VLOOKUP(I690,'Chart of accounts'!A:H,3,FALSE),"")</f>
        <v>Retirement and Life Insurance Premiums</v>
      </c>
      <c r="L690" s="338" t="str">
        <f>IFERROR(VLOOKUP(I690,'Chart of accounts'!A:H,4,FALSE),"")</f>
        <v>50103010 00 - Retirement and Life Insurance Premiums (731)</v>
      </c>
      <c r="M690" s="361">
        <v>68</v>
      </c>
      <c r="N690" s="355" t="s">
        <v>764</v>
      </c>
      <c r="O690" s="355" t="s">
        <v>1113</v>
      </c>
      <c r="P690" s="355"/>
      <c r="Q690" s="363">
        <v>5302.08</v>
      </c>
      <c r="R690" s="319">
        <f t="shared" si="12"/>
        <v>-5302.08</v>
      </c>
      <c r="S690" s="319" t="str">
        <f>VLOOKUP(H690,'Fund Utilization Report'!$A$4:$U$1800,13,FALSE)</f>
        <v>PS</v>
      </c>
      <c r="T690" s="319" t="str">
        <f>VLOOKUP(H690,'Fund Utilization Report'!$A$4:$U$1800,2,FALSE)</f>
        <v>GAA</v>
      </c>
      <c r="U690" s="319" t="str">
        <f>VLOOKUP(H690,'Fund Utilization Report'!$A$4:$U$1800,3,FALSE)</f>
        <v>FY2021, RA11518</v>
      </c>
      <c r="V690" s="319" t="str">
        <f>VLOOKUP(H690,'Fund Utilization Report'!$A$4:$U$1800,4,FALSE)</f>
        <v>OO1</v>
      </c>
      <c r="W690" s="319" t="str">
        <f>VLOOKUP(H690,'Fund Utilization Report'!$A$4:$U$1800,5,FALSE)</f>
        <v>01101101</v>
      </c>
      <c r="X690" s="319" t="str">
        <f>VLOOKUP(H690,'Fund Utilization Report'!$A$4:$U$1800,6,FALSE)</f>
        <v>GOP</v>
      </c>
      <c r="Y690" s="320" t="str">
        <f>VLOOKUP(H690,'Fund Utilization Report'!$A$4:$U$1800,7,FALSE)</f>
        <v>RLIP</v>
      </c>
      <c r="Z690" s="321" t="str">
        <f>VLOOKUP(H690,'Fund Utilization Report'!$A$4:$U$1800,8,FALSE)</f>
        <v>50103010-00</v>
      </c>
      <c r="AA690" s="319" t="str">
        <f>VLOOKUP(H690,'Fund Utilization Report'!$A$4:$U$1800,14,FALSE)</f>
        <v>310100100002000</v>
      </c>
      <c r="AB690" s="349" t="str">
        <f>VLOOKUP(H690,'Fund Utilization Report'!$A$4:$U$1800,15,FALSE)</f>
        <v>Development,Facilitation, and promotion of exports and investment, domestic and foreign</v>
      </c>
      <c r="AC690" s="39"/>
      <c r="AD690" s="34"/>
      <c r="AE690" s="39"/>
      <c r="AF690" s="51"/>
      <c r="AG690" s="40"/>
      <c r="AH690" s="40"/>
    </row>
    <row r="691" spans="1:34" s="32" customFormat="1" ht="27.6">
      <c r="A691" s="338" t="s">
        <v>942</v>
      </c>
      <c r="B691" s="338" t="s">
        <v>945</v>
      </c>
      <c r="C691" s="358">
        <v>44238</v>
      </c>
      <c r="D691" s="351" t="s">
        <v>1028</v>
      </c>
      <c r="E691" s="352" t="s">
        <v>1164</v>
      </c>
      <c r="F691" s="338">
        <v>0.49236111111111108</v>
      </c>
      <c r="G691" s="338">
        <v>0.49861111111111112</v>
      </c>
      <c r="H691" s="338" t="s">
        <v>964</v>
      </c>
      <c r="I691" s="353">
        <v>732</v>
      </c>
      <c r="J691" s="338" t="str">
        <f>IFERROR(VLOOKUP(I691,'Chart of accounts'!A:H,2,FALSE),"")</f>
        <v>50103020 01</v>
      </c>
      <c r="K691" s="338" t="str">
        <f>IFERROR(VLOOKUP(I691,'Chart of accounts'!A:H,3,FALSE),"")</f>
        <v>Pag-IBIG - Civilian</v>
      </c>
      <c r="L691" s="338" t="str">
        <f>IFERROR(VLOOKUP(I691,'Chart of accounts'!A:H,4,FALSE),"")</f>
        <v>50103020 01 - Pag-IBIG - Civilian (732)</v>
      </c>
      <c r="M691" s="361">
        <v>68</v>
      </c>
      <c r="N691" s="355" t="s">
        <v>764</v>
      </c>
      <c r="O691" s="355" t="s">
        <v>1113</v>
      </c>
      <c r="P691" s="355"/>
      <c r="Q691" s="363">
        <v>100</v>
      </c>
      <c r="R691" s="319">
        <f t="shared" si="12"/>
        <v>-100</v>
      </c>
      <c r="S691" s="319" t="str">
        <f>VLOOKUP(H691,'Fund Utilization Report'!$A$4:$U$1800,13,FALSE)</f>
        <v>PS</v>
      </c>
      <c r="T691" s="319" t="str">
        <f>VLOOKUP(H691,'Fund Utilization Report'!$A$4:$U$1800,2,FALSE)</f>
        <v>GAA</v>
      </c>
      <c r="U691" s="319" t="str">
        <f>VLOOKUP(H691,'Fund Utilization Report'!$A$4:$U$1800,3,FALSE)</f>
        <v>FY2021, RA11518</v>
      </c>
      <c r="V691" s="319" t="str">
        <f>VLOOKUP(H691,'Fund Utilization Report'!$A$4:$U$1800,4,FALSE)</f>
        <v>OO1</v>
      </c>
      <c r="W691" s="319" t="str">
        <f>VLOOKUP(H691,'Fund Utilization Report'!$A$4:$U$1800,5,FALSE)</f>
        <v>01101101</v>
      </c>
      <c r="X691" s="319" t="str">
        <f>VLOOKUP(H691,'Fund Utilization Report'!$A$4:$U$1800,6,FALSE)</f>
        <v>GOP</v>
      </c>
      <c r="Y691" s="320" t="str">
        <f>VLOOKUP(H691,'Fund Utilization Report'!$A$4:$U$1800,7,FALSE)</f>
        <v>PS</v>
      </c>
      <c r="Z691" s="321">
        <f>VLOOKUP(H691,'Fund Utilization Report'!$A$4:$U$1800,8,FALSE)</f>
        <v>5010000000</v>
      </c>
      <c r="AA691" s="319" t="str">
        <f>VLOOKUP(H691,'Fund Utilization Report'!$A$4:$U$1800,14,FALSE)</f>
        <v>310100100002000</v>
      </c>
      <c r="AB691" s="349" t="str">
        <f>VLOOKUP(H691,'Fund Utilization Report'!$A$4:$U$1800,15,FALSE)</f>
        <v>Development,Facilitation, and promotion of exports and investment, domestic and foreign</v>
      </c>
      <c r="AC691" s="39"/>
      <c r="AD691" s="34"/>
      <c r="AE691" s="39"/>
      <c r="AF691" s="51"/>
      <c r="AG691" s="40"/>
      <c r="AH691" s="40"/>
    </row>
    <row r="692" spans="1:34" s="32" customFormat="1" ht="27.6">
      <c r="A692" s="338" t="s">
        <v>942</v>
      </c>
      <c r="B692" s="338" t="s">
        <v>945</v>
      </c>
      <c r="C692" s="358">
        <v>44238</v>
      </c>
      <c r="D692" s="351" t="s">
        <v>1028</v>
      </c>
      <c r="E692" s="352" t="s">
        <v>1164</v>
      </c>
      <c r="F692" s="338">
        <v>0.49236111111111108</v>
      </c>
      <c r="G692" s="338">
        <v>0.49861111111111112</v>
      </c>
      <c r="H692" s="338" t="s">
        <v>964</v>
      </c>
      <c r="I692" s="353">
        <v>733</v>
      </c>
      <c r="J692" s="338" t="str">
        <f>IFERROR(VLOOKUP(I692,'Chart of accounts'!A:H,2,FALSE),"")</f>
        <v>50103030 01</v>
      </c>
      <c r="K692" s="338" t="str">
        <f>IFERROR(VLOOKUP(I692,'Chart of accounts'!A:H,3,FALSE),"")</f>
        <v>PhilHealth - Civilian</v>
      </c>
      <c r="L692" s="338" t="str">
        <f>IFERROR(VLOOKUP(I692,'Chart of accounts'!A:H,4,FALSE),"")</f>
        <v>50103030 01 - PhilHealth - Civilian (733)</v>
      </c>
      <c r="M692" s="361">
        <v>68</v>
      </c>
      <c r="N692" s="355" t="s">
        <v>764</v>
      </c>
      <c r="O692" s="355" t="s">
        <v>1113</v>
      </c>
      <c r="P692" s="355"/>
      <c r="Q692" s="363">
        <v>662.76</v>
      </c>
      <c r="R692" s="319">
        <f t="shared" si="12"/>
        <v>-662.76</v>
      </c>
      <c r="S692" s="319" t="str">
        <f>VLOOKUP(H692,'Fund Utilization Report'!$A$4:$U$1800,13,FALSE)</f>
        <v>PS</v>
      </c>
      <c r="T692" s="319" t="str">
        <f>VLOOKUP(H692,'Fund Utilization Report'!$A$4:$U$1800,2,FALSE)</f>
        <v>GAA</v>
      </c>
      <c r="U692" s="319" t="str">
        <f>VLOOKUP(H692,'Fund Utilization Report'!$A$4:$U$1800,3,FALSE)</f>
        <v>FY2021, RA11518</v>
      </c>
      <c r="V692" s="319" t="str">
        <f>VLOOKUP(H692,'Fund Utilization Report'!$A$4:$U$1800,4,FALSE)</f>
        <v>OO1</v>
      </c>
      <c r="W692" s="319" t="str">
        <f>VLOOKUP(H692,'Fund Utilization Report'!$A$4:$U$1800,5,FALSE)</f>
        <v>01101101</v>
      </c>
      <c r="X692" s="319" t="str">
        <f>VLOOKUP(H692,'Fund Utilization Report'!$A$4:$U$1800,6,FALSE)</f>
        <v>GOP</v>
      </c>
      <c r="Y692" s="320" t="str">
        <f>VLOOKUP(H692,'Fund Utilization Report'!$A$4:$U$1800,7,FALSE)</f>
        <v>PS</v>
      </c>
      <c r="Z692" s="321">
        <f>VLOOKUP(H692,'Fund Utilization Report'!$A$4:$U$1800,8,FALSE)</f>
        <v>5010000000</v>
      </c>
      <c r="AA692" s="319" t="str">
        <f>VLOOKUP(H692,'Fund Utilization Report'!$A$4:$U$1800,14,FALSE)</f>
        <v>310100100002000</v>
      </c>
      <c r="AB692" s="349" t="str">
        <f>VLOOKUP(H692,'Fund Utilization Report'!$A$4:$U$1800,15,FALSE)</f>
        <v>Development,Facilitation, and promotion of exports and investment, domestic and foreign</v>
      </c>
      <c r="AC692" s="39"/>
      <c r="AD692" s="34"/>
      <c r="AE692" s="39"/>
      <c r="AF692" s="51"/>
      <c r="AG692" s="40"/>
      <c r="AH692" s="40"/>
    </row>
    <row r="693" spans="1:34" s="32" customFormat="1" ht="27.6">
      <c r="A693" s="338" t="s">
        <v>942</v>
      </c>
      <c r="B693" s="338" t="s">
        <v>945</v>
      </c>
      <c r="C693" s="358">
        <v>44238</v>
      </c>
      <c r="D693" s="351" t="s">
        <v>1028</v>
      </c>
      <c r="E693" s="352" t="s">
        <v>1164</v>
      </c>
      <c r="F693" s="338">
        <v>0.49236111111111108</v>
      </c>
      <c r="G693" s="338">
        <v>0.49861111111111112</v>
      </c>
      <c r="H693" s="338" t="s">
        <v>964</v>
      </c>
      <c r="I693" s="353">
        <v>734</v>
      </c>
      <c r="J693" s="338" t="str">
        <f>IFERROR(VLOOKUP(I693,'Chart of accounts'!A:H,2,FALSE),"")</f>
        <v>50103040 01</v>
      </c>
      <c r="K693" s="338" t="str">
        <f>IFERROR(VLOOKUP(I693,'Chart of accounts'!A:H,3,FALSE),"")</f>
        <v>ECIP - Civilian</v>
      </c>
      <c r="L693" s="338" t="str">
        <f>IFERROR(VLOOKUP(I693,'Chart of accounts'!A:H,4,FALSE),"")</f>
        <v>50103040 01 - ECIP - Civilian (734)</v>
      </c>
      <c r="M693" s="361">
        <v>68</v>
      </c>
      <c r="N693" s="355" t="s">
        <v>764</v>
      </c>
      <c r="O693" s="355" t="s">
        <v>1113</v>
      </c>
      <c r="P693" s="355"/>
      <c r="Q693" s="363">
        <v>100</v>
      </c>
      <c r="R693" s="319">
        <f t="shared" si="12"/>
        <v>-100</v>
      </c>
      <c r="S693" s="319" t="str">
        <f>VLOOKUP(H693,'Fund Utilization Report'!$A$4:$U$1800,13,FALSE)</f>
        <v>PS</v>
      </c>
      <c r="T693" s="319" t="str">
        <f>VLOOKUP(H693,'Fund Utilization Report'!$A$4:$U$1800,2,FALSE)</f>
        <v>GAA</v>
      </c>
      <c r="U693" s="319" t="str">
        <f>VLOOKUP(H693,'Fund Utilization Report'!$A$4:$U$1800,3,FALSE)</f>
        <v>FY2021, RA11518</v>
      </c>
      <c r="V693" s="319" t="str">
        <f>VLOOKUP(H693,'Fund Utilization Report'!$A$4:$U$1800,4,FALSE)</f>
        <v>OO1</v>
      </c>
      <c r="W693" s="319" t="str">
        <f>VLOOKUP(H693,'Fund Utilization Report'!$A$4:$U$1800,5,FALSE)</f>
        <v>01101101</v>
      </c>
      <c r="X693" s="319" t="str">
        <f>VLOOKUP(H693,'Fund Utilization Report'!$A$4:$U$1800,6,FALSE)</f>
        <v>GOP</v>
      </c>
      <c r="Y693" s="320" t="str">
        <f>VLOOKUP(H693,'Fund Utilization Report'!$A$4:$U$1800,7,FALSE)</f>
        <v>PS</v>
      </c>
      <c r="Z693" s="321">
        <f>VLOOKUP(H693,'Fund Utilization Report'!$A$4:$U$1800,8,FALSE)</f>
        <v>5010000000</v>
      </c>
      <c r="AA693" s="319" t="str">
        <f>VLOOKUP(H693,'Fund Utilization Report'!$A$4:$U$1800,14,FALSE)</f>
        <v>310100100002000</v>
      </c>
      <c r="AB693" s="349" t="str">
        <f>VLOOKUP(H693,'Fund Utilization Report'!$A$4:$U$1800,15,FALSE)</f>
        <v>Development,Facilitation, and promotion of exports and investment, domestic and foreign</v>
      </c>
      <c r="AC693" s="39"/>
      <c r="AD693" s="34"/>
      <c r="AE693" s="39"/>
      <c r="AF693" s="51"/>
      <c r="AG693" s="40"/>
      <c r="AH693" s="40"/>
    </row>
    <row r="694" spans="1:34" s="32" customFormat="1" ht="27.6">
      <c r="A694" s="338" t="s">
        <v>942</v>
      </c>
      <c r="B694" s="338" t="s">
        <v>945</v>
      </c>
      <c r="C694" s="358">
        <v>44238</v>
      </c>
      <c r="D694" s="351" t="s">
        <v>1028</v>
      </c>
      <c r="E694" s="352" t="s">
        <v>1164</v>
      </c>
      <c r="F694" s="338">
        <v>0.49236111111111108</v>
      </c>
      <c r="G694" s="338">
        <v>0.49861111111111112</v>
      </c>
      <c r="H694" s="338" t="s">
        <v>970</v>
      </c>
      <c r="I694" s="353">
        <v>701</v>
      </c>
      <c r="J694" s="338" t="str">
        <f>IFERROR(VLOOKUP(I694,'Chart of accounts'!A:H,2,FALSE),"")</f>
        <v>50101010 01</v>
      </c>
      <c r="K694" s="338" t="str">
        <f>IFERROR(VLOOKUP(I694,'Chart of accounts'!A:H,3,FALSE),"")</f>
        <v>Basic Salary - Civilian</v>
      </c>
      <c r="L694" s="338" t="str">
        <f>IFERROR(VLOOKUP(I694,'Chart of accounts'!A:H,4,FALSE),"")</f>
        <v>50101010 01 - Basic Salary - Civilian (701)</v>
      </c>
      <c r="M694" s="361">
        <v>68</v>
      </c>
      <c r="N694" s="355" t="s">
        <v>764</v>
      </c>
      <c r="O694" s="355" t="s">
        <v>1113</v>
      </c>
      <c r="P694" s="355"/>
      <c r="Q694" s="363">
        <v>113498</v>
      </c>
      <c r="R694" s="319">
        <f t="shared" si="12"/>
        <v>-113498</v>
      </c>
      <c r="S694" s="319" t="str">
        <f>VLOOKUP(H694,'Fund Utilization Report'!$A$4:$U$1800,13,FALSE)</f>
        <v>PS</v>
      </c>
      <c r="T694" s="319" t="str">
        <f>VLOOKUP(H694,'Fund Utilization Report'!$A$4:$U$1800,2,FALSE)</f>
        <v>GAA</v>
      </c>
      <c r="U694" s="319" t="str">
        <f>VLOOKUP(H694,'Fund Utilization Report'!$A$4:$U$1800,3,FALSE)</f>
        <v>FY2021, RA11518</v>
      </c>
      <c r="V694" s="319" t="str">
        <f>VLOOKUP(H694,'Fund Utilization Report'!$A$4:$U$1800,4,FALSE)</f>
        <v>OO3</v>
      </c>
      <c r="W694" s="319" t="str">
        <f>VLOOKUP(H694,'Fund Utilization Report'!$A$4:$U$1800,5,FALSE)</f>
        <v>01101101</v>
      </c>
      <c r="X694" s="319" t="str">
        <f>VLOOKUP(H694,'Fund Utilization Report'!$A$4:$U$1800,6,FALSE)</f>
        <v>GOP</v>
      </c>
      <c r="Y694" s="320" t="str">
        <f>VLOOKUP(H694,'Fund Utilization Report'!$A$4:$U$1800,7,FALSE)</f>
        <v>PS</v>
      </c>
      <c r="Z694" s="321">
        <f>VLOOKUP(H694,'Fund Utilization Report'!$A$4:$U$1800,8,FALSE)</f>
        <v>5010000000</v>
      </c>
      <c r="AA694" s="319" t="str">
        <f>VLOOKUP(H694,'Fund Utilization Report'!$A$4:$U$1800,14,FALSE)</f>
        <v>330100100002000</v>
      </c>
      <c r="AB694" s="349" t="str">
        <f>VLOOKUP(H694,'Fund Utilization Report'!$A$4:$U$1800,15,FALSE)</f>
        <v>Implementation of the MSME Development Plan and other initiatives to promote the growth of Micro, Small and Medium Enterprises</v>
      </c>
      <c r="AC694" s="39"/>
      <c r="AD694" s="34"/>
      <c r="AE694" s="39"/>
      <c r="AF694" s="51"/>
      <c r="AG694" s="40"/>
      <c r="AH694" s="40"/>
    </row>
    <row r="695" spans="1:34" s="32" customFormat="1" ht="27.6">
      <c r="A695" s="338" t="s">
        <v>942</v>
      </c>
      <c r="B695" s="338" t="s">
        <v>945</v>
      </c>
      <c r="C695" s="358">
        <v>44238</v>
      </c>
      <c r="D695" s="351" t="s">
        <v>1028</v>
      </c>
      <c r="E695" s="352" t="s">
        <v>1164</v>
      </c>
      <c r="F695" s="338">
        <v>0.49236111111111108</v>
      </c>
      <c r="G695" s="338">
        <v>0.49861111111111112</v>
      </c>
      <c r="H695" s="338" t="s">
        <v>970</v>
      </c>
      <c r="I695" s="353">
        <v>711</v>
      </c>
      <c r="J695" s="338" t="str">
        <f>IFERROR(VLOOKUP(I695,'Chart of accounts'!A:H,2,FALSE),"")</f>
        <v>50102010 01</v>
      </c>
      <c r="K695" s="338" t="str">
        <f>IFERROR(VLOOKUP(I695,'Chart of accounts'!A:H,3,FALSE),"")</f>
        <v>PERA - Civilian</v>
      </c>
      <c r="L695" s="338" t="str">
        <f>IFERROR(VLOOKUP(I695,'Chart of accounts'!A:H,4,FALSE),"")</f>
        <v>50102010 01 - PERA - Civilian (711)</v>
      </c>
      <c r="M695" s="361">
        <v>68</v>
      </c>
      <c r="N695" s="355" t="s">
        <v>764</v>
      </c>
      <c r="O695" s="355" t="s">
        <v>1113</v>
      </c>
      <c r="P695" s="355"/>
      <c r="Q695" s="363">
        <v>6000</v>
      </c>
      <c r="R695" s="319">
        <f t="shared" si="12"/>
        <v>-6000</v>
      </c>
      <c r="S695" s="319" t="str">
        <f>VLOOKUP(H695,'Fund Utilization Report'!$A$4:$U$1800,13,FALSE)</f>
        <v>PS</v>
      </c>
      <c r="T695" s="319" t="str">
        <f>VLOOKUP(H695,'Fund Utilization Report'!$A$4:$U$1800,2,FALSE)</f>
        <v>GAA</v>
      </c>
      <c r="U695" s="319" t="str">
        <f>VLOOKUP(H695,'Fund Utilization Report'!$A$4:$U$1800,3,FALSE)</f>
        <v>FY2021, RA11518</v>
      </c>
      <c r="V695" s="319" t="str">
        <f>VLOOKUP(H695,'Fund Utilization Report'!$A$4:$U$1800,4,FALSE)</f>
        <v>OO3</v>
      </c>
      <c r="W695" s="319" t="str">
        <f>VLOOKUP(H695,'Fund Utilization Report'!$A$4:$U$1800,5,FALSE)</f>
        <v>01101101</v>
      </c>
      <c r="X695" s="319" t="str">
        <f>VLOOKUP(H695,'Fund Utilization Report'!$A$4:$U$1800,6,FALSE)</f>
        <v>GOP</v>
      </c>
      <c r="Y695" s="320" t="str">
        <f>VLOOKUP(H695,'Fund Utilization Report'!$A$4:$U$1800,7,FALSE)</f>
        <v>PS</v>
      </c>
      <c r="Z695" s="321">
        <f>VLOOKUP(H695,'Fund Utilization Report'!$A$4:$U$1800,8,FALSE)</f>
        <v>5010000000</v>
      </c>
      <c r="AA695" s="319" t="str">
        <f>VLOOKUP(H695,'Fund Utilization Report'!$A$4:$U$1800,14,FALSE)</f>
        <v>330100100002000</v>
      </c>
      <c r="AB695" s="349" t="str">
        <f>VLOOKUP(H695,'Fund Utilization Report'!$A$4:$U$1800,15,FALSE)</f>
        <v>Implementation of the MSME Development Plan and other initiatives to promote the growth of Micro, Small and Medium Enterprises</v>
      </c>
      <c r="AC695" s="39"/>
      <c r="AD695" s="34"/>
      <c r="AE695" s="39"/>
      <c r="AF695" s="51"/>
      <c r="AG695" s="40"/>
      <c r="AH695" s="40"/>
    </row>
    <row r="696" spans="1:34" s="32" customFormat="1" ht="27.6">
      <c r="A696" s="338" t="s">
        <v>942</v>
      </c>
      <c r="B696" s="338" t="s">
        <v>945</v>
      </c>
      <c r="C696" s="358">
        <v>44238</v>
      </c>
      <c r="D696" s="351" t="s">
        <v>1028</v>
      </c>
      <c r="E696" s="352" t="s">
        <v>1164</v>
      </c>
      <c r="F696" s="338">
        <v>0.49236111111111108</v>
      </c>
      <c r="G696" s="338">
        <v>0.49861111111111112</v>
      </c>
      <c r="H696" s="338" t="s">
        <v>972</v>
      </c>
      <c r="I696" s="353">
        <v>731</v>
      </c>
      <c r="J696" s="338" t="str">
        <f>IFERROR(VLOOKUP(I696,'Chart of accounts'!A:H,2,FALSE),"")</f>
        <v>50103010 00</v>
      </c>
      <c r="K696" s="338" t="str">
        <f>IFERROR(VLOOKUP(I696,'Chart of accounts'!A:H,3,FALSE),"")</f>
        <v>Retirement and Life Insurance Premiums</v>
      </c>
      <c r="L696" s="338" t="str">
        <f>IFERROR(VLOOKUP(I696,'Chart of accounts'!A:H,4,FALSE),"")</f>
        <v>50103010 00 - Retirement and Life Insurance Premiums (731)</v>
      </c>
      <c r="M696" s="361">
        <v>68</v>
      </c>
      <c r="N696" s="355" t="s">
        <v>764</v>
      </c>
      <c r="O696" s="355" t="s">
        <v>1113</v>
      </c>
      <c r="P696" s="355"/>
      <c r="Q696" s="363">
        <v>13619.76</v>
      </c>
      <c r="R696" s="319">
        <f t="shared" si="12"/>
        <v>-13619.76</v>
      </c>
      <c r="S696" s="319" t="str">
        <f>VLOOKUP(H696,'Fund Utilization Report'!$A$4:$U$1800,13,FALSE)</f>
        <v>PS</v>
      </c>
      <c r="T696" s="319" t="str">
        <f>VLOOKUP(H696,'Fund Utilization Report'!$A$4:$U$1800,2,FALSE)</f>
        <v>GAA</v>
      </c>
      <c r="U696" s="319" t="str">
        <f>VLOOKUP(H696,'Fund Utilization Report'!$A$4:$U$1800,3,FALSE)</f>
        <v>FY2021, RA11518</v>
      </c>
      <c r="V696" s="319" t="str">
        <f>VLOOKUP(H696,'Fund Utilization Report'!$A$4:$U$1800,4,FALSE)</f>
        <v>OO3</v>
      </c>
      <c r="W696" s="319" t="str">
        <f>VLOOKUP(H696,'Fund Utilization Report'!$A$4:$U$1800,5,FALSE)</f>
        <v>01101101</v>
      </c>
      <c r="X696" s="319" t="str">
        <f>VLOOKUP(H696,'Fund Utilization Report'!$A$4:$U$1800,6,FALSE)</f>
        <v>GOP</v>
      </c>
      <c r="Y696" s="320" t="str">
        <f>VLOOKUP(H696,'Fund Utilization Report'!$A$4:$U$1800,7,FALSE)</f>
        <v>RLIP</v>
      </c>
      <c r="Z696" s="321" t="str">
        <f>VLOOKUP(H696,'Fund Utilization Report'!$A$4:$U$1800,8,FALSE)</f>
        <v>50103010-00</v>
      </c>
      <c r="AA696" s="319" t="str">
        <f>VLOOKUP(H696,'Fund Utilization Report'!$A$4:$U$1800,14,FALSE)</f>
        <v>330100100002000</v>
      </c>
      <c r="AB696" s="349" t="str">
        <f>VLOOKUP(H696,'Fund Utilization Report'!$A$4:$U$1800,15,FALSE)</f>
        <v>Implementation of the MSME Development Plan and other initiatives to promote the growth of Micro, Small and Medium Enterprises</v>
      </c>
      <c r="AC696" s="39"/>
      <c r="AD696" s="34"/>
      <c r="AE696" s="39"/>
      <c r="AF696" s="51"/>
      <c r="AG696" s="40"/>
      <c r="AH696" s="40"/>
    </row>
    <row r="697" spans="1:34" s="32" customFormat="1" ht="27.6">
      <c r="A697" s="338" t="s">
        <v>942</v>
      </c>
      <c r="B697" s="338" t="s">
        <v>945</v>
      </c>
      <c r="C697" s="358">
        <v>44238</v>
      </c>
      <c r="D697" s="351" t="s">
        <v>1028</v>
      </c>
      <c r="E697" s="352" t="s">
        <v>1164</v>
      </c>
      <c r="F697" s="338">
        <v>0.49236111111111108</v>
      </c>
      <c r="G697" s="338">
        <v>0.49861111111111112</v>
      </c>
      <c r="H697" s="338" t="s">
        <v>970</v>
      </c>
      <c r="I697" s="353">
        <v>732</v>
      </c>
      <c r="J697" s="338" t="str">
        <f>IFERROR(VLOOKUP(I697,'Chart of accounts'!A:H,2,FALSE),"")</f>
        <v>50103020 01</v>
      </c>
      <c r="K697" s="338" t="str">
        <f>IFERROR(VLOOKUP(I697,'Chart of accounts'!A:H,3,FALSE),"")</f>
        <v>Pag-IBIG - Civilian</v>
      </c>
      <c r="L697" s="338" t="str">
        <f>IFERROR(VLOOKUP(I697,'Chart of accounts'!A:H,4,FALSE),"")</f>
        <v>50103020 01 - Pag-IBIG - Civilian (732)</v>
      </c>
      <c r="M697" s="361">
        <v>68</v>
      </c>
      <c r="N697" s="355" t="s">
        <v>764</v>
      </c>
      <c r="O697" s="355" t="s">
        <v>1113</v>
      </c>
      <c r="P697" s="355"/>
      <c r="Q697" s="363">
        <v>300</v>
      </c>
      <c r="R697" s="319">
        <f t="shared" si="12"/>
        <v>-300</v>
      </c>
      <c r="S697" s="319" t="str">
        <f>VLOOKUP(H697,'Fund Utilization Report'!$A$4:$U$1800,13,FALSE)</f>
        <v>PS</v>
      </c>
      <c r="T697" s="319" t="str">
        <f>VLOOKUP(H697,'Fund Utilization Report'!$A$4:$U$1800,2,FALSE)</f>
        <v>GAA</v>
      </c>
      <c r="U697" s="319" t="str">
        <f>VLOOKUP(H697,'Fund Utilization Report'!$A$4:$U$1800,3,FALSE)</f>
        <v>FY2021, RA11518</v>
      </c>
      <c r="V697" s="319" t="str">
        <f>VLOOKUP(H697,'Fund Utilization Report'!$A$4:$U$1800,4,FALSE)</f>
        <v>OO3</v>
      </c>
      <c r="W697" s="319" t="str">
        <f>VLOOKUP(H697,'Fund Utilization Report'!$A$4:$U$1800,5,FALSE)</f>
        <v>01101101</v>
      </c>
      <c r="X697" s="319" t="str">
        <f>VLOOKUP(H697,'Fund Utilization Report'!$A$4:$U$1800,6,FALSE)</f>
        <v>GOP</v>
      </c>
      <c r="Y697" s="320" t="str">
        <f>VLOOKUP(H697,'Fund Utilization Report'!$A$4:$U$1800,7,FALSE)</f>
        <v>PS</v>
      </c>
      <c r="Z697" s="321">
        <f>VLOOKUP(H697,'Fund Utilization Report'!$A$4:$U$1800,8,FALSE)</f>
        <v>5010000000</v>
      </c>
      <c r="AA697" s="319" t="str">
        <f>VLOOKUP(H697,'Fund Utilization Report'!$A$4:$U$1800,14,FALSE)</f>
        <v>330100100002000</v>
      </c>
      <c r="AB697" s="349" t="str">
        <f>VLOOKUP(H697,'Fund Utilization Report'!$A$4:$U$1800,15,FALSE)</f>
        <v>Implementation of the MSME Development Plan and other initiatives to promote the growth of Micro, Small and Medium Enterprises</v>
      </c>
      <c r="AC697" s="39"/>
      <c r="AD697" s="34"/>
      <c r="AE697" s="39"/>
      <c r="AF697" s="51"/>
      <c r="AG697" s="40"/>
      <c r="AH697" s="40"/>
    </row>
    <row r="698" spans="1:34" s="32" customFormat="1" ht="27.6">
      <c r="A698" s="338" t="s">
        <v>942</v>
      </c>
      <c r="B698" s="338" t="s">
        <v>945</v>
      </c>
      <c r="C698" s="358">
        <v>44238</v>
      </c>
      <c r="D698" s="351" t="s">
        <v>1028</v>
      </c>
      <c r="E698" s="352" t="s">
        <v>1164</v>
      </c>
      <c r="F698" s="338">
        <v>0.49236111111111108</v>
      </c>
      <c r="G698" s="338">
        <v>0.49861111111111112</v>
      </c>
      <c r="H698" s="338" t="s">
        <v>970</v>
      </c>
      <c r="I698" s="353">
        <v>733</v>
      </c>
      <c r="J698" s="338" t="str">
        <f>IFERROR(VLOOKUP(I698,'Chart of accounts'!A:H,2,FALSE),"")</f>
        <v>50103030 01</v>
      </c>
      <c r="K698" s="338" t="str">
        <f>IFERROR(VLOOKUP(I698,'Chart of accounts'!A:H,3,FALSE),"")</f>
        <v>PhilHealth - Civilian</v>
      </c>
      <c r="L698" s="338" t="str">
        <f>IFERROR(VLOOKUP(I698,'Chart of accounts'!A:H,4,FALSE),"")</f>
        <v>50103030 01 - PhilHealth - Civilian (733)</v>
      </c>
      <c r="M698" s="361">
        <v>68</v>
      </c>
      <c r="N698" s="355" t="s">
        <v>764</v>
      </c>
      <c r="O698" s="355" t="s">
        <v>1113</v>
      </c>
      <c r="P698" s="355"/>
      <c r="Q698" s="363">
        <v>1702.48</v>
      </c>
      <c r="R698" s="319">
        <f t="shared" si="12"/>
        <v>-1702.48</v>
      </c>
      <c r="S698" s="319" t="str">
        <f>VLOOKUP(H698,'Fund Utilization Report'!$A$4:$U$1800,13,FALSE)</f>
        <v>PS</v>
      </c>
      <c r="T698" s="319" t="str">
        <f>VLOOKUP(H698,'Fund Utilization Report'!$A$4:$U$1800,2,FALSE)</f>
        <v>GAA</v>
      </c>
      <c r="U698" s="319" t="str">
        <f>VLOOKUP(H698,'Fund Utilization Report'!$A$4:$U$1800,3,FALSE)</f>
        <v>FY2021, RA11518</v>
      </c>
      <c r="V698" s="319" t="str">
        <f>VLOOKUP(H698,'Fund Utilization Report'!$A$4:$U$1800,4,FALSE)</f>
        <v>OO3</v>
      </c>
      <c r="W698" s="319" t="str">
        <f>VLOOKUP(H698,'Fund Utilization Report'!$A$4:$U$1800,5,FALSE)</f>
        <v>01101101</v>
      </c>
      <c r="X698" s="319" t="str">
        <f>VLOOKUP(H698,'Fund Utilization Report'!$A$4:$U$1800,6,FALSE)</f>
        <v>GOP</v>
      </c>
      <c r="Y698" s="320" t="str">
        <f>VLOOKUP(H698,'Fund Utilization Report'!$A$4:$U$1800,7,FALSE)</f>
        <v>PS</v>
      </c>
      <c r="Z698" s="321">
        <f>VLOOKUP(H698,'Fund Utilization Report'!$A$4:$U$1800,8,FALSE)</f>
        <v>5010000000</v>
      </c>
      <c r="AA698" s="319" t="str">
        <f>VLOOKUP(H698,'Fund Utilization Report'!$A$4:$U$1800,14,FALSE)</f>
        <v>330100100002000</v>
      </c>
      <c r="AB698" s="349" t="str">
        <f>VLOOKUP(H698,'Fund Utilization Report'!$A$4:$U$1800,15,FALSE)</f>
        <v>Implementation of the MSME Development Plan and other initiatives to promote the growth of Micro, Small and Medium Enterprises</v>
      </c>
      <c r="AC698" s="39"/>
      <c r="AD698" s="34"/>
      <c r="AE698" s="39"/>
      <c r="AF698" s="51"/>
      <c r="AG698" s="40"/>
      <c r="AH698" s="40"/>
    </row>
    <row r="699" spans="1:34" s="32" customFormat="1" ht="27.6">
      <c r="A699" s="338" t="s">
        <v>942</v>
      </c>
      <c r="B699" s="338" t="s">
        <v>945</v>
      </c>
      <c r="C699" s="358">
        <v>44238</v>
      </c>
      <c r="D699" s="351" t="s">
        <v>1028</v>
      </c>
      <c r="E699" s="352" t="s">
        <v>1164</v>
      </c>
      <c r="F699" s="338">
        <v>0.49236111111111108</v>
      </c>
      <c r="G699" s="338">
        <v>0.49861111111111112</v>
      </c>
      <c r="H699" s="338" t="s">
        <v>970</v>
      </c>
      <c r="I699" s="353">
        <v>734</v>
      </c>
      <c r="J699" s="338" t="str">
        <f>IFERROR(VLOOKUP(I699,'Chart of accounts'!A:H,2,FALSE),"")</f>
        <v>50103040 01</v>
      </c>
      <c r="K699" s="338" t="str">
        <f>IFERROR(VLOOKUP(I699,'Chart of accounts'!A:H,3,FALSE),"")</f>
        <v>ECIP - Civilian</v>
      </c>
      <c r="L699" s="338" t="str">
        <f>IFERROR(VLOOKUP(I699,'Chart of accounts'!A:H,4,FALSE),"")</f>
        <v>50103040 01 - ECIP - Civilian (734)</v>
      </c>
      <c r="M699" s="361">
        <v>68</v>
      </c>
      <c r="N699" s="355" t="s">
        <v>764</v>
      </c>
      <c r="O699" s="355" t="s">
        <v>1113</v>
      </c>
      <c r="P699" s="355"/>
      <c r="Q699" s="363">
        <v>300</v>
      </c>
      <c r="R699" s="319">
        <f t="shared" si="12"/>
        <v>-300</v>
      </c>
      <c r="S699" s="319" t="str">
        <f>VLOOKUP(H699,'Fund Utilization Report'!$A$4:$U$1800,13,FALSE)</f>
        <v>PS</v>
      </c>
      <c r="T699" s="319" t="str">
        <f>VLOOKUP(H699,'Fund Utilization Report'!$A$4:$U$1800,2,FALSE)</f>
        <v>GAA</v>
      </c>
      <c r="U699" s="319" t="str">
        <f>VLOOKUP(H699,'Fund Utilization Report'!$A$4:$U$1800,3,FALSE)</f>
        <v>FY2021, RA11518</v>
      </c>
      <c r="V699" s="319" t="str">
        <f>VLOOKUP(H699,'Fund Utilization Report'!$A$4:$U$1800,4,FALSE)</f>
        <v>OO3</v>
      </c>
      <c r="W699" s="319" t="str">
        <f>VLOOKUP(H699,'Fund Utilization Report'!$A$4:$U$1800,5,FALSE)</f>
        <v>01101101</v>
      </c>
      <c r="X699" s="319" t="str">
        <f>VLOOKUP(H699,'Fund Utilization Report'!$A$4:$U$1800,6,FALSE)</f>
        <v>GOP</v>
      </c>
      <c r="Y699" s="320" t="str">
        <f>VLOOKUP(H699,'Fund Utilization Report'!$A$4:$U$1800,7,FALSE)</f>
        <v>PS</v>
      </c>
      <c r="Z699" s="321">
        <f>VLOOKUP(H699,'Fund Utilization Report'!$A$4:$U$1800,8,FALSE)</f>
        <v>5010000000</v>
      </c>
      <c r="AA699" s="319" t="str">
        <f>VLOOKUP(H699,'Fund Utilization Report'!$A$4:$U$1800,14,FALSE)</f>
        <v>330100100002000</v>
      </c>
      <c r="AB699" s="349" t="str">
        <f>VLOOKUP(H699,'Fund Utilization Report'!$A$4:$U$1800,15,FALSE)</f>
        <v>Implementation of the MSME Development Plan and other initiatives to promote the growth of Micro, Small and Medium Enterprises</v>
      </c>
      <c r="AC699" s="39"/>
      <c r="AD699" s="34"/>
      <c r="AE699" s="39"/>
      <c r="AF699" s="51"/>
      <c r="AG699" s="40"/>
      <c r="AH699" s="40"/>
    </row>
    <row r="700" spans="1:34" s="32" customFormat="1" ht="27.6">
      <c r="A700" s="338" t="s">
        <v>942</v>
      </c>
      <c r="B700" s="338" t="s">
        <v>945</v>
      </c>
      <c r="C700" s="358">
        <v>44238</v>
      </c>
      <c r="D700" s="351" t="s">
        <v>1028</v>
      </c>
      <c r="E700" s="352" t="s">
        <v>1164</v>
      </c>
      <c r="F700" s="338">
        <v>0.49236111111111108</v>
      </c>
      <c r="G700" s="338">
        <v>0.49861111111111112</v>
      </c>
      <c r="H700" s="338" t="s">
        <v>973</v>
      </c>
      <c r="I700" s="353">
        <v>701</v>
      </c>
      <c r="J700" s="338" t="str">
        <f>IFERROR(VLOOKUP(I700,'Chart of accounts'!A:H,2,FALSE),"")</f>
        <v>50101010 01</v>
      </c>
      <c r="K700" s="338" t="str">
        <f>IFERROR(VLOOKUP(I700,'Chart of accounts'!A:H,3,FALSE),"")</f>
        <v>Basic Salary - Civilian</v>
      </c>
      <c r="L700" s="338" t="str">
        <f>IFERROR(VLOOKUP(I700,'Chart of accounts'!A:H,4,FALSE),"")</f>
        <v>50101010 01 - Basic Salary - Civilian (701)</v>
      </c>
      <c r="M700" s="361">
        <v>68</v>
      </c>
      <c r="N700" s="355" t="s">
        <v>764</v>
      </c>
      <c r="O700" s="355" t="s">
        <v>1113</v>
      </c>
      <c r="P700" s="355"/>
      <c r="Q700" s="363">
        <v>136714</v>
      </c>
      <c r="R700" s="319">
        <f t="shared" si="12"/>
        <v>-136714</v>
      </c>
      <c r="S700" s="319" t="str">
        <f>VLOOKUP(H700,'Fund Utilization Report'!$A$4:$U$1800,13,FALSE)</f>
        <v>PS</v>
      </c>
      <c r="T700" s="319" t="str">
        <f>VLOOKUP(H700,'Fund Utilization Report'!$A$4:$U$1800,2,FALSE)</f>
        <v>GAA</v>
      </c>
      <c r="U700" s="319" t="str">
        <f>VLOOKUP(H700,'Fund Utilization Report'!$A$4:$U$1800,3,FALSE)</f>
        <v>FY2021, RA11518</v>
      </c>
      <c r="V700" s="319" t="str">
        <f>VLOOKUP(H700,'Fund Utilization Report'!$A$4:$U$1800,4,FALSE)</f>
        <v>OO4.1(FTL)</v>
      </c>
      <c r="W700" s="319" t="str">
        <f>VLOOKUP(H700,'Fund Utilization Report'!$A$4:$U$1800,5,FALSE)</f>
        <v>01101101</v>
      </c>
      <c r="X700" s="319" t="str">
        <f>VLOOKUP(H700,'Fund Utilization Report'!$A$4:$U$1800,6,FALSE)</f>
        <v>GOP</v>
      </c>
      <c r="Y700" s="320" t="str">
        <f>VLOOKUP(H700,'Fund Utilization Report'!$A$4:$U$1800,7,FALSE)</f>
        <v>PS</v>
      </c>
      <c r="Z700" s="321">
        <f>VLOOKUP(H700,'Fund Utilization Report'!$A$4:$U$1800,8,FALSE)</f>
        <v>5010000000</v>
      </c>
      <c r="AA700" s="319" t="str">
        <f>VLOOKUP(H700,'Fund Utilization Report'!$A$4:$U$1800,14,FALSE)</f>
        <v>340100100002000</v>
      </c>
      <c r="AB700" s="349" t="str">
        <f>VLOOKUP(H700,'Fund Utilization Report'!$A$4:$U$1800,15,FALSE)</f>
        <v>Monitoring and Enforcement of FTL including consumer complaints handling</v>
      </c>
      <c r="AC700" s="39"/>
      <c r="AD700" s="34"/>
      <c r="AE700" s="39"/>
      <c r="AF700" s="51"/>
      <c r="AG700" s="40"/>
      <c r="AH700" s="40"/>
    </row>
    <row r="701" spans="1:34" s="32" customFormat="1" ht="27.6">
      <c r="A701" s="338" t="s">
        <v>942</v>
      </c>
      <c r="B701" s="338" t="s">
        <v>945</v>
      </c>
      <c r="C701" s="358">
        <v>44238</v>
      </c>
      <c r="D701" s="351" t="s">
        <v>1028</v>
      </c>
      <c r="E701" s="352" t="s">
        <v>1164</v>
      </c>
      <c r="F701" s="338">
        <v>0.49236111111111108</v>
      </c>
      <c r="G701" s="338">
        <v>0.49861111111111112</v>
      </c>
      <c r="H701" s="338" t="s">
        <v>973</v>
      </c>
      <c r="I701" s="353">
        <v>711</v>
      </c>
      <c r="J701" s="338" t="str">
        <f>IFERROR(VLOOKUP(I701,'Chart of accounts'!A:H,2,FALSE),"")</f>
        <v>50102010 01</v>
      </c>
      <c r="K701" s="338" t="str">
        <f>IFERROR(VLOOKUP(I701,'Chart of accounts'!A:H,3,FALSE),"")</f>
        <v>PERA - Civilian</v>
      </c>
      <c r="L701" s="338" t="str">
        <f>IFERROR(VLOOKUP(I701,'Chart of accounts'!A:H,4,FALSE),"")</f>
        <v>50102010 01 - PERA - Civilian (711)</v>
      </c>
      <c r="M701" s="361">
        <v>68</v>
      </c>
      <c r="N701" s="355" t="s">
        <v>764</v>
      </c>
      <c r="O701" s="355" t="s">
        <v>1113</v>
      </c>
      <c r="P701" s="355"/>
      <c r="Q701" s="363">
        <v>6000</v>
      </c>
      <c r="R701" s="319">
        <f t="shared" si="12"/>
        <v>-6000</v>
      </c>
      <c r="S701" s="319" t="str">
        <f>VLOOKUP(H701,'Fund Utilization Report'!$A$4:$U$1800,13,FALSE)</f>
        <v>PS</v>
      </c>
      <c r="T701" s="319" t="str">
        <f>VLOOKUP(H701,'Fund Utilization Report'!$A$4:$U$1800,2,FALSE)</f>
        <v>GAA</v>
      </c>
      <c r="U701" s="319" t="str">
        <f>VLOOKUP(H701,'Fund Utilization Report'!$A$4:$U$1800,3,FALSE)</f>
        <v>FY2021, RA11518</v>
      </c>
      <c r="V701" s="319" t="str">
        <f>VLOOKUP(H701,'Fund Utilization Report'!$A$4:$U$1800,4,FALSE)</f>
        <v>OO4.1(FTL)</v>
      </c>
      <c r="W701" s="319" t="str">
        <f>VLOOKUP(H701,'Fund Utilization Report'!$A$4:$U$1800,5,FALSE)</f>
        <v>01101101</v>
      </c>
      <c r="X701" s="319" t="str">
        <f>VLOOKUP(H701,'Fund Utilization Report'!$A$4:$U$1800,6,FALSE)</f>
        <v>GOP</v>
      </c>
      <c r="Y701" s="320" t="str">
        <f>VLOOKUP(H701,'Fund Utilization Report'!$A$4:$U$1800,7,FALSE)</f>
        <v>PS</v>
      </c>
      <c r="Z701" s="321">
        <f>VLOOKUP(H701,'Fund Utilization Report'!$A$4:$U$1800,8,FALSE)</f>
        <v>5010000000</v>
      </c>
      <c r="AA701" s="319" t="str">
        <f>VLOOKUP(H701,'Fund Utilization Report'!$A$4:$U$1800,14,FALSE)</f>
        <v>340100100002000</v>
      </c>
      <c r="AB701" s="349" t="str">
        <f>VLOOKUP(H701,'Fund Utilization Report'!$A$4:$U$1800,15,FALSE)</f>
        <v>Monitoring and Enforcement of FTL including consumer complaints handling</v>
      </c>
      <c r="AC701" s="39"/>
      <c r="AD701" s="34"/>
      <c r="AE701" s="39"/>
      <c r="AF701" s="51"/>
      <c r="AG701" s="40"/>
      <c r="AH701" s="40"/>
    </row>
    <row r="702" spans="1:34" s="32" customFormat="1" ht="27.6">
      <c r="A702" s="338" t="s">
        <v>942</v>
      </c>
      <c r="B702" s="338" t="s">
        <v>945</v>
      </c>
      <c r="C702" s="358">
        <v>44238</v>
      </c>
      <c r="D702" s="351" t="s">
        <v>1028</v>
      </c>
      <c r="E702" s="352" t="s">
        <v>1164</v>
      </c>
      <c r="F702" s="338">
        <v>0.49236111111111108</v>
      </c>
      <c r="G702" s="338">
        <v>0.49861111111111112</v>
      </c>
      <c r="H702" s="338" t="s">
        <v>975</v>
      </c>
      <c r="I702" s="353">
        <v>731</v>
      </c>
      <c r="J702" s="338" t="str">
        <f>IFERROR(VLOOKUP(I702,'Chart of accounts'!A:H,2,FALSE),"")</f>
        <v>50103010 00</v>
      </c>
      <c r="K702" s="338" t="str">
        <f>IFERROR(VLOOKUP(I702,'Chart of accounts'!A:H,3,FALSE),"")</f>
        <v>Retirement and Life Insurance Premiums</v>
      </c>
      <c r="L702" s="338" t="str">
        <f>IFERROR(VLOOKUP(I702,'Chart of accounts'!A:H,4,FALSE),"")</f>
        <v>50103010 00 - Retirement and Life Insurance Premiums (731)</v>
      </c>
      <c r="M702" s="361">
        <v>68</v>
      </c>
      <c r="N702" s="355" t="s">
        <v>764</v>
      </c>
      <c r="O702" s="355" t="s">
        <v>1113</v>
      </c>
      <c r="P702" s="355"/>
      <c r="Q702" s="363">
        <v>16405.68</v>
      </c>
      <c r="R702" s="319">
        <f t="shared" si="12"/>
        <v>-16405.68</v>
      </c>
      <c r="S702" s="319" t="str">
        <f>VLOOKUP(H702,'Fund Utilization Report'!$A$4:$U$1800,13,FALSE)</f>
        <v>PS</v>
      </c>
      <c r="T702" s="319" t="str">
        <f>VLOOKUP(H702,'Fund Utilization Report'!$A$4:$U$1800,2,FALSE)</f>
        <v>GAA</v>
      </c>
      <c r="U702" s="319" t="str">
        <f>VLOOKUP(H702,'Fund Utilization Report'!$A$4:$U$1800,3,FALSE)</f>
        <v>FY2021, RA11518</v>
      </c>
      <c r="V702" s="319" t="str">
        <f>VLOOKUP(H702,'Fund Utilization Report'!$A$4:$U$1800,4,FALSE)</f>
        <v>OO4.1(FTL)</v>
      </c>
      <c r="W702" s="319" t="str">
        <f>VLOOKUP(H702,'Fund Utilization Report'!$A$4:$U$1800,5,FALSE)</f>
        <v>01101101</v>
      </c>
      <c r="X702" s="319" t="str">
        <f>VLOOKUP(H702,'Fund Utilization Report'!$A$4:$U$1800,6,FALSE)</f>
        <v>GOP</v>
      </c>
      <c r="Y702" s="320" t="str">
        <f>VLOOKUP(H702,'Fund Utilization Report'!$A$4:$U$1800,7,FALSE)</f>
        <v>RLIP</v>
      </c>
      <c r="Z702" s="321" t="str">
        <f>VLOOKUP(H702,'Fund Utilization Report'!$A$4:$U$1800,8,FALSE)</f>
        <v>50103010-00</v>
      </c>
      <c r="AA702" s="319" t="str">
        <f>VLOOKUP(H702,'Fund Utilization Report'!$A$4:$U$1800,14,FALSE)</f>
        <v>340100100002000</v>
      </c>
      <c r="AB702" s="349" t="str">
        <f>VLOOKUP(H702,'Fund Utilization Report'!$A$4:$U$1800,15,FALSE)</f>
        <v>Monitoring and Enforcement of FTL including consumer complaints handling</v>
      </c>
      <c r="AC702" s="39"/>
      <c r="AD702" s="34"/>
      <c r="AE702" s="39"/>
      <c r="AF702" s="51"/>
      <c r="AG702" s="40"/>
      <c r="AH702" s="40"/>
    </row>
    <row r="703" spans="1:34" s="32" customFormat="1" ht="27.6">
      <c r="A703" s="338" t="s">
        <v>942</v>
      </c>
      <c r="B703" s="338" t="s">
        <v>945</v>
      </c>
      <c r="C703" s="358">
        <v>44238</v>
      </c>
      <c r="D703" s="351" t="s">
        <v>1028</v>
      </c>
      <c r="E703" s="352" t="s">
        <v>1164</v>
      </c>
      <c r="F703" s="338">
        <v>0.49236111111111108</v>
      </c>
      <c r="G703" s="338">
        <v>0.49861111111111112</v>
      </c>
      <c r="H703" s="338" t="s">
        <v>973</v>
      </c>
      <c r="I703" s="353">
        <v>732</v>
      </c>
      <c r="J703" s="338" t="str">
        <f>IFERROR(VLOOKUP(I703,'Chart of accounts'!A:H,2,FALSE),"")</f>
        <v>50103020 01</v>
      </c>
      <c r="K703" s="338" t="str">
        <f>IFERROR(VLOOKUP(I703,'Chart of accounts'!A:H,3,FALSE),"")</f>
        <v>Pag-IBIG - Civilian</v>
      </c>
      <c r="L703" s="338" t="str">
        <f>IFERROR(VLOOKUP(I703,'Chart of accounts'!A:H,4,FALSE),"")</f>
        <v>50103020 01 - Pag-IBIG - Civilian (732)</v>
      </c>
      <c r="M703" s="361">
        <v>68</v>
      </c>
      <c r="N703" s="355" t="s">
        <v>764</v>
      </c>
      <c r="O703" s="355" t="s">
        <v>1113</v>
      </c>
      <c r="P703" s="355"/>
      <c r="Q703" s="363">
        <v>300</v>
      </c>
      <c r="R703" s="319">
        <f t="shared" si="12"/>
        <v>-300</v>
      </c>
      <c r="S703" s="319" t="str">
        <f>VLOOKUP(H703,'Fund Utilization Report'!$A$4:$U$1800,13,FALSE)</f>
        <v>PS</v>
      </c>
      <c r="T703" s="319" t="str">
        <f>VLOOKUP(H703,'Fund Utilization Report'!$A$4:$U$1800,2,FALSE)</f>
        <v>GAA</v>
      </c>
      <c r="U703" s="319" t="str">
        <f>VLOOKUP(H703,'Fund Utilization Report'!$A$4:$U$1800,3,FALSE)</f>
        <v>FY2021, RA11518</v>
      </c>
      <c r="V703" s="319" t="str">
        <f>VLOOKUP(H703,'Fund Utilization Report'!$A$4:$U$1800,4,FALSE)</f>
        <v>OO4.1(FTL)</v>
      </c>
      <c r="W703" s="319" t="str">
        <f>VLOOKUP(H703,'Fund Utilization Report'!$A$4:$U$1800,5,FALSE)</f>
        <v>01101101</v>
      </c>
      <c r="X703" s="319" t="str">
        <f>VLOOKUP(H703,'Fund Utilization Report'!$A$4:$U$1800,6,FALSE)</f>
        <v>GOP</v>
      </c>
      <c r="Y703" s="320" t="str">
        <f>VLOOKUP(H703,'Fund Utilization Report'!$A$4:$U$1800,7,FALSE)</f>
        <v>PS</v>
      </c>
      <c r="Z703" s="321">
        <f>VLOOKUP(H703,'Fund Utilization Report'!$A$4:$U$1800,8,FALSE)</f>
        <v>5010000000</v>
      </c>
      <c r="AA703" s="319" t="str">
        <f>VLOOKUP(H703,'Fund Utilization Report'!$A$4:$U$1800,14,FALSE)</f>
        <v>340100100002000</v>
      </c>
      <c r="AB703" s="349" t="str">
        <f>VLOOKUP(H703,'Fund Utilization Report'!$A$4:$U$1800,15,FALSE)</f>
        <v>Monitoring and Enforcement of FTL including consumer complaints handling</v>
      </c>
      <c r="AC703" s="39"/>
      <c r="AD703" s="34"/>
      <c r="AE703" s="39"/>
      <c r="AF703" s="51"/>
      <c r="AG703" s="40"/>
      <c r="AH703" s="40"/>
    </row>
    <row r="704" spans="1:34" s="32" customFormat="1" ht="27.6">
      <c r="A704" s="338" t="s">
        <v>942</v>
      </c>
      <c r="B704" s="338" t="s">
        <v>945</v>
      </c>
      <c r="C704" s="358">
        <v>44238</v>
      </c>
      <c r="D704" s="351" t="s">
        <v>1028</v>
      </c>
      <c r="E704" s="352" t="s">
        <v>1164</v>
      </c>
      <c r="F704" s="338">
        <v>0.49236111111111108</v>
      </c>
      <c r="G704" s="338">
        <v>0.49861111111111112</v>
      </c>
      <c r="H704" s="338" t="s">
        <v>973</v>
      </c>
      <c r="I704" s="353">
        <v>733</v>
      </c>
      <c r="J704" s="338" t="str">
        <f>IFERROR(VLOOKUP(I704,'Chart of accounts'!A:H,2,FALSE),"")</f>
        <v>50103030 01</v>
      </c>
      <c r="K704" s="338" t="str">
        <f>IFERROR(VLOOKUP(I704,'Chart of accounts'!A:H,3,FALSE),"")</f>
        <v>PhilHealth - Civilian</v>
      </c>
      <c r="L704" s="338" t="str">
        <f>IFERROR(VLOOKUP(I704,'Chart of accounts'!A:H,4,FALSE),"")</f>
        <v>50103030 01 - PhilHealth - Civilian (733)</v>
      </c>
      <c r="M704" s="361">
        <v>68</v>
      </c>
      <c r="N704" s="355" t="s">
        <v>764</v>
      </c>
      <c r="O704" s="355" t="s">
        <v>1113</v>
      </c>
      <c r="P704" s="355"/>
      <c r="Q704" s="363">
        <v>1924.49</v>
      </c>
      <c r="R704" s="319">
        <f t="shared" si="12"/>
        <v>-1924.49</v>
      </c>
      <c r="S704" s="319" t="str">
        <f>VLOOKUP(H704,'Fund Utilization Report'!$A$4:$U$1800,13,FALSE)</f>
        <v>PS</v>
      </c>
      <c r="T704" s="319" t="str">
        <f>VLOOKUP(H704,'Fund Utilization Report'!$A$4:$U$1800,2,FALSE)</f>
        <v>GAA</v>
      </c>
      <c r="U704" s="319" t="str">
        <f>VLOOKUP(H704,'Fund Utilization Report'!$A$4:$U$1800,3,FALSE)</f>
        <v>FY2021, RA11518</v>
      </c>
      <c r="V704" s="319" t="str">
        <f>VLOOKUP(H704,'Fund Utilization Report'!$A$4:$U$1800,4,FALSE)</f>
        <v>OO4.1(FTL)</v>
      </c>
      <c r="W704" s="319" t="str">
        <f>VLOOKUP(H704,'Fund Utilization Report'!$A$4:$U$1800,5,FALSE)</f>
        <v>01101101</v>
      </c>
      <c r="X704" s="319" t="str">
        <f>VLOOKUP(H704,'Fund Utilization Report'!$A$4:$U$1800,6,FALSE)</f>
        <v>GOP</v>
      </c>
      <c r="Y704" s="320" t="str">
        <f>VLOOKUP(H704,'Fund Utilization Report'!$A$4:$U$1800,7,FALSE)</f>
        <v>PS</v>
      </c>
      <c r="Z704" s="321">
        <f>VLOOKUP(H704,'Fund Utilization Report'!$A$4:$U$1800,8,FALSE)</f>
        <v>5010000000</v>
      </c>
      <c r="AA704" s="319" t="str">
        <f>VLOOKUP(H704,'Fund Utilization Report'!$A$4:$U$1800,14,FALSE)</f>
        <v>340100100002000</v>
      </c>
      <c r="AB704" s="349" t="str">
        <f>VLOOKUP(H704,'Fund Utilization Report'!$A$4:$U$1800,15,FALSE)</f>
        <v>Monitoring and Enforcement of FTL including consumer complaints handling</v>
      </c>
      <c r="AC704" s="39"/>
      <c r="AD704" s="34"/>
      <c r="AE704" s="39"/>
      <c r="AF704" s="51"/>
      <c r="AG704" s="40"/>
      <c r="AH704" s="40"/>
    </row>
    <row r="705" spans="1:34" s="32" customFormat="1" ht="27.6">
      <c r="A705" s="338" t="s">
        <v>942</v>
      </c>
      <c r="B705" s="338" t="s">
        <v>945</v>
      </c>
      <c r="C705" s="358">
        <v>44238</v>
      </c>
      <c r="D705" s="351" t="s">
        <v>1028</v>
      </c>
      <c r="E705" s="352" t="s">
        <v>1164</v>
      </c>
      <c r="F705" s="338">
        <v>0.49236111111111108</v>
      </c>
      <c r="G705" s="338">
        <v>0.49861111111111112</v>
      </c>
      <c r="H705" s="338" t="s">
        <v>973</v>
      </c>
      <c r="I705" s="353">
        <v>734</v>
      </c>
      <c r="J705" s="338" t="str">
        <f>IFERROR(VLOOKUP(I705,'Chart of accounts'!A:H,2,FALSE),"")</f>
        <v>50103040 01</v>
      </c>
      <c r="K705" s="338" t="str">
        <f>IFERROR(VLOOKUP(I705,'Chart of accounts'!A:H,3,FALSE),"")</f>
        <v>ECIP - Civilian</v>
      </c>
      <c r="L705" s="338" t="str">
        <f>IFERROR(VLOOKUP(I705,'Chart of accounts'!A:H,4,FALSE),"")</f>
        <v>50103040 01 - ECIP - Civilian (734)</v>
      </c>
      <c r="M705" s="361">
        <v>68</v>
      </c>
      <c r="N705" s="355" t="s">
        <v>764</v>
      </c>
      <c r="O705" s="355" t="s">
        <v>1113</v>
      </c>
      <c r="P705" s="355"/>
      <c r="Q705" s="363">
        <v>300</v>
      </c>
      <c r="R705" s="319">
        <f t="shared" si="12"/>
        <v>-300</v>
      </c>
      <c r="S705" s="319" t="str">
        <f>VLOOKUP(H705,'Fund Utilization Report'!$A$4:$U$1800,13,FALSE)</f>
        <v>PS</v>
      </c>
      <c r="T705" s="319" t="str">
        <f>VLOOKUP(H705,'Fund Utilization Report'!$A$4:$U$1800,2,FALSE)</f>
        <v>GAA</v>
      </c>
      <c r="U705" s="319" t="str">
        <f>VLOOKUP(H705,'Fund Utilization Report'!$A$4:$U$1800,3,FALSE)</f>
        <v>FY2021, RA11518</v>
      </c>
      <c r="V705" s="319" t="str">
        <f>VLOOKUP(H705,'Fund Utilization Report'!$A$4:$U$1800,4,FALSE)</f>
        <v>OO4.1(FTL)</v>
      </c>
      <c r="W705" s="319" t="str">
        <f>VLOOKUP(H705,'Fund Utilization Report'!$A$4:$U$1800,5,FALSE)</f>
        <v>01101101</v>
      </c>
      <c r="X705" s="319" t="str">
        <f>VLOOKUP(H705,'Fund Utilization Report'!$A$4:$U$1800,6,FALSE)</f>
        <v>GOP</v>
      </c>
      <c r="Y705" s="320" t="str">
        <f>VLOOKUP(H705,'Fund Utilization Report'!$A$4:$U$1800,7,FALSE)</f>
        <v>PS</v>
      </c>
      <c r="Z705" s="321">
        <f>VLOOKUP(H705,'Fund Utilization Report'!$A$4:$U$1800,8,FALSE)</f>
        <v>5010000000</v>
      </c>
      <c r="AA705" s="319" t="str">
        <f>VLOOKUP(H705,'Fund Utilization Report'!$A$4:$U$1800,14,FALSE)</f>
        <v>340100100002000</v>
      </c>
      <c r="AB705" s="349" t="str">
        <f>VLOOKUP(H705,'Fund Utilization Report'!$A$4:$U$1800,15,FALSE)</f>
        <v>Monitoring and Enforcement of FTL including consumer complaints handling</v>
      </c>
      <c r="AC705" s="39"/>
      <c r="AD705" s="34"/>
      <c r="AE705" s="39"/>
      <c r="AF705" s="51"/>
      <c r="AG705" s="40"/>
      <c r="AH705" s="40"/>
    </row>
    <row r="706" spans="1:34" s="32" customFormat="1" ht="27.6">
      <c r="A706" s="338" t="s">
        <v>942</v>
      </c>
      <c r="B706" s="338" t="s">
        <v>945</v>
      </c>
      <c r="C706" s="358">
        <v>44238</v>
      </c>
      <c r="D706" s="351" t="s">
        <v>1028</v>
      </c>
      <c r="E706" s="352" t="s">
        <v>1167</v>
      </c>
      <c r="F706" s="338">
        <v>0.55555555555555558</v>
      </c>
      <c r="G706" s="338">
        <v>0.55625000000000002</v>
      </c>
      <c r="H706" s="338" t="s">
        <v>999</v>
      </c>
      <c r="I706" s="353">
        <v>706</v>
      </c>
      <c r="J706" s="338" t="str">
        <f>IFERROR(VLOOKUP(I706,'Chart of accounts'!A:H,2,FALSE),"")</f>
        <v>50101020 00</v>
      </c>
      <c r="K706" s="338" t="str">
        <f>IFERROR(VLOOKUP(I706,'Chart of accounts'!A:H,3,FALSE),"")</f>
        <v>Basic Salary - Contractual</v>
      </c>
      <c r="L706" s="338" t="str">
        <f>IFERROR(VLOOKUP(I706,'Chart of accounts'!A:H,4,FALSE),"")</f>
        <v>50101020 00 - Basic Salary - Contractual (706)</v>
      </c>
      <c r="M706" s="361">
        <v>68</v>
      </c>
      <c r="N706" s="355" t="s">
        <v>869</v>
      </c>
      <c r="O706" s="355" t="s">
        <v>1125</v>
      </c>
      <c r="P706" s="355"/>
      <c r="Q706" s="363">
        <v>33575</v>
      </c>
      <c r="R706" s="319">
        <f t="shared" ref="R706:R711" si="13">P706-Q706</f>
        <v>-33575</v>
      </c>
      <c r="S706" s="319" t="str">
        <f>VLOOKUP(H706,'Fund Utilization Report'!$A$4:$U$1800,13,FALSE)</f>
        <v>PS</v>
      </c>
      <c r="T706" s="319" t="str">
        <f>VLOOKUP(H706,'Fund Utilization Report'!$A$4:$U$1800,2,FALSE)</f>
        <v>SAA15</v>
      </c>
      <c r="U706" s="319" t="str">
        <f>VLOOKUP(H706,'Fund Utilization Report'!$A$4:$U$1800,3,FALSE)</f>
        <v>2021-01-0015</v>
      </c>
      <c r="V706" s="319" t="str">
        <f>VLOOKUP(H706,'Fund Utilization Report'!$A$4:$U$1800,4,FALSE)</f>
        <v>CARP</v>
      </c>
      <c r="W706" s="319" t="str">
        <f>VLOOKUP(H706,'Fund Utilization Report'!$A$4:$U$1800,5,FALSE)</f>
        <v>01101101</v>
      </c>
      <c r="X706" s="319" t="str">
        <f>VLOOKUP(H706,'Fund Utilization Report'!$A$4:$U$1800,6,FALSE)</f>
        <v>GOP</v>
      </c>
      <c r="Y706" s="320">
        <f>VLOOKUP(H706,'Fund Utilization Report'!$A$4:$U$1800,7,FALSE)</f>
        <v>706</v>
      </c>
      <c r="Z706" s="321" t="str">
        <f>VLOOKUP(H706,'Fund Utilization Report'!$A$4:$U$1800,8,FALSE)</f>
        <v>50101020 00</v>
      </c>
      <c r="AA706" s="319" t="str">
        <f>VLOOKUP(H706,'Fund Utilization Report'!$A$4:$U$1800,14,FALSE)</f>
        <v>330100100003000</v>
      </c>
      <c r="AB706" s="349" t="str">
        <f>VLOOKUP(H706,'Fund Utilization Report'!$A$4:$U$1800,15,FALSE)</f>
        <v>MSME Development Program : Program Beneficiaries Development Component of the Comprehensive Agrarian Reform Program</v>
      </c>
      <c r="AC706" s="39"/>
      <c r="AD706" s="34"/>
      <c r="AE706" s="39"/>
      <c r="AF706" s="51"/>
      <c r="AG706" s="40"/>
      <c r="AH706" s="40"/>
    </row>
    <row r="707" spans="1:34" s="32" customFormat="1" ht="27.6">
      <c r="A707" s="338" t="s">
        <v>942</v>
      </c>
      <c r="B707" s="338" t="s">
        <v>945</v>
      </c>
      <c r="C707" s="358">
        <v>44238</v>
      </c>
      <c r="D707" s="351" t="s">
        <v>1028</v>
      </c>
      <c r="E707" s="352" t="s">
        <v>1167</v>
      </c>
      <c r="F707" s="338">
        <v>0.55555555555555558</v>
      </c>
      <c r="G707" s="338">
        <v>0.55625000000000002</v>
      </c>
      <c r="H707" s="338" t="s">
        <v>999</v>
      </c>
      <c r="I707" s="353">
        <v>711</v>
      </c>
      <c r="J707" s="338" t="str">
        <f>IFERROR(VLOOKUP(I707,'Chart of accounts'!A:H,2,FALSE),"")</f>
        <v>50102010 01</v>
      </c>
      <c r="K707" s="338" t="str">
        <f>IFERROR(VLOOKUP(I707,'Chart of accounts'!A:H,3,FALSE),"")</f>
        <v>PERA - Civilian</v>
      </c>
      <c r="L707" s="338" t="str">
        <f>IFERROR(VLOOKUP(I707,'Chart of accounts'!A:H,4,FALSE),"")</f>
        <v>50102010 01 - PERA - Civilian (711)</v>
      </c>
      <c r="M707" s="361">
        <v>68</v>
      </c>
      <c r="N707" s="355" t="s">
        <v>869</v>
      </c>
      <c r="O707" s="355" t="s">
        <v>1125</v>
      </c>
      <c r="P707" s="355"/>
      <c r="Q707" s="363">
        <v>2000</v>
      </c>
      <c r="R707" s="319">
        <f t="shared" si="13"/>
        <v>-2000</v>
      </c>
      <c r="S707" s="319" t="str">
        <f>VLOOKUP(H707,'Fund Utilization Report'!$A$4:$U$1800,13,FALSE)</f>
        <v>PS</v>
      </c>
      <c r="T707" s="319" t="str">
        <f>VLOOKUP(H707,'Fund Utilization Report'!$A$4:$U$1800,2,FALSE)</f>
        <v>SAA15</v>
      </c>
      <c r="U707" s="319" t="str">
        <f>VLOOKUP(H707,'Fund Utilization Report'!$A$4:$U$1800,3,FALSE)</f>
        <v>2021-01-0015</v>
      </c>
      <c r="V707" s="319" t="str">
        <f>VLOOKUP(H707,'Fund Utilization Report'!$A$4:$U$1800,4,FALSE)</f>
        <v>CARP</v>
      </c>
      <c r="W707" s="319" t="str">
        <f>VLOOKUP(H707,'Fund Utilization Report'!$A$4:$U$1800,5,FALSE)</f>
        <v>01101101</v>
      </c>
      <c r="X707" s="319" t="str">
        <f>VLOOKUP(H707,'Fund Utilization Report'!$A$4:$U$1800,6,FALSE)</f>
        <v>GOP</v>
      </c>
      <c r="Y707" s="320">
        <f>VLOOKUP(H707,'Fund Utilization Report'!$A$4:$U$1800,7,FALSE)</f>
        <v>706</v>
      </c>
      <c r="Z707" s="321" t="str">
        <f>VLOOKUP(H707,'Fund Utilization Report'!$A$4:$U$1800,8,FALSE)</f>
        <v>50101020 00</v>
      </c>
      <c r="AA707" s="319" t="str">
        <f>VLOOKUP(H707,'Fund Utilization Report'!$A$4:$U$1800,14,FALSE)</f>
        <v>330100100003000</v>
      </c>
      <c r="AB707" s="349" t="str">
        <f>VLOOKUP(H707,'Fund Utilization Report'!$A$4:$U$1800,15,FALSE)</f>
        <v>MSME Development Program : Program Beneficiaries Development Component of the Comprehensive Agrarian Reform Program</v>
      </c>
      <c r="AC707" s="39"/>
      <c r="AD707" s="34"/>
      <c r="AE707" s="39"/>
      <c r="AF707" s="51"/>
      <c r="AG707" s="40"/>
      <c r="AH707" s="40"/>
    </row>
    <row r="708" spans="1:34" s="32" customFormat="1" ht="27.6">
      <c r="A708" s="338" t="s">
        <v>942</v>
      </c>
      <c r="B708" s="338" t="s">
        <v>945</v>
      </c>
      <c r="C708" s="358">
        <v>44238</v>
      </c>
      <c r="D708" s="351" t="s">
        <v>1028</v>
      </c>
      <c r="E708" s="352" t="s">
        <v>1167</v>
      </c>
      <c r="F708" s="338">
        <v>0.55555555555555558</v>
      </c>
      <c r="G708" s="338">
        <v>0.55625000000000002</v>
      </c>
      <c r="H708" s="338" t="s">
        <v>999</v>
      </c>
      <c r="I708" s="353">
        <v>731</v>
      </c>
      <c r="J708" s="338" t="str">
        <f>IFERROR(VLOOKUP(I708,'Chart of accounts'!A:H,2,FALSE),"")</f>
        <v>50103010 00</v>
      </c>
      <c r="K708" s="338" t="str">
        <f>IFERROR(VLOOKUP(I708,'Chart of accounts'!A:H,3,FALSE),"")</f>
        <v>Retirement and Life Insurance Premiums</v>
      </c>
      <c r="L708" s="338" t="str">
        <f>IFERROR(VLOOKUP(I708,'Chart of accounts'!A:H,4,FALSE),"")</f>
        <v>50103010 00 - Retirement and Life Insurance Premiums (731)</v>
      </c>
      <c r="M708" s="361">
        <v>68</v>
      </c>
      <c r="N708" s="355" t="s">
        <v>869</v>
      </c>
      <c r="O708" s="355" t="s">
        <v>1125</v>
      </c>
      <c r="P708" s="355"/>
      <c r="Q708" s="363">
        <v>4029</v>
      </c>
      <c r="R708" s="319">
        <f t="shared" si="13"/>
        <v>-4029</v>
      </c>
      <c r="S708" s="319" t="str">
        <f>VLOOKUP(H708,'Fund Utilization Report'!$A$4:$U$1800,13,FALSE)</f>
        <v>PS</v>
      </c>
      <c r="T708" s="319" t="str">
        <f>VLOOKUP(H708,'Fund Utilization Report'!$A$4:$U$1800,2,FALSE)</f>
        <v>SAA15</v>
      </c>
      <c r="U708" s="319" t="str">
        <f>VLOOKUP(H708,'Fund Utilization Report'!$A$4:$U$1800,3,FALSE)</f>
        <v>2021-01-0015</v>
      </c>
      <c r="V708" s="319" t="str">
        <f>VLOOKUP(H708,'Fund Utilization Report'!$A$4:$U$1800,4,FALSE)</f>
        <v>CARP</v>
      </c>
      <c r="W708" s="319" t="str">
        <f>VLOOKUP(H708,'Fund Utilization Report'!$A$4:$U$1800,5,FALSE)</f>
        <v>01101101</v>
      </c>
      <c r="X708" s="319" t="str">
        <f>VLOOKUP(H708,'Fund Utilization Report'!$A$4:$U$1800,6,FALSE)</f>
        <v>GOP</v>
      </c>
      <c r="Y708" s="320">
        <f>VLOOKUP(H708,'Fund Utilization Report'!$A$4:$U$1800,7,FALSE)</f>
        <v>706</v>
      </c>
      <c r="Z708" s="321" t="str">
        <f>VLOOKUP(H708,'Fund Utilization Report'!$A$4:$U$1800,8,FALSE)</f>
        <v>50101020 00</v>
      </c>
      <c r="AA708" s="319" t="str">
        <f>VLOOKUP(H708,'Fund Utilization Report'!$A$4:$U$1800,14,FALSE)</f>
        <v>330100100003000</v>
      </c>
      <c r="AB708" s="349" t="str">
        <f>VLOOKUP(H708,'Fund Utilization Report'!$A$4:$U$1800,15,FALSE)</f>
        <v>MSME Development Program : Program Beneficiaries Development Component of the Comprehensive Agrarian Reform Program</v>
      </c>
      <c r="AC708" s="39"/>
      <c r="AD708" s="34"/>
      <c r="AE708" s="39"/>
      <c r="AF708" s="51"/>
      <c r="AG708" s="40"/>
      <c r="AH708" s="40"/>
    </row>
    <row r="709" spans="1:34" s="32" customFormat="1" ht="27.6">
      <c r="A709" s="338" t="s">
        <v>942</v>
      </c>
      <c r="B709" s="338" t="s">
        <v>945</v>
      </c>
      <c r="C709" s="358">
        <v>44238</v>
      </c>
      <c r="D709" s="351" t="s">
        <v>1028</v>
      </c>
      <c r="E709" s="352" t="s">
        <v>1167</v>
      </c>
      <c r="F709" s="338">
        <v>0.55555555555555558</v>
      </c>
      <c r="G709" s="338">
        <v>0.55625000000000002</v>
      </c>
      <c r="H709" s="338" t="s">
        <v>999</v>
      </c>
      <c r="I709" s="353">
        <v>732</v>
      </c>
      <c r="J709" s="338" t="str">
        <f>IFERROR(VLOOKUP(I709,'Chart of accounts'!A:H,2,FALSE),"")</f>
        <v>50103020 01</v>
      </c>
      <c r="K709" s="338" t="str">
        <f>IFERROR(VLOOKUP(I709,'Chart of accounts'!A:H,3,FALSE),"")</f>
        <v>Pag-IBIG - Civilian</v>
      </c>
      <c r="L709" s="338" t="str">
        <f>IFERROR(VLOOKUP(I709,'Chart of accounts'!A:H,4,FALSE),"")</f>
        <v>50103020 01 - Pag-IBIG - Civilian (732)</v>
      </c>
      <c r="M709" s="361">
        <v>68</v>
      </c>
      <c r="N709" s="355" t="s">
        <v>869</v>
      </c>
      <c r="O709" s="355" t="s">
        <v>1125</v>
      </c>
      <c r="P709" s="355"/>
      <c r="Q709" s="363">
        <v>100</v>
      </c>
      <c r="R709" s="319">
        <f t="shared" si="13"/>
        <v>-100</v>
      </c>
      <c r="S709" s="319" t="str">
        <f>VLOOKUP(H709,'Fund Utilization Report'!$A$4:$U$1800,13,FALSE)</f>
        <v>PS</v>
      </c>
      <c r="T709" s="319" t="str">
        <f>VLOOKUP(H709,'Fund Utilization Report'!$A$4:$U$1800,2,FALSE)</f>
        <v>SAA15</v>
      </c>
      <c r="U709" s="319" t="str">
        <f>VLOOKUP(H709,'Fund Utilization Report'!$A$4:$U$1800,3,FALSE)</f>
        <v>2021-01-0015</v>
      </c>
      <c r="V709" s="319" t="str">
        <f>VLOOKUP(H709,'Fund Utilization Report'!$A$4:$U$1800,4,FALSE)</f>
        <v>CARP</v>
      </c>
      <c r="W709" s="319" t="str">
        <f>VLOOKUP(H709,'Fund Utilization Report'!$A$4:$U$1800,5,FALSE)</f>
        <v>01101101</v>
      </c>
      <c r="X709" s="319" t="str">
        <f>VLOOKUP(H709,'Fund Utilization Report'!$A$4:$U$1800,6,FALSE)</f>
        <v>GOP</v>
      </c>
      <c r="Y709" s="320">
        <f>VLOOKUP(H709,'Fund Utilization Report'!$A$4:$U$1800,7,FALSE)</f>
        <v>706</v>
      </c>
      <c r="Z709" s="321" t="str">
        <f>VLOOKUP(H709,'Fund Utilization Report'!$A$4:$U$1800,8,FALSE)</f>
        <v>50101020 00</v>
      </c>
      <c r="AA709" s="319" t="str">
        <f>VLOOKUP(H709,'Fund Utilization Report'!$A$4:$U$1800,14,FALSE)</f>
        <v>330100100003000</v>
      </c>
      <c r="AB709" s="349" t="str">
        <f>VLOOKUP(H709,'Fund Utilization Report'!$A$4:$U$1800,15,FALSE)</f>
        <v>MSME Development Program : Program Beneficiaries Development Component of the Comprehensive Agrarian Reform Program</v>
      </c>
      <c r="AC709" s="39"/>
      <c r="AD709" s="34"/>
      <c r="AE709" s="39"/>
      <c r="AF709" s="51"/>
      <c r="AG709" s="40"/>
      <c r="AH709" s="40"/>
    </row>
    <row r="710" spans="1:34" s="32" customFormat="1" ht="27.6">
      <c r="A710" s="338" t="s">
        <v>942</v>
      </c>
      <c r="B710" s="338" t="s">
        <v>945</v>
      </c>
      <c r="C710" s="358">
        <v>44238</v>
      </c>
      <c r="D710" s="351" t="s">
        <v>1028</v>
      </c>
      <c r="E710" s="352" t="s">
        <v>1167</v>
      </c>
      <c r="F710" s="338">
        <v>0.55555555555555558</v>
      </c>
      <c r="G710" s="338">
        <v>0.55625000000000002</v>
      </c>
      <c r="H710" s="338" t="s">
        <v>999</v>
      </c>
      <c r="I710" s="353">
        <v>733</v>
      </c>
      <c r="J710" s="338" t="str">
        <f>IFERROR(VLOOKUP(I710,'Chart of accounts'!A:H,2,FALSE),"")</f>
        <v>50103030 01</v>
      </c>
      <c r="K710" s="338" t="str">
        <f>IFERROR(VLOOKUP(I710,'Chart of accounts'!A:H,3,FALSE),"")</f>
        <v>PhilHealth - Civilian</v>
      </c>
      <c r="L710" s="338" t="str">
        <f>IFERROR(VLOOKUP(I710,'Chart of accounts'!A:H,4,FALSE),"")</f>
        <v>50103030 01 - PhilHealth - Civilian (733)</v>
      </c>
      <c r="M710" s="361">
        <v>68</v>
      </c>
      <c r="N710" s="355" t="s">
        <v>869</v>
      </c>
      <c r="O710" s="355" t="s">
        <v>1125</v>
      </c>
      <c r="P710" s="355"/>
      <c r="Q710" s="363">
        <v>503.63</v>
      </c>
      <c r="R710" s="319">
        <f t="shared" si="13"/>
        <v>-503.63</v>
      </c>
      <c r="S710" s="319" t="str">
        <f>VLOOKUP(H710,'Fund Utilization Report'!$A$4:$U$1800,13,FALSE)</f>
        <v>PS</v>
      </c>
      <c r="T710" s="319" t="str">
        <f>VLOOKUP(H710,'Fund Utilization Report'!$A$4:$U$1800,2,FALSE)</f>
        <v>SAA15</v>
      </c>
      <c r="U710" s="319" t="str">
        <f>VLOOKUP(H710,'Fund Utilization Report'!$A$4:$U$1800,3,FALSE)</f>
        <v>2021-01-0015</v>
      </c>
      <c r="V710" s="319" t="str">
        <f>VLOOKUP(H710,'Fund Utilization Report'!$A$4:$U$1800,4,FALSE)</f>
        <v>CARP</v>
      </c>
      <c r="W710" s="319" t="str">
        <f>VLOOKUP(H710,'Fund Utilization Report'!$A$4:$U$1800,5,FALSE)</f>
        <v>01101101</v>
      </c>
      <c r="X710" s="319" t="str">
        <f>VLOOKUP(H710,'Fund Utilization Report'!$A$4:$U$1800,6,FALSE)</f>
        <v>GOP</v>
      </c>
      <c r="Y710" s="320">
        <f>VLOOKUP(H710,'Fund Utilization Report'!$A$4:$U$1800,7,FALSE)</f>
        <v>706</v>
      </c>
      <c r="Z710" s="321" t="str">
        <f>VLOOKUP(H710,'Fund Utilization Report'!$A$4:$U$1800,8,FALSE)</f>
        <v>50101020 00</v>
      </c>
      <c r="AA710" s="319" t="str">
        <f>VLOOKUP(H710,'Fund Utilization Report'!$A$4:$U$1800,14,FALSE)</f>
        <v>330100100003000</v>
      </c>
      <c r="AB710" s="349" t="str">
        <f>VLOOKUP(H710,'Fund Utilization Report'!$A$4:$U$1800,15,FALSE)</f>
        <v>MSME Development Program : Program Beneficiaries Development Component of the Comprehensive Agrarian Reform Program</v>
      </c>
      <c r="AC710" s="39"/>
      <c r="AD710" s="34"/>
      <c r="AE710" s="39"/>
      <c r="AF710" s="51"/>
      <c r="AG710" s="40"/>
      <c r="AH710" s="40"/>
    </row>
    <row r="711" spans="1:34" s="32" customFormat="1" ht="27.6">
      <c r="A711" s="338" t="s">
        <v>942</v>
      </c>
      <c r="B711" s="338" t="s">
        <v>945</v>
      </c>
      <c r="C711" s="358">
        <v>44238</v>
      </c>
      <c r="D711" s="351" t="s">
        <v>1028</v>
      </c>
      <c r="E711" s="352" t="s">
        <v>1167</v>
      </c>
      <c r="F711" s="338">
        <v>0.55555555555555558</v>
      </c>
      <c r="G711" s="338">
        <v>0.55625000000000002</v>
      </c>
      <c r="H711" s="338" t="s">
        <v>999</v>
      </c>
      <c r="I711" s="353">
        <v>734</v>
      </c>
      <c r="J711" s="338" t="str">
        <f>IFERROR(VLOOKUP(I711,'Chart of accounts'!A:H,2,FALSE),"")</f>
        <v>50103040 01</v>
      </c>
      <c r="K711" s="338" t="str">
        <f>IFERROR(VLOOKUP(I711,'Chart of accounts'!A:H,3,FALSE),"")</f>
        <v>ECIP - Civilian</v>
      </c>
      <c r="L711" s="338" t="str">
        <f>IFERROR(VLOOKUP(I711,'Chart of accounts'!A:H,4,FALSE),"")</f>
        <v>50103040 01 - ECIP - Civilian (734)</v>
      </c>
      <c r="M711" s="361">
        <v>68</v>
      </c>
      <c r="N711" s="355" t="s">
        <v>869</v>
      </c>
      <c r="O711" s="355" t="s">
        <v>1125</v>
      </c>
      <c r="P711" s="355"/>
      <c r="Q711" s="363">
        <v>100</v>
      </c>
      <c r="R711" s="319">
        <f t="shared" si="13"/>
        <v>-100</v>
      </c>
      <c r="S711" s="319" t="str">
        <f>VLOOKUP(H711,'Fund Utilization Report'!$A$4:$U$1800,13,FALSE)</f>
        <v>PS</v>
      </c>
      <c r="T711" s="319" t="str">
        <f>VLOOKUP(H711,'Fund Utilization Report'!$A$4:$U$1800,2,FALSE)</f>
        <v>SAA15</v>
      </c>
      <c r="U711" s="319" t="str">
        <f>VLOOKUP(H711,'Fund Utilization Report'!$A$4:$U$1800,3,FALSE)</f>
        <v>2021-01-0015</v>
      </c>
      <c r="V711" s="319" t="str">
        <f>VLOOKUP(H711,'Fund Utilization Report'!$A$4:$U$1800,4,FALSE)</f>
        <v>CARP</v>
      </c>
      <c r="W711" s="319" t="str">
        <f>VLOOKUP(H711,'Fund Utilization Report'!$A$4:$U$1800,5,FALSE)</f>
        <v>01101101</v>
      </c>
      <c r="X711" s="319" t="str">
        <f>VLOOKUP(H711,'Fund Utilization Report'!$A$4:$U$1800,6,FALSE)</f>
        <v>GOP</v>
      </c>
      <c r="Y711" s="320">
        <f>VLOOKUP(H711,'Fund Utilization Report'!$A$4:$U$1800,7,FALSE)</f>
        <v>706</v>
      </c>
      <c r="Z711" s="321" t="str">
        <f>VLOOKUP(H711,'Fund Utilization Report'!$A$4:$U$1800,8,FALSE)</f>
        <v>50101020 00</v>
      </c>
      <c r="AA711" s="319" t="str">
        <f>VLOOKUP(H711,'Fund Utilization Report'!$A$4:$U$1800,14,FALSE)</f>
        <v>330100100003000</v>
      </c>
      <c r="AB711" s="349" t="str">
        <f>VLOOKUP(H711,'Fund Utilization Report'!$A$4:$U$1800,15,FALSE)</f>
        <v>MSME Development Program : Program Beneficiaries Development Component of the Comprehensive Agrarian Reform Program</v>
      </c>
      <c r="AC711" s="39"/>
      <c r="AD711" s="34"/>
      <c r="AE711" s="39"/>
      <c r="AF711" s="51"/>
      <c r="AG711" s="40"/>
      <c r="AH711" s="40"/>
    </row>
    <row r="712" spans="1:34" s="32" customFormat="1" ht="27.6">
      <c r="A712" s="338" t="s">
        <v>942</v>
      </c>
      <c r="B712" s="338" t="s">
        <v>945</v>
      </c>
      <c r="C712" s="358">
        <v>44238</v>
      </c>
      <c r="D712" s="351" t="s">
        <v>1028</v>
      </c>
      <c r="E712" s="352" t="s">
        <v>1168</v>
      </c>
      <c r="F712" s="338">
        <v>0.56111111111111112</v>
      </c>
      <c r="G712" s="338">
        <v>0.5625</v>
      </c>
      <c r="H712" s="338" t="s">
        <v>970</v>
      </c>
      <c r="I712" s="353">
        <v>701</v>
      </c>
      <c r="J712" s="338" t="str">
        <f>IFERROR(VLOOKUP(I712,'Chart of accounts'!A:H,2,FALSE),"")</f>
        <v>50101010 01</v>
      </c>
      <c r="K712" s="338" t="str">
        <f>IFERROR(VLOOKUP(I712,'Chart of accounts'!A:H,3,FALSE),"")</f>
        <v>Basic Salary - Civilian</v>
      </c>
      <c r="L712" s="338" t="str">
        <f>IFERROR(VLOOKUP(I712,'Chart of accounts'!A:H,4,FALSE),"")</f>
        <v>50101010 01 - Basic Salary - Civilian (701)</v>
      </c>
      <c r="M712" s="361">
        <v>1</v>
      </c>
      <c r="N712" s="355" t="s">
        <v>1165</v>
      </c>
      <c r="O712" s="355" t="s">
        <v>1166</v>
      </c>
      <c r="P712" s="355"/>
      <c r="Q712" s="363">
        <v>10853.18</v>
      </c>
      <c r="R712" s="319">
        <f t="shared" ref="R712:R717" si="14">P712-Q712</f>
        <v>-10853.18</v>
      </c>
      <c r="S712" s="319" t="str">
        <f>VLOOKUP(H712,'Fund Utilization Report'!$A$4:$U$1800,13,FALSE)</f>
        <v>PS</v>
      </c>
      <c r="T712" s="319" t="str">
        <f>VLOOKUP(H712,'Fund Utilization Report'!$A$4:$U$1800,2,FALSE)</f>
        <v>GAA</v>
      </c>
      <c r="U712" s="319" t="str">
        <f>VLOOKUP(H712,'Fund Utilization Report'!$A$4:$U$1800,3,FALSE)</f>
        <v>FY2021, RA11518</v>
      </c>
      <c r="V712" s="319" t="str">
        <f>VLOOKUP(H712,'Fund Utilization Report'!$A$4:$U$1800,4,FALSE)</f>
        <v>OO3</v>
      </c>
      <c r="W712" s="319" t="str">
        <f>VLOOKUP(H712,'Fund Utilization Report'!$A$4:$U$1800,5,FALSE)</f>
        <v>01101101</v>
      </c>
      <c r="X712" s="319" t="str">
        <f>VLOOKUP(H712,'Fund Utilization Report'!$A$4:$U$1800,6,FALSE)</f>
        <v>GOP</v>
      </c>
      <c r="Y712" s="320" t="str">
        <f>VLOOKUP(H712,'Fund Utilization Report'!$A$4:$U$1800,7,FALSE)</f>
        <v>PS</v>
      </c>
      <c r="Z712" s="321">
        <f>VLOOKUP(H712,'Fund Utilization Report'!$A$4:$U$1800,8,FALSE)</f>
        <v>5010000000</v>
      </c>
      <c r="AA712" s="319" t="str">
        <f>VLOOKUP(H712,'Fund Utilization Report'!$A$4:$U$1800,14,FALSE)</f>
        <v>330100100002000</v>
      </c>
      <c r="AB712" s="349" t="str">
        <f>VLOOKUP(H712,'Fund Utilization Report'!$A$4:$U$1800,15,FALSE)</f>
        <v>Implementation of the MSME Development Plan and other initiatives to promote the growth of Micro, Small and Medium Enterprises</v>
      </c>
      <c r="AC712" s="39"/>
      <c r="AD712" s="34"/>
      <c r="AE712" s="39"/>
      <c r="AF712" s="51"/>
      <c r="AG712" s="40"/>
      <c r="AH712" s="40"/>
    </row>
    <row r="713" spans="1:34" s="32" customFormat="1" ht="27.6">
      <c r="A713" s="338" t="s">
        <v>942</v>
      </c>
      <c r="B713" s="338" t="s">
        <v>945</v>
      </c>
      <c r="C713" s="358">
        <v>44238</v>
      </c>
      <c r="D713" s="351" t="s">
        <v>1028</v>
      </c>
      <c r="E713" s="352" t="s">
        <v>1168</v>
      </c>
      <c r="F713" s="338">
        <v>0.56111111111111112</v>
      </c>
      <c r="G713" s="338">
        <v>0.5625</v>
      </c>
      <c r="H713" s="338" t="s">
        <v>970</v>
      </c>
      <c r="I713" s="353">
        <v>711</v>
      </c>
      <c r="J713" s="338" t="str">
        <f>IFERROR(VLOOKUP(I713,'Chart of accounts'!A:H,2,FALSE),"")</f>
        <v>50102010 01</v>
      </c>
      <c r="K713" s="338" t="str">
        <f>IFERROR(VLOOKUP(I713,'Chart of accounts'!A:H,3,FALSE),"")</f>
        <v>PERA - Civilian</v>
      </c>
      <c r="L713" s="338" t="str">
        <f>IFERROR(VLOOKUP(I713,'Chart of accounts'!A:H,4,FALSE),"")</f>
        <v>50102010 01 - PERA - Civilian (711)</v>
      </c>
      <c r="M713" s="361">
        <v>1</v>
      </c>
      <c r="N713" s="355" t="s">
        <v>1165</v>
      </c>
      <c r="O713" s="355" t="s">
        <v>1166</v>
      </c>
      <c r="P713" s="355"/>
      <c r="Q713" s="363">
        <v>909.09</v>
      </c>
      <c r="R713" s="319">
        <f t="shared" si="14"/>
        <v>-909.09</v>
      </c>
      <c r="S713" s="319" t="str">
        <f>VLOOKUP(H713,'Fund Utilization Report'!$A$4:$U$1800,13,FALSE)</f>
        <v>PS</v>
      </c>
      <c r="T713" s="319" t="str">
        <f>VLOOKUP(H713,'Fund Utilization Report'!$A$4:$U$1800,2,FALSE)</f>
        <v>GAA</v>
      </c>
      <c r="U713" s="319" t="str">
        <f>VLOOKUP(H713,'Fund Utilization Report'!$A$4:$U$1800,3,FALSE)</f>
        <v>FY2021, RA11518</v>
      </c>
      <c r="V713" s="319" t="str">
        <f>VLOOKUP(H713,'Fund Utilization Report'!$A$4:$U$1800,4,FALSE)</f>
        <v>OO3</v>
      </c>
      <c r="W713" s="319" t="str">
        <f>VLOOKUP(H713,'Fund Utilization Report'!$A$4:$U$1800,5,FALSE)</f>
        <v>01101101</v>
      </c>
      <c r="X713" s="319" t="str">
        <f>VLOOKUP(H713,'Fund Utilization Report'!$A$4:$U$1800,6,FALSE)</f>
        <v>GOP</v>
      </c>
      <c r="Y713" s="320" t="str">
        <f>VLOOKUP(H713,'Fund Utilization Report'!$A$4:$U$1800,7,FALSE)</f>
        <v>PS</v>
      </c>
      <c r="Z713" s="321">
        <f>VLOOKUP(H713,'Fund Utilization Report'!$A$4:$U$1800,8,FALSE)</f>
        <v>5010000000</v>
      </c>
      <c r="AA713" s="319" t="str">
        <f>VLOOKUP(H713,'Fund Utilization Report'!$A$4:$U$1800,14,FALSE)</f>
        <v>330100100002000</v>
      </c>
      <c r="AB713" s="349" t="str">
        <f>VLOOKUP(H713,'Fund Utilization Report'!$A$4:$U$1800,15,FALSE)</f>
        <v>Implementation of the MSME Development Plan and other initiatives to promote the growth of Micro, Small and Medium Enterprises</v>
      </c>
      <c r="AC713" s="39"/>
      <c r="AD713" s="34"/>
      <c r="AE713" s="39"/>
      <c r="AF713" s="51"/>
      <c r="AG713" s="40"/>
      <c r="AH713" s="40"/>
    </row>
    <row r="714" spans="1:34" s="32" customFormat="1" ht="27.6">
      <c r="A714" s="338" t="s">
        <v>942</v>
      </c>
      <c r="B714" s="338" t="s">
        <v>945</v>
      </c>
      <c r="C714" s="358">
        <v>44238</v>
      </c>
      <c r="D714" s="351" t="s">
        <v>1028</v>
      </c>
      <c r="E714" s="352" t="s">
        <v>1168</v>
      </c>
      <c r="F714" s="338">
        <v>0.56111111111111112</v>
      </c>
      <c r="G714" s="338">
        <v>0.5625</v>
      </c>
      <c r="H714" s="338" t="s">
        <v>972</v>
      </c>
      <c r="I714" s="353">
        <v>731</v>
      </c>
      <c r="J714" s="338" t="str">
        <f>IFERROR(VLOOKUP(I714,'Chart of accounts'!A:H,2,FALSE),"")</f>
        <v>50103010 00</v>
      </c>
      <c r="K714" s="338" t="str">
        <f>IFERROR(VLOOKUP(I714,'Chart of accounts'!A:H,3,FALSE),"")</f>
        <v>Retirement and Life Insurance Premiums</v>
      </c>
      <c r="L714" s="338" t="str">
        <f>IFERROR(VLOOKUP(I714,'Chart of accounts'!A:H,4,FALSE),"")</f>
        <v>50103010 00 - Retirement and Life Insurance Premiums (731)</v>
      </c>
      <c r="M714" s="361">
        <v>1</v>
      </c>
      <c r="N714" s="355" t="s">
        <v>1165</v>
      </c>
      <c r="O714" s="355" t="s">
        <v>1166</v>
      </c>
      <c r="P714" s="355"/>
      <c r="Q714" s="363">
        <v>1293.98</v>
      </c>
      <c r="R714" s="319">
        <f t="shared" si="14"/>
        <v>-1293.98</v>
      </c>
      <c r="S714" s="319" t="str">
        <f>VLOOKUP(H714,'Fund Utilization Report'!$A$4:$U$1800,13,FALSE)</f>
        <v>PS</v>
      </c>
      <c r="T714" s="319" t="str">
        <f>VLOOKUP(H714,'Fund Utilization Report'!$A$4:$U$1800,2,FALSE)</f>
        <v>GAA</v>
      </c>
      <c r="U714" s="319" t="str">
        <f>VLOOKUP(H714,'Fund Utilization Report'!$A$4:$U$1800,3,FALSE)</f>
        <v>FY2021, RA11518</v>
      </c>
      <c r="V714" s="319" t="str">
        <f>VLOOKUP(H714,'Fund Utilization Report'!$A$4:$U$1800,4,FALSE)</f>
        <v>OO3</v>
      </c>
      <c r="W714" s="319" t="str">
        <f>VLOOKUP(H714,'Fund Utilization Report'!$A$4:$U$1800,5,FALSE)</f>
        <v>01101101</v>
      </c>
      <c r="X714" s="319" t="str">
        <f>VLOOKUP(H714,'Fund Utilization Report'!$A$4:$U$1800,6,FALSE)</f>
        <v>GOP</v>
      </c>
      <c r="Y714" s="320" t="str">
        <f>VLOOKUP(H714,'Fund Utilization Report'!$A$4:$U$1800,7,FALSE)</f>
        <v>RLIP</v>
      </c>
      <c r="Z714" s="321" t="str">
        <f>VLOOKUP(H714,'Fund Utilization Report'!$A$4:$U$1800,8,FALSE)</f>
        <v>50103010-00</v>
      </c>
      <c r="AA714" s="319" t="str">
        <f>VLOOKUP(H714,'Fund Utilization Report'!$A$4:$U$1800,14,FALSE)</f>
        <v>330100100002000</v>
      </c>
      <c r="AB714" s="349" t="str">
        <f>VLOOKUP(H714,'Fund Utilization Report'!$A$4:$U$1800,15,FALSE)</f>
        <v>Implementation of the MSME Development Plan and other initiatives to promote the growth of Micro, Small and Medium Enterprises</v>
      </c>
      <c r="AC714" s="39"/>
      <c r="AD714" s="34"/>
      <c r="AE714" s="39"/>
      <c r="AF714" s="51"/>
      <c r="AG714" s="40"/>
      <c r="AH714" s="40"/>
    </row>
    <row r="715" spans="1:34" s="32" customFormat="1" ht="27.6">
      <c r="A715" s="338" t="s">
        <v>942</v>
      </c>
      <c r="B715" s="338" t="s">
        <v>945</v>
      </c>
      <c r="C715" s="358">
        <v>44238</v>
      </c>
      <c r="D715" s="351" t="s">
        <v>1028</v>
      </c>
      <c r="E715" s="352" t="s">
        <v>1168</v>
      </c>
      <c r="F715" s="338">
        <v>0.56111111111111112</v>
      </c>
      <c r="G715" s="338">
        <v>0.5625</v>
      </c>
      <c r="H715" s="338" t="s">
        <v>970</v>
      </c>
      <c r="I715" s="353">
        <v>732</v>
      </c>
      <c r="J715" s="338" t="str">
        <f>IFERROR(VLOOKUP(I715,'Chart of accounts'!A:H,2,FALSE),"")</f>
        <v>50103020 01</v>
      </c>
      <c r="K715" s="338" t="str">
        <f>IFERROR(VLOOKUP(I715,'Chart of accounts'!A:H,3,FALSE),"")</f>
        <v>Pag-IBIG - Civilian</v>
      </c>
      <c r="L715" s="338" t="str">
        <f>IFERROR(VLOOKUP(I715,'Chart of accounts'!A:H,4,FALSE),"")</f>
        <v>50103020 01 - Pag-IBIG - Civilian (732)</v>
      </c>
      <c r="M715" s="361">
        <v>1</v>
      </c>
      <c r="N715" s="355" t="s">
        <v>1165</v>
      </c>
      <c r="O715" s="355" t="s">
        <v>1166</v>
      </c>
      <c r="P715" s="355"/>
      <c r="Q715" s="363">
        <v>100</v>
      </c>
      <c r="R715" s="319">
        <f t="shared" si="14"/>
        <v>-100</v>
      </c>
      <c r="S715" s="319" t="str">
        <f>VLOOKUP(H715,'Fund Utilization Report'!$A$4:$U$1800,13,FALSE)</f>
        <v>PS</v>
      </c>
      <c r="T715" s="319" t="str">
        <f>VLOOKUP(H715,'Fund Utilization Report'!$A$4:$U$1800,2,FALSE)</f>
        <v>GAA</v>
      </c>
      <c r="U715" s="319" t="str">
        <f>VLOOKUP(H715,'Fund Utilization Report'!$A$4:$U$1800,3,FALSE)</f>
        <v>FY2021, RA11518</v>
      </c>
      <c r="V715" s="319" t="str">
        <f>VLOOKUP(H715,'Fund Utilization Report'!$A$4:$U$1800,4,FALSE)</f>
        <v>OO3</v>
      </c>
      <c r="W715" s="319" t="str">
        <f>VLOOKUP(H715,'Fund Utilization Report'!$A$4:$U$1800,5,FALSE)</f>
        <v>01101101</v>
      </c>
      <c r="X715" s="319" t="str">
        <f>VLOOKUP(H715,'Fund Utilization Report'!$A$4:$U$1800,6,FALSE)</f>
        <v>GOP</v>
      </c>
      <c r="Y715" s="320" t="str">
        <f>VLOOKUP(H715,'Fund Utilization Report'!$A$4:$U$1800,7,FALSE)</f>
        <v>PS</v>
      </c>
      <c r="Z715" s="321">
        <f>VLOOKUP(H715,'Fund Utilization Report'!$A$4:$U$1800,8,FALSE)</f>
        <v>5010000000</v>
      </c>
      <c r="AA715" s="319" t="str">
        <f>VLOOKUP(H715,'Fund Utilization Report'!$A$4:$U$1800,14,FALSE)</f>
        <v>330100100002000</v>
      </c>
      <c r="AB715" s="349" t="str">
        <f>VLOOKUP(H715,'Fund Utilization Report'!$A$4:$U$1800,15,FALSE)</f>
        <v>Implementation of the MSME Development Plan and other initiatives to promote the growth of Micro, Small and Medium Enterprises</v>
      </c>
      <c r="AC715" s="39"/>
      <c r="AD715" s="34"/>
      <c r="AE715" s="39"/>
      <c r="AF715" s="51"/>
      <c r="AG715" s="40"/>
      <c r="AH715" s="40"/>
    </row>
    <row r="716" spans="1:34" s="32" customFormat="1" ht="27.6">
      <c r="A716" s="338" t="s">
        <v>942</v>
      </c>
      <c r="B716" s="338" t="s">
        <v>945</v>
      </c>
      <c r="C716" s="358">
        <v>44238</v>
      </c>
      <c r="D716" s="351" t="s">
        <v>1028</v>
      </c>
      <c r="E716" s="352" t="s">
        <v>1168</v>
      </c>
      <c r="F716" s="338">
        <v>0.56111111111111112</v>
      </c>
      <c r="G716" s="338">
        <v>0.5625</v>
      </c>
      <c r="H716" s="338" t="s">
        <v>970</v>
      </c>
      <c r="I716" s="353">
        <v>733</v>
      </c>
      <c r="J716" s="338" t="str">
        <f>IFERROR(VLOOKUP(I716,'Chart of accounts'!A:H,2,FALSE),"")</f>
        <v>50103030 01</v>
      </c>
      <c r="K716" s="338" t="str">
        <f>IFERROR(VLOOKUP(I716,'Chart of accounts'!A:H,3,FALSE),"")</f>
        <v>PhilHealth - Civilian</v>
      </c>
      <c r="L716" s="338" t="str">
        <f>IFERROR(VLOOKUP(I716,'Chart of accounts'!A:H,4,FALSE),"")</f>
        <v>50103030 01 - PhilHealth - Civilian (733)</v>
      </c>
      <c r="M716" s="361">
        <v>1</v>
      </c>
      <c r="N716" s="355" t="s">
        <v>1165</v>
      </c>
      <c r="O716" s="355" t="s">
        <v>1166</v>
      </c>
      <c r="P716" s="355"/>
      <c r="Q716" s="363">
        <v>358.16</v>
      </c>
      <c r="R716" s="319">
        <f t="shared" si="14"/>
        <v>-358.16</v>
      </c>
      <c r="S716" s="319" t="str">
        <f>VLOOKUP(H716,'Fund Utilization Report'!$A$4:$U$1800,13,FALSE)</f>
        <v>PS</v>
      </c>
      <c r="T716" s="319" t="str">
        <f>VLOOKUP(H716,'Fund Utilization Report'!$A$4:$U$1800,2,FALSE)</f>
        <v>GAA</v>
      </c>
      <c r="U716" s="319" t="str">
        <f>VLOOKUP(H716,'Fund Utilization Report'!$A$4:$U$1800,3,FALSE)</f>
        <v>FY2021, RA11518</v>
      </c>
      <c r="V716" s="319" t="str">
        <f>VLOOKUP(H716,'Fund Utilization Report'!$A$4:$U$1800,4,FALSE)</f>
        <v>OO3</v>
      </c>
      <c r="W716" s="319" t="str">
        <f>VLOOKUP(H716,'Fund Utilization Report'!$A$4:$U$1800,5,FALSE)</f>
        <v>01101101</v>
      </c>
      <c r="X716" s="319" t="str">
        <f>VLOOKUP(H716,'Fund Utilization Report'!$A$4:$U$1800,6,FALSE)</f>
        <v>GOP</v>
      </c>
      <c r="Y716" s="320" t="str">
        <f>VLOOKUP(H716,'Fund Utilization Report'!$A$4:$U$1800,7,FALSE)</f>
        <v>PS</v>
      </c>
      <c r="Z716" s="321">
        <f>VLOOKUP(H716,'Fund Utilization Report'!$A$4:$U$1800,8,FALSE)</f>
        <v>5010000000</v>
      </c>
      <c r="AA716" s="319" t="str">
        <f>VLOOKUP(H716,'Fund Utilization Report'!$A$4:$U$1800,14,FALSE)</f>
        <v>330100100002000</v>
      </c>
      <c r="AB716" s="349" t="str">
        <f>VLOOKUP(H716,'Fund Utilization Report'!$A$4:$U$1800,15,FALSE)</f>
        <v>Implementation of the MSME Development Plan and other initiatives to promote the growth of Micro, Small and Medium Enterprises</v>
      </c>
      <c r="AC716" s="39"/>
      <c r="AD716" s="34"/>
      <c r="AE716" s="39"/>
      <c r="AF716" s="51"/>
      <c r="AG716" s="40"/>
      <c r="AH716" s="40"/>
    </row>
    <row r="717" spans="1:34" s="32" customFormat="1" ht="27.6">
      <c r="A717" s="338" t="s">
        <v>942</v>
      </c>
      <c r="B717" s="338" t="s">
        <v>945</v>
      </c>
      <c r="C717" s="358">
        <v>44238</v>
      </c>
      <c r="D717" s="351" t="s">
        <v>1028</v>
      </c>
      <c r="E717" s="352" t="s">
        <v>1168</v>
      </c>
      <c r="F717" s="338">
        <v>0.56111111111111112</v>
      </c>
      <c r="G717" s="338">
        <v>0.5625</v>
      </c>
      <c r="H717" s="338" t="s">
        <v>970</v>
      </c>
      <c r="I717" s="353">
        <v>734</v>
      </c>
      <c r="J717" s="338" t="str">
        <f>IFERROR(VLOOKUP(I717,'Chart of accounts'!A:H,2,FALSE),"")</f>
        <v>50103040 01</v>
      </c>
      <c r="K717" s="338" t="str">
        <f>IFERROR(VLOOKUP(I717,'Chart of accounts'!A:H,3,FALSE),"")</f>
        <v>ECIP - Civilian</v>
      </c>
      <c r="L717" s="338" t="str">
        <f>IFERROR(VLOOKUP(I717,'Chart of accounts'!A:H,4,FALSE),"")</f>
        <v>50103040 01 - ECIP - Civilian (734)</v>
      </c>
      <c r="M717" s="361">
        <v>1</v>
      </c>
      <c r="N717" s="355" t="s">
        <v>1165</v>
      </c>
      <c r="O717" s="355" t="s">
        <v>1166</v>
      </c>
      <c r="P717" s="355"/>
      <c r="Q717" s="363">
        <v>100</v>
      </c>
      <c r="R717" s="319">
        <f t="shared" si="14"/>
        <v>-100</v>
      </c>
      <c r="S717" s="319" t="str">
        <f>VLOOKUP(H717,'Fund Utilization Report'!$A$4:$U$1800,13,FALSE)</f>
        <v>PS</v>
      </c>
      <c r="T717" s="319" t="str">
        <f>VLOOKUP(H717,'Fund Utilization Report'!$A$4:$U$1800,2,FALSE)</f>
        <v>GAA</v>
      </c>
      <c r="U717" s="319" t="str">
        <f>VLOOKUP(H717,'Fund Utilization Report'!$A$4:$U$1800,3,FALSE)</f>
        <v>FY2021, RA11518</v>
      </c>
      <c r="V717" s="319" t="str">
        <f>VLOOKUP(H717,'Fund Utilization Report'!$A$4:$U$1800,4,FALSE)</f>
        <v>OO3</v>
      </c>
      <c r="W717" s="319" t="str">
        <f>VLOOKUP(H717,'Fund Utilization Report'!$A$4:$U$1800,5,FALSE)</f>
        <v>01101101</v>
      </c>
      <c r="X717" s="319" t="str">
        <f>VLOOKUP(H717,'Fund Utilization Report'!$A$4:$U$1800,6,FALSE)</f>
        <v>GOP</v>
      </c>
      <c r="Y717" s="320" t="str">
        <f>VLOOKUP(H717,'Fund Utilization Report'!$A$4:$U$1800,7,FALSE)</f>
        <v>PS</v>
      </c>
      <c r="Z717" s="321">
        <f>VLOOKUP(H717,'Fund Utilization Report'!$A$4:$U$1800,8,FALSE)</f>
        <v>5010000000</v>
      </c>
      <c r="AA717" s="319" t="str">
        <f>VLOOKUP(H717,'Fund Utilization Report'!$A$4:$U$1800,14,FALSE)</f>
        <v>330100100002000</v>
      </c>
      <c r="AB717" s="349" t="str">
        <f>VLOOKUP(H717,'Fund Utilization Report'!$A$4:$U$1800,15,FALSE)</f>
        <v>Implementation of the MSME Development Plan and other initiatives to promote the growth of Micro, Small and Medium Enterprises</v>
      </c>
      <c r="AC717" s="39"/>
      <c r="AD717" s="34"/>
      <c r="AE717" s="39"/>
      <c r="AF717" s="51"/>
      <c r="AG717" s="40"/>
      <c r="AH717" s="40"/>
    </row>
    <row r="718" spans="1:34" s="32" customFormat="1" ht="27.6">
      <c r="A718" s="338" t="s">
        <v>942</v>
      </c>
      <c r="B718" s="338" t="s">
        <v>945</v>
      </c>
      <c r="C718" s="358">
        <v>44238</v>
      </c>
      <c r="D718" s="351" t="s">
        <v>1028</v>
      </c>
      <c r="E718" s="352" t="s">
        <v>1169</v>
      </c>
      <c r="F718" s="338">
        <v>0.5625</v>
      </c>
      <c r="G718" s="338">
        <v>0.56388888888888888</v>
      </c>
      <c r="H718" s="338" t="s">
        <v>970</v>
      </c>
      <c r="I718" s="353">
        <v>701</v>
      </c>
      <c r="J718" s="338" t="str">
        <f>IFERROR(VLOOKUP(I718,'Chart of accounts'!A:H,2,FALSE),"")</f>
        <v>50101010 01</v>
      </c>
      <c r="K718" s="338" t="str">
        <f>IFERROR(VLOOKUP(I718,'Chart of accounts'!A:H,3,FALSE),"")</f>
        <v>Basic Salary - Civilian</v>
      </c>
      <c r="L718" s="338" t="str">
        <f>IFERROR(VLOOKUP(I718,'Chart of accounts'!A:H,4,FALSE),"")</f>
        <v>50101010 01 - Basic Salary - Civilian (701)</v>
      </c>
      <c r="M718" s="361">
        <v>3</v>
      </c>
      <c r="N718" s="355" t="s">
        <v>1170</v>
      </c>
      <c r="O718" s="355" t="s">
        <v>1166</v>
      </c>
      <c r="P718" s="355"/>
      <c r="Q718" s="363">
        <v>10853.18</v>
      </c>
      <c r="R718" s="319">
        <f t="shared" ref="R718:R723" si="15">P718-Q718</f>
        <v>-10853.18</v>
      </c>
      <c r="S718" s="319" t="str">
        <f>VLOOKUP(H718,'Fund Utilization Report'!$A$4:$U$1800,13,FALSE)</f>
        <v>PS</v>
      </c>
      <c r="T718" s="319" t="str">
        <f>VLOOKUP(H718,'Fund Utilization Report'!$A$4:$U$1800,2,FALSE)</f>
        <v>GAA</v>
      </c>
      <c r="U718" s="319" t="str">
        <f>VLOOKUP(H718,'Fund Utilization Report'!$A$4:$U$1800,3,FALSE)</f>
        <v>FY2021, RA11518</v>
      </c>
      <c r="V718" s="319" t="str">
        <f>VLOOKUP(H718,'Fund Utilization Report'!$A$4:$U$1800,4,FALSE)</f>
        <v>OO3</v>
      </c>
      <c r="W718" s="319" t="str">
        <f>VLOOKUP(H718,'Fund Utilization Report'!$A$4:$U$1800,5,FALSE)</f>
        <v>01101101</v>
      </c>
      <c r="X718" s="319" t="str">
        <f>VLOOKUP(H718,'Fund Utilization Report'!$A$4:$U$1800,6,FALSE)</f>
        <v>GOP</v>
      </c>
      <c r="Y718" s="320" t="str">
        <f>VLOOKUP(H718,'Fund Utilization Report'!$A$4:$U$1800,7,FALSE)</f>
        <v>PS</v>
      </c>
      <c r="Z718" s="321">
        <f>VLOOKUP(H718,'Fund Utilization Report'!$A$4:$U$1800,8,FALSE)</f>
        <v>5010000000</v>
      </c>
      <c r="AA718" s="319" t="str">
        <f>VLOOKUP(H718,'Fund Utilization Report'!$A$4:$U$1800,14,FALSE)</f>
        <v>330100100002000</v>
      </c>
      <c r="AB718" s="349" t="str">
        <f>VLOOKUP(H718,'Fund Utilization Report'!$A$4:$U$1800,15,FALSE)</f>
        <v>Implementation of the MSME Development Plan and other initiatives to promote the growth of Micro, Small and Medium Enterprises</v>
      </c>
      <c r="AC718" s="39"/>
      <c r="AD718" s="34"/>
      <c r="AE718" s="39"/>
      <c r="AF718" s="51"/>
      <c r="AG718" s="40"/>
      <c r="AH718" s="40"/>
    </row>
    <row r="719" spans="1:34" s="32" customFormat="1" ht="27.6">
      <c r="A719" s="338" t="s">
        <v>942</v>
      </c>
      <c r="B719" s="338" t="s">
        <v>945</v>
      </c>
      <c r="C719" s="358">
        <v>44238</v>
      </c>
      <c r="D719" s="351" t="s">
        <v>1028</v>
      </c>
      <c r="E719" s="352" t="s">
        <v>1169</v>
      </c>
      <c r="F719" s="338">
        <v>0.5625</v>
      </c>
      <c r="G719" s="338">
        <v>0.56388888888888888</v>
      </c>
      <c r="H719" s="338" t="s">
        <v>970</v>
      </c>
      <c r="I719" s="353">
        <v>711</v>
      </c>
      <c r="J719" s="338" t="str">
        <f>IFERROR(VLOOKUP(I719,'Chart of accounts'!A:H,2,FALSE),"")</f>
        <v>50102010 01</v>
      </c>
      <c r="K719" s="338" t="str">
        <f>IFERROR(VLOOKUP(I719,'Chart of accounts'!A:H,3,FALSE),"")</f>
        <v>PERA - Civilian</v>
      </c>
      <c r="L719" s="338" t="str">
        <f>IFERROR(VLOOKUP(I719,'Chart of accounts'!A:H,4,FALSE),"")</f>
        <v>50102010 01 - PERA - Civilian (711)</v>
      </c>
      <c r="M719" s="361">
        <v>3</v>
      </c>
      <c r="N719" s="355" t="s">
        <v>1170</v>
      </c>
      <c r="O719" s="355" t="s">
        <v>1166</v>
      </c>
      <c r="P719" s="355"/>
      <c r="Q719" s="363">
        <v>909.09</v>
      </c>
      <c r="R719" s="319">
        <f t="shared" si="15"/>
        <v>-909.09</v>
      </c>
      <c r="S719" s="319" t="str">
        <f>VLOOKUP(H719,'Fund Utilization Report'!$A$4:$U$1800,13,FALSE)</f>
        <v>PS</v>
      </c>
      <c r="T719" s="319" t="str">
        <f>VLOOKUP(H719,'Fund Utilization Report'!$A$4:$U$1800,2,FALSE)</f>
        <v>GAA</v>
      </c>
      <c r="U719" s="319" t="str">
        <f>VLOOKUP(H719,'Fund Utilization Report'!$A$4:$U$1800,3,FALSE)</f>
        <v>FY2021, RA11518</v>
      </c>
      <c r="V719" s="319" t="str">
        <f>VLOOKUP(H719,'Fund Utilization Report'!$A$4:$U$1800,4,FALSE)</f>
        <v>OO3</v>
      </c>
      <c r="W719" s="319" t="str">
        <f>VLOOKUP(H719,'Fund Utilization Report'!$A$4:$U$1800,5,FALSE)</f>
        <v>01101101</v>
      </c>
      <c r="X719" s="319" t="str">
        <f>VLOOKUP(H719,'Fund Utilization Report'!$A$4:$U$1800,6,FALSE)</f>
        <v>GOP</v>
      </c>
      <c r="Y719" s="320" t="str">
        <f>VLOOKUP(H719,'Fund Utilization Report'!$A$4:$U$1800,7,FALSE)</f>
        <v>PS</v>
      </c>
      <c r="Z719" s="321">
        <f>VLOOKUP(H719,'Fund Utilization Report'!$A$4:$U$1800,8,FALSE)</f>
        <v>5010000000</v>
      </c>
      <c r="AA719" s="319" t="str">
        <f>VLOOKUP(H719,'Fund Utilization Report'!$A$4:$U$1800,14,FALSE)</f>
        <v>330100100002000</v>
      </c>
      <c r="AB719" s="349" t="str">
        <f>VLOOKUP(H719,'Fund Utilization Report'!$A$4:$U$1800,15,FALSE)</f>
        <v>Implementation of the MSME Development Plan and other initiatives to promote the growth of Micro, Small and Medium Enterprises</v>
      </c>
      <c r="AC719" s="39"/>
      <c r="AD719" s="34"/>
      <c r="AE719" s="39"/>
      <c r="AF719" s="51"/>
      <c r="AG719" s="40"/>
      <c r="AH719" s="40"/>
    </row>
    <row r="720" spans="1:34" s="32" customFormat="1" ht="27.6">
      <c r="A720" s="338" t="s">
        <v>942</v>
      </c>
      <c r="B720" s="338" t="s">
        <v>945</v>
      </c>
      <c r="C720" s="358">
        <v>44238</v>
      </c>
      <c r="D720" s="351" t="s">
        <v>1028</v>
      </c>
      <c r="E720" s="352" t="s">
        <v>1169</v>
      </c>
      <c r="F720" s="338">
        <v>0.5625</v>
      </c>
      <c r="G720" s="338">
        <v>0.56388888888888888</v>
      </c>
      <c r="H720" s="338" t="s">
        <v>972</v>
      </c>
      <c r="I720" s="353">
        <v>731</v>
      </c>
      <c r="J720" s="338" t="str">
        <f>IFERROR(VLOOKUP(I720,'Chart of accounts'!A:H,2,FALSE),"")</f>
        <v>50103010 00</v>
      </c>
      <c r="K720" s="338" t="str">
        <f>IFERROR(VLOOKUP(I720,'Chart of accounts'!A:H,3,FALSE),"")</f>
        <v>Retirement and Life Insurance Premiums</v>
      </c>
      <c r="L720" s="338" t="str">
        <f>IFERROR(VLOOKUP(I720,'Chart of accounts'!A:H,4,FALSE),"")</f>
        <v>50103010 00 - Retirement and Life Insurance Premiums (731)</v>
      </c>
      <c r="M720" s="361">
        <v>3</v>
      </c>
      <c r="N720" s="355" t="s">
        <v>1170</v>
      </c>
      <c r="O720" s="355" t="s">
        <v>1166</v>
      </c>
      <c r="P720" s="355"/>
      <c r="Q720" s="363">
        <v>1293.98</v>
      </c>
      <c r="R720" s="319">
        <f t="shared" si="15"/>
        <v>-1293.98</v>
      </c>
      <c r="S720" s="319" t="str">
        <f>VLOOKUP(H720,'Fund Utilization Report'!$A$4:$U$1800,13,FALSE)</f>
        <v>PS</v>
      </c>
      <c r="T720" s="319" t="str">
        <f>VLOOKUP(H720,'Fund Utilization Report'!$A$4:$U$1800,2,FALSE)</f>
        <v>GAA</v>
      </c>
      <c r="U720" s="319" t="str">
        <f>VLOOKUP(H720,'Fund Utilization Report'!$A$4:$U$1800,3,FALSE)</f>
        <v>FY2021, RA11518</v>
      </c>
      <c r="V720" s="319" t="str">
        <f>VLOOKUP(H720,'Fund Utilization Report'!$A$4:$U$1800,4,FALSE)</f>
        <v>OO3</v>
      </c>
      <c r="W720" s="319" t="str">
        <f>VLOOKUP(H720,'Fund Utilization Report'!$A$4:$U$1800,5,FALSE)</f>
        <v>01101101</v>
      </c>
      <c r="X720" s="319" t="str">
        <f>VLOOKUP(H720,'Fund Utilization Report'!$A$4:$U$1800,6,FALSE)</f>
        <v>GOP</v>
      </c>
      <c r="Y720" s="320" t="str">
        <f>VLOOKUP(H720,'Fund Utilization Report'!$A$4:$U$1800,7,FALSE)</f>
        <v>RLIP</v>
      </c>
      <c r="Z720" s="321" t="str">
        <f>VLOOKUP(H720,'Fund Utilization Report'!$A$4:$U$1800,8,FALSE)</f>
        <v>50103010-00</v>
      </c>
      <c r="AA720" s="319" t="str">
        <f>VLOOKUP(H720,'Fund Utilization Report'!$A$4:$U$1800,14,FALSE)</f>
        <v>330100100002000</v>
      </c>
      <c r="AB720" s="349" t="str">
        <f>VLOOKUP(H720,'Fund Utilization Report'!$A$4:$U$1800,15,FALSE)</f>
        <v>Implementation of the MSME Development Plan and other initiatives to promote the growth of Micro, Small and Medium Enterprises</v>
      </c>
      <c r="AC720" s="39"/>
      <c r="AD720" s="34"/>
      <c r="AE720" s="39"/>
      <c r="AF720" s="51"/>
      <c r="AG720" s="40"/>
      <c r="AH720" s="40"/>
    </row>
    <row r="721" spans="1:34" s="32" customFormat="1" ht="27.6">
      <c r="A721" s="338" t="s">
        <v>942</v>
      </c>
      <c r="B721" s="338" t="s">
        <v>945</v>
      </c>
      <c r="C721" s="358">
        <v>44238</v>
      </c>
      <c r="D721" s="351" t="s">
        <v>1028</v>
      </c>
      <c r="E721" s="352" t="s">
        <v>1169</v>
      </c>
      <c r="F721" s="338">
        <v>0.5625</v>
      </c>
      <c r="G721" s="338">
        <v>0.56388888888888888</v>
      </c>
      <c r="H721" s="338" t="s">
        <v>970</v>
      </c>
      <c r="I721" s="353">
        <v>732</v>
      </c>
      <c r="J721" s="338" t="str">
        <f>IFERROR(VLOOKUP(I721,'Chart of accounts'!A:H,2,FALSE),"")</f>
        <v>50103020 01</v>
      </c>
      <c r="K721" s="338" t="str">
        <f>IFERROR(VLOOKUP(I721,'Chart of accounts'!A:H,3,FALSE),"")</f>
        <v>Pag-IBIG - Civilian</v>
      </c>
      <c r="L721" s="338" t="str">
        <f>IFERROR(VLOOKUP(I721,'Chart of accounts'!A:H,4,FALSE),"")</f>
        <v>50103020 01 - Pag-IBIG - Civilian (732)</v>
      </c>
      <c r="M721" s="361">
        <v>3</v>
      </c>
      <c r="N721" s="355" t="s">
        <v>1170</v>
      </c>
      <c r="O721" s="355" t="s">
        <v>1166</v>
      </c>
      <c r="P721" s="355"/>
      <c r="Q721" s="363">
        <v>100</v>
      </c>
      <c r="R721" s="319">
        <f t="shared" si="15"/>
        <v>-100</v>
      </c>
      <c r="S721" s="319" t="str">
        <f>VLOOKUP(H721,'Fund Utilization Report'!$A$4:$U$1800,13,FALSE)</f>
        <v>PS</v>
      </c>
      <c r="T721" s="319" t="str">
        <f>VLOOKUP(H721,'Fund Utilization Report'!$A$4:$U$1800,2,FALSE)</f>
        <v>GAA</v>
      </c>
      <c r="U721" s="319" t="str">
        <f>VLOOKUP(H721,'Fund Utilization Report'!$A$4:$U$1800,3,FALSE)</f>
        <v>FY2021, RA11518</v>
      </c>
      <c r="V721" s="319" t="str">
        <f>VLOOKUP(H721,'Fund Utilization Report'!$A$4:$U$1800,4,FALSE)</f>
        <v>OO3</v>
      </c>
      <c r="W721" s="319" t="str">
        <f>VLOOKUP(H721,'Fund Utilization Report'!$A$4:$U$1800,5,FALSE)</f>
        <v>01101101</v>
      </c>
      <c r="X721" s="319" t="str">
        <f>VLOOKUP(H721,'Fund Utilization Report'!$A$4:$U$1800,6,FALSE)</f>
        <v>GOP</v>
      </c>
      <c r="Y721" s="320" t="str">
        <f>VLOOKUP(H721,'Fund Utilization Report'!$A$4:$U$1800,7,FALSE)</f>
        <v>PS</v>
      </c>
      <c r="Z721" s="321">
        <f>VLOOKUP(H721,'Fund Utilization Report'!$A$4:$U$1800,8,FALSE)</f>
        <v>5010000000</v>
      </c>
      <c r="AA721" s="319" t="str">
        <f>VLOOKUP(H721,'Fund Utilization Report'!$A$4:$U$1800,14,FALSE)</f>
        <v>330100100002000</v>
      </c>
      <c r="AB721" s="349" t="str">
        <f>VLOOKUP(H721,'Fund Utilization Report'!$A$4:$U$1800,15,FALSE)</f>
        <v>Implementation of the MSME Development Plan and other initiatives to promote the growth of Micro, Small and Medium Enterprises</v>
      </c>
      <c r="AC721" s="39"/>
      <c r="AD721" s="34"/>
      <c r="AE721" s="39"/>
      <c r="AF721" s="51"/>
      <c r="AG721" s="40"/>
      <c r="AH721" s="40"/>
    </row>
    <row r="722" spans="1:34" s="32" customFormat="1" ht="27.6">
      <c r="A722" s="338" t="s">
        <v>942</v>
      </c>
      <c r="B722" s="338" t="s">
        <v>945</v>
      </c>
      <c r="C722" s="358">
        <v>44238</v>
      </c>
      <c r="D722" s="351" t="s">
        <v>1028</v>
      </c>
      <c r="E722" s="352" t="s">
        <v>1169</v>
      </c>
      <c r="F722" s="338">
        <v>0.5625</v>
      </c>
      <c r="G722" s="338">
        <v>0.56388888888888888</v>
      </c>
      <c r="H722" s="338" t="s">
        <v>970</v>
      </c>
      <c r="I722" s="353">
        <v>733</v>
      </c>
      <c r="J722" s="338" t="str">
        <f>IFERROR(VLOOKUP(I722,'Chart of accounts'!A:H,2,FALSE),"")</f>
        <v>50103030 01</v>
      </c>
      <c r="K722" s="338" t="str">
        <f>IFERROR(VLOOKUP(I722,'Chart of accounts'!A:H,3,FALSE),"")</f>
        <v>PhilHealth - Civilian</v>
      </c>
      <c r="L722" s="338" t="str">
        <f>IFERROR(VLOOKUP(I722,'Chart of accounts'!A:H,4,FALSE),"")</f>
        <v>50103030 01 - PhilHealth - Civilian (733)</v>
      </c>
      <c r="M722" s="361">
        <v>3</v>
      </c>
      <c r="N722" s="355" t="s">
        <v>1170</v>
      </c>
      <c r="O722" s="355" t="s">
        <v>1166</v>
      </c>
      <c r="P722" s="355"/>
      <c r="Q722" s="363">
        <v>358.16</v>
      </c>
      <c r="R722" s="319">
        <f t="shared" si="15"/>
        <v>-358.16</v>
      </c>
      <c r="S722" s="319" t="str">
        <f>VLOOKUP(H722,'Fund Utilization Report'!$A$4:$U$1800,13,FALSE)</f>
        <v>PS</v>
      </c>
      <c r="T722" s="319" t="str">
        <f>VLOOKUP(H722,'Fund Utilization Report'!$A$4:$U$1800,2,FALSE)</f>
        <v>GAA</v>
      </c>
      <c r="U722" s="319" t="str">
        <f>VLOOKUP(H722,'Fund Utilization Report'!$A$4:$U$1800,3,FALSE)</f>
        <v>FY2021, RA11518</v>
      </c>
      <c r="V722" s="319" t="str">
        <f>VLOOKUP(H722,'Fund Utilization Report'!$A$4:$U$1800,4,FALSE)</f>
        <v>OO3</v>
      </c>
      <c r="W722" s="319" t="str">
        <f>VLOOKUP(H722,'Fund Utilization Report'!$A$4:$U$1800,5,FALSE)</f>
        <v>01101101</v>
      </c>
      <c r="X722" s="319" t="str">
        <f>VLOOKUP(H722,'Fund Utilization Report'!$A$4:$U$1800,6,FALSE)</f>
        <v>GOP</v>
      </c>
      <c r="Y722" s="320" t="str">
        <f>VLOOKUP(H722,'Fund Utilization Report'!$A$4:$U$1800,7,FALSE)</f>
        <v>PS</v>
      </c>
      <c r="Z722" s="321">
        <f>VLOOKUP(H722,'Fund Utilization Report'!$A$4:$U$1800,8,FALSE)</f>
        <v>5010000000</v>
      </c>
      <c r="AA722" s="319" t="str">
        <f>VLOOKUP(H722,'Fund Utilization Report'!$A$4:$U$1800,14,FALSE)</f>
        <v>330100100002000</v>
      </c>
      <c r="AB722" s="349" t="str">
        <f>VLOOKUP(H722,'Fund Utilization Report'!$A$4:$U$1800,15,FALSE)</f>
        <v>Implementation of the MSME Development Plan and other initiatives to promote the growth of Micro, Small and Medium Enterprises</v>
      </c>
      <c r="AC722" s="39"/>
      <c r="AD722" s="34"/>
      <c r="AE722" s="39"/>
      <c r="AF722" s="51"/>
      <c r="AG722" s="40"/>
      <c r="AH722" s="40"/>
    </row>
    <row r="723" spans="1:34" s="32" customFormat="1" ht="27.6">
      <c r="A723" s="338" t="s">
        <v>942</v>
      </c>
      <c r="B723" s="338" t="s">
        <v>945</v>
      </c>
      <c r="C723" s="358">
        <v>44238</v>
      </c>
      <c r="D723" s="351" t="s">
        <v>1028</v>
      </c>
      <c r="E723" s="352" t="s">
        <v>1169</v>
      </c>
      <c r="F723" s="338">
        <v>0.5625</v>
      </c>
      <c r="G723" s="338">
        <v>0.56388888888888888</v>
      </c>
      <c r="H723" s="338" t="s">
        <v>970</v>
      </c>
      <c r="I723" s="353">
        <v>734</v>
      </c>
      <c r="J723" s="338" t="str">
        <f>IFERROR(VLOOKUP(I723,'Chart of accounts'!A:H,2,FALSE),"")</f>
        <v>50103040 01</v>
      </c>
      <c r="K723" s="338" t="str">
        <f>IFERROR(VLOOKUP(I723,'Chart of accounts'!A:H,3,FALSE),"")</f>
        <v>ECIP - Civilian</v>
      </c>
      <c r="L723" s="338" t="str">
        <f>IFERROR(VLOOKUP(I723,'Chart of accounts'!A:H,4,FALSE),"")</f>
        <v>50103040 01 - ECIP - Civilian (734)</v>
      </c>
      <c r="M723" s="361">
        <v>3</v>
      </c>
      <c r="N723" s="355" t="s">
        <v>1170</v>
      </c>
      <c r="O723" s="355" t="s">
        <v>1166</v>
      </c>
      <c r="P723" s="355"/>
      <c r="Q723" s="363">
        <v>100</v>
      </c>
      <c r="R723" s="319">
        <f t="shared" si="15"/>
        <v>-100</v>
      </c>
      <c r="S723" s="319" t="str">
        <f>VLOOKUP(H723,'Fund Utilization Report'!$A$4:$U$1800,13,FALSE)</f>
        <v>PS</v>
      </c>
      <c r="T723" s="319" t="str">
        <f>VLOOKUP(H723,'Fund Utilization Report'!$A$4:$U$1800,2,FALSE)</f>
        <v>GAA</v>
      </c>
      <c r="U723" s="319" t="str">
        <f>VLOOKUP(H723,'Fund Utilization Report'!$A$4:$U$1800,3,FALSE)</f>
        <v>FY2021, RA11518</v>
      </c>
      <c r="V723" s="319" t="str">
        <f>VLOOKUP(H723,'Fund Utilization Report'!$A$4:$U$1800,4,FALSE)</f>
        <v>OO3</v>
      </c>
      <c r="W723" s="319" t="str">
        <f>VLOOKUP(H723,'Fund Utilization Report'!$A$4:$U$1800,5,FALSE)</f>
        <v>01101101</v>
      </c>
      <c r="X723" s="319" t="str">
        <f>VLOOKUP(H723,'Fund Utilization Report'!$A$4:$U$1800,6,FALSE)</f>
        <v>GOP</v>
      </c>
      <c r="Y723" s="320" t="str">
        <f>VLOOKUP(H723,'Fund Utilization Report'!$A$4:$U$1800,7,FALSE)</f>
        <v>PS</v>
      </c>
      <c r="Z723" s="321">
        <f>VLOOKUP(H723,'Fund Utilization Report'!$A$4:$U$1800,8,FALSE)</f>
        <v>5010000000</v>
      </c>
      <c r="AA723" s="319" t="str">
        <f>VLOOKUP(H723,'Fund Utilization Report'!$A$4:$U$1800,14,FALSE)</f>
        <v>330100100002000</v>
      </c>
      <c r="AB723" s="349" t="str">
        <f>VLOOKUP(H723,'Fund Utilization Report'!$A$4:$U$1800,15,FALSE)</f>
        <v>Implementation of the MSME Development Plan and other initiatives to promote the growth of Micro, Small and Medium Enterprises</v>
      </c>
      <c r="AC723" s="39"/>
      <c r="AD723" s="34"/>
      <c r="AE723" s="39"/>
      <c r="AF723" s="51"/>
      <c r="AG723" s="40"/>
      <c r="AH723" s="40"/>
    </row>
    <row r="724" spans="1:34" s="32" customFormat="1" ht="27.6">
      <c r="A724" s="338" t="s">
        <v>942</v>
      </c>
      <c r="B724" s="338" t="s">
        <v>945</v>
      </c>
      <c r="C724" s="358">
        <v>44238</v>
      </c>
      <c r="D724" s="351" t="s">
        <v>1028</v>
      </c>
      <c r="E724" s="352" t="s">
        <v>1171</v>
      </c>
      <c r="F724" s="338">
        <v>0.56388888888888888</v>
      </c>
      <c r="G724" s="338">
        <v>0.56527777777777777</v>
      </c>
      <c r="H724" s="338" t="s">
        <v>970</v>
      </c>
      <c r="I724" s="353">
        <v>701</v>
      </c>
      <c r="J724" s="338" t="str">
        <f>IFERROR(VLOOKUP(I724,'Chart of accounts'!A:H,2,FALSE),"")</f>
        <v>50101010 01</v>
      </c>
      <c r="K724" s="338" t="str">
        <f>IFERROR(VLOOKUP(I724,'Chart of accounts'!A:H,3,FALSE),"")</f>
        <v>Basic Salary - Civilian</v>
      </c>
      <c r="L724" s="338" t="str">
        <f>IFERROR(VLOOKUP(I724,'Chart of accounts'!A:H,4,FALSE),"")</f>
        <v>50101010 01 - Basic Salary - Civilian (701)</v>
      </c>
      <c r="M724" s="361">
        <v>2</v>
      </c>
      <c r="N724" s="355" t="s">
        <v>1172</v>
      </c>
      <c r="O724" s="355" t="s">
        <v>1166</v>
      </c>
      <c r="P724" s="355"/>
      <c r="Q724" s="363">
        <v>10853.18</v>
      </c>
      <c r="R724" s="319">
        <f t="shared" ref="R724:R729" si="16">P724-Q724</f>
        <v>-10853.18</v>
      </c>
      <c r="S724" s="319" t="str">
        <f>VLOOKUP(H724,'Fund Utilization Report'!$A$4:$U$1800,13,FALSE)</f>
        <v>PS</v>
      </c>
      <c r="T724" s="319" t="str">
        <f>VLOOKUP(H724,'Fund Utilization Report'!$A$4:$U$1800,2,FALSE)</f>
        <v>GAA</v>
      </c>
      <c r="U724" s="319" t="str">
        <f>VLOOKUP(H724,'Fund Utilization Report'!$A$4:$U$1800,3,FALSE)</f>
        <v>FY2021, RA11518</v>
      </c>
      <c r="V724" s="319" t="str">
        <f>VLOOKUP(H724,'Fund Utilization Report'!$A$4:$U$1800,4,FALSE)</f>
        <v>OO3</v>
      </c>
      <c r="W724" s="319" t="str">
        <f>VLOOKUP(H724,'Fund Utilization Report'!$A$4:$U$1800,5,FALSE)</f>
        <v>01101101</v>
      </c>
      <c r="X724" s="319" t="str">
        <f>VLOOKUP(H724,'Fund Utilization Report'!$A$4:$U$1800,6,FALSE)</f>
        <v>GOP</v>
      </c>
      <c r="Y724" s="320" t="str">
        <f>VLOOKUP(H724,'Fund Utilization Report'!$A$4:$U$1800,7,FALSE)</f>
        <v>PS</v>
      </c>
      <c r="Z724" s="321">
        <f>VLOOKUP(H724,'Fund Utilization Report'!$A$4:$U$1800,8,FALSE)</f>
        <v>5010000000</v>
      </c>
      <c r="AA724" s="319" t="str">
        <f>VLOOKUP(H724,'Fund Utilization Report'!$A$4:$U$1800,14,FALSE)</f>
        <v>330100100002000</v>
      </c>
      <c r="AB724" s="349" t="str">
        <f>VLOOKUP(H724,'Fund Utilization Report'!$A$4:$U$1800,15,FALSE)</f>
        <v>Implementation of the MSME Development Plan and other initiatives to promote the growth of Micro, Small and Medium Enterprises</v>
      </c>
      <c r="AC724" s="39"/>
      <c r="AD724" s="34"/>
      <c r="AE724" s="39"/>
      <c r="AF724" s="51"/>
      <c r="AG724" s="40"/>
      <c r="AH724" s="40"/>
    </row>
    <row r="725" spans="1:34" s="32" customFormat="1" ht="27.6">
      <c r="A725" s="338" t="s">
        <v>942</v>
      </c>
      <c r="B725" s="338" t="s">
        <v>945</v>
      </c>
      <c r="C725" s="358">
        <v>44238</v>
      </c>
      <c r="D725" s="351" t="s">
        <v>1028</v>
      </c>
      <c r="E725" s="352" t="s">
        <v>1171</v>
      </c>
      <c r="F725" s="338">
        <v>0.56388888888888888</v>
      </c>
      <c r="G725" s="338">
        <v>0.56527777777777777</v>
      </c>
      <c r="H725" s="338" t="s">
        <v>970</v>
      </c>
      <c r="I725" s="353">
        <v>711</v>
      </c>
      <c r="J725" s="338" t="str">
        <f>IFERROR(VLOOKUP(I725,'Chart of accounts'!A:H,2,FALSE),"")</f>
        <v>50102010 01</v>
      </c>
      <c r="K725" s="338" t="str">
        <f>IFERROR(VLOOKUP(I725,'Chart of accounts'!A:H,3,FALSE),"")</f>
        <v>PERA - Civilian</v>
      </c>
      <c r="L725" s="338" t="str">
        <f>IFERROR(VLOOKUP(I725,'Chart of accounts'!A:H,4,FALSE),"")</f>
        <v>50102010 01 - PERA - Civilian (711)</v>
      </c>
      <c r="M725" s="361">
        <v>2</v>
      </c>
      <c r="N725" s="355" t="s">
        <v>1172</v>
      </c>
      <c r="O725" s="355" t="s">
        <v>1166</v>
      </c>
      <c r="P725" s="355"/>
      <c r="Q725" s="363">
        <v>909.09</v>
      </c>
      <c r="R725" s="319">
        <f t="shared" si="16"/>
        <v>-909.09</v>
      </c>
      <c r="S725" s="319" t="str">
        <f>VLOOKUP(H725,'Fund Utilization Report'!$A$4:$U$1800,13,FALSE)</f>
        <v>PS</v>
      </c>
      <c r="T725" s="319" t="str">
        <f>VLOOKUP(H725,'Fund Utilization Report'!$A$4:$U$1800,2,FALSE)</f>
        <v>GAA</v>
      </c>
      <c r="U725" s="319" t="str">
        <f>VLOOKUP(H725,'Fund Utilization Report'!$A$4:$U$1800,3,FALSE)</f>
        <v>FY2021, RA11518</v>
      </c>
      <c r="V725" s="319" t="str">
        <f>VLOOKUP(H725,'Fund Utilization Report'!$A$4:$U$1800,4,FALSE)</f>
        <v>OO3</v>
      </c>
      <c r="W725" s="319" t="str">
        <f>VLOOKUP(H725,'Fund Utilization Report'!$A$4:$U$1800,5,FALSE)</f>
        <v>01101101</v>
      </c>
      <c r="X725" s="319" t="str">
        <f>VLOOKUP(H725,'Fund Utilization Report'!$A$4:$U$1800,6,FALSE)</f>
        <v>GOP</v>
      </c>
      <c r="Y725" s="320" t="str">
        <f>VLOOKUP(H725,'Fund Utilization Report'!$A$4:$U$1800,7,FALSE)</f>
        <v>PS</v>
      </c>
      <c r="Z725" s="321">
        <f>VLOOKUP(H725,'Fund Utilization Report'!$A$4:$U$1800,8,FALSE)</f>
        <v>5010000000</v>
      </c>
      <c r="AA725" s="319" t="str">
        <f>VLOOKUP(H725,'Fund Utilization Report'!$A$4:$U$1800,14,FALSE)</f>
        <v>330100100002000</v>
      </c>
      <c r="AB725" s="349" t="str">
        <f>VLOOKUP(H725,'Fund Utilization Report'!$A$4:$U$1800,15,FALSE)</f>
        <v>Implementation of the MSME Development Plan and other initiatives to promote the growth of Micro, Small and Medium Enterprises</v>
      </c>
      <c r="AC725" s="39"/>
      <c r="AD725" s="34"/>
      <c r="AE725" s="39"/>
      <c r="AF725" s="51"/>
      <c r="AG725" s="40"/>
      <c r="AH725" s="40"/>
    </row>
    <row r="726" spans="1:34" s="32" customFormat="1" ht="27.6">
      <c r="A726" s="338" t="s">
        <v>942</v>
      </c>
      <c r="B726" s="338" t="s">
        <v>945</v>
      </c>
      <c r="C726" s="358">
        <v>44238</v>
      </c>
      <c r="D726" s="351" t="s">
        <v>1028</v>
      </c>
      <c r="E726" s="352" t="s">
        <v>1171</v>
      </c>
      <c r="F726" s="338">
        <v>0.56388888888888888</v>
      </c>
      <c r="G726" s="338">
        <v>0.56527777777777777</v>
      </c>
      <c r="H726" s="338" t="s">
        <v>972</v>
      </c>
      <c r="I726" s="353">
        <v>731</v>
      </c>
      <c r="J726" s="338" t="str">
        <f>IFERROR(VLOOKUP(I726,'Chart of accounts'!A:H,2,FALSE),"")</f>
        <v>50103010 00</v>
      </c>
      <c r="K726" s="338" t="str">
        <f>IFERROR(VLOOKUP(I726,'Chart of accounts'!A:H,3,FALSE),"")</f>
        <v>Retirement and Life Insurance Premiums</v>
      </c>
      <c r="L726" s="338" t="str">
        <f>IFERROR(VLOOKUP(I726,'Chart of accounts'!A:H,4,FALSE),"")</f>
        <v>50103010 00 - Retirement and Life Insurance Premiums (731)</v>
      </c>
      <c r="M726" s="361">
        <v>2</v>
      </c>
      <c r="N726" s="355" t="s">
        <v>1172</v>
      </c>
      <c r="O726" s="355" t="s">
        <v>1166</v>
      </c>
      <c r="P726" s="355"/>
      <c r="Q726" s="363">
        <v>1293.98</v>
      </c>
      <c r="R726" s="319">
        <f t="shared" si="16"/>
        <v>-1293.98</v>
      </c>
      <c r="S726" s="319" t="str">
        <f>VLOOKUP(H726,'Fund Utilization Report'!$A$4:$U$1800,13,FALSE)</f>
        <v>PS</v>
      </c>
      <c r="T726" s="319" t="str">
        <f>VLOOKUP(H726,'Fund Utilization Report'!$A$4:$U$1800,2,FALSE)</f>
        <v>GAA</v>
      </c>
      <c r="U726" s="319" t="str">
        <f>VLOOKUP(H726,'Fund Utilization Report'!$A$4:$U$1800,3,FALSE)</f>
        <v>FY2021, RA11518</v>
      </c>
      <c r="V726" s="319" t="str">
        <f>VLOOKUP(H726,'Fund Utilization Report'!$A$4:$U$1800,4,FALSE)</f>
        <v>OO3</v>
      </c>
      <c r="W726" s="319" t="str">
        <f>VLOOKUP(H726,'Fund Utilization Report'!$A$4:$U$1800,5,FALSE)</f>
        <v>01101101</v>
      </c>
      <c r="X726" s="319" t="str">
        <f>VLOOKUP(H726,'Fund Utilization Report'!$A$4:$U$1800,6,FALSE)</f>
        <v>GOP</v>
      </c>
      <c r="Y726" s="320" t="str">
        <f>VLOOKUP(H726,'Fund Utilization Report'!$A$4:$U$1800,7,FALSE)</f>
        <v>RLIP</v>
      </c>
      <c r="Z726" s="321" t="str">
        <f>VLOOKUP(H726,'Fund Utilization Report'!$A$4:$U$1800,8,FALSE)</f>
        <v>50103010-00</v>
      </c>
      <c r="AA726" s="319" t="str">
        <f>VLOOKUP(H726,'Fund Utilization Report'!$A$4:$U$1800,14,FALSE)</f>
        <v>330100100002000</v>
      </c>
      <c r="AB726" s="349" t="str">
        <f>VLOOKUP(H726,'Fund Utilization Report'!$A$4:$U$1800,15,FALSE)</f>
        <v>Implementation of the MSME Development Plan and other initiatives to promote the growth of Micro, Small and Medium Enterprises</v>
      </c>
      <c r="AC726" s="39"/>
      <c r="AD726" s="34"/>
      <c r="AE726" s="39"/>
      <c r="AF726" s="51"/>
      <c r="AG726" s="40"/>
      <c r="AH726" s="40"/>
    </row>
    <row r="727" spans="1:34" s="32" customFormat="1" ht="27.6">
      <c r="A727" s="338" t="s">
        <v>942</v>
      </c>
      <c r="B727" s="338" t="s">
        <v>945</v>
      </c>
      <c r="C727" s="358">
        <v>44238</v>
      </c>
      <c r="D727" s="351" t="s">
        <v>1028</v>
      </c>
      <c r="E727" s="352" t="s">
        <v>1171</v>
      </c>
      <c r="F727" s="338">
        <v>0.56388888888888888</v>
      </c>
      <c r="G727" s="338">
        <v>0.56527777777777777</v>
      </c>
      <c r="H727" s="338" t="s">
        <v>970</v>
      </c>
      <c r="I727" s="353">
        <v>732</v>
      </c>
      <c r="J727" s="338" t="str">
        <f>IFERROR(VLOOKUP(I727,'Chart of accounts'!A:H,2,FALSE),"")</f>
        <v>50103020 01</v>
      </c>
      <c r="K727" s="338" t="str">
        <f>IFERROR(VLOOKUP(I727,'Chart of accounts'!A:H,3,FALSE),"")</f>
        <v>Pag-IBIG - Civilian</v>
      </c>
      <c r="L727" s="338" t="str">
        <f>IFERROR(VLOOKUP(I727,'Chart of accounts'!A:H,4,FALSE),"")</f>
        <v>50103020 01 - Pag-IBIG - Civilian (732)</v>
      </c>
      <c r="M727" s="361">
        <v>2</v>
      </c>
      <c r="N727" s="355" t="s">
        <v>1172</v>
      </c>
      <c r="O727" s="355" t="s">
        <v>1166</v>
      </c>
      <c r="P727" s="355"/>
      <c r="Q727" s="363">
        <v>100</v>
      </c>
      <c r="R727" s="319">
        <f t="shared" si="16"/>
        <v>-100</v>
      </c>
      <c r="S727" s="319" t="str">
        <f>VLOOKUP(H727,'Fund Utilization Report'!$A$4:$U$1800,13,FALSE)</f>
        <v>PS</v>
      </c>
      <c r="T727" s="319" t="str">
        <f>VLOOKUP(H727,'Fund Utilization Report'!$A$4:$U$1800,2,FALSE)</f>
        <v>GAA</v>
      </c>
      <c r="U727" s="319" t="str">
        <f>VLOOKUP(H727,'Fund Utilization Report'!$A$4:$U$1800,3,FALSE)</f>
        <v>FY2021, RA11518</v>
      </c>
      <c r="V727" s="319" t="str">
        <f>VLOOKUP(H727,'Fund Utilization Report'!$A$4:$U$1800,4,FALSE)</f>
        <v>OO3</v>
      </c>
      <c r="W727" s="319" t="str">
        <f>VLOOKUP(H727,'Fund Utilization Report'!$A$4:$U$1800,5,FALSE)</f>
        <v>01101101</v>
      </c>
      <c r="X727" s="319" t="str">
        <f>VLOOKUP(H727,'Fund Utilization Report'!$A$4:$U$1800,6,FALSE)</f>
        <v>GOP</v>
      </c>
      <c r="Y727" s="320" t="str">
        <f>VLOOKUP(H727,'Fund Utilization Report'!$A$4:$U$1800,7,FALSE)</f>
        <v>PS</v>
      </c>
      <c r="Z727" s="321">
        <f>VLOOKUP(H727,'Fund Utilization Report'!$A$4:$U$1800,8,FALSE)</f>
        <v>5010000000</v>
      </c>
      <c r="AA727" s="319" t="str">
        <f>VLOOKUP(H727,'Fund Utilization Report'!$A$4:$U$1800,14,FALSE)</f>
        <v>330100100002000</v>
      </c>
      <c r="AB727" s="349" t="str">
        <f>VLOOKUP(H727,'Fund Utilization Report'!$A$4:$U$1800,15,FALSE)</f>
        <v>Implementation of the MSME Development Plan and other initiatives to promote the growth of Micro, Small and Medium Enterprises</v>
      </c>
      <c r="AC727" s="39"/>
      <c r="AD727" s="34"/>
      <c r="AE727" s="39"/>
      <c r="AF727" s="51"/>
      <c r="AG727" s="40"/>
      <c r="AH727" s="40"/>
    </row>
    <row r="728" spans="1:34" s="32" customFormat="1" ht="27.6">
      <c r="A728" s="338" t="s">
        <v>942</v>
      </c>
      <c r="B728" s="338" t="s">
        <v>945</v>
      </c>
      <c r="C728" s="358">
        <v>44238</v>
      </c>
      <c r="D728" s="351" t="s">
        <v>1028</v>
      </c>
      <c r="E728" s="352" t="s">
        <v>1171</v>
      </c>
      <c r="F728" s="338">
        <v>0.56388888888888888</v>
      </c>
      <c r="G728" s="338">
        <v>0.56527777777777777</v>
      </c>
      <c r="H728" s="338" t="s">
        <v>970</v>
      </c>
      <c r="I728" s="353">
        <v>733</v>
      </c>
      <c r="J728" s="338" t="str">
        <f>IFERROR(VLOOKUP(I728,'Chart of accounts'!A:H,2,FALSE),"")</f>
        <v>50103030 01</v>
      </c>
      <c r="K728" s="338" t="str">
        <f>IFERROR(VLOOKUP(I728,'Chart of accounts'!A:H,3,FALSE),"")</f>
        <v>PhilHealth - Civilian</v>
      </c>
      <c r="L728" s="338" t="str">
        <f>IFERROR(VLOOKUP(I728,'Chart of accounts'!A:H,4,FALSE),"")</f>
        <v>50103030 01 - PhilHealth - Civilian (733)</v>
      </c>
      <c r="M728" s="361">
        <v>2</v>
      </c>
      <c r="N728" s="355" t="s">
        <v>1172</v>
      </c>
      <c r="O728" s="355" t="s">
        <v>1166</v>
      </c>
      <c r="P728" s="355"/>
      <c r="Q728" s="363">
        <v>358.16</v>
      </c>
      <c r="R728" s="319">
        <f t="shared" si="16"/>
        <v>-358.16</v>
      </c>
      <c r="S728" s="319" t="str">
        <f>VLOOKUP(H728,'Fund Utilization Report'!$A$4:$U$1800,13,FALSE)</f>
        <v>PS</v>
      </c>
      <c r="T728" s="319" t="str">
        <f>VLOOKUP(H728,'Fund Utilization Report'!$A$4:$U$1800,2,FALSE)</f>
        <v>GAA</v>
      </c>
      <c r="U728" s="319" t="str">
        <f>VLOOKUP(H728,'Fund Utilization Report'!$A$4:$U$1800,3,FALSE)</f>
        <v>FY2021, RA11518</v>
      </c>
      <c r="V728" s="319" t="str">
        <f>VLOOKUP(H728,'Fund Utilization Report'!$A$4:$U$1800,4,FALSE)</f>
        <v>OO3</v>
      </c>
      <c r="W728" s="319" t="str">
        <f>VLOOKUP(H728,'Fund Utilization Report'!$A$4:$U$1800,5,FALSE)</f>
        <v>01101101</v>
      </c>
      <c r="X728" s="319" t="str">
        <f>VLOOKUP(H728,'Fund Utilization Report'!$A$4:$U$1800,6,FALSE)</f>
        <v>GOP</v>
      </c>
      <c r="Y728" s="320" t="str">
        <f>VLOOKUP(H728,'Fund Utilization Report'!$A$4:$U$1800,7,FALSE)</f>
        <v>PS</v>
      </c>
      <c r="Z728" s="321">
        <f>VLOOKUP(H728,'Fund Utilization Report'!$A$4:$U$1800,8,FALSE)</f>
        <v>5010000000</v>
      </c>
      <c r="AA728" s="319" t="str">
        <f>VLOOKUP(H728,'Fund Utilization Report'!$A$4:$U$1800,14,FALSE)</f>
        <v>330100100002000</v>
      </c>
      <c r="AB728" s="349" t="str">
        <f>VLOOKUP(H728,'Fund Utilization Report'!$A$4:$U$1800,15,FALSE)</f>
        <v>Implementation of the MSME Development Plan and other initiatives to promote the growth of Micro, Small and Medium Enterprises</v>
      </c>
      <c r="AC728" s="39"/>
      <c r="AD728" s="34"/>
      <c r="AE728" s="39"/>
      <c r="AF728" s="51"/>
      <c r="AG728" s="40"/>
      <c r="AH728" s="40"/>
    </row>
    <row r="729" spans="1:34" s="32" customFormat="1" ht="27.6">
      <c r="A729" s="338" t="s">
        <v>942</v>
      </c>
      <c r="B729" s="338" t="s">
        <v>945</v>
      </c>
      <c r="C729" s="358">
        <v>44238</v>
      </c>
      <c r="D729" s="351" t="s">
        <v>1028</v>
      </c>
      <c r="E729" s="352" t="s">
        <v>1171</v>
      </c>
      <c r="F729" s="338">
        <v>0.56388888888888888</v>
      </c>
      <c r="G729" s="338">
        <v>0.56527777777777777</v>
      </c>
      <c r="H729" s="338" t="s">
        <v>970</v>
      </c>
      <c r="I729" s="353">
        <v>734</v>
      </c>
      <c r="J729" s="338" t="str">
        <f>IFERROR(VLOOKUP(I729,'Chart of accounts'!A:H,2,FALSE),"")</f>
        <v>50103040 01</v>
      </c>
      <c r="K729" s="338" t="str">
        <f>IFERROR(VLOOKUP(I729,'Chart of accounts'!A:H,3,FALSE),"")</f>
        <v>ECIP - Civilian</v>
      </c>
      <c r="L729" s="338" t="str">
        <f>IFERROR(VLOOKUP(I729,'Chart of accounts'!A:H,4,FALSE),"")</f>
        <v>50103040 01 - ECIP - Civilian (734)</v>
      </c>
      <c r="M729" s="361">
        <v>2</v>
      </c>
      <c r="N729" s="355" t="s">
        <v>1172</v>
      </c>
      <c r="O729" s="355" t="s">
        <v>1166</v>
      </c>
      <c r="P729" s="355"/>
      <c r="Q729" s="363">
        <v>100</v>
      </c>
      <c r="R729" s="319">
        <f t="shared" si="16"/>
        <v>-100</v>
      </c>
      <c r="S729" s="319" t="str">
        <f>VLOOKUP(H729,'Fund Utilization Report'!$A$4:$U$1800,13,FALSE)</f>
        <v>PS</v>
      </c>
      <c r="T729" s="319" t="str">
        <f>VLOOKUP(H729,'Fund Utilization Report'!$A$4:$U$1800,2,FALSE)</f>
        <v>GAA</v>
      </c>
      <c r="U729" s="319" t="str">
        <f>VLOOKUP(H729,'Fund Utilization Report'!$A$4:$U$1800,3,FALSE)</f>
        <v>FY2021, RA11518</v>
      </c>
      <c r="V729" s="319" t="str">
        <f>VLOOKUP(H729,'Fund Utilization Report'!$A$4:$U$1800,4,FALSE)</f>
        <v>OO3</v>
      </c>
      <c r="W729" s="319" t="str">
        <f>VLOOKUP(H729,'Fund Utilization Report'!$A$4:$U$1800,5,FALSE)</f>
        <v>01101101</v>
      </c>
      <c r="X729" s="319" t="str">
        <f>VLOOKUP(H729,'Fund Utilization Report'!$A$4:$U$1800,6,FALSE)</f>
        <v>GOP</v>
      </c>
      <c r="Y729" s="320" t="str">
        <f>VLOOKUP(H729,'Fund Utilization Report'!$A$4:$U$1800,7,FALSE)</f>
        <v>PS</v>
      </c>
      <c r="Z729" s="321">
        <f>VLOOKUP(H729,'Fund Utilization Report'!$A$4:$U$1800,8,FALSE)</f>
        <v>5010000000</v>
      </c>
      <c r="AA729" s="319" t="str">
        <f>VLOOKUP(H729,'Fund Utilization Report'!$A$4:$U$1800,14,FALSE)</f>
        <v>330100100002000</v>
      </c>
      <c r="AB729" s="349" t="str">
        <f>VLOOKUP(H729,'Fund Utilization Report'!$A$4:$U$1800,15,FALSE)</f>
        <v>Implementation of the MSME Development Plan and other initiatives to promote the growth of Micro, Small and Medium Enterprises</v>
      </c>
      <c r="AC729" s="39"/>
      <c r="AD729" s="34"/>
      <c r="AE729" s="39"/>
      <c r="AF729" s="51"/>
      <c r="AG729" s="40"/>
      <c r="AH729" s="40"/>
    </row>
    <row r="730" spans="1:34" s="32" customFormat="1" ht="27.6">
      <c r="A730" s="338" t="s">
        <v>942</v>
      </c>
      <c r="B730" s="338" t="s">
        <v>945</v>
      </c>
      <c r="C730" s="358">
        <v>44238</v>
      </c>
      <c r="D730" s="351" t="s">
        <v>1028</v>
      </c>
      <c r="E730" s="352" t="s">
        <v>1173</v>
      </c>
      <c r="F730" s="338">
        <v>0.56527777777777777</v>
      </c>
      <c r="G730" s="338">
        <v>0.56666666666666665</v>
      </c>
      <c r="H730" s="338" t="s">
        <v>970</v>
      </c>
      <c r="I730" s="353">
        <v>701</v>
      </c>
      <c r="J730" s="338" t="str">
        <f>IFERROR(VLOOKUP(I730,'Chart of accounts'!A:H,2,FALSE),"")</f>
        <v>50101010 01</v>
      </c>
      <c r="K730" s="338" t="str">
        <f>IFERROR(VLOOKUP(I730,'Chart of accounts'!A:H,3,FALSE),"")</f>
        <v>Basic Salary - Civilian</v>
      </c>
      <c r="L730" s="338" t="str">
        <f>IFERROR(VLOOKUP(I730,'Chart of accounts'!A:H,4,FALSE),"")</f>
        <v>50101010 01 - Basic Salary - Civilian (701)</v>
      </c>
      <c r="M730" s="361">
        <v>85</v>
      </c>
      <c r="N730" s="355" t="s">
        <v>1174</v>
      </c>
      <c r="O730" s="355" t="s">
        <v>1166</v>
      </c>
      <c r="P730" s="355"/>
      <c r="Q730" s="363">
        <v>10853.18</v>
      </c>
      <c r="R730" s="319">
        <f t="shared" ref="R730:R735" si="17">P730-Q730</f>
        <v>-10853.18</v>
      </c>
      <c r="S730" s="319" t="str">
        <f>VLOOKUP(H730,'Fund Utilization Report'!$A$4:$U$1800,13,FALSE)</f>
        <v>PS</v>
      </c>
      <c r="T730" s="319" t="str">
        <f>VLOOKUP(H730,'Fund Utilization Report'!$A$4:$U$1800,2,FALSE)</f>
        <v>GAA</v>
      </c>
      <c r="U730" s="319" t="str">
        <f>VLOOKUP(H730,'Fund Utilization Report'!$A$4:$U$1800,3,FALSE)</f>
        <v>FY2021, RA11518</v>
      </c>
      <c r="V730" s="319" t="str">
        <f>VLOOKUP(H730,'Fund Utilization Report'!$A$4:$U$1800,4,FALSE)</f>
        <v>OO3</v>
      </c>
      <c r="W730" s="319" t="str">
        <f>VLOOKUP(H730,'Fund Utilization Report'!$A$4:$U$1800,5,FALSE)</f>
        <v>01101101</v>
      </c>
      <c r="X730" s="319" t="str">
        <f>VLOOKUP(H730,'Fund Utilization Report'!$A$4:$U$1800,6,FALSE)</f>
        <v>GOP</v>
      </c>
      <c r="Y730" s="320" t="str">
        <f>VLOOKUP(H730,'Fund Utilization Report'!$A$4:$U$1800,7,FALSE)</f>
        <v>PS</v>
      </c>
      <c r="Z730" s="321">
        <f>VLOOKUP(H730,'Fund Utilization Report'!$A$4:$U$1800,8,FALSE)</f>
        <v>5010000000</v>
      </c>
      <c r="AA730" s="319" t="str">
        <f>VLOOKUP(H730,'Fund Utilization Report'!$A$4:$U$1800,14,FALSE)</f>
        <v>330100100002000</v>
      </c>
      <c r="AB730" s="349" t="str">
        <f>VLOOKUP(H730,'Fund Utilization Report'!$A$4:$U$1800,15,FALSE)</f>
        <v>Implementation of the MSME Development Plan and other initiatives to promote the growth of Micro, Small and Medium Enterprises</v>
      </c>
      <c r="AC730" s="39"/>
      <c r="AD730" s="34"/>
      <c r="AE730" s="39"/>
      <c r="AF730" s="51"/>
      <c r="AG730" s="40"/>
      <c r="AH730" s="40"/>
    </row>
    <row r="731" spans="1:34" s="32" customFormat="1" ht="27.6">
      <c r="A731" s="338" t="s">
        <v>942</v>
      </c>
      <c r="B731" s="338" t="s">
        <v>945</v>
      </c>
      <c r="C731" s="358">
        <v>44238</v>
      </c>
      <c r="D731" s="351" t="s">
        <v>1028</v>
      </c>
      <c r="E731" s="352" t="s">
        <v>1173</v>
      </c>
      <c r="F731" s="338">
        <v>0.56527777777777777</v>
      </c>
      <c r="G731" s="338">
        <v>0.56666666666666665</v>
      </c>
      <c r="H731" s="338" t="s">
        <v>970</v>
      </c>
      <c r="I731" s="353">
        <v>711</v>
      </c>
      <c r="J731" s="338" t="str">
        <f>IFERROR(VLOOKUP(I731,'Chart of accounts'!A:H,2,FALSE),"")</f>
        <v>50102010 01</v>
      </c>
      <c r="K731" s="338" t="str">
        <f>IFERROR(VLOOKUP(I731,'Chart of accounts'!A:H,3,FALSE),"")</f>
        <v>PERA - Civilian</v>
      </c>
      <c r="L731" s="338" t="str">
        <f>IFERROR(VLOOKUP(I731,'Chart of accounts'!A:H,4,FALSE),"")</f>
        <v>50102010 01 - PERA - Civilian (711)</v>
      </c>
      <c r="M731" s="361">
        <v>85</v>
      </c>
      <c r="N731" s="355" t="s">
        <v>1174</v>
      </c>
      <c r="O731" s="355" t="s">
        <v>1166</v>
      </c>
      <c r="P731" s="355"/>
      <c r="Q731" s="363">
        <v>909.09</v>
      </c>
      <c r="R731" s="319">
        <f t="shared" si="17"/>
        <v>-909.09</v>
      </c>
      <c r="S731" s="319" t="str">
        <f>VLOOKUP(H731,'Fund Utilization Report'!$A$4:$U$1800,13,FALSE)</f>
        <v>PS</v>
      </c>
      <c r="T731" s="319" t="str">
        <f>VLOOKUP(H731,'Fund Utilization Report'!$A$4:$U$1800,2,FALSE)</f>
        <v>GAA</v>
      </c>
      <c r="U731" s="319" t="str">
        <f>VLOOKUP(H731,'Fund Utilization Report'!$A$4:$U$1800,3,FALSE)</f>
        <v>FY2021, RA11518</v>
      </c>
      <c r="V731" s="319" t="str">
        <f>VLOOKUP(H731,'Fund Utilization Report'!$A$4:$U$1800,4,FALSE)</f>
        <v>OO3</v>
      </c>
      <c r="W731" s="319" t="str">
        <f>VLOOKUP(H731,'Fund Utilization Report'!$A$4:$U$1800,5,FALSE)</f>
        <v>01101101</v>
      </c>
      <c r="X731" s="319" t="str">
        <f>VLOOKUP(H731,'Fund Utilization Report'!$A$4:$U$1800,6,FALSE)</f>
        <v>GOP</v>
      </c>
      <c r="Y731" s="320" t="str">
        <f>VLOOKUP(H731,'Fund Utilization Report'!$A$4:$U$1800,7,FALSE)</f>
        <v>PS</v>
      </c>
      <c r="Z731" s="321">
        <f>VLOOKUP(H731,'Fund Utilization Report'!$A$4:$U$1800,8,FALSE)</f>
        <v>5010000000</v>
      </c>
      <c r="AA731" s="319" t="str">
        <f>VLOOKUP(H731,'Fund Utilization Report'!$A$4:$U$1800,14,FALSE)</f>
        <v>330100100002000</v>
      </c>
      <c r="AB731" s="349" t="str">
        <f>VLOOKUP(H731,'Fund Utilization Report'!$A$4:$U$1800,15,FALSE)</f>
        <v>Implementation of the MSME Development Plan and other initiatives to promote the growth of Micro, Small and Medium Enterprises</v>
      </c>
      <c r="AC731" s="39"/>
      <c r="AD731" s="34"/>
      <c r="AE731" s="39"/>
      <c r="AF731" s="51"/>
      <c r="AG731" s="40"/>
      <c r="AH731" s="40"/>
    </row>
    <row r="732" spans="1:34" s="32" customFormat="1" ht="27.6">
      <c r="A732" s="338" t="s">
        <v>942</v>
      </c>
      <c r="B732" s="338" t="s">
        <v>945</v>
      </c>
      <c r="C732" s="358">
        <v>44238</v>
      </c>
      <c r="D732" s="351" t="s">
        <v>1028</v>
      </c>
      <c r="E732" s="352" t="s">
        <v>1173</v>
      </c>
      <c r="F732" s="338">
        <v>0.56527777777777777</v>
      </c>
      <c r="G732" s="338">
        <v>0.56666666666666665</v>
      </c>
      <c r="H732" s="338" t="s">
        <v>972</v>
      </c>
      <c r="I732" s="353">
        <v>731</v>
      </c>
      <c r="J732" s="338" t="str">
        <f>IFERROR(VLOOKUP(I732,'Chart of accounts'!A:H,2,FALSE),"")</f>
        <v>50103010 00</v>
      </c>
      <c r="K732" s="338" t="str">
        <f>IFERROR(VLOOKUP(I732,'Chart of accounts'!A:H,3,FALSE),"")</f>
        <v>Retirement and Life Insurance Premiums</v>
      </c>
      <c r="L732" s="338" t="str">
        <f>IFERROR(VLOOKUP(I732,'Chart of accounts'!A:H,4,FALSE),"")</f>
        <v>50103010 00 - Retirement and Life Insurance Premiums (731)</v>
      </c>
      <c r="M732" s="361">
        <v>85</v>
      </c>
      <c r="N732" s="355" t="s">
        <v>1174</v>
      </c>
      <c r="O732" s="355" t="s">
        <v>1166</v>
      </c>
      <c r="P732" s="355"/>
      <c r="Q732" s="363">
        <v>1293.98</v>
      </c>
      <c r="R732" s="319">
        <f t="shared" si="17"/>
        <v>-1293.98</v>
      </c>
      <c r="S732" s="319" t="str">
        <f>VLOOKUP(H732,'Fund Utilization Report'!$A$4:$U$1800,13,FALSE)</f>
        <v>PS</v>
      </c>
      <c r="T732" s="319" t="str">
        <f>VLOOKUP(H732,'Fund Utilization Report'!$A$4:$U$1800,2,FALSE)</f>
        <v>GAA</v>
      </c>
      <c r="U732" s="319" t="str">
        <f>VLOOKUP(H732,'Fund Utilization Report'!$A$4:$U$1800,3,FALSE)</f>
        <v>FY2021, RA11518</v>
      </c>
      <c r="V732" s="319" t="str">
        <f>VLOOKUP(H732,'Fund Utilization Report'!$A$4:$U$1800,4,FALSE)</f>
        <v>OO3</v>
      </c>
      <c r="W732" s="319" t="str">
        <f>VLOOKUP(H732,'Fund Utilization Report'!$A$4:$U$1800,5,FALSE)</f>
        <v>01101101</v>
      </c>
      <c r="X732" s="319" t="str">
        <f>VLOOKUP(H732,'Fund Utilization Report'!$A$4:$U$1800,6,FALSE)</f>
        <v>GOP</v>
      </c>
      <c r="Y732" s="320" t="str">
        <f>VLOOKUP(H732,'Fund Utilization Report'!$A$4:$U$1800,7,FALSE)</f>
        <v>RLIP</v>
      </c>
      <c r="Z732" s="321" t="str">
        <f>VLOOKUP(H732,'Fund Utilization Report'!$A$4:$U$1800,8,FALSE)</f>
        <v>50103010-00</v>
      </c>
      <c r="AA732" s="319" t="str">
        <f>VLOOKUP(H732,'Fund Utilization Report'!$A$4:$U$1800,14,FALSE)</f>
        <v>330100100002000</v>
      </c>
      <c r="AB732" s="349" t="str">
        <f>VLOOKUP(H732,'Fund Utilization Report'!$A$4:$U$1800,15,FALSE)</f>
        <v>Implementation of the MSME Development Plan and other initiatives to promote the growth of Micro, Small and Medium Enterprises</v>
      </c>
      <c r="AC732" s="39"/>
      <c r="AD732" s="34"/>
      <c r="AE732" s="39"/>
      <c r="AF732" s="51"/>
      <c r="AG732" s="40"/>
      <c r="AH732" s="40"/>
    </row>
    <row r="733" spans="1:34" s="32" customFormat="1" ht="27.6">
      <c r="A733" s="338" t="s">
        <v>942</v>
      </c>
      <c r="B733" s="338" t="s">
        <v>945</v>
      </c>
      <c r="C733" s="358">
        <v>44238</v>
      </c>
      <c r="D733" s="351" t="s">
        <v>1028</v>
      </c>
      <c r="E733" s="352" t="s">
        <v>1173</v>
      </c>
      <c r="F733" s="338">
        <v>0.56527777777777777</v>
      </c>
      <c r="G733" s="338">
        <v>0.56666666666666665</v>
      </c>
      <c r="H733" s="338" t="s">
        <v>970</v>
      </c>
      <c r="I733" s="353">
        <v>732</v>
      </c>
      <c r="J733" s="338" t="str">
        <f>IFERROR(VLOOKUP(I733,'Chart of accounts'!A:H,2,FALSE),"")</f>
        <v>50103020 01</v>
      </c>
      <c r="K733" s="338" t="str">
        <f>IFERROR(VLOOKUP(I733,'Chart of accounts'!A:H,3,FALSE),"")</f>
        <v>Pag-IBIG - Civilian</v>
      </c>
      <c r="L733" s="338" t="str">
        <f>IFERROR(VLOOKUP(I733,'Chart of accounts'!A:H,4,FALSE),"")</f>
        <v>50103020 01 - Pag-IBIG - Civilian (732)</v>
      </c>
      <c r="M733" s="361">
        <v>85</v>
      </c>
      <c r="N733" s="355" t="s">
        <v>1174</v>
      </c>
      <c r="O733" s="355" t="s">
        <v>1166</v>
      </c>
      <c r="P733" s="355"/>
      <c r="Q733" s="363">
        <v>100</v>
      </c>
      <c r="R733" s="319">
        <f t="shared" si="17"/>
        <v>-100</v>
      </c>
      <c r="S733" s="319" t="str">
        <f>VLOOKUP(H733,'Fund Utilization Report'!$A$4:$U$1800,13,FALSE)</f>
        <v>PS</v>
      </c>
      <c r="T733" s="319" t="str">
        <f>VLOOKUP(H733,'Fund Utilization Report'!$A$4:$U$1800,2,FALSE)</f>
        <v>GAA</v>
      </c>
      <c r="U733" s="319" t="str">
        <f>VLOOKUP(H733,'Fund Utilization Report'!$A$4:$U$1800,3,FALSE)</f>
        <v>FY2021, RA11518</v>
      </c>
      <c r="V733" s="319" t="str">
        <f>VLOOKUP(H733,'Fund Utilization Report'!$A$4:$U$1800,4,FALSE)</f>
        <v>OO3</v>
      </c>
      <c r="W733" s="319" t="str">
        <f>VLOOKUP(H733,'Fund Utilization Report'!$A$4:$U$1800,5,FALSE)</f>
        <v>01101101</v>
      </c>
      <c r="X733" s="319" t="str">
        <f>VLOOKUP(H733,'Fund Utilization Report'!$A$4:$U$1800,6,FALSE)</f>
        <v>GOP</v>
      </c>
      <c r="Y733" s="320" t="str">
        <f>VLOOKUP(H733,'Fund Utilization Report'!$A$4:$U$1800,7,FALSE)</f>
        <v>PS</v>
      </c>
      <c r="Z733" s="321">
        <f>VLOOKUP(H733,'Fund Utilization Report'!$A$4:$U$1800,8,FALSE)</f>
        <v>5010000000</v>
      </c>
      <c r="AA733" s="319" t="str">
        <f>VLOOKUP(H733,'Fund Utilization Report'!$A$4:$U$1800,14,FALSE)</f>
        <v>330100100002000</v>
      </c>
      <c r="AB733" s="349" t="str">
        <f>VLOOKUP(H733,'Fund Utilization Report'!$A$4:$U$1800,15,FALSE)</f>
        <v>Implementation of the MSME Development Plan and other initiatives to promote the growth of Micro, Small and Medium Enterprises</v>
      </c>
      <c r="AC733" s="39"/>
      <c r="AD733" s="34"/>
      <c r="AE733" s="39"/>
      <c r="AF733" s="51"/>
      <c r="AG733" s="40"/>
      <c r="AH733" s="40"/>
    </row>
    <row r="734" spans="1:34" s="32" customFormat="1" ht="27.6">
      <c r="A734" s="338" t="s">
        <v>942</v>
      </c>
      <c r="B734" s="338" t="s">
        <v>945</v>
      </c>
      <c r="C734" s="358">
        <v>44238</v>
      </c>
      <c r="D734" s="351" t="s">
        <v>1028</v>
      </c>
      <c r="E734" s="352" t="s">
        <v>1173</v>
      </c>
      <c r="F734" s="338">
        <v>0.56527777777777777</v>
      </c>
      <c r="G734" s="338">
        <v>0.56666666666666665</v>
      </c>
      <c r="H734" s="338" t="s">
        <v>970</v>
      </c>
      <c r="I734" s="353">
        <v>733</v>
      </c>
      <c r="J734" s="338" t="str">
        <f>IFERROR(VLOOKUP(I734,'Chart of accounts'!A:H,2,FALSE),"")</f>
        <v>50103030 01</v>
      </c>
      <c r="K734" s="338" t="str">
        <f>IFERROR(VLOOKUP(I734,'Chart of accounts'!A:H,3,FALSE),"")</f>
        <v>PhilHealth - Civilian</v>
      </c>
      <c r="L734" s="338" t="str">
        <f>IFERROR(VLOOKUP(I734,'Chart of accounts'!A:H,4,FALSE),"")</f>
        <v>50103030 01 - PhilHealth - Civilian (733)</v>
      </c>
      <c r="M734" s="361">
        <v>85</v>
      </c>
      <c r="N734" s="355" t="s">
        <v>1174</v>
      </c>
      <c r="O734" s="355" t="s">
        <v>1166</v>
      </c>
      <c r="P734" s="355"/>
      <c r="Q734" s="363">
        <v>358.16</v>
      </c>
      <c r="R734" s="319">
        <f t="shared" si="17"/>
        <v>-358.16</v>
      </c>
      <c r="S734" s="319" t="str">
        <f>VLOOKUP(H734,'Fund Utilization Report'!$A$4:$U$1800,13,FALSE)</f>
        <v>PS</v>
      </c>
      <c r="T734" s="319" t="str">
        <f>VLOOKUP(H734,'Fund Utilization Report'!$A$4:$U$1800,2,FALSE)</f>
        <v>GAA</v>
      </c>
      <c r="U734" s="319" t="str">
        <f>VLOOKUP(H734,'Fund Utilization Report'!$A$4:$U$1800,3,FALSE)</f>
        <v>FY2021, RA11518</v>
      </c>
      <c r="V734" s="319" t="str">
        <f>VLOOKUP(H734,'Fund Utilization Report'!$A$4:$U$1800,4,FALSE)</f>
        <v>OO3</v>
      </c>
      <c r="W734" s="319" t="str">
        <f>VLOOKUP(H734,'Fund Utilization Report'!$A$4:$U$1800,5,FALSE)</f>
        <v>01101101</v>
      </c>
      <c r="X734" s="319" t="str">
        <f>VLOOKUP(H734,'Fund Utilization Report'!$A$4:$U$1800,6,FALSE)</f>
        <v>GOP</v>
      </c>
      <c r="Y734" s="320" t="str">
        <f>VLOOKUP(H734,'Fund Utilization Report'!$A$4:$U$1800,7,FALSE)</f>
        <v>PS</v>
      </c>
      <c r="Z734" s="321">
        <f>VLOOKUP(H734,'Fund Utilization Report'!$A$4:$U$1800,8,FALSE)</f>
        <v>5010000000</v>
      </c>
      <c r="AA734" s="319" t="str">
        <f>VLOOKUP(H734,'Fund Utilization Report'!$A$4:$U$1800,14,FALSE)</f>
        <v>330100100002000</v>
      </c>
      <c r="AB734" s="349" t="str">
        <f>VLOOKUP(H734,'Fund Utilization Report'!$A$4:$U$1800,15,FALSE)</f>
        <v>Implementation of the MSME Development Plan and other initiatives to promote the growth of Micro, Small and Medium Enterprises</v>
      </c>
      <c r="AC734" s="39"/>
      <c r="AD734" s="34"/>
      <c r="AE734" s="39"/>
      <c r="AF734" s="51"/>
      <c r="AG734" s="40"/>
      <c r="AH734" s="40"/>
    </row>
    <row r="735" spans="1:34" s="32" customFormat="1" ht="27.6">
      <c r="A735" s="338" t="s">
        <v>942</v>
      </c>
      <c r="B735" s="338" t="s">
        <v>945</v>
      </c>
      <c r="C735" s="358">
        <v>44238</v>
      </c>
      <c r="D735" s="351" t="s">
        <v>1028</v>
      </c>
      <c r="E735" s="352" t="s">
        <v>1173</v>
      </c>
      <c r="F735" s="338">
        <v>0.56527777777777777</v>
      </c>
      <c r="G735" s="338">
        <v>0.56666666666666665</v>
      </c>
      <c r="H735" s="338" t="s">
        <v>970</v>
      </c>
      <c r="I735" s="353">
        <v>734</v>
      </c>
      <c r="J735" s="338" t="str">
        <f>IFERROR(VLOOKUP(I735,'Chart of accounts'!A:H,2,FALSE),"")</f>
        <v>50103040 01</v>
      </c>
      <c r="K735" s="338" t="str">
        <f>IFERROR(VLOOKUP(I735,'Chart of accounts'!A:H,3,FALSE),"")</f>
        <v>ECIP - Civilian</v>
      </c>
      <c r="L735" s="338" t="str">
        <f>IFERROR(VLOOKUP(I735,'Chart of accounts'!A:H,4,FALSE),"")</f>
        <v>50103040 01 - ECIP - Civilian (734)</v>
      </c>
      <c r="M735" s="361">
        <v>85</v>
      </c>
      <c r="N735" s="355" t="s">
        <v>1174</v>
      </c>
      <c r="O735" s="355" t="s">
        <v>1166</v>
      </c>
      <c r="P735" s="355"/>
      <c r="Q735" s="363">
        <v>100</v>
      </c>
      <c r="R735" s="319">
        <f t="shared" si="17"/>
        <v>-100</v>
      </c>
      <c r="S735" s="319" t="str">
        <f>VLOOKUP(H735,'Fund Utilization Report'!$A$4:$U$1800,13,FALSE)</f>
        <v>PS</v>
      </c>
      <c r="T735" s="319" t="str">
        <f>VLOOKUP(H735,'Fund Utilization Report'!$A$4:$U$1800,2,FALSE)</f>
        <v>GAA</v>
      </c>
      <c r="U735" s="319" t="str">
        <f>VLOOKUP(H735,'Fund Utilization Report'!$A$4:$U$1800,3,FALSE)</f>
        <v>FY2021, RA11518</v>
      </c>
      <c r="V735" s="319" t="str">
        <f>VLOOKUP(H735,'Fund Utilization Report'!$A$4:$U$1800,4,FALSE)</f>
        <v>OO3</v>
      </c>
      <c r="W735" s="319" t="str">
        <f>VLOOKUP(H735,'Fund Utilization Report'!$A$4:$U$1800,5,FALSE)</f>
        <v>01101101</v>
      </c>
      <c r="X735" s="319" t="str">
        <f>VLOOKUP(H735,'Fund Utilization Report'!$A$4:$U$1800,6,FALSE)</f>
        <v>GOP</v>
      </c>
      <c r="Y735" s="320" t="str">
        <f>VLOOKUP(H735,'Fund Utilization Report'!$A$4:$U$1800,7,FALSE)</f>
        <v>PS</v>
      </c>
      <c r="Z735" s="321">
        <f>VLOOKUP(H735,'Fund Utilization Report'!$A$4:$U$1800,8,FALSE)</f>
        <v>5010000000</v>
      </c>
      <c r="AA735" s="319" t="str">
        <f>VLOOKUP(H735,'Fund Utilization Report'!$A$4:$U$1800,14,FALSE)</f>
        <v>330100100002000</v>
      </c>
      <c r="AB735" s="349" t="str">
        <f>VLOOKUP(H735,'Fund Utilization Report'!$A$4:$U$1800,15,FALSE)</f>
        <v>Implementation of the MSME Development Plan and other initiatives to promote the growth of Micro, Small and Medium Enterprises</v>
      </c>
      <c r="AC735" s="39"/>
      <c r="AD735" s="34"/>
      <c r="AE735" s="39"/>
      <c r="AF735" s="51"/>
      <c r="AG735" s="40"/>
      <c r="AH735" s="40"/>
    </row>
    <row r="736" spans="1:34" s="32" customFormat="1" ht="27.6">
      <c r="A736" s="338" t="s">
        <v>942</v>
      </c>
      <c r="B736" s="338" t="s">
        <v>945</v>
      </c>
      <c r="C736" s="358">
        <v>44238</v>
      </c>
      <c r="D736" s="351" t="s">
        <v>1028</v>
      </c>
      <c r="E736" s="352" t="s">
        <v>1175</v>
      </c>
      <c r="F736" s="338">
        <v>0.56666666666666665</v>
      </c>
      <c r="G736" s="338">
        <v>0.56736111111111109</v>
      </c>
      <c r="H736" s="338" t="s">
        <v>970</v>
      </c>
      <c r="I736" s="353">
        <v>701</v>
      </c>
      <c r="J736" s="338" t="str">
        <f>IFERROR(VLOOKUP(I736,'Chart of accounts'!A:H,2,FALSE),"")</f>
        <v>50101010 01</v>
      </c>
      <c r="K736" s="338" t="str">
        <f>IFERROR(VLOOKUP(I736,'Chart of accounts'!A:H,3,FALSE),"")</f>
        <v>Basic Salary - Civilian</v>
      </c>
      <c r="L736" s="338" t="str">
        <f>IFERROR(VLOOKUP(I736,'Chart of accounts'!A:H,4,FALSE),"")</f>
        <v>50101010 01 - Basic Salary - Civilian (701)</v>
      </c>
      <c r="M736" s="361">
        <v>68</v>
      </c>
      <c r="N736" s="355" t="s">
        <v>1176</v>
      </c>
      <c r="O736" s="355" t="s">
        <v>1166</v>
      </c>
      <c r="P736" s="355"/>
      <c r="Q736" s="363">
        <v>10853.18</v>
      </c>
      <c r="R736" s="319">
        <f t="shared" ref="R736:R747" si="18">P736-Q736</f>
        <v>-10853.18</v>
      </c>
      <c r="S736" s="319" t="str">
        <f>VLOOKUP(H736,'Fund Utilization Report'!$A$4:$U$1800,13,FALSE)</f>
        <v>PS</v>
      </c>
      <c r="T736" s="319" t="str">
        <f>VLOOKUP(H736,'Fund Utilization Report'!$A$4:$U$1800,2,FALSE)</f>
        <v>GAA</v>
      </c>
      <c r="U736" s="319" t="str">
        <f>VLOOKUP(H736,'Fund Utilization Report'!$A$4:$U$1800,3,FALSE)</f>
        <v>FY2021, RA11518</v>
      </c>
      <c r="V736" s="319" t="str">
        <f>VLOOKUP(H736,'Fund Utilization Report'!$A$4:$U$1800,4,FALSE)</f>
        <v>OO3</v>
      </c>
      <c r="W736" s="319" t="str">
        <f>VLOOKUP(H736,'Fund Utilization Report'!$A$4:$U$1800,5,FALSE)</f>
        <v>01101101</v>
      </c>
      <c r="X736" s="319" t="str">
        <f>VLOOKUP(H736,'Fund Utilization Report'!$A$4:$U$1800,6,FALSE)</f>
        <v>GOP</v>
      </c>
      <c r="Y736" s="320" t="str">
        <f>VLOOKUP(H736,'Fund Utilization Report'!$A$4:$U$1800,7,FALSE)</f>
        <v>PS</v>
      </c>
      <c r="Z736" s="321">
        <f>VLOOKUP(H736,'Fund Utilization Report'!$A$4:$U$1800,8,FALSE)</f>
        <v>5010000000</v>
      </c>
      <c r="AA736" s="319" t="str">
        <f>VLOOKUP(H736,'Fund Utilization Report'!$A$4:$U$1800,14,FALSE)</f>
        <v>330100100002000</v>
      </c>
      <c r="AB736" s="349" t="str">
        <f>VLOOKUP(H736,'Fund Utilization Report'!$A$4:$U$1800,15,FALSE)</f>
        <v>Implementation of the MSME Development Plan and other initiatives to promote the growth of Micro, Small and Medium Enterprises</v>
      </c>
      <c r="AC736" s="39"/>
      <c r="AD736" s="34"/>
      <c r="AE736" s="39"/>
      <c r="AF736" s="51"/>
      <c r="AG736" s="40"/>
      <c r="AH736" s="40"/>
    </row>
    <row r="737" spans="1:34" s="32" customFormat="1" ht="27.6">
      <c r="A737" s="338" t="s">
        <v>942</v>
      </c>
      <c r="B737" s="338" t="s">
        <v>945</v>
      </c>
      <c r="C737" s="358">
        <v>44238</v>
      </c>
      <c r="D737" s="351" t="s">
        <v>1028</v>
      </c>
      <c r="E737" s="352" t="s">
        <v>1175</v>
      </c>
      <c r="F737" s="338">
        <v>0.56666666666666665</v>
      </c>
      <c r="G737" s="338">
        <v>0.56736111111111109</v>
      </c>
      <c r="H737" s="338" t="s">
        <v>970</v>
      </c>
      <c r="I737" s="353">
        <v>711</v>
      </c>
      <c r="J737" s="338" t="str">
        <f>IFERROR(VLOOKUP(I737,'Chart of accounts'!A:H,2,FALSE),"")</f>
        <v>50102010 01</v>
      </c>
      <c r="K737" s="338" t="str">
        <f>IFERROR(VLOOKUP(I737,'Chart of accounts'!A:H,3,FALSE),"")</f>
        <v>PERA - Civilian</v>
      </c>
      <c r="L737" s="338" t="str">
        <f>IFERROR(VLOOKUP(I737,'Chart of accounts'!A:H,4,FALSE),"")</f>
        <v>50102010 01 - PERA - Civilian (711)</v>
      </c>
      <c r="M737" s="361">
        <v>68</v>
      </c>
      <c r="N737" s="355" t="s">
        <v>1176</v>
      </c>
      <c r="O737" s="355" t="s">
        <v>1166</v>
      </c>
      <c r="P737" s="355"/>
      <c r="Q737" s="363">
        <v>909.09</v>
      </c>
      <c r="R737" s="319">
        <f t="shared" si="18"/>
        <v>-909.09</v>
      </c>
      <c r="S737" s="319" t="str">
        <f>VLOOKUP(H737,'Fund Utilization Report'!$A$4:$U$1800,13,FALSE)</f>
        <v>PS</v>
      </c>
      <c r="T737" s="319" t="str">
        <f>VLOOKUP(H737,'Fund Utilization Report'!$A$4:$U$1800,2,FALSE)</f>
        <v>GAA</v>
      </c>
      <c r="U737" s="319" t="str">
        <f>VLOOKUP(H737,'Fund Utilization Report'!$A$4:$U$1800,3,FALSE)</f>
        <v>FY2021, RA11518</v>
      </c>
      <c r="V737" s="319" t="str">
        <f>VLOOKUP(H737,'Fund Utilization Report'!$A$4:$U$1800,4,FALSE)</f>
        <v>OO3</v>
      </c>
      <c r="W737" s="319" t="str">
        <f>VLOOKUP(H737,'Fund Utilization Report'!$A$4:$U$1800,5,FALSE)</f>
        <v>01101101</v>
      </c>
      <c r="X737" s="319" t="str">
        <f>VLOOKUP(H737,'Fund Utilization Report'!$A$4:$U$1800,6,FALSE)</f>
        <v>GOP</v>
      </c>
      <c r="Y737" s="320" t="str">
        <f>VLOOKUP(H737,'Fund Utilization Report'!$A$4:$U$1800,7,FALSE)</f>
        <v>PS</v>
      </c>
      <c r="Z737" s="321">
        <f>VLOOKUP(H737,'Fund Utilization Report'!$A$4:$U$1800,8,FALSE)</f>
        <v>5010000000</v>
      </c>
      <c r="AA737" s="319" t="str">
        <f>VLOOKUP(H737,'Fund Utilization Report'!$A$4:$U$1800,14,FALSE)</f>
        <v>330100100002000</v>
      </c>
      <c r="AB737" s="349" t="str">
        <f>VLOOKUP(H737,'Fund Utilization Report'!$A$4:$U$1800,15,FALSE)</f>
        <v>Implementation of the MSME Development Plan and other initiatives to promote the growth of Micro, Small and Medium Enterprises</v>
      </c>
      <c r="AC737" s="39"/>
      <c r="AD737" s="34"/>
      <c r="AE737" s="39"/>
      <c r="AF737" s="51"/>
      <c r="AG737" s="40"/>
      <c r="AH737" s="40"/>
    </row>
    <row r="738" spans="1:34" s="32" customFormat="1" ht="27.6">
      <c r="A738" s="338" t="s">
        <v>942</v>
      </c>
      <c r="B738" s="338" t="s">
        <v>945</v>
      </c>
      <c r="C738" s="358">
        <v>44238</v>
      </c>
      <c r="D738" s="351" t="s">
        <v>1028</v>
      </c>
      <c r="E738" s="352" t="s">
        <v>1175</v>
      </c>
      <c r="F738" s="338">
        <v>0.56666666666666665</v>
      </c>
      <c r="G738" s="338">
        <v>0.56736111111111109</v>
      </c>
      <c r="H738" s="338" t="s">
        <v>972</v>
      </c>
      <c r="I738" s="353">
        <v>731</v>
      </c>
      <c r="J738" s="338" t="str">
        <f>IFERROR(VLOOKUP(I738,'Chart of accounts'!A:H,2,FALSE),"")</f>
        <v>50103010 00</v>
      </c>
      <c r="K738" s="338" t="str">
        <f>IFERROR(VLOOKUP(I738,'Chart of accounts'!A:H,3,FALSE),"")</f>
        <v>Retirement and Life Insurance Premiums</v>
      </c>
      <c r="L738" s="338" t="str">
        <f>IFERROR(VLOOKUP(I738,'Chart of accounts'!A:H,4,FALSE),"")</f>
        <v>50103010 00 - Retirement and Life Insurance Premiums (731)</v>
      </c>
      <c r="M738" s="361">
        <v>68</v>
      </c>
      <c r="N738" s="355" t="s">
        <v>1176</v>
      </c>
      <c r="O738" s="355" t="s">
        <v>1166</v>
      </c>
      <c r="P738" s="355"/>
      <c r="Q738" s="363">
        <v>1293.98</v>
      </c>
      <c r="R738" s="319">
        <f t="shared" si="18"/>
        <v>-1293.98</v>
      </c>
      <c r="S738" s="319" t="str">
        <f>VLOOKUP(H738,'Fund Utilization Report'!$A$4:$U$1800,13,FALSE)</f>
        <v>PS</v>
      </c>
      <c r="T738" s="319" t="str">
        <f>VLOOKUP(H738,'Fund Utilization Report'!$A$4:$U$1800,2,FALSE)</f>
        <v>GAA</v>
      </c>
      <c r="U738" s="319" t="str">
        <f>VLOOKUP(H738,'Fund Utilization Report'!$A$4:$U$1800,3,FALSE)</f>
        <v>FY2021, RA11518</v>
      </c>
      <c r="V738" s="319" t="str">
        <f>VLOOKUP(H738,'Fund Utilization Report'!$A$4:$U$1800,4,FALSE)</f>
        <v>OO3</v>
      </c>
      <c r="W738" s="319" t="str">
        <f>VLOOKUP(H738,'Fund Utilization Report'!$A$4:$U$1800,5,FALSE)</f>
        <v>01101101</v>
      </c>
      <c r="X738" s="319" t="str">
        <f>VLOOKUP(H738,'Fund Utilization Report'!$A$4:$U$1800,6,FALSE)</f>
        <v>GOP</v>
      </c>
      <c r="Y738" s="320" t="str">
        <f>VLOOKUP(H738,'Fund Utilization Report'!$A$4:$U$1800,7,FALSE)</f>
        <v>RLIP</v>
      </c>
      <c r="Z738" s="321" t="str">
        <f>VLOOKUP(H738,'Fund Utilization Report'!$A$4:$U$1800,8,FALSE)</f>
        <v>50103010-00</v>
      </c>
      <c r="AA738" s="319" t="str">
        <f>VLOOKUP(H738,'Fund Utilization Report'!$A$4:$U$1800,14,FALSE)</f>
        <v>330100100002000</v>
      </c>
      <c r="AB738" s="349" t="str">
        <f>VLOOKUP(H738,'Fund Utilization Report'!$A$4:$U$1800,15,FALSE)</f>
        <v>Implementation of the MSME Development Plan and other initiatives to promote the growth of Micro, Small and Medium Enterprises</v>
      </c>
      <c r="AC738" s="39"/>
      <c r="AD738" s="34"/>
      <c r="AE738" s="39"/>
      <c r="AF738" s="51"/>
      <c r="AG738" s="40"/>
      <c r="AH738" s="40"/>
    </row>
    <row r="739" spans="1:34" s="32" customFormat="1" ht="27.6">
      <c r="A739" s="338" t="s">
        <v>942</v>
      </c>
      <c r="B739" s="338" t="s">
        <v>945</v>
      </c>
      <c r="C739" s="358">
        <v>44238</v>
      </c>
      <c r="D739" s="351" t="s">
        <v>1028</v>
      </c>
      <c r="E739" s="352" t="s">
        <v>1175</v>
      </c>
      <c r="F739" s="338">
        <v>0.56666666666666665</v>
      </c>
      <c r="G739" s="338">
        <v>0.56736111111111109</v>
      </c>
      <c r="H739" s="338" t="s">
        <v>970</v>
      </c>
      <c r="I739" s="353">
        <v>732</v>
      </c>
      <c r="J739" s="338" t="str">
        <f>IFERROR(VLOOKUP(I739,'Chart of accounts'!A:H,2,FALSE),"")</f>
        <v>50103020 01</v>
      </c>
      <c r="K739" s="338" t="str">
        <f>IFERROR(VLOOKUP(I739,'Chart of accounts'!A:H,3,FALSE),"")</f>
        <v>Pag-IBIG - Civilian</v>
      </c>
      <c r="L739" s="338" t="str">
        <f>IFERROR(VLOOKUP(I739,'Chart of accounts'!A:H,4,FALSE),"")</f>
        <v>50103020 01 - Pag-IBIG - Civilian (732)</v>
      </c>
      <c r="M739" s="361">
        <v>68</v>
      </c>
      <c r="N739" s="355" t="s">
        <v>1176</v>
      </c>
      <c r="O739" s="355" t="s">
        <v>1166</v>
      </c>
      <c r="P739" s="355"/>
      <c r="Q739" s="363">
        <v>100</v>
      </c>
      <c r="R739" s="319">
        <f t="shared" si="18"/>
        <v>-100</v>
      </c>
      <c r="S739" s="319" t="str">
        <f>VLOOKUP(H739,'Fund Utilization Report'!$A$4:$U$1800,13,FALSE)</f>
        <v>PS</v>
      </c>
      <c r="T739" s="319" t="str">
        <f>VLOOKUP(H739,'Fund Utilization Report'!$A$4:$U$1800,2,FALSE)</f>
        <v>GAA</v>
      </c>
      <c r="U739" s="319" t="str">
        <f>VLOOKUP(H739,'Fund Utilization Report'!$A$4:$U$1800,3,FALSE)</f>
        <v>FY2021, RA11518</v>
      </c>
      <c r="V739" s="319" t="str">
        <f>VLOOKUP(H739,'Fund Utilization Report'!$A$4:$U$1800,4,FALSE)</f>
        <v>OO3</v>
      </c>
      <c r="W739" s="319" t="str">
        <f>VLOOKUP(H739,'Fund Utilization Report'!$A$4:$U$1800,5,FALSE)</f>
        <v>01101101</v>
      </c>
      <c r="X739" s="319" t="str">
        <f>VLOOKUP(H739,'Fund Utilization Report'!$A$4:$U$1800,6,FALSE)</f>
        <v>GOP</v>
      </c>
      <c r="Y739" s="320" t="str">
        <f>VLOOKUP(H739,'Fund Utilization Report'!$A$4:$U$1800,7,FALSE)</f>
        <v>PS</v>
      </c>
      <c r="Z739" s="321">
        <f>VLOOKUP(H739,'Fund Utilization Report'!$A$4:$U$1800,8,FALSE)</f>
        <v>5010000000</v>
      </c>
      <c r="AA739" s="319" t="str">
        <f>VLOOKUP(H739,'Fund Utilization Report'!$A$4:$U$1800,14,FALSE)</f>
        <v>330100100002000</v>
      </c>
      <c r="AB739" s="349" t="str">
        <f>VLOOKUP(H739,'Fund Utilization Report'!$A$4:$U$1800,15,FALSE)</f>
        <v>Implementation of the MSME Development Plan and other initiatives to promote the growth of Micro, Small and Medium Enterprises</v>
      </c>
      <c r="AC739" s="39"/>
      <c r="AD739" s="34"/>
      <c r="AE739" s="39"/>
      <c r="AF739" s="51"/>
      <c r="AG739" s="40"/>
      <c r="AH739" s="40"/>
    </row>
    <row r="740" spans="1:34" s="32" customFormat="1" ht="27.6">
      <c r="A740" s="338" t="s">
        <v>942</v>
      </c>
      <c r="B740" s="338" t="s">
        <v>945</v>
      </c>
      <c r="C740" s="358">
        <v>44238</v>
      </c>
      <c r="D740" s="351" t="s">
        <v>1028</v>
      </c>
      <c r="E740" s="352" t="s">
        <v>1175</v>
      </c>
      <c r="F740" s="338">
        <v>0.56666666666666665</v>
      </c>
      <c r="G740" s="338">
        <v>0.56736111111111109</v>
      </c>
      <c r="H740" s="338" t="s">
        <v>970</v>
      </c>
      <c r="I740" s="353">
        <v>733</v>
      </c>
      <c r="J740" s="338" t="str">
        <f>IFERROR(VLOOKUP(I740,'Chart of accounts'!A:H,2,FALSE),"")</f>
        <v>50103030 01</v>
      </c>
      <c r="K740" s="338" t="str">
        <f>IFERROR(VLOOKUP(I740,'Chart of accounts'!A:H,3,FALSE),"")</f>
        <v>PhilHealth - Civilian</v>
      </c>
      <c r="L740" s="338" t="str">
        <f>IFERROR(VLOOKUP(I740,'Chart of accounts'!A:H,4,FALSE),"")</f>
        <v>50103030 01 - PhilHealth - Civilian (733)</v>
      </c>
      <c r="M740" s="361">
        <v>68</v>
      </c>
      <c r="N740" s="355" t="s">
        <v>1176</v>
      </c>
      <c r="O740" s="355" t="s">
        <v>1166</v>
      </c>
      <c r="P740" s="355"/>
      <c r="Q740" s="363">
        <v>358.16</v>
      </c>
      <c r="R740" s="319">
        <f t="shared" si="18"/>
        <v>-358.16</v>
      </c>
      <c r="S740" s="319" t="str">
        <f>VLOOKUP(H740,'Fund Utilization Report'!$A$4:$U$1800,13,FALSE)</f>
        <v>PS</v>
      </c>
      <c r="T740" s="319" t="str">
        <f>VLOOKUP(H740,'Fund Utilization Report'!$A$4:$U$1800,2,FALSE)</f>
        <v>GAA</v>
      </c>
      <c r="U740" s="319" t="str">
        <f>VLOOKUP(H740,'Fund Utilization Report'!$A$4:$U$1800,3,FALSE)</f>
        <v>FY2021, RA11518</v>
      </c>
      <c r="V740" s="319" t="str">
        <f>VLOOKUP(H740,'Fund Utilization Report'!$A$4:$U$1800,4,FALSE)</f>
        <v>OO3</v>
      </c>
      <c r="W740" s="319" t="str">
        <f>VLOOKUP(H740,'Fund Utilization Report'!$A$4:$U$1800,5,FALSE)</f>
        <v>01101101</v>
      </c>
      <c r="X740" s="319" t="str">
        <f>VLOOKUP(H740,'Fund Utilization Report'!$A$4:$U$1800,6,FALSE)</f>
        <v>GOP</v>
      </c>
      <c r="Y740" s="320" t="str">
        <f>VLOOKUP(H740,'Fund Utilization Report'!$A$4:$U$1800,7,FALSE)</f>
        <v>PS</v>
      </c>
      <c r="Z740" s="321">
        <f>VLOOKUP(H740,'Fund Utilization Report'!$A$4:$U$1800,8,FALSE)</f>
        <v>5010000000</v>
      </c>
      <c r="AA740" s="319" t="str">
        <f>VLOOKUP(H740,'Fund Utilization Report'!$A$4:$U$1800,14,FALSE)</f>
        <v>330100100002000</v>
      </c>
      <c r="AB740" s="349" t="str">
        <f>VLOOKUP(H740,'Fund Utilization Report'!$A$4:$U$1800,15,FALSE)</f>
        <v>Implementation of the MSME Development Plan and other initiatives to promote the growth of Micro, Small and Medium Enterprises</v>
      </c>
      <c r="AC740" s="39"/>
      <c r="AD740" s="34"/>
      <c r="AE740" s="39"/>
      <c r="AF740" s="51"/>
      <c r="AG740" s="40"/>
      <c r="AH740" s="40"/>
    </row>
    <row r="741" spans="1:34" s="32" customFormat="1" ht="27.6">
      <c r="A741" s="338" t="s">
        <v>942</v>
      </c>
      <c r="B741" s="338" t="s">
        <v>945</v>
      </c>
      <c r="C741" s="358">
        <v>44238</v>
      </c>
      <c r="D741" s="351" t="s">
        <v>1028</v>
      </c>
      <c r="E741" s="352" t="s">
        <v>1175</v>
      </c>
      <c r="F741" s="338">
        <v>0.56666666666666665</v>
      </c>
      <c r="G741" s="338">
        <v>0.56736111111111109</v>
      </c>
      <c r="H741" s="338" t="s">
        <v>970</v>
      </c>
      <c r="I741" s="353">
        <v>734</v>
      </c>
      <c r="J741" s="338" t="str">
        <f>IFERROR(VLOOKUP(I741,'Chart of accounts'!A:H,2,FALSE),"")</f>
        <v>50103040 01</v>
      </c>
      <c r="K741" s="338" t="str">
        <f>IFERROR(VLOOKUP(I741,'Chart of accounts'!A:H,3,FALSE),"")</f>
        <v>ECIP - Civilian</v>
      </c>
      <c r="L741" s="338" t="str">
        <f>IFERROR(VLOOKUP(I741,'Chart of accounts'!A:H,4,FALSE),"")</f>
        <v>50103040 01 - ECIP - Civilian (734)</v>
      </c>
      <c r="M741" s="361">
        <v>68</v>
      </c>
      <c r="N741" s="355" t="s">
        <v>1176</v>
      </c>
      <c r="O741" s="355" t="s">
        <v>1166</v>
      </c>
      <c r="P741" s="355"/>
      <c r="Q741" s="363">
        <v>100</v>
      </c>
      <c r="R741" s="319">
        <f t="shared" si="18"/>
        <v>-100</v>
      </c>
      <c r="S741" s="319" t="str">
        <f>VLOOKUP(H741,'Fund Utilization Report'!$A$4:$U$1800,13,FALSE)</f>
        <v>PS</v>
      </c>
      <c r="T741" s="319" t="str">
        <f>VLOOKUP(H741,'Fund Utilization Report'!$A$4:$U$1800,2,FALSE)</f>
        <v>GAA</v>
      </c>
      <c r="U741" s="319" t="str">
        <f>VLOOKUP(H741,'Fund Utilization Report'!$A$4:$U$1800,3,FALSE)</f>
        <v>FY2021, RA11518</v>
      </c>
      <c r="V741" s="319" t="str">
        <f>VLOOKUP(H741,'Fund Utilization Report'!$A$4:$U$1800,4,FALSE)</f>
        <v>OO3</v>
      </c>
      <c r="W741" s="319" t="str">
        <f>VLOOKUP(H741,'Fund Utilization Report'!$A$4:$U$1800,5,FALSE)</f>
        <v>01101101</v>
      </c>
      <c r="X741" s="319" t="str">
        <f>VLOOKUP(H741,'Fund Utilization Report'!$A$4:$U$1800,6,FALSE)</f>
        <v>GOP</v>
      </c>
      <c r="Y741" s="320" t="str">
        <f>VLOOKUP(H741,'Fund Utilization Report'!$A$4:$U$1800,7,FALSE)</f>
        <v>PS</v>
      </c>
      <c r="Z741" s="321">
        <f>VLOOKUP(H741,'Fund Utilization Report'!$A$4:$U$1800,8,FALSE)</f>
        <v>5010000000</v>
      </c>
      <c r="AA741" s="319" t="str">
        <f>VLOOKUP(H741,'Fund Utilization Report'!$A$4:$U$1800,14,FALSE)</f>
        <v>330100100002000</v>
      </c>
      <c r="AB741" s="349" t="str">
        <f>VLOOKUP(H741,'Fund Utilization Report'!$A$4:$U$1800,15,FALSE)</f>
        <v>Implementation of the MSME Development Plan and other initiatives to promote the growth of Micro, Small and Medium Enterprises</v>
      </c>
      <c r="AC741" s="39"/>
      <c r="AD741" s="34"/>
      <c r="AE741" s="39"/>
      <c r="AF741" s="51"/>
      <c r="AG741" s="40"/>
      <c r="AH741" s="40"/>
    </row>
    <row r="742" spans="1:34" s="32" customFormat="1" ht="27.6">
      <c r="A742" s="338" t="s">
        <v>942</v>
      </c>
      <c r="B742" s="338" t="s">
        <v>945</v>
      </c>
      <c r="C742" s="358">
        <v>44238</v>
      </c>
      <c r="D742" s="351" t="s">
        <v>1028</v>
      </c>
      <c r="E742" s="352" t="s">
        <v>1177</v>
      </c>
      <c r="F742" s="338">
        <v>0.56736111111111109</v>
      </c>
      <c r="G742" s="338">
        <v>0.56874999999999998</v>
      </c>
      <c r="H742" s="338" t="s">
        <v>970</v>
      </c>
      <c r="I742" s="353">
        <v>701</v>
      </c>
      <c r="J742" s="338" t="str">
        <f>IFERROR(VLOOKUP(I742,'Chart of accounts'!A:H,2,FALSE),"")</f>
        <v>50101010 01</v>
      </c>
      <c r="K742" s="338" t="str">
        <f>IFERROR(VLOOKUP(I742,'Chart of accounts'!A:H,3,FALSE),"")</f>
        <v>Basic Salary - Civilian</v>
      </c>
      <c r="L742" s="338" t="str">
        <f>IFERROR(VLOOKUP(I742,'Chart of accounts'!A:H,4,FALSE),"")</f>
        <v>50101010 01 - Basic Salary - Civilian (701)</v>
      </c>
      <c r="M742" s="361">
        <v>1</v>
      </c>
      <c r="N742" s="355" t="s">
        <v>1165</v>
      </c>
      <c r="O742" s="355" t="s">
        <v>1178</v>
      </c>
      <c r="P742" s="355"/>
      <c r="Q742" s="363">
        <v>23877</v>
      </c>
      <c r="R742" s="319">
        <f t="shared" si="18"/>
        <v>-23877</v>
      </c>
      <c r="S742" s="319" t="str">
        <f>VLOOKUP(H742,'Fund Utilization Report'!$A$4:$U$1800,13,FALSE)</f>
        <v>PS</v>
      </c>
      <c r="T742" s="319" t="str">
        <f>VLOOKUP(H742,'Fund Utilization Report'!$A$4:$U$1800,2,FALSE)</f>
        <v>GAA</v>
      </c>
      <c r="U742" s="319" t="str">
        <f>VLOOKUP(H742,'Fund Utilization Report'!$A$4:$U$1800,3,FALSE)</f>
        <v>FY2021, RA11518</v>
      </c>
      <c r="V742" s="319" t="str">
        <f>VLOOKUP(H742,'Fund Utilization Report'!$A$4:$U$1800,4,FALSE)</f>
        <v>OO3</v>
      </c>
      <c r="W742" s="319" t="str">
        <f>VLOOKUP(H742,'Fund Utilization Report'!$A$4:$U$1800,5,FALSE)</f>
        <v>01101101</v>
      </c>
      <c r="X742" s="319" t="str">
        <f>VLOOKUP(H742,'Fund Utilization Report'!$A$4:$U$1800,6,FALSE)</f>
        <v>GOP</v>
      </c>
      <c r="Y742" s="320" t="str">
        <f>VLOOKUP(H742,'Fund Utilization Report'!$A$4:$U$1800,7,FALSE)</f>
        <v>PS</v>
      </c>
      <c r="Z742" s="321">
        <f>VLOOKUP(H742,'Fund Utilization Report'!$A$4:$U$1800,8,FALSE)</f>
        <v>5010000000</v>
      </c>
      <c r="AA742" s="319" t="str">
        <f>VLOOKUP(H742,'Fund Utilization Report'!$A$4:$U$1800,14,FALSE)</f>
        <v>330100100002000</v>
      </c>
      <c r="AB742" s="349" t="str">
        <f>VLOOKUP(H742,'Fund Utilization Report'!$A$4:$U$1800,15,FALSE)</f>
        <v>Implementation of the MSME Development Plan and other initiatives to promote the growth of Micro, Small and Medium Enterprises</v>
      </c>
      <c r="AC742" s="39"/>
      <c r="AD742" s="34"/>
      <c r="AE742" s="39"/>
      <c r="AF742" s="51"/>
      <c r="AG742" s="40"/>
      <c r="AH742" s="40"/>
    </row>
    <row r="743" spans="1:34" s="32" customFormat="1" ht="27.6">
      <c r="A743" s="338" t="s">
        <v>942</v>
      </c>
      <c r="B743" s="338" t="s">
        <v>945</v>
      </c>
      <c r="C743" s="358">
        <v>44238</v>
      </c>
      <c r="D743" s="351" t="s">
        <v>1028</v>
      </c>
      <c r="E743" s="352" t="s">
        <v>1177</v>
      </c>
      <c r="F743" s="338">
        <v>0.56736111111111109</v>
      </c>
      <c r="G743" s="338">
        <v>0.56874999999999998</v>
      </c>
      <c r="H743" s="338" t="s">
        <v>970</v>
      </c>
      <c r="I743" s="353">
        <v>711</v>
      </c>
      <c r="J743" s="338" t="str">
        <f>IFERROR(VLOOKUP(I743,'Chart of accounts'!A:H,2,FALSE),"")</f>
        <v>50102010 01</v>
      </c>
      <c r="K743" s="338" t="str">
        <f>IFERROR(VLOOKUP(I743,'Chart of accounts'!A:H,3,FALSE),"")</f>
        <v>PERA - Civilian</v>
      </c>
      <c r="L743" s="338" t="str">
        <f>IFERROR(VLOOKUP(I743,'Chart of accounts'!A:H,4,FALSE),"")</f>
        <v>50102010 01 - PERA - Civilian (711)</v>
      </c>
      <c r="M743" s="361">
        <v>1</v>
      </c>
      <c r="N743" s="355" t="s">
        <v>1165</v>
      </c>
      <c r="O743" s="355" t="s">
        <v>1178</v>
      </c>
      <c r="P743" s="355"/>
      <c r="Q743" s="363">
        <v>2000</v>
      </c>
      <c r="R743" s="319">
        <f t="shared" si="18"/>
        <v>-2000</v>
      </c>
      <c r="S743" s="319" t="str">
        <f>VLOOKUP(H743,'Fund Utilization Report'!$A$4:$U$1800,13,FALSE)</f>
        <v>PS</v>
      </c>
      <c r="T743" s="319" t="str">
        <f>VLOOKUP(H743,'Fund Utilization Report'!$A$4:$U$1800,2,FALSE)</f>
        <v>GAA</v>
      </c>
      <c r="U743" s="319" t="str">
        <f>VLOOKUP(H743,'Fund Utilization Report'!$A$4:$U$1800,3,FALSE)</f>
        <v>FY2021, RA11518</v>
      </c>
      <c r="V743" s="319" t="str">
        <f>VLOOKUP(H743,'Fund Utilization Report'!$A$4:$U$1800,4,FALSE)</f>
        <v>OO3</v>
      </c>
      <c r="W743" s="319" t="str">
        <f>VLOOKUP(H743,'Fund Utilization Report'!$A$4:$U$1800,5,FALSE)</f>
        <v>01101101</v>
      </c>
      <c r="X743" s="319" t="str">
        <f>VLOOKUP(H743,'Fund Utilization Report'!$A$4:$U$1800,6,FALSE)</f>
        <v>GOP</v>
      </c>
      <c r="Y743" s="320" t="str">
        <f>VLOOKUP(H743,'Fund Utilization Report'!$A$4:$U$1800,7,FALSE)</f>
        <v>PS</v>
      </c>
      <c r="Z743" s="321">
        <f>VLOOKUP(H743,'Fund Utilization Report'!$A$4:$U$1800,8,FALSE)</f>
        <v>5010000000</v>
      </c>
      <c r="AA743" s="319" t="str">
        <f>VLOOKUP(H743,'Fund Utilization Report'!$A$4:$U$1800,14,FALSE)</f>
        <v>330100100002000</v>
      </c>
      <c r="AB743" s="349" t="str">
        <f>VLOOKUP(H743,'Fund Utilization Report'!$A$4:$U$1800,15,FALSE)</f>
        <v>Implementation of the MSME Development Plan and other initiatives to promote the growth of Micro, Small and Medium Enterprises</v>
      </c>
      <c r="AC743" s="39"/>
      <c r="AD743" s="34"/>
      <c r="AE743" s="39"/>
      <c r="AF743" s="51"/>
      <c r="AG743" s="40"/>
      <c r="AH743" s="40"/>
    </row>
    <row r="744" spans="1:34" s="32" customFormat="1" ht="27.6">
      <c r="A744" s="338" t="s">
        <v>942</v>
      </c>
      <c r="B744" s="338" t="s">
        <v>945</v>
      </c>
      <c r="C744" s="358">
        <v>44238</v>
      </c>
      <c r="D744" s="351" t="s">
        <v>1028</v>
      </c>
      <c r="E744" s="352" t="s">
        <v>1177</v>
      </c>
      <c r="F744" s="338">
        <v>0.56736111111111109</v>
      </c>
      <c r="G744" s="338">
        <v>0.56874999999999998</v>
      </c>
      <c r="H744" s="338" t="s">
        <v>972</v>
      </c>
      <c r="I744" s="353">
        <v>731</v>
      </c>
      <c r="J744" s="338" t="str">
        <f>IFERROR(VLOOKUP(I744,'Chart of accounts'!A:H,2,FALSE),"")</f>
        <v>50103010 00</v>
      </c>
      <c r="K744" s="338" t="str">
        <f>IFERROR(VLOOKUP(I744,'Chart of accounts'!A:H,3,FALSE),"")</f>
        <v>Retirement and Life Insurance Premiums</v>
      </c>
      <c r="L744" s="338" t="str">
        <f>IFERROR(VLOOKUP(I744,'Chart of accounts'!A:H,4,FALSE),"")</f>
        <v>50103010 00 - Retirement and Life Insurance Premiums (731)</v>
      </c>
      <c r="M744" s="361">
        <v>1</v>
      </c>
      <c r="N744" s="355" t="s">
        <v>1165</v>
      </c>
      <c r="O744" s="355" t="s">
        <v>1178</v>
      </c>
      <c r="P744" s="355"/>
      <c r="Q744" s="363">
        <v>2865.24</v>
      </c>
      <c r="R744" s="319">
        <f t="shared" si="18"/>
        <v>-2865.24</v>
      </c>
      <c r="S744" s="319" t="str">
        <f>VLOOKUP(H744,'Fund Utilization Report'!$A$4:$U$1800,13,FALSE)</f>
        <v>PS</v>
      </c>
      <c r="T744" s="319" t="str">
        <f>VLOOKUP(H744,'Fund Utilization Report'!$A$4:$U$1800,2,FALSE)</f>
        <v>GAA</v>
      </c>
      <c r="U744" s="319" t="str">
        <f>VLOOKUP(H744,'Fund Utilization Report'!$A$4:$U$1800,3,FALSE)</f>
        <v>FY2021, RA11518</v>
      </c>
      <c r="V744" s="319" t="str">
        <f>VLOOKUP(H744,'Fund Utilization Report'!$A$4:$U$1800,4,FALSE)</f>
        <v>OO3</v>
      </c>
      <c r="W744" s="319" t="str">
        <f>VLOOKUP(H744,'Fund Utilization Report'!$A$4:$U$1800,5,FALSE)</f>
        <v>01101101</v>
      </c>
      <c r="X744" s="319" t="str">
        <f>VLOOKUP(H744,'Fund Utilization Report'!$A$4:$U$1800,6,FALSE)</f>
        <v>GOP</v>
      </c>
      <c r="Y744" s="320" t="str">
        <f>VLOOKUP(H744,'Fund Utilization Report'!$A$4:$U$1800,7,FALSE)</f>
        <v>RLIP</v>
      </c>
      <c r="Z744" s="321" t="str">
        <f>VLOOKUP(H744,'Fund Utilization Report'!$A$4:$U$1800,8,FALSE)</f>
        <v>50103010-00</v>
      </c>
      <c r="AA744" s="319" t="str">
        <f>VLOOKUP(H744,'Fund Utilization Report'!$A$4:$U$1800,14,FALSE)</f>
        <v>330100100002000</v>
      </c>
      <c r="AB744" s="349" t="str">
        <f>VLOOKUP(H744,'Fund Utilization Report'!$A$4:$U$1800,15,FALSE)</f>
        <v>Implementation of the MSME Development Plan and other initiatives to promote the growth of Micro, Small and Medium Enterprises</v>
      </c>
      <c r="AC744" s="39"/>
      <c r="AD744" s="34"/>
      <c r="AE744" s="39"/>
      <c r="AF744" s="51"/>
      <c r="AG744" s="40"/>
      <c r="AH744" s="40"/>
    </row>
    <row r="745" spans="1:34" s="32" customFormat="1" ht="27.6">
      <c r="A745" s="338" t="s">
        <v>942</v>
      </c>
      <c r="B745" s="338" t="s">
        <v>945</v>
      </c>
      <c r="C745" s="358">
        <v>44238</v>
      </c>
      <c r="D745" s="351" t="s">
        <v>1028</v>
      </c>
      <c r="E745" s="352" t="s">
        <v>1177</v>
      </c>
      <c r="F745" s="338">
        <v>0.56736111111111109</v>
      </c>
      <c r="G745" s="338">
        <v>0.56874999999999998</v>
      </c>
      <c r="H745" s="338" t="s">
        <v>970</v>
      </c>
      <c r="I745" s="353">
        <v>732</v>
      </c>
      <c r="J745" s="338" t="str">
        <f>IFERROR(VLOOKUP(I745,'Chart of accounts'!A:H,2,FALSE),"")</f>
        <v>50103020 01</v>
      </c>
      <c r="K745" s="338" t="str">
        <f>IFERROR(VLOOKUP(I745,'Chart of accounts'!A:H,3,FALSE),"")</f>
        <v>Pag-IBIG - Civilian</v>
      </c>
      <c r="L745" s="338" t="str">
        <f>IFERROR(VLOOKUP(I745,'Chart of accounts'!A:H,4,FALSE),"")</f>
        <v>50103020 01 - Pag-IBIG - Civilian (732)</v>
      </c>
      <c r="M745" s="361">
        <v>1</v>
      </c>
      <c r="N745" s="355" t="s">
        <v>1165</v>
      </c>
      <c r="O745" s="355" t="s">
        <v>1178</v>
      </c>
      <c r="P745" s="355"/>
      <c r="Q745" s="363">
        <v>100</v>
      </c>
      <c r="R745" s="319">
        <f t="shared" si="18"/>
        <v>-100</v>
      </c>
      <c r="S745" s="319" t="str">
        <f>VLOOKUP(H745,'Fund Utilization Report'!$A$4:$U$1800,13,FALSE)</f>
        <v>PS</v>
      </c>
      <c r="T745" s="319" t="str">
        <f>VLOOKUP(H745,'Fund Utilization Report'!$A$4:$U$1800,2,FALSE)</f>
        <v>GAA</v>
      </c>
      <c r="U745" s="319" t="str">
        <f>VLOOKUP(H745,'Fund Utilization Report'!$A$4:$U$1800,3,FALSE)</f>
        <v>FY2021, RA11518</v>
      </c>
      <c r="V745" s="319" t="str">
        <f>VLOOKUP(H745,'Fund Utilization Report'!$A$4:$U$1800,4,FALSE)</f>
        <v>OO3</v>
      </c>
      <c r="W745" s="319" t="str">
        <f>VLOOKUP(H745,'Fund Utilization Report'!$A$4:$U$1800,5,FALSE)</f>
        <v>01101101</v>
      </c>
      <c r="X745" s="319" t="str">
        <f>VLOOKUP(H745,'Fund Utilization Report'!$A$4:$U$1800,6,FALSE)</f>
        <v>GOP</v>
      </c>
      <c r="Y745" s="320" t="str">
        <f>VLOOKUP(H745,'Fund Utilization Report'!$A$4:$U$1800,7,FALSE)</f>
        <v>PS</v>
      </c>
      <c r="Z745" s="321">
        <f>VLOOKUP(H745,'Fund Utilization Report'!$A$4:$U$1800,8,FALSE)</f>
        <v>5010000000</v>
      </c>
      <c r="AA745" s="319" t="str">
        <f>VLOOKUP(H745,'Fund Utilization Report'!$A$4:$U$1800,14,FALSE)</f>
        <v>330100100002000</v>
      </c>
      <c r="AB745" s="349" t="str">
        <f>VLOOKUP(H745,'Fund Utilization Report'!$A$4:$U$1800,15,FALSE)</f>
        <v>Implementation of the MSME Development Plan and other initiatives to promote the growth of Micro, Small and Medium Enterprises</v>
      </c>
      <c r="AC745" s="39"/>
      <c r="AD745" s="34"/>
      <c r="AE745" s="39"/>
      <c r="AF745" s="51"/>
      <c r="AG745" s="40"/>
      <c r="AH745" s="40"/>
    </row>
    <row r="746" spans="1:34" s="32" customFormat="1" ht="27.6">
      <c r="A746" s="338" t="s">
        <v>942</v>
      </c>
      <c r="B746" s="338" t="s">
        <v>945</v>
      </c>
      <c r="C746" s="358">
        <v>44238</v>
      </c>
      <c r="D746" s="351" t="s">
        <v>1028</v>
      </c>
      <c r="E746" s="352" t="s">
        <v>1177</v>
      </c>
      <c r="F746" s="338">
        <v>0.56736111111111109</v>
      </c>
      <c r="G746" s="338">
        <v>0.56874999999999998</v>
      </c>
      <c r="H746" s="338" t="s">
        <v>970</v>
      </c>
      <c r="I746" s="353">
        <v>733</v>
      </c>
      <c r="J746" s="338" t="str">
        <f>IFERROR(VLOOKUP(I746,'Chart of accounts'!A:H,2,FALSE),"")</f>
        <v>50103030 01</v>
      </c>
      <c r="K746" s="338" t="str">
        <f>IFERROR(VLOOKUP(I746,'Chart of accounts'!A:H,3,FALSE),"")</f>
        <v>PhilHealth - Civilian</v>
      </c>
      <c r="L746" s="338" t="str">
        <f>IFERROR(VLOOKUP(I746,'Chart of accounts'!A:H,4,FALSE),"")</f>
        <v>50103030 01 - PhilHealth - Civilian (733)</v>
      </c>
      <c r="M746" s="361">
        <v>1</v>
      </c>
      <c r="N746" s="355" t="s">
        <v>1165</v>
      </c>
      <c r="O746" s="355" t="s">
        <v>1178</v>
      </c>
      <c r="P746" s="355"/>
      <c r="Q746" s="363">
        <v>358.16</v>
      </c>
      <c r="R746" s="319">
        <f t="shared" si="18"/>
        <v>-358.16</v>
      </c>
      <c r="S746" s="319" t="str">
        <f>VLOOKUP(H746,'Fund Utilization Report'!$A$4:$U$1800,13,FALSE)</f>
        <v>PS</v>
      </c>
      <c r="T746" s="319" t="str">
        <f>VLOOKUP(H746,'Fund Utilization Report'!$A$4:$U$1800,2,FALSE)</f>
        <v>GAA</v>
      </c>
      <c r="U746" s="319" t="str">
        <f>VLOOKUP(H746,'Fund Utilization Report'!$A$4:$U$1800,3,FALSE)</f>
        <v>FY2021, RA11518</v>
      </c>
      <c r="V746" s="319" t="str">
        <f>VLOOKUP(H746,'Fund Utilization Report'!$A$4:$U$1800,4,FALSE)</f>
        <v>OO3</v>
      </c>
      <c r="W746" s="319" t="str">
        <f>VLOOKUP(H746,'Fund Utilization Report'!$A$4:$U$1800,5,FALSE)</f>
        <v>01101101</v>
      </c>
      <c r="X746" s="319" t="str">
        <f>VLOOKUP(H746,'Fund Utilization Report'!$A$4:$U$1800,6,FALSE)</f>
        <v>GOP</v>
      </c>
      <c r="Y746" s="320" t="str">
        <f>VLOOKUP(H746,'Fund Utilization Report'!$A$4:$U$1800,7,FALSE)</f>
        <v>PS</v>
      </c>
      <c r="Z746" s="321">
        <f>VLOOKUP(H746,'Fund Utilization Report'!$A$4:$U$1800,8,FALSE)</f>
        <v>5010000000</v>
      </c>
      <c r="AA746" s="319" t="str">
        <f>VLOOKUP(H746,'Fund Utilization Report'!$A$4:$U$1800,14,FALSE)</f>
        <v>330100100002000</v>
      </c>
      <c r="AB746" s="349" t="str">
        <f>VLOOKUP(H746,'Fund Utilization Report'!$A$4:$U$1800,15,FALSE)</f>
        <v>Implementation of the MSME Development Plan and other initiatives to promote the growth of Micro, Small and Medium Enterprises</v>
      </c>
      <c r="AC746" s="39"/>
      <c r="AD746" s="34"/>
      <c r="AE746" s="39"/>
      <c r="AF746" s="51"/>
      <c r="AG746" s="40"/>
      <c r="AH746" s="40"/>
    </row>
    <row r="747" spans="1:34" s="32" customFormat="1" ht="27.6">
      <c r="A747" s="338" t="s">
        <v>942</v>
      </c>
      <c r="B747" s="338" t="s">
        <v>945</v>
      </c>
      <c r="C747" s="358">
        <v>44238</v>
      </c>
      <c r="D747" s="351" t="s">
        <v>1028</v>
      </c>
      <c r="E747" s="352" t="s">
        <v>1177</v>
      </c>
      <c r="F747" s="338">
        <v>0.56736111111111109</v>
      </c>
      <c r="G747" s="338">
        <v>0.56874999999999998</v>
      </c>
      <c r="H747" s="338" t="s">
        <v>970</v>
      </c>
      <c r="I747" s="353">
        <v>734</v>
      </c>
      <c r="J747" s="338" t="str">
        <f>IFERROR(VLOOKUP(I747,'Chart of accounts'!A:H,2,FALSE),"")</f>
        <v>50103040 01</v>
      </c>
      <c r="K747" s="338" t="str">
        <f>IFERROR(VLOOKUP(I747,'Chart of accounts'!A:H,3,FALSE),"")</f>
        <v>ECIP - Civilian</v>
      </c>
      <c r="L747" s="338" t="str">
        <f>IFERROR(VLOOKUP(I747,'Chart of accounts'!A:H,4,FALSE),"")</f>
        <v>50103040 01 - ECIP - Civilian (734)</v>
      </c>
      <c r="M747" s="361">
        <v>1</v>
      </c>
      <c r="N747" s="355" t="s">
        <v>1165</v>
      </c>
      <c r="O747" s="355" t="s">
        <v>1178</v>
      </c>
      <c r="P747" s="355"/>
      <c r="Q747" s="363">
        <v>100</v>
      </c>
      <c r="R747" s="319">
        <f t="shared" si="18"/>
        <v>-100</v>
      </c>
      <c r="S747" s="319" t="str">
        <f>VLOOKUP(H747,'Fund Utilization Report'!$A$4:$U$1800,13,FALSE)</f>
        <v>PS</v>
      </c>
      <c r="T747" s="319" t="str">
        <f>VLOOKUP(H747,'Fund Utilization Report'!$A$4:$U$1800,2,FALSE)</f>
        <v>GAA</v>
      </c>
      <c r="U747" s="319" t="str">
        <f>VLOOKUP(H747,'Fund Utilization Report'!$A$4:$U$1800,3,FALSE)</f>
        <v>FY2021, RA11518</v>
      </c>
      <c r="V747" s="319" t="str">
        <f>VLOOKUP(H747,'Fund Utilization Report'!$A$4:$U$1800,4,FALSE)</f>
        <v>OO3</v>
      </c>
      <c r="W747" s="319" t="str">
        <f>VLOOKUP(H747,'Fund Utilization Report'!$A$4:$U$1800,5,FALSE)</f>
        <v>01101101</v>
      </c>
      <c r="X747" s="319" t="str">
        <f>VLOOKUP(H747,'Fund Utilization Report'!$A$4:$U$1800,6,FALSE)</f>
        <v>GOP</v>
      </c>
      <c r="Y747" s="320" t="str">
        <f>VLOOKUP(H747,'Fund Utilization Report'!$A$4:$U$1800,7,FALSE)</f>
        <v>PS</v>
      </c>
      <c r="Z747" s="321">
        <f>VLOOKUP(H747,'Fund Utilization Report'!$A$4:$U$1800,8,FALSE)</f>
        <v>5010000000</v>
      </c>
      <c r="AA747" s="319" t="str">
        <f>VLOOKUP(H747,'Fund Utilization Report'!$A$4:$U$1800,14,FALSE)</f>
        <v>330100100002000</v>
      </c>
      <c r="AB747" s="349" t="str">
        <f>VLOOKUP(H747,'Fund Utilization Report'!$A$4:$U$1800,15,FALSE)</f>
        <v>Implementation of the MSME Development Plan and other initiatives to promote the growth of Micro, Small and Medium Enterprises</v>
      </c>
      <c r="AC747" s="39"/>
      <c r="AD747" s="34"/>
      <c r="AE747" s="39"/>
      <c r="AF747" s="51"/>
      <c r="AG747" s="40"/>
      <c r="AH747" s="40"/>
    </row>
    <row r="748" spans="1:34" s="32" customFormat="1" ht="27.6">
      <c r="A748" s="338" t="s">
        <v>942</v>
      </c>
      <c r="B748" s="338" t="s">
        <v>945</v>
      </c>
      <c r="C748" s="358">
        <v>44243</v>
      </c>
      <c r="D748" s="351" t="s">
        <v>1028</v>
      </c>
      <c r="E748" s="352" t="s">
        <v>1179</v>
      </c>
      <c r="F748" s="338">
        <v>0.40138888888888885</v>
      </c>
      <c r="G748" s="338">
        <v>0.40208333333333335</v>
      </c>
      <c r="H748" s="338" t="s">
        <v>961</v>
      </c>
      <c r="I748" s="353">
        <v>772</v>
      </c>
      <c r="J748" s="338" t="str">
        <f>IFERROR(VLOOKUP(I748,'Chart of accounts'!A:H,2,FALSE),"")</f>
        <v>50205020 02</v>
      </c>
      <c r="K748" s="338" t="str">
        <f>IFERROR(VLOOKUP(I748,'Chart of accounts'!A:H,3,FALSE),"")</f>
        <v xml:space="preserve">Telephone Expenses - Landline </v>
      </c>
      <c r="L748" s="338" t="str">
        <f>IFERROR(VLOOKUP(I748,'Chart of accounts'!A:H,4,FALSE),"")</f>
        <v>50205020 02 - Telephone Expenses - Landline  (772)</v>
      </c>
      <c r="M748" s="361">
        <v>1</v>
      </c>
      <c r="N748" s="355" t="s">
        <v>1180</v>
      </c>
      <c r="O748" s="355" t="s">
        <v>1181</v>
      </c>
      <c r="P748" s="355"/>
      <c r="Q748" s="363">
        <v>1959.81</v>
      </c>
      <c r="R748" s="319">
        <f t="shared" ref="R748:R816" si="19">P748-Q748</f>
        <v>-1959.81</v>
      </c>
      <c r="S748" s="319" t="str">
        <f>VLOOKUP(H748,'Fund Utilization Report'!$A$4:$U$1800,13,FALSE)</f>
        <v>MOOE</v>
      </c>
      <c r="T748" s="319" t="str">
        <f>VLOOKUP(H748,'Fund Utilization Report'!$A$4:$U$1800,2,FALSE)</f>
        <v>GAA</v>
      </c>
      <c r="U748" s="319" t="str">
        <f>VLOOKUP(H748,'Fund Utilization Report'!$A$4:$U$1800,3,FALSE)</f>
        <v>FY2021, RA11518</v>
      </c>
      <c r="V748" s="319" t="str">
        <f>VLOOKUP(H748,'Fund Utilization Report'!$A$4:$U$1800,4,FALSE)</f>
        <v>GAS(GMS)</v>
      </c>
      <c r="W748" s="319" t="str">
        <f>VLOOKUP(H748,'Fund Utilization Report'!$A$4:$U$1800,5,FALSE)</f>
        <v>01101101</v>
      </c>
      <c r="X748" s="319" t="str">
        <f>VLOOKUP(H748,'Fund Utilization Report'!$A$4:$U$1800,6,FALSE)</f>
        <v>GOP</v>
      </c>
      <c r="Y748" s="320" t="str">
        <f>VLOOKUP(H748,'Fund Utilization Report'!$A$4:$U$1800,7,FALSE)</f>
        <v>MOOE</v>
      </c>
      <c r="Z748" s="321">
        <f>VLOOKUP(H748,'Fund Utilization Report'!$A$4:$U$1800,8,FALSE)</f>
        <v>5020000000</v>
      </c>
      <c r="AA748" s="319" t="str">
        <f>VLOOKUP(H748,'Fund Utilization Report'!$A$4:$U$1800,14,FALSE)</f>
        <v>100000100001000</v>
      </c>
      <c r="AB748" s="349" t="str">
        <f>VLOOKUP(H748,'Fund Utilization Report'!$A$4:$U$1800,15,FALSE)</f>
        <v>General Administration and Supervision - General Management and Supervision</v>
      </c>
      <c r="AC748" s="39"/>
      <c r="AD748" s="34"/>
      <c r="AE748" s="39"/>
      <c r="AF748" s="51"/>
      <c r="AG748" s="40"/>
      <c r="AH748" s="40"/>
    </row>
    <row r="749" spans="1:34" s="32" customFormat="1" ht="27.6">
      <c r="A749" s="338" t="s">
        <v>942</v>
      </c>
      <c r="B749" s="338" t="s">
        <v>945</v>
      </c>
      <c r="C749" s="358">
        <v>44243</v>
      </c>
      <c r="D749" s="351" t="s">
        <v>1028</v>
      </c>
      <c r="E749" s="352" t="s">
        <v>1179</v>
      </c>
      <c r="F749" s="338">
        <v>0.40138888888888885</v>
      </c>
      <c r="G749" s="338">
        <v>0.40208333333333335</v>
      </c>
      <c r="H749" s="338" t="s">
        <v>961</v>
      </c>
      <c r="I749" s="353">
        <v>774</v>
      </c>
      <c r="J749" s="338" t="str">
        <f>IFERROR(VLOOKUP(I749,'Chart of accounts'!A:H,2,FALSE),"")</f>
        <v>50205030 00</v>
      </c>
      <c r="K749" s="338" t="str">
        <f>IFERROR(VLOOKUP(I749,'Chart of accounts'!A:H,3,FALSE),"")</f>
        <v>Internet Subscription Expenses</v>
      </c>
      <c r="L749" s="338" t="str">
        <f>IFERROR(VLOOKUP(I749,'Chart of accounts'!A:H,4,FALSE),"")</f>
        <v>50205030 00 - Internet Subscription Expenses (774)</v>
      </c>
      <c r="M749" s="361">
        <v>1</v>
      </c>
      <c r="N749" s="355" t="s">
        <v>1180</v>
      </c>
      <c r="O749" s="355" t="s">
        <v>1181</v>
      </c>
      <c r="P749" s="355"/>
      <c r="Q749" s="363">
        <v>26880</v>
      </c>
      <c r="R749" s="319">
        <f t="shared" si="19"/>
        <v>-26880</v>
      </c>
      <c r="S749" s="319" t="str">
        <f>VLOOKUP(H749,'Fund Utilization Report'!$A$4:$U$1800,13,FALSE)</f>
        <v>MOOE</v>
      </c>
      <c r="T749" s="319" t="str">
        <f>VLOOKUP(H749,'Fund Utilization Report'!$A$4:$U$1800,2,FALSE)</f>
        <v>GAA</v>
      </c>
      <c r="U749" s="319" t="str">
        <f>VLOOKUP(H749,'Fund Utilization Report'!$A$4:$U$1800,3,FALSE)</f>
        <v>FY2021, RA11518</v>
      </c>
      <c r="V749" s="319" t="str">
        <f>VLOOKUP(H749,'Fund Utilization Report'!$A$4:$U$1800,4,FALSE)</f>
        <v>GAS(GMS)</v>
      </c>
      <c r="W749" s="319" t="str">
        <f>VLOOKUP(H749,'Fund Utilization Report'!$A$4:$U$1800,5,FALSE)</f>
        <v>01101101</v>
      </c>
      <c r="X749" s="319" t="str">
        <f>VLOOKUP(H749,'Fund Utilization Report'!$A$4:$U$1800,6,FALSE)</f>
        <v>GOP</v>
      </c>
      <c r="Y749" s="320" t="str">
        <f>VLOOKUP(H749,'Fund Utilization Report'!$A$4:$U$1800,7,FALSE)</f>
        <v>MOOE</v>
      </c>
      <c r="Z749" s="321">
        <f>VLOOKUP(H749,'Fund Utilization Report'!$A$4:$U$1800,8,FALSE)</f>
        <v>5020000000</v>
      </c>
      <c r="AA749" s="319" t="str">
        <f>VLOOKUP(H749,'Fund Utilization Report'!$A$4:$U$1800,14,FALSE)</f>
        <v>100000100001000</v>
      </c>
      <c r="AB749" s="349" t="str">
        <f>VLOOKUP(H749,'Fund Utilization Report'!$A$4:$U$1800,15,FALSE)</f>
        <v>General Administration and Supervision - General Management and Supervision</v>
      </c>
      <c r="AC749" s="39"/>
      <c r="AD749" s="34"/>
      <c r="AE749" s="39"/>
      <c r="AF749" s="51"/>
      <c r="AG749" s="40"/>
      <c r="AH749" s="40"/>
    </row>
    <row r="750" spans="1:34" s="32" customFormat="1" ht="27.6">
      <c r="A750" s="338" t="s">
        <v>942</v>
      </c>
      <c r="B750" s="338" t="s">
        <v>945</v>
      </c>
      <c r="C750" s="358">
        <v>44243</v>
      </c>
      <c r="D750" s="351" t="s">
        <v>1028</v>
      </c>
      <c r="E750" s="352" t="s">
        <v>1182</v>
      </c>
      <c r="F750" s="338">
        <v>0.40208333333333335</v>
      </c>
      <c r="G750" s="338">
        <v>0.40277777777777773</v>
      </c>
      <c r="H750" s="338" t="s">
        <v>961</v>
      </c>
      <c r="I750" s="353">
        <v>772</v>
      </c>
      <c r="J750" s="338" t="str">
        <f>IFERROR(VLOOKUP(I750,'Chart of accounts'!A:H,2,FALSE),"")</f>
        <v>50205020 02</v>
      </c>
      <c r="K750" s="338" t="str">
        <f>IFERROR(VLOOKUP(I750,'Chart of accounts'!A:H,3,FALSE),"")</f>
        <v xml:space="preserve">Telephone Expenses - Landline </v>
      </c>
      <c r="L750" s="338" t="str">
        <f>IFERROR(VLOOKUP(I750,'Chart of accounts'!A:H,4,FALSE),"")</f>
        <v>50205020 02 - Telephone Expenses - Landline  (772)</v>
      </c>
      <c r="M750" s="361">
        <v>1</v>
      </c>
      <c r="N750" s="355" t="s">
        <v>1180</v>
      </c>
      <c r="O750" s="355" t="s">
        <v>1183</v>
      </c>
      <c r="P750" s="355"/>
      <c r="Q750" s="363">
        <v>18000</v>
      </c>
      <c r="R750" s="319">
        <f t="shared" si="19"/>
        <v>-18000</v>
      </c>
      <c r="S750" s="319" t="str">
        <f>VLOOKUP(H750,'Fund Utilization Report'!$A$4:$U$1800,13,FALSE)</f>
        <v>MOOE</v>
      </c>
      <c r="T750" s="319" t="str">
        <f>VLOOKUP(H750,'Fund Utilization Report'!$A$4:$U$1800,2,FALSE)</f>
        <v>GAA</v>
      </c>
      <c r="U750" s="319" t="str">
        <f>VLOOKUP(H750,'Fund Utilization Report'!$A$4:$U$1800,3,FALSE)</f>
        <v>FY2021, RA11518</v>
      </c>
      <c r="V750" s="319" t="str">
        <f>VLOOKUP(H750,'Fund Utilization Report'!$A$4:$U$1800,4,FALSE)</f>
        <v>GAS(GMS)</v>
      </c>
      <c r="W750" s="319" t="str">
        <f>VLOOKUP(H750,'Fund Utilization Report'!$A$4:$U$1800,5,FALSE)</f>
        <v>01101101</v>
      </c>
      <c r="X750" s="319" t="str">
        <f>VLOOKUP(H750,'Fund Utilization Report'!$A$4:$U$1800,6,FALSE)</f>
        <v>GOP</v>
      </c>
      <c r="Y750" s="320" t="str">
        <f>VLOOKUP(H750,'Fund Utilization Report'!$A$4:$U$1800,7,FALSE)</f>
        <v>MOOE</v>
      </c>
      <c r="Z750" s="321">
        <f>VLOOKUP(H750,'Fund Utilization Report'!$A$4:$U$1800,8,FALSE)</f>
        <v>5020000000</v>
      </c>
      <c r="AA750" s="319" t="str">
        <f>VLOOKUP(H750,'Fund Utilization Report'!$A$4:$U$1800,14,FALSE)</f>
        <v>100000100001000</v>
      </c>
      <c r="AB750" s="349" t="str">
        <f>VLOOKUP(H750,'Fund Utilization Report'!$A$4:$U$1800,15,FALSE)</f>
        <v>General Administration and Supervision - General Management and Supervision</v>
      </c>
      <c r="AC750" s="39"/>
      <c r="AD750" s="34"/>
      <c r="AE750" s="39"/>
      <c r="AF750" s="51"/>
      <c r="AG750" s="40"/>
      <c r="AH750" s="40"/>
    </row>
    <row r="751" spans="1:34" s="32" customFormat="1" ht="27.6">
      <c r="A751" s="338" t="s">
        <v>942</v>
      </c>
      <c r="B751" s="338" t="s">
        <v>945</v>
      </c>
      <c r="C751" s="358">
        <v>44243</v>
      </c>
      <c r="D751" s="351" t="s">
        <v>1028</v>
      </c>
      <c r="E751" s="352" t="s">
        <v>1184</v>
      </c>
      <c r="F751" s="338">
        <v>0.40277777777777773</v>
      </c>
      <c r="G751" s="338">
        <v>0.40347222222222223</v>
      </c>
      <c r="H751" s="338" t="s">
        <v>961</v>
      </c>
      <c r="I751" s="353">
        <v>772</v>
      </c>
      <c r="J751" s="338" t="str">
        <f>IFERROR(VLOOKUP(I751,'Chart of accounts'!A:H,2,FALSE),"")</f>
        <v>50205020 02</v>
      </c>
      <c r="K751" s="338" t="str">
        <f>IFERROR(VLOOKUP(I751,'Chart of accounts'!A:H,3,FALSE),"")</f>
        <v xml:space="preserve">Telephone Expenses - Landline </v>
      </c>
      <c r="L751" s="338" t="str">
        <f>IFERROR(VLOOKUP(I751,'Chart of accounts'!A:H,4,FALSE),"")</f>
        <v>50205020 02 - Telephone Expenses - Landline  (772)</v>
      </c>
      <c r="M751" s="361">
        <v>1</v>
      </c>
      <c r="N751" s="355" t="s">
        <v>1180</v>
      </c>
      <c r="O751" s="355" t="s">
        <v>1185</v>
      </c>
      <c r="P751" s="355"/>
      <c r="Q751" s="363">
        <v>560</v>
      </c>
      <c r="R751" s="319">
        <f t="shared" si="19"/>
        <v>-560</v>
      </c>
      <c r="S751" s="319" t="str">
        <f>VLOOKUP(H751,'Fund Utilization Report'!$A$4:$U$1800,13,FALSE)</f>
        <v>MOOE</v>
      </c>
      <c r="T751" s="319" t="str">
        <f>VLOOKUP(H751,'Fund Utilization Report'!$A$4:$U$1800,2,FALSE)</f>
        <v>GAA</v>
      </c>
      <c r="U751" s="319" t="str">
        <f>VLOOKUP(H751,'Fund Utilization Report'!$A$4:$U$1800,3,FALSE)</f>
        <v>FY2021, RA11518</v>
      </c>
      <c r="V751" s="319" t="str">
        <f>VLOOKUP(H751,'Fund Utilization Report'!$A$4:$U$1800,4,FALSE)</f>
        <v>GAS(GMS)</v>
      </c>
      <c r="W751" s="319" t="str">
        <f>VLOOKUP(H751,'Fund Utilization Report'!$A$4:$U$1800,5,FALSE)</f>
        <v>01101101</v>
      </c>
      <c r="X751" s="319" t="str">
        <f>VLOOKUP(H751,'Fund Utilization Report'!$A$4:$U$1800,6,FALSE)</f>
        <v>GOP</v>
      </c>
      <c r="Y751" s="320" t="str">
        <f>VLOOKUP(H751,'Fund Utilization Report'!$A$4:$U$1800,7,FALSE)</f>
        <v>MOOE</v>
      </c>
      <c r="Z751" s="321">
        <f>VLOOKUP(H751,'Fund Utilization Report'!$A$4:$U$1800,8,FALSE)</f>
        <v>5020000000</v>
      </c>
      <c r="AA751" s="319" t="str">
        <f>VLOOKUP(H751,'Fund Utilization Report'!$A$4:$U$1800,14,FALSE)</f>
        <v>100000100001000</v>
      </c>
      <c r="AB751" s="349" t="str">
        <f>VLOOKUP(H751,'Fund Utilization Report'!$A$4:$U$1800,15,FALSE)</f>
        <v>General Administration and Supervision - General Management and Supervision</v>
      </c>
      <c r="AC751" s="39"/>
      <c r="AD751" s="34"/>
      <c r="AE751" s="39"/>
      <c r="AF751" s="51"/>
      <c r="AG751" s="40"/>
      <c r="AH751" s="40"/>
    </row>
    <row r="752" spans="1:34" s="32" customFormat="1" ht="27.6">
      <c r="A752" s="338" t="s">
        <v>942</v>
      </c>
      <c r="B752" s="338" t="s">
        <v>945</v>
      </c>
      <c r="C752" s="358">
        <v>44243</v>
      </c>
      <c r="D752" s="351" t="s">
        <v>1028</v>
      </c>
      <c r="E752" s="352" t="s">
        <v>1186</v>
      </c>
      <c r="F752" s="338">
        <v>0.40347222222222223</v>
      </c>
      <c r="G752" s="338">
        <v>0.40416666666666662</v>
      </c>
      <c r="H752" s="338" t="s">
        <v>961</v>
      </c>
      <c r="I752" s="353">
        <v>772</v>
      </c>
      <c r="J752" s="338" t="str">
        <f>IFERROR(VLOOKUP(I752,'Chart of accounts'!A:H,2,FALSE),"")</f>
        <v>50205020 02</v>
      </c>
      <c r="K752" s="338" t="str">
        <f>IFERROR(VLOOKUP(I752,'Chart of accounts'!A:H,3,FALSE),"")</f>
        <v xml:space="preserve">Telephone Expenses - Landline </v>
      </c>
      <c r="L752" s="338" t="str">
        <f>IFERROR(VLOOKUP(I752,'Chart of accounts'!A:H,4,FALSE),"")</f>
        <v>50205020 02 - Telephone Expenses - Landline  (772)</v>
      </c>
      <c r="M752" s="361">
        <v>1</v>
      </c>
      <c r="N752" s="355" t="s">
        <v>1180</v>
      </c>
      <c r="O752" s="355" t="s">
        <v>1187</v>
      </c>
      <c r="P752" s="355"/>
      <c r="Q752" s="363">
        <v>918.4</v>
      </c>
      <c r="R752" s="319">
        <f t="shared" si="19"/>
        <v>-918.4</v>
      </c>
      <c r="S752" s="319" t="str">
        <f>VLOOKUP(H752,'Fund Utilization Report'!$A$4:$U$1800,13,FALSE)</f>
        <v>MOOE</v>
      </c>
      <c r="T752" s="319" t="str">
        <f>VLOOKUP(H752,'Fund Utilization Report'!$A$4:$U$1800,2,FALSE)</f>
        <v>GAA</v>
      </c>
      <c r="U752" s="319" t="str">
        <f>VLOOKUP(H752,'Fund Utilization Report'!$A$4:$U$1800,3,FALSE)</f>
        <v>FY2021, RA11518</v>
      </c>
      <c r="V752" s="319" t="str">
        <f>VLOOKUP(H752,'Fund Utilization Report'!$A$4:$U$1800,4,FALSE)</f>
        <v>GAS(GMS)</v>
      </c>
      <c r="W752" s="319" t="str">
        <f>VLOOKUP(H752,'Fund Utilization Report'!$A$4:$U$1800,5,FALSE)</f>
        <v>01101101</v>
      </c>
      <c r="X752" s="319" t="str">
        <f>VLOOKUP(H752,'Fund Utilization Report'!$A$4:$U$1800,6,FALSE)</f>
        <v>GOP</v>
      </c>
      <c r="Y752" s="320" t="str">
        <f>VLOOKUP(H752,'Fund Utilization Report'!$A$4:$U$1800,7,FALSE)</f>
        <v>MOOE</v>
      </c>
      <c r="Z752" s="321">
        <f>VLOOKUP(H752,'Fund Utilization Report'!$A$4:$U$1800,8,FALSE)</f>
        <v>5020000000</v>
      </c>
      <c r="AA752" s="319" t="str">
        <f>VLOOKUP(H752,'Fund Utilization Report'!$A$4:$U$1800,14,FALSE)</f>
        <v>100000100001000</v>
      </c>
      <c r="AB752" s="349" t="str">
        <f>VLOOKUP(H752,'Fund Utilization Report'!$A$4:$U$1800,15,FALSE)</f>
        <v>General Administration and Supervision - General Management and Supervision</v>
      </c>
      <c r="AC752" s="39"/>
      <c r="AD752" s="34"/>
      <c r="AE752" s="39"/>
      <c r="AF752" s="51"/>
      <c r="AG752" s="40"/>
      <c r="AH752" s="40"/>
    </row>
    <row r="753" spans="1:34" s="32" customFormat="1" ht="41.4">
      <c r="A753" s="338" t="s">
        <v>942</v>
      </c>
      <c r="B753" s="338" t="s">
        <v>945</v>
      </c>
      <c r="C753" s="358">
        <v>44243</v>
      </c>
      <c r="D753" s="351" t="s">
        <v>1028</v>
      </c>
      <c r="E753" s="352" t="s">
        <v>1188</v>
      </c>
      <c r="F753" s="338">
        <v>0.40416666666666662</v>
      </c>
      <c r="G753" s="338">
        <v>0.40486111111111112</v>
      </c>
      <c r="H753" s="338" t="s">
        <v>961</v>
      </c>
      <c r="I753" s="353">
        <v>783</v>
      </c>
      <c r="J753" s="338" t="str">
        <f>IFERROR(VLOOKUP(I753,'Chart of accounts'!A:H,2,FALSE),"")</f>
        <v>50299030 00</v>
      </c>
      <c r="K753" s="338" t="str">
        <f>IFERROR(VLOOKUP(I753,'Chart of accounts'!A:H,3,FALSE),"")</f>
        <v>Representation Expenses</v>
      </c>
      <c r="L753" s="338" t="str">
        <f>IFERROR(VLOOKUP(I753,'Chart of accounts'!A:H,4,FALSE),"")</f>
        <v>50299030 00 - Representation Expenses (783)</v>
      </c>
      <c r="M753" s="361" t="s">
        <v>1256</v>
      </c>
      <c r="N753" s="355" t="s">
        <v>1189</v>
      </c>
      <c r="O753" s="355" t="s">
        <v>1190</v>
      </c>
      <c r="P753" s="355"/>
      <c r="Q753" s="363">
        <v>14000</v>
      </c>
      <c r="R753" s="319">
        <f t="shared" si="19"/>
        <v>-14000</v>
      </c>
      <c r="S753" s="319" t="str">
        <f>VLOOKUP(H753,'Fund Utilization Report'!$A$4:$U$1800,13,FALSE)</f>
        <v>MOOE</v>
      </c>
      <c r="T753" s="319" t="str">
        <f>VLOOKUP(H753,'Fund Utilization Report'!$A$4:$U$1800,2,FALSE)</f>
        <v>GAA</v>
      </c>
      <c r="U753" s="319" t="str">
        <f>VLOOKUP(H753,'Fund Utilization Report'!$A$4:$U$1800,3,FALSE)</f>
        <v>FY2021, RA11518</v>
      </c>
      <c r="V753" s="319" t="str">
        <f>VLOOKUP(H753,'Fund Utilization Report'!$A$4:$U$1800,4,FALSE)</f>
        <v>GAS(GMS)</v>
      </c>
      <c r="W753" s="319" t="str">
        <f>VLOOKUP(H753,'Fund Utilization Report'!$A$4:$U$1800,5,FALSE)</f>
        <v>01101101</v>
      </c>
      <c r="X753" s="319" t="str">
        <f>VLOOKUP(H753,'Fund Utilization Report'!$A$4:$U$1800,6,FALSE)</f>
        <v>GOP</v>
      </c>
      <c r="Y753" s="320" t="str">
        <f>VLOOKUP(H753,'Fund Utilization Report'!$A$4:$U$1800,7,FALSE)</f>
        <v>MOOE</v>
      </c>
      <c r="Z753" s="321">
        <f>VLOOKUP(H753,'Fund Utilization Report'!$A$4:$U$1800,8,FALSE)</f>
        <v>5020000000</v>
      </c>
      <c r="AA753" s="319" t="str">
        <f>VLOOKUP(H753,'Fund Utilization Report'!$A$4:$U$1800,14,FALSE)</f>
        <v>100000100001000</v>
      </c>
      <c r="AB753" s="349" t="str">
        <f>VLOOKUP(H753,'Fund Utilization Report'!$A$4:$U$1800,15,FALSE)</f>
        <v>General Administration and Supervision - General Management and Supervision</v>
      </c>
      <c r="AC753" s="39"/>
      <c r="AD753" s="34"/>
      <c r="AE753" s="39"/>
      <c r="AF753" s="51"/>
      <c r="AG753" s="40"/>
      <c r="AH753" s="40"/>
    </row>
    <row r="754" spans="1:34" s="32" customFormat="1" ht="27.6">
      <c r="A754" s="338" t="s">
        <v>942</v>
      </c>
      <c r="B754" s="338" t="s">
        <v>945</v>
      </c>
      <c r="C754" s="358">
        <v>44243</v>
      </c>
      <c r="D754" s="351" t="s">
        <v>1028</v>
      </c>
      <c r="E754" s="352" t="s">
        <v>1191</v>
      </c>
      <c r="F754" s="338">
        <v>0.40486111111111101</v>
      </c>
      <c r="G754" s="338">
        <v>0.405555555555556</v>
      </c>
      <c r="H754" s="338" t="s">
        <v>968</v>
      </c>
      <c r="I754" s="353">
        <v>841</v>
      </c>
      <c r="J754" s="338" t="str">
        <f>IFERROR(VLOOKUP(I754,'Chart of accounts'!A:H,2,FALSE),"")</f>
        <v>50213060 01</v>
      </c>
      <c r="K754" s="338" t="str">
        <f>IFERROR(VLOOKUP(I754,'Chart of accounts'!A:H,3,FALSE),"")</f>
        <v>Motor Vehicles</v>
      </c>
      <c r="L754" s="338" t="str">
        <f>IFERROR(VLOOKUP(I754,'Chart of accounts'!A:H,4,FALSE),"")</f>
        <v>50213060 01 - Motor Vehicles (841)</v>
      </c>
      <c r="M754" s="361">
        <v>1</v>
      </c>
      <c r="N754" s="355" t="s">
        <v>1192</v>
      </c>
      <c r="O754" s="355" t="s">
        <v>1193</v>
      </c>
      <c r="P754" s="355"/>
      <c r="Q754" s="363">
        <v>8774</v>
      </c>
      <c r="R754" s="319">
        <f t="shared" si="19"/>
        <v>-8774</v>
      </c>
      <c r="S754" s="319" t="str">
        <f>VLOOKUP(H754,'Fund Utilization Report'!$A$4:$U$1800,13,FALSE)</f>
        <v>MOOE</v>
      </c>
      <c r="T754" s="319" t="str">
        <f>VLOOKUP(H754,'Fund Utilization Report'!$A$4:$U$1800,2,FALSE)</f>
        <v>GAA</v>
      </c>
      <c r="U754" s="319" t="str">
        <f>VLOOKUP(H754,'Fund Utilization Report'!$A$4:$U$1800,3,FALSE)</f>
        <v>FY2021, RA11518</v>
      </c>
      <c r="V754" s="319" t="str">
        <f>VLOOKUP(H754,'Fund Utilization Report'!$A$4:$U$1800,4,FALSE)</f>
        <v>OO2</v>
      </c>
      <c r="W754" s="319" t="str">
        <f>VLOOKUP(H754,'Fund Utilization Report'!$A$4:$U$1800,5,FALSE)</f>
        <v>01101101</v>
      </c>
      <c r="X754" s="319" t="str">
        <f>VLOOKUP(H754,'Fund Utilization Report'!$A$4:$U$1800,6,FALSE)</f>
        <v>GOP</v>
      </c>
      <c r="Y754" s="320" t="str">
        <f>VLOOKUP(H754,'Fund Utilization Report'!$A$4:$U$1800,7,FALSE)</f>
        <v>MOOE</v>
      </c>
      <c r="Z754" s="321">
        <f>VLOOKUP(H754,'Fund Utilization Report'!$A$4:$U$1800,8,FALSE)</f>
        <v>5020000000</v>
      </c>
      <c r="AA754" s="319" t="str">
        <f>VLOOKUP(H754,'Fund Utilization Report'!$A$4:$U$1800,14,FALSE)</f>
        <v>320100100001000</v>
      </c>
      <c r="AB754" s="349" t="str">
        <f>VLOOKUP(H754,'Fund Utilization Report'!$A$4:$U$1800,15,FALSE)</f>
        <v>Formulation of Strategic plans,programs, and policies to develop competitve industries</v>
      </c>
      <c r="AC754" s="39"/>
      <c r="AD754" s="34"/>
      <c r="AE754" s="39"/>
      <c r="AF754" s="51"/>
      <c r="AG754" s="40"/>
      <c r="AH754" s="40"/>
    </row>
    <row r="755" spans="1:34" s="32" customFormat="1" ht="41.4">
      <c r="A755" s="338" t="s">
        <v>942</v>
      </c>
      <c r="B755" s="338" t="s">
        <v>945</v>
      </c>
      <c r="C755" s="358">
        <v>44243</v>
      </c>
      <c r="D755" s="351" t="s">
        <v>1028</v>
      </c>
      <c r="E755" s="352" t="s">
        <v>1194</v>
      </c>
      <c r="F755" s="338">
        <v>0.405555555555555</v>
      </c>
      <c r="G755" s="338">
        <v>0.40625</v>
      </c>
      <c r="H755" s="338" t="s">
        <v>965</v>
      </c>
      <c r="I755" s="353">
        <v>751</v>
      </c>
      <c r="J755" s="338" t="str">
        <f>IFERROR(VLOOKUP(I755,'Chart of accounts'!A:H,2,FALSE),"")</f>
        <v>50201010 00</v>
      </c>
      <c r="K755" s="338" t="str">
        <f>IFERROR(VLOOKUP(I755,'Chart of accounts'!A:H,3,FALSE),"")</f>
        <v>Traveling Expenses - Local</v>
      </c>
      <c r="L755" s="338" t="str">
        <f>IFERROR(VLOOKUP(I755,'Chart of accounts'!A:H,4,FALSE),"")</f>
        <v>50201010 00 - Traveling Expenses - Local (751)</v>
      </c>
      <c r="M755" s="361">
        <v>1</v>
      </c>
      <c r="N755" s="355" t="s">
        <v>1195</v>
      </c>
      <c r="O755" s="355" t="s">
        <v>1196</v>
      </c>
      <c r="P755" s="355"/>
      <c r="Q755" s="363">
        <v>2850</v>
      </c>
      <c r="R755" s="319">
        <f t="shared" si="19"/>
        <v>-2850</v>
      </c>
      <c r="S755" s="319" t="str">
        <f>VLOOKUP(H755,'Fund Utilization Report'!$A$4:$U$1800,13,FALSE)</f>
        <v>MOOE</v>
      </c>
      <c r="T755" s="319" t="str">
        <f>VLOOKUP(H755,'Fund Utilization Report'!$A$4:$U$1800,2,FALSE)</f>
        <v>GAA</v>
      </c>
      <c r="U755" s="319" t="str">
        <f>VLOOKUP(H755,'Fund Utilization Report'!$A$4:$U$1800,3,FALSE)</f>
        <v>FY2021, RA11518</v>
      </c>
      <c r="V755" s="319" t="str">
        <f>VLOOKUP(H755,'Fund Utilization Report'!$A$4:$U$1800,4,FALSE)</f>
        <v>OO1</v>
      </c>
      <c r="W755" s="319" t="str">
        <f>VLOOKUP(H755,'Fund Utilization Report'!$A$4:$U$1800,5,FALSE)</f>
        <v>01101101</v>
      </c>
      <c r="X755" s="319" t="str">
        <f>VLOOKUP(H755,'Fund Utilization Report'!$A$4:$U$1800,6,FALSE)</f>
        <v>GOP</v>
      </c>
      <c r="Y755" s="320" t="str">
        <f>VLOOKUP(H755,'Fund Utilization Report'!$A$4:$U$1800,7,FALSE)</f>
        <v>MOOE</v>
      </c>
      <c r="Z755" s="321">
        <f>VLOOKUP(H755,'Fund Utilization Report'!$A$4:$U$1800,8,FALSE)</f>
        <v>5020000000</v>
      </c>
      <c r="AA755" s="319" t="str">
        <f>VLOOKUP(H755,'Fund Utilization Report'!$A$4:$U$1800,14,FALSE)</f>
        <v>310100100002000</v>
      </c>
      <c r="AB755" s="349" t="str">
        <f>VLOOKUP(H755,'Fund Utilization Report'!$A$4:$U$1800,15,FALSE)</f>
        <v>Development,Facilitation, and promotion of exports and investment, domestic and foreign</v>
      </c>
      <c r="AC755" s="39"/>
      <c r="AD755" s="34"/>
      <c r="AE755" s="39"/>
      <c r="AF755" s="51"/>
      <c r="AG755" s="40"/>
      <c r="AH755" s="40"/>
    </row>
    <row r="756" spans="1:34" s="32" customFormat="1" ht="41.4">
      <c r="A756" s="338" t="s">
        <v>942</v>
      </c>
      <c r="B756" s="338" t="s">
        <v>945</v>
      </c>
      <c r="C756" s="358">
        <v>44243</v>
      </c>
      <c r="D756" s="351" t="s">
        <v>1028</v>
      </c>
      <c r="E756" s="352" t="s">
        <v>1197</v>
      </c>
      <c r="F756" s="338">
        <v>0.40625</v>
      </c>
      <c r="G756" s="338">
        <v>0.406944444444445</v>
      </c>
      <c r="H756" s="338" t="s">
        <v>983</v>
      </c>
      <c r="I756" s="353">
        <v>761</v>
      </c>
      <c r="J756" s="338" t="str">
        <f>IFERROR(VLOOKUP(I756,'Chart of accounts'!A:H,2,FALSE),"")</f>
        <v>50203090 00</v>
      </c>
      <c r="K756" s="338" t="str">
        <f>IFERROR(VLOOKUP(I756,'Chart of accounts'!A:H,3,FALSE),"")</f>
        <v>Fuel, Oil and Lubricants Expenses</v>
      </c>
      <c r="L756" s="338" t="str">
        <f>IFERROR(VLOOKUP(I756,'Chart of accounts'!A:H,4,FALSE),"")</f>
        <v>50203090 00 - Fuel, Oil and Lubricants Expenses (761)</v>
      </c>
      <c r="M756" s="361">
        <v>1</v>
      </c>
      <c r="N756" s="355" t="s">
        <v>1195</v>
      </c>
      <c r="O756" s="355" t="s">
        <v>1205</v>
      </c>
      <c r="P756" s="355"/>
      <c r="Q756" s="363">
        <v>500</v>
      </c>
      <c r="R756" s="319">
        <f t="shared" si="19"/>
        <v>-500</v>
      </c>
      <c r="S756" s="319" t="str">
        <f>VLOOKUP(H756,'Fund Utilization Report'!$A$4:$U$1800,13,FALSE)</f>
        <v>MOOE</v>
      </c>
      <c r="T756" s="319" t="str">
        <f>VLOOKUP(H756,'Fund Utilization Report'!$A$4:$U$1800,2,FALSE)</f>
        <v>GAA</v>
      </c>
      <c r="U756" s="319" t="str">
        <f>VLOOKUP(H756,'Fund Utilization Report'!$A$4:$U$1800,3,FALSE)</f>
        <v>FY2021, RA11518</v>
      </c>
      <c r="V756" s="319" t="str">
        <f>VLOOKUP(H756,'Fund Utilization Report'!$A$4:$U$1800,4,FALSE)</f>
        <v>SSF</v>
      </c>
      <c r="W756" s="319" t="str">
        <f>VLOOKUP(H756,'Fund Utilization Report'!$A$4:$U$1800,5,FALSE)</f>
        <v>01101101</v>
      </c>
      <c r="X756" s="319" t="str">
        <f>VLOOKUP(H756,'Fund Utilization Report'!$A$4:$U$1800,6,FALSE)</f>
        <v>GOP</v>
      </c>
      <c r="Y756" s="320" t="str">
        <f>VLOOKUP(H756,'Fund Utilization Report'!$A$4:$U$1800,7,FALSE)</f>
        <v>MOOE</v>
      </c>
      <c r="Z756" s="321">
        <f>VLOOKUP(H756,'Fund Utilization Report'!$A$4:$U$1800,8,FALSE)</f>
        <v>5020000000</v>
      </c>
      <c r="AA756" s="319" t="str">
        <f>VLOOKUP(H756,'Fund Utilization Report'!$A$4:$U$1800,14,FALSE)</f>
        <v>330100200003000</v>
      </c>
      <c r="AB756" s="349" t="str">
        <f>VLOOKUP(H756,'Fund Utilization Report'!$A$4:$U$1800,15,FALSE)</f>
        <v>Shared Service Facilities Project</v>
      </c>
      <c r="AC756" s="39"/>
      <c r="AD756" s="34"/>
      <c r="AE756" s="39"/>
      <c r="AF756" s="51"/>
      <c r="AG756" s="40"/>
      <c r="AH756" s="40"/>
    </row>
    <row r="757" spans="1:34" s="32" customFormat="1" ht="27.6">
      <c r="A757" s="338" t="s">
        <v>942</v>
      </c>
      <c r="B757" s="338" t="s">
        <v>945</v>
      </c>
      <c r="C757" s="358">
        <v>44243</v>
      </c>
      <c r="D757" s="351" t="s">
        <v>1028</v>
      </c>
      <c r="E757" s="352" t="s">
        <v>1198</v>
      </c>
      <c r="F757" s="338">
        <v>0.406944444444444</v>
      </c>
      <c r="G757" s="338">
        <v>0.40763888888888899</v>
      </c>
      <c r="H757" s="338" t="s">
        <v>974</v>
      </c>
      <c r="I757" s="353">
        <v>751</v>
      </c>
      <c r="J757" s="338" t="str">
        <f>IFERROR(VLOOKUP(I757,'Chart of accounts'!A:H,2,FALSE),"")</f>
        <v>50201010 00</v>
      </c>
      <c r="K757" s="338" t="str">
        <f>IFERROR(VLOOKUP(I757,'Chart of accounts'!A:H,3,FALSE),"")</f>
        <v>Traveling Expenses - Local</v>
      </c>
      <c r="L757" s="338" t="str">
        <f>IFERROR(VLOOKUP(I757,'Chart of accounts'!A:H,4,FALSE),"")</f>
        <v>50201010 00 - Traveling Expenses - Local (751)</v>
      </c>
      <c r="M757" s="361">
        <v>85</v>
      </c>
      <c r="N757" s="355" t="s">
        <v>823</v>
      </c>
      <c r="O757" s="355" t="s">
        <v>1206</v>
      </c>
      <c r="P757" s="355"/>
      <c r="Q757" s="363">
        <v>15000</v>
      </c>
      <c r="R757" s="319">
        <f t="shared" si="19"/>
        <v>-15000</v>
      </c>
      <c r="S757" s="319" t="str">
        <f>VLOOKUP(H757,'Fund Utilization Report'!$A$4:$U$1800,13,FALSE)</f>
        <v>MOOE</v>
      </c>
      <c r="T757" s="319" t="str">
        <f>VLOOKUP(H757,'Fund Utilization Report'!$A$4:$U$1800,2,FALSE)</f>
        <v>GAA</v>
      </c>
      <c r="U757" s="319" t="str">
        <f>VLOOKUP(H757,'Fund Utilization Report'!$A$4:$U$1800,3,FALSE)</f>
        <v>FY2021, RA11518</v>
      </c>
      <c r="V757" s="319" t="str">
        <f>VLOOKUP(H757,'Fund Utilization Report'!$A$4:$U$1800,4,FALSE)</f>
        <v>OO4.1(FTL)</v>
      </c>
      <c r="W757" s="319" t="str">
        <f>VLOOKUP(H757,'Fund Utilization Report'!$A$4:$U$1800,5,FALSE)</f>
        <v>01101101</v>
      </c>
      <c r="X757" s="319" t="str">
        <f>VLOOKUP(H757,'Fund Utilization Report'!$A$4:$U$1800,6,FALSE)</f>
        <v>GOP</v>
      </c>
      <c r="Y757" s="320" t="str">
        <f>VLOOKUP(H757,'Fund Utilization Report'!$A$4:$U$1800,7,FALSE)</f>
        <v>MOOE</v>
      </c>
      <c r="Z757" s="321">
        <f>VLOOKUP(H757,'Fund Utilization Report'!$A$4:$U$1800,8,FALSE)</f>
        <v>5020000000</v>
      </c>
      <c r="AA757" s="319" t="str">
        <f>VLOOKUP(H757,'Fund Utilization Report'!$A$4:$U$1800,14,FALSE)</f>
        <v>340100100002000</v>
      </c>
      <c r="AB757" s="349" t="str">
        <f>VLOOKUP(H757,'Fund Utilization Report'!$A$4:$U$1800,15,FALSE)</f>
        <v>Monitoring and Enforcement of FTL including consumer complaints handling</v>
      </c>
      <c r="AC757" s="39"/>
      <c r="AD757" s="34"/>
      <c r="AE757" s="39"/>
      <c r="AF757" s="51"/>
      <c r="AG757" s="40"/>
      <c r="AH757" s="40"/>
    </row>
    <row r="758" spans="1:34" s="32" customFormat="1" ht="27.6">
      <c r="A758" s="338" t="s">
        <v>942</v>
      </c>
      <c r="B758" s="338" t="s">
        <v>945</v>
      </c>
      <c r="C758" s="358">
        <v>44243</v>
      </c>
      <c r="D758" s="351" t="s">
        <v>1028</v>
      </c>
      <c r="E758" s="352" t="s">
        <v>1198</v>
      </c>
      <c r="F758" s="338">
        <v>0.406944444444444</v>
      </c>
      <c r="G758" s="338">
        <v>0.40763888888888899</v>
      </c>
      <c r="H758" s="338" t="s">
        <v>974</v>
      </c>
      <c r="I758" s="353">
        <v>783</v>
      </c>
      <c r="J758" s="338" t="str">
        <f>IFERROR(VLOOKUP(I758,'Chart of accounts'!A:H,2,FALSE),"")</f>
        <v>50299030 00</v>
      </c>
      <c r="K758" s="338" t="str">
        <f>IFERROR(VLOOKUP(I758,'Chart of accounts'!A:H,3,FALSE),"")</f>
        <v>Representation Expenses</v>
      </c>
      <c r="L758" s="338" t="str">
        <f>IFERROR(VLOOKUP(I758,'Chart of accounts'!A:H,4,FALSE),"")</f>
        <v>50299030 00 - Representation Expenses (783)</v>
      </c>
      <c r="M758" s="361">
        <v>85</v>
      </c>
      <c r="N758" s="355" t="s">
        <v>823</v>
      </c>
      <c r="O758" s="355" t="s">
        <v>1206</v>
      </c>
      <c r="P758" s="355"/>
      <c r="Q758" s="363">
        <v>25000</v>
      </c>
      <c r="R758" s="319">
        <f>P758-Q758</f>
        <v>-25000</v>
      </c>
      <c r="S758" s="319" t="str">
        <f>VLOOKUP(H758,'Fund Utilization Report'!$A$4:$U$1800,13,FALSE)</f>
        <v>MOOE</v>
      </c>
      <c r="T758" s="319" t="str">
        <f>VLOOKUP(H758,'Fund Utilization Report'!$A$4:$U$1800,2,FALSE)</f>
        <v>GAA</v>
      </c>
      <c r="U758" s="319" t="str">
        <f>VLOOKUP(H758,'Fund Utilization Report'!$A$4:$U$1800,3,FALSE)</f>
        <v>FY2021, RA11518</v>
      </c>
      <c r="V758" s="319" t="str">
        <f>VLOOKUP(H758,'Fund Utilization Report'!$A$4:$U$1800,4,FALSE)</f>
        <v>OO4.1(FTL)</v>
      </c>
      <c r="W758" s="319" t="str">
        <f>VLOOKUP(H758,'Fund Utilization Report'!$A$4:$U$1800,5,FALSE)</f>
        <v>01101101</v>
      </c>
      <c r="X758" s="319" t="str">
        <f>VLOOKUP(H758,'Fund Utilization Report'!$A$4:$U$1800,6,FALSE)</f>
        <v>GOP</v>
      </c>
      <c r="Y758" s="320" t="str">
        <f>VLOOKUP(H758,'Fund Utilization Report'!$A$4:$U$1800,7,FALSE)</f>
        <v>MOOE</v>
      </c>
      <c r="Z758" s="321">
        <f>VLOOKUP(H758,'Fund Utilization Report'!$A$4:$U$1800,8,FALSE)</f>
        <v>5020000000</v>
      </c>
      <c r="AA758" s="319" t="str">
        <f>VLOOKUP(H758,'Fund Utilization Report'!$A$4:$U$1800,14,FALSE)</f>
        <v>340100100002000</v>
      </c>
      <c r="AB758" s="349" t="str">
        <f>VLOOKUP(H758,'Fund Utilization Report'!$A$4:$U$1800,15,FALSE)</f>
        <v>Monitoring and Enforcement of FTL including consumer complaints handling</v>
      </c>
      <c r="AC758" s="39"/>
      <c r="AD758" s="34"/>
      <c r="AE758" s="39"/>
      <c r="AF758" s="51"/>
      <c r="AG758" s="40"/>
      <c r="AH758" s="40"/>
    </row>
    <row r="759" spans="1:34" s="32" customFormat="1" ht="27.6">
      <c r="A759" s="338" t="s">
        <v>942</v>
      </c>
      <c r="B759" s="338" t="s">
        <v>945</v>
      </c>
      <c r="C759" s="358">
        <v>44243</v>
      </c>
      <c r="D759" s="351" t="s">
        <v>1028</v>
      </c>
      <c r="E759" s="352" t="s">
        <v>1198</v>
      </c>
      <c r="F759" s="338">
        <v>0.406944444444444</v>
      </c>
      <c r="G759" s="338">
        <v>0.40763888888888899</v>
      </c>
      <c r="H759" s="338" t="s">
        <v>977</v>
      </c>
      <c r="I759" s="353">
        <v>751</v>
      </c>
      <c r="J759" s="338" t="str">
        <f>IFERROR(VLOOKUP(I759,'Chart of accounts'!A:H,2,FALSE),"")</f>
        <v>50201010 00</v>
      </c>
      <c r="K759" s="338" t="str">
        <f>IFERROR(VLOOKUP(I759,'Chart of accounts'!A:H,3,FALSE),"")</f>
        <v>Traveling Expenses - Local</v>
      </c>
      <c r="L759" s="338" t="str">
        <f>IFERROR(VLOOKUP(I759,'Chart of accounts'!A:H,4,FALSE),"")</f>
        <v>50201010 00 - Traveling Expenses - Local (751)</v>
      </c>
      <c r="M759" s="361">
        <v>85</v>
      </c>
      <c r="N759" s="355" t="s">
        <v>823</v>
      </c>
      <c r="O759" s="355" t="s">
        <v>1206</v>
      </c>
      <c r="P759" s="355"/>
      <c r="Q759" s="363">
        <v>15000</v>
      </c>
      <c r="R759" s="319">
        <f>P759-Q759</f>
        <v>-15000</v>
      </c>
      <c r="S759" s="319" t="str">
        <f>VLOOKUP(H759,'Fund Utilization Report'!$A$4:$U$1800,13,FALSE)</f>
        <v>MOOE</v>
      </c>
      <c r="T759" s="319" t="str">
        <f>VLOOKUP(H759,'Fund Utilization Report'!$A$4:$U$1800,2,FALSE)</f>
        <v>GAA</v>
      </c>
      <c r="U759" s="319" t="str">
        <f>VLOOKUP(H759,'Fund Utilization Report'!$A$4:$U$1800,3,FALSE)</f>
        <v>FY2021, RA11518</v>
      </c>
      <c r="V759" s="319" t="str">
        <f>VLOOKUP(H759,'Fund Utilization Report'!$A$4:$U$1800,4,FALSE)</f>
        <v>OO4.1(Acc)</v>
      </c>
      <c r="W759" s="319" t="str">
        <f>VLOOKUP(H759,'Fund Utilization Report'!$A$4:$U$1800,5,FALSE)</f>
        <v>01101101</v>
      </c>
      <c r="X759" s="319" t="str">
        <f>VLOOKUP(H759,'Fund Utilization Report'!$A$4:$U$1800,6,FALSE)</f>
        <v>GOP</v>
      </c>
      <c r="Y759" s="320" t="str">
        <f>VLOOKUP(H759,'Fund Utilization Report'!$A$4:$U$1800,7,FALSE)</f>
        <v>MOOE</v>
      </c>
      <c r="Z759" s="321">
        <f>VLOOKUP(H759,'Fund Utilization Report'!$A$4:$U$1800,8,FALSE)</f>
        <v>5020000000</v>
      </c>
      <c r="AA759" s="319" t="str">
        <f>VLOOKUP(H759,'Fund Utilization Report'!$A$4:$U$1800,14,FALSE)</f>
        <v>340100100003000</v>
      </c>
      <c r="AB759" s="349" t="str">
        <f>VLOOKUP(H759,'Fund Utilization Report'!$A$4:$U$1800,15,FALSE)</f>
        <v>Accreditation and Issuance of Business Licenses, Permits, registration and authorities</v>
      </c>
      <c r="AC759" s="39"/>
      <c r="AD759" s="34"/>
      <c r="AE759" s="39"/>
      <c r="AF759" s="51"/>
      <c r="AG759" s="40"/>
      <c r="AH759" s="40"/>
    </row>
    <row r="760" spans="1:34" s="32" customFormat="1" ht="27.6">
      <c r="A760" s="338" t="s">
        <v>942</v>
      </c>
      <c r="B760" s="338" t="s">
        <v>945</v>
      </c>
      <c r="C760" s="358">
        <v>44243</v>
      </c>
      <c r="D760" s="351" t="s">
        <v>1028</v>
      </c>
      <c r="E760" s="352" t="s">
        <v>1198</v>
      </c>
      <c r="F760" s="338">
        <v>0.406944444444444</v>
      </c>
      <c r="G760" s="338">
        <v>0.40763888888888899</v>
      </c>
      <c r="H760" s="338" t="s">
        <v>977</v>
      </c>
      <c r="I760" s="353">
        <v>783</v>
      </c>
      <c r="J760" s="338" t="str">
        <f>IFERROR(VLOOKUP(I760,'Chart of accounts'!A:H,2,FALSE),"")</f>
        <v>50299030 00</v>
      </c>
      <c r="K760" s="338" t="str">
        <f>IFERROR(VLOOKUP(I760,'Chart of accounts'!A:H,3,FALSE),"")</f>
        <v>Representation Expenses</v>
      </c>
      <c r="L760" s="338" t="str">
        <f>IFERROR(VLOOKUP(I760,'Chart of accounts'!A:H,4,FALSE),"")</f>
        <v>50299030 00 - Representation Expenses (783)</v>
      </c>
      <c r="M760" s="361">
        <v>85</v>
      </c>
      <c r="N760" s="355" t="s">
        <v>823</v>
      </c>
      <c r="O760" s="355" t="s">
        <v>1206</v>
      </c>
      <c r="P760" s="355"/>
      <c r="Q760" s="363">
        <v>35000</v>
      </c>
      <c r="R760" s="319">
        <f>P760-Q760</f>
        <v>-35000</v>
      </c>
      <c r="S760" s="319" t="str">
        <f>VLOOKUP(H760,'Fund Utilization Report'!$A$4:$U$1800,13,FALSE)</f>
        <v>MOOE</v>
      </c>
      <c r="T760" s="319" t="str">
        <f>VLOOKUP(H760,'Fund Utilization Report'!$A$4:$U$1800,2,FALSE)</f>
        <v>GAA</v>
      </c>
      <c r="U760" s="319" t="str">
        <f>VLOOKUP(H760,'Fund Utilization Report'!$A$4:$U$1800,3,FALSE)</f>
        <v>FY2021, RA11518</v>
      </c>
      <c r="V760" s="319" t="str">
        <f>VLOOKUP(H760,'Fund Utilization Report'!$A$4:$U$1800,4,FALSE)</f>
        <v>OO4.1(Acc)</v>
      </c>
      <c r="W760" s="319" t="str">
        <f>VLOOKUP(H760,'Fund Utilization Report'!$A$4:$U$1800,5,FALSE)</f>
        <v>01101101</v>
      </c>
      <c r="X760" s="319" t="str">
        <f>VLOOKUP(H760,'Fund Utilization Report'!$A$4:$U$1800,6,FALSE)</f>
        <v>GOP</v>
      </c>
      <c r="Y760" s="320" t="str">
        <f>VLOOKUP(H760,'Fund Utilization Report'!$A$4:$U$1800,7,FALSE)</f>
        <v>MOOE</v>
      </c>
      <c r="Z760" s="321">
        <f>VLOOKUP(H760,'Fund Utilization Report'!$A$4:$U$1800,8,FALSE)</f>
        <v>5020000000</v>
      </c>
      <c r="AA760" s="319" t="str">
        <f>VLOOKUP(H760,'Fund Utilization Report'!$A$4:$U$1800,14,FALSE)</f>
        <v>340100100003000</v>
      </c>
      <c r="AB760" s="349" t="str">
        <f>VLOOKUP(H760,'Fund Utilization Report'!$A$4:$U$1800,15,FALSE)</f>
        <v>Accreditation and Issuance of Business Licenses, Permits, registration and authorities</v>
      </c>
      <c r="AC760" s="39"/>
      <c r="AD760" s="34"/>
      <c r="AE760" s="39"/>
      <c r="AF760" s="51"/>
      <c r="AG760" s="40"/>
      <c r="AH760" s="40"/>
    </row>
    <row r="761" spans="1:34" s="32" customFormat="1" ht="27.6">
      <c r="A761" s="338" t="s">
        <v>942</v>
      </c>
      <c r="B761" s="338" t="s">
        <v>945</v>
      </c>
      <c r="C761" s="358">
        <v>44243</v>
      </c>
      <c r="D761" s="351" t="s">
        <v>1028</v>
      </c>
      <c r="E761" s="352" t="s">
        <v>1198</v>
      </c>
      <c r="F761" s="338">
        <v>0.406944444444444</v>
      </c>
      <c r="G761" s="338">
        <v>0.40763888888888899</v>
      </c>
      <c r="H761" s="338" t="s">
        <v>979</v>
      </c>
      <c r="I761" s="353">
        <v>755</v>
      </c>
      <c r="J761" s="338" t="str">
        <f>IFERROR(VLOOKUP(I761,'Chart of accounts'!A:H,2,FALSE),"")</f>
        <v>50203010 00</v>
      </c>
      <c r="K761" s="338" t="str">
        <f>IFERROR(VLOOKUP(I761,'Chart of accounts'!A:H,3,FALSE),"")</f>
        <v>Office Supplies Expenses</v>
      </c>
      <c r="L761" s="338" t="str">
        <f>IFERROR(VLOOKUP(I761,'Chart of accounts'!A:H,4,FALSE),"")</f>
        <v>50203010 00 - Office Supplies Expenses (755)</v>
      </c>
      <c r="M761" s="361">
        <v>85</v>
      </c>
      <c r="N761" s="355" t="s">
        <v>823</v>
      </c>
      <c r="O761" s="355" t="s">
        <v>1206</v>
      </c>
      <c r="P761" s="355"/>
      <c r="Q761" s="363">
        <v>10000</v>
      </c>
      <c r="R761" s="319">
        <f>P761-Q761</f>
        <v>-10000</v>
      </c>
      <c r="S761" s="319" t="str">
        <f>VLOOKUP(H761,'Fund Utilization Report'!$A$4:$U$1800,13,FALSE)</f>
        <v>MOOE</v>
      </c>
      <c r="T761" s="319" t="str">
        <f>VLOOKUP(H761,'Fund Utilization Report'!$A$4:$U$1800,2,FALSE)</f>
        <v>GAA</v>
      </c>
      <c r="U761" s="319" t="str">
        <f>VLOOKUP(H761,'Fund Utilization Report'!$A$4:$U$1800,3,FALSE)</f>
        <v>FY2021, RA11518</v>
      </c>
      <c r="V761" s="319" t="str">
        <f>VLOOKUP(H761,'Fund Utilization Report'!$A$4:$U$1800,4,FALSE)</f>
        <v>OO 4.2</v>
      </c>
      <c r="W761" s="319" t="str">
        <f>VLOOKUP(H761,'Fund Utilization Report'!$A$4:$U$1800,5,FALSE)</f>
        <v>01101101</v>
      </c>
      <c r="X761" s="319" t="str">
        <f>VLOOKUP(H761,'Fund Utilization Report'!$A$4:$U$1800,6,FALSE)</f>
        <v>GOP</v>
      </c>
      <c r="Y761" s="320" t="str">
        <f>VLOOKUP(H761,'Fund Utilization Report'!$A$4:$U$1800,7,FALSE)</f>
        <v>MOOE</v>
      </c>
      <c r="Z761" s="321">
        <f>VLOOKUP(H761,'Fund Utilization Report'!$A$4:$U$1800,8,FALSE)</f>
        <v>5020000000</v>
      </c>
      <c r="AA761" s="319" t="str">
        <f>VLOOKUP(H761,'Fund Utilization Report'!$A$4:$U$1800,14,FALSE)</f>
        <v>340200100002000</v>
      </c>
      <c r="AB761" s="349" t="str">
        <f>VLOOKUP(H761,'Fund Utilization Report'!$A$4:$U$1800,15,FALSE)</f>
        <v>Implementation of Plans, projects and activities on consumer awareness, education, and advocacy</v>
      </c>
      <c r="AC761" s="39"/>
      <c r="AD761" s="34"/>
      <c r="AE761" s="39"/>
      <c r="AF761" s="51"/>
      <c r="AG761" s="40"/>
      <c r="AH761" s="40"/>
    </row>
    <row r="762" spans="1:34" s="411" customFormat="1" ht="27.6">
      <c r="A762" s="405" t="s">
        <v>942</v>
      </c>
      <c r="B762" s="405" t="s">
        <v>945</v>
      </c>
      <c r="C762" s="402">
        <v>44243</v>
      </c>
      <c r="D762" s="403" t="s">
        <v>1028</v>
      </c>
      <c r="E762" s="404" t="s">
        <v>1199</v>
      </c>
      <c r="F762" s="405">
        <v>0.40763888888888899</v>
      </c>
      <c r="G762" s="405">
        <v>0.40833333333333399</v>
      </c>
      <c r="H762" s="405" t="s">
        <v>974</v>
      </c>
      <c r="I762" s="416">
        <v>751</v>
      </c>
      <c r="J762" s="405" t="str">
        <f>IFERROR(VLOOKUP(I762,'Chart of accounts'!A:H,2,FALSE),"")</f>
        <v>50201010 00</v>
      </c>
      <c r="K762" s="405" t="str">
        <f>IFERROR(VLOOKUP(I762,'Chart of accounts'!A:H,3,FALSE),"")</f>
        <v>Traveling Expenses - Local</v>
      </c>
      <c r="L762" s="405" t="str">
        <f>IFERROR(VLOOKUP(I762,'Chart of accounts'!A:H,4,FALSE),"")</f>
        <v>50201010 00 - Traveling Expenses - Local (751)</v>
      </c>
      <c r="M762" s="408">
        <v>67</v>
      </c>
      <c r="N762" s="409" t="s">
        <v>822</v>
      </c>
      <c r="O762" s="409" t="s">
        <v>1206</v>
      </c>
      <c r="P762" s="409"/>
      <c r="Q762" s="65">
        <f>20000-20000</f>
        <v>0</v>
      </c>
      <c r="R762" s="63">
        <f t="shared" si="19"/>
        <v>0</v>
      </c>
      <c r="S762" s="63" t="str">
        <f>VLOOKUP(H762,'Fund Utilization Report'!$A$4:$U$1800,13,FALSE)</f>
        <v>MOOE</v>
      </c>
      <c r="T762" s="63" t="str">
        <f>VLOOKUP(H762,'Fund Utilization Report'!$A$4:$U$1800,2,FALSE)</f>
        <v>GAA</v>
      </c>
      <c r="U762" s="63" t="str">
        <f>VLOOKUP(H762,'Fund Utilization Report'!$A$4:$U$1800,3,FALSE)</f>
        <v>FY2021, RA11518</v>
      </c>
      <c r="V762" s="63" t="str">
        <f>VLOOKUP(H762,'Fund Utilization Report'!$A$4:$U$1800,4,FALSE)</f>
        <v>OO4.1(FTL)</v>
      </c>
      <c r="W762" s="63" t="str">
        <f>VLOOKUP(H762,'Fund Utilization Report'!$A$4:$U$1800,5,FALSE)</f>
        <v>01101101</v>
      </c>
      <c r="X762" s="63" t="str">
        <f>VLOOKUP(H762,'Fund Utilization Report'!$A$4:$U$1800,6,FALSE)</f>
        <v>GOP</v>
      </c>
      <c r="Y762" s="417" t="str">
        <f>VLOOKUP(H762,'Fund Utilization Report'!$A$4:$U$1800,7,FALSE)</f>
        <v>MOOE</v>
      </c>
      <c r="Z762" s="418">
        <f>VLOOKUP(H762,'Fund Utilization Report'!$A$4:$U$1800,8,FALSE)</f>
        <v>5020000000</v>
      </c>
      <c r="AA762" s="63" t="str">
        <f>VLOOKUP(H762,'Fund Utilization Report'!$A$4:$U$1800,14,FALSE)</f>
        <v>340100100002000</v>
      </c>
      <c r="AB762" s="419" t="str">
        <f>VLOOKUP(H762,'Fund Utilization Report'!$A$4:$U$1800,15,FALSE)</f>
        <v>Monitoring and Enforcement of FTL including consumer complaints handling</v>
      </c>
      <c r="AC762" s="406"/>
      <c r="AD762" s="403"/>
      <c r="AE762" s="406"/>
      <c r="AF762" s="406"/>
      <c r="AG762" s="407"/>
      <c r="AH762" s="407"/>
    </row>
    <row r="763" spans="1:34" s="411" customFormat="1" ht="27.6">
      <c r="A763" s="405" t="s">
        <v>942</v>
      </c>
      <c r="B763" s="405" t="s">
        <v>945</v>
      </c>
      <c r="C763" s="402">
        <v>44243</v>
      </c>
      <c r="D763" s="403" t="s">
        <v>1028</v>
      </c>
      <c r="E763" s="404" t="s">
        <v>1199</v>
      </c>
      <c r="F763" s="405">
        <v>0.40763888888888899</v>
      </c>
      <c r="G763" s="405">
        <v>0.40833333333333399</v>
      </c>
      <c r="H763" s="405" t="s">
        <v>974</v>
      </c>
      <c r="I763" s="416">
        <v>783</v>
      </c>
      <c r="J763" s="405" t="str">
        <f>IFERROR(VLOOKUP(I763,'Chart of accounts'!A:H,2,FALSE),"")</f>
        <v>50299030 00</v>
      </c>
      <c r="K763" s="405" t="str">
        <f>IFERROR(VLOOKUP(I763,'Chart of accounts'!A:H,3,FALSE),"")</f>
        <v>Representation Expenses</v>
      </c>
      <c r="L763" s="405" t="str">
        <f>IFERROR(VLOOKUP(I763,'Chart of accounts'!A:H,4,FALSE),"")</f>
        <v>50299030 00 - Representation Expenses (783)</v>
      </c>
      <c r="M763" s="408">
        <v>67</v>
      </c>
      <c r="N763" s="409" t="s">
        <v>822</v>
      </c>
      <c r="O763" s="409" t="s">
        <v>1206</v>
      </c>
      <c r="P763" s="409"/>
      <c r="Q763" s="65">
        <f>35000-35000</f>
        <v>0</v>
      </c>
      <c r="R763" s="63">
        <f>P763-Q763</f>
        <v>0</v>
      </c>
      <c r="S763" s="63" t="str">
        <f>VLOOKUP(H763,'Fund Utilization Report'!$A$4:$U$1800,13,FALSE)</f>
        <v>MOOE</v>
      </c>
      <c r="T763" s="63" t="str">
        <f>VLOOKUP(H763,'Fund Utilization Report'!$A$4:$U$1800,2,FALSE)</f>
        <v>GAA</v>
      </c>
      <c r="U763" s="63" t="str">
        <f>VLOOKUP(H763,'Fund Utilization Report'!$A$4:$U$1800,3,FALSE)</f>
        <v>FY2021, RA11518</v>
      </c>
      <c r="V763" s="63" t="str">
        <f>VLOOKUP(H763,'Fund Utilization Report'!$A$4:$U$1800,4,FALSE)</f>
        <v>OO4.1(FTL)</v>
      </c>
      <c r="W763" s="63" t="str">
        <f>VLOOKUP(H763,'Fund Utilization Report'!$A$4:$U$1800,5,FALSE)</f>
        <v>01101101</v>
      </c>
      <c r="X763" s="63" t="str">
        <f>VLOOKUP(H763,'Fund Utilization Report'!$A$4:$U$1800,6,FALSE)</f>
        <v>GOP</v>
      </c>
      <c r="Y763" s="417" t="str">
        <f>VLOOKUP(H763,'Fund Utilization Report'!$A$4:$U$1800,7,FALSE)</f>
        <v>MOOE</v>
      </c>
      <c r="Z763" s="418">
        <f>VLOOKUP(H763,'Fund Utilization Report'!$A$4:$U$1800,8,FALSE)</f>
        <v>5020000000</v>
      </c>
      <c r="AA763" s="63" t="str">
        <f>VLOOKUP(H763,'Fund Utilization Report'!$A$4:$U$1800,14,FALSE)</f>
        <v>340100100002000</v>
      </c>
      <c r="AB763" s="419" t="str">
        <f>VLOOKUP(H763,'Fund Utilization Report'!$A$4:$U$1800,15,FALSE)</f>
        <v>Monitoring and Enforcement of FTL including consumer complaints handling</v>
      </c>
      <c r="AC763" s="406"/>
      <c r="AD763" s="403"/>
      <c r="AE763" s="406"/>
      <c r="AF763" s="406"/>
      <c r="AG763" s="407"/>
      <c r="AH763" s="407"/>
    </row>
    <row r="764" spans="1:34" s="411" customFormat="1" ht="27.6">
      <c r="A764" s="405" t="s">
        <v>942</v>
      </c>
      <c r="B764" s="405" t="s">
        <v>945</v>
      </c>
      <c r="C764" s="402">
        <v>44243</v>
      </c>
      <c r="D764" s="403" t="s">
        <v>1028</v>
      </c>
      <c r="E764" s="404" t="s">
        <v>1199</v>
      </c>
      <c r="F764" s="405">
        <v>0.40763888888888899</v>
      </c>
      <c r="G764" s="405">
        <v>0.40833333333333399</v>
      </c>
      <c r="H764" s="405" t="s">
        <v>977</v>
      </c>
      <c r="I764" s="416">
        <v>751</v>
      </c>
      <c r="J764" s="405" t="str">
        <f>IFERROR(VLOOKUP(I764,'Chart of accounts'!A:H,2,FALSE),"")</f>
        <v>50201010 00</v>
      </c>
      <c r="K764" s="405" t="str">
        <f>IFERROR(VLOOKUP(I764,'Chart of accounts'!A:H,3,FALSE),"")</f>
        <v>Traveling Expenses - Local</v>
      </c>
      <c r="L764" s="405" t="str">
        <f>IFERROR(VLOOKUP(I764,'Chart of accounts'!A:H,4,FALSE),"")</f>
        <v>50201010 00 - Traveling Expenses - Local (751)</v>
      </c>
      <c r="M764" s="408">
        <v>67</v>
      </c>
      <c r="N764" s="409" t="s">
        <v>822</v>
      </c>
      <c r="O764" s="409" t="s">
        <v>1206</v>
      </c>
      <c r="P764" s="409"/>
      <c r="Q764" s="65">
        <f>20000-20000</f>
        <v>0</v>
      </c>
      <c r="R764" s="63">
        <f>P764-Q764</f>
        <v>0</v>
      </c>
      <c r="S764" s="63" t="str">
        <f>VLOOKUP(H764,'Fund Utilization Report'!$A$4:$U$1800,13,FALSE)</f>
        <v>MOOE</v>
      </c>
      <c r="T764" s="63" t="str">
        <f>VLOOKUP(H764,'Fund Utilization Report'!$A$4:$U$1800,2,FALSE)</f>
        <v>GAA</v>
      </c>
      <c r="U764" s="63" t="str">
        <f>VLOOKUP(H764,'Fund Utilization Report'!$A$4:$U$1800,3,FALSE)</f>
        <v>FY2021, RA11518</v>
      </c>
      <c r="V764" s="63" t="str">
        <f>VLOOKUP(H764,'Fund Utilization Report'!$A$4:$U$1800,4,FALSE)</f>
        <v>OO4.1(Acc)</v>
      </c>
      <c r="W764" s="63" t="str">
        <f>VLOOKUP(H764,'Fund Utilization Report'!$A$4:$U$1800,5,FALSE)</f>
        <v>01101101</v>
      </c>
      <c r="X764" s="63" t="str">
        <f>VLOOKUP(H764,'Fund Utilization Report'!$A$4:$U$1800,6,FALSE)</f>
        <v>GOP</v>
      </c>
      <c r="Y764" s="417" t="str">
        <f>VLOOKUP(H764,'Fund Utilization Report'!$A$4:$U$1800,7,FALSE)</f>
        <v>MOOE</v>
      </c>
      <c r="Z764" s="418">
        <f>VLOOKUP(H764,'Fund Utilization Report'!$A$4:$U$1800,8,FALSE)</f>
        <v>5020000000</v>
      </c>
      <c r="AA764" s="63" t="str">
        <f>VLOOKUP(H764,'Fund Utilization Report'!$A$4:$U$1800,14,FALSE)</f>
        <v>340100100003000</v>
      </c>
      <c r="AB764" s="419" t="str">
        <f>VLOOKUP(H764,'Fund Utilization Report'!$A$4:$U$1800,15,FALSE)</f>
        <v>Accreditation and Issuance of Business Licenses, Permits, registration and authorities</v>
      </c>
      <c r="AC764" s="406"/>
      <c r="AD764" s="403"/>
      <c r="AE764" s="406"/>
      <c r="AF764" s="406"/>
      <c r="AG764" s="407"/>
      <c r="AH764" s="407"/>
    </row>
    <row r="765" spans="1:34" s="411" customFormat="1" ht="27.6">
      <c r="A765" s="405" t="s">
        <v>942</v>
      </c>
      <c r="B765" s="405" t="s">
        <v>945</v>
      </c>
      <c r="C765" s="402">
        <v>44243</v>
      </c>
      <c r="D765" s="403" t="s">
        <v>1028</v>
      </c>
      <c r="E765" s="404" t="s">
        <v>1199</v>
      </c>
      <c r="F765" s="405">
        <v>0.40763888888888899</v>
      </c>
      <c r="G765" s="405">
        <v>0.40833333333333399</v>
      </c>
      <c r="H765" s="405" t="s">
        <v>977</v>
      </c>
      <c r="I765" s="416">
        <v>783</v>
      </c>
      <c r="J765" s="405" t="str">
        <f>IFERROR(VLOOKUP(I765,'Chart of accounts'!A:H,2,FALSE),"")</f>
        <v>50299030 00</v>
      </c>
      <c r="K765" s="405" t="str">
        <f>IFERROR(VLOOKUP(I765,'Chart of accounts'!A:H,3,FALSE),"")</f>
        <v>Representation Expenses</v>
      </c>
      <c r="L765" s="405" t="str">
        <f>IFERROR(VLOOKUP(I765,'Chart of accounts'!A:H,4,FALSE),"")</f>
        <v>50299030 00 - Representation Expenses (783)</v>
      </c>
      <c r="M765" s="408">
        <v>67</v>
      </c>
      <c r="N765" s="409" t="s">
        <v>822</v>
      </c>
      <c r="O765" s="409" t="s">
        <v>1206</v>
      </c>
      <c r="P765" s="409"/>
      <c r="Q765" s="65">
        <f>50000-50000</f>
        <v>0</v>
      </c>
      <c r="R765" s="63">
        <f>P765-Q765</f>
        <v>0</v>
      </c>
      <c r="S765" s="63" t="str">
        <f>VLOOKUP(H765,'Fund Utilization Report'!$A$4:$U$1800,13,FALSE)</f>
        <v>MOOE</v>
      </c>
      <c r="T765" s="63" t="str">
        <f>VLOOKUP(H765,'Fund Utilization Report'!$A$4:$U$1800,2,FALSE)</f>
        <v>GAA</v>
      </c>
      <c r="U765" s="63" t="str">
        <f>VLOOKUP(H765,'Fund Utilization Report'!$A$4:$U$1800,3,FALSE)</f>
        <v>FY2021, RA11518</v>
      </c>
      <c r="V765" s="63" t="str">
        <f>VLOOKUP(H765,'Fund Utilization Report'!$A$4:$U$1800,4,FALSE)</f>
        <v>OO4.1(Acc)</v>
      </c>
      <c r="W765" s="63" t="str">
        <f>VLOOKUP(H765,'Fund Utilization Report'!$A$4:$U$1800,5,FALSE)</f>
        <v>01101101</v>
      </c>
      <c r="X765" s="63" t="str">
        <f>VLOOKUP(H765,'Fund Utilization Report'!$A$4:$U$1800,6,FALSE)</f>
        <v>GOP</v>
      </c>
      <c r="Y765" s="417" t="str">
        <f>VLOOKUP(H765,'Fund Utilization Report'!$A$4:$U$1800,7,FALSE)</f>
        <v>MOOE</v>
      </c>
      <c r="Z765" s="418">
        <f>VLOOKUP(H765,'Fund Utilization Report'!$A$4:$U$1800,8,FALSE)</f>
        <v>5020000000</v>
      </c>
      <c r="AA765" s="63" t="str">
        <f>VLOOKUP(H765,'Fund Utilization Report'!$A$4:$U$1800,14,FALSE)</f>
        <v>340100100003000</v>
      </c>
      <c r="AB765" s="419" t="str">
        <f>VLOOKUP(H765,'Fund Utilization Report'!$A$4:$U$1800,15,FALSE)</f>
        <v>Accreditation and Issuance of Business Licenses, Permits, registration and authorities</v>
      </c>
      <c r="AC765" s="406"/>
      <c r="AD765" s="403"/>
      <c r="AE765" s="406"/>
      <c r="AF765" s="406"/>
      <c r="AG765" s="407"/>
      <c r="AH765" s="407"/>
    </row>
    <row r="766" spans="1:34" s="411" customFormat="1" ht="27.6">
      <c r="A766" s="405" t="s">
        <v>942</v>
      </c>
      <c r="B766" s="405" t="s">
        <v>945</v>
      </c>
      <c r="C766" s="402">
        <v>44243</v>
      </c>
      <c r="D766" s="403" t="s">
        <v>1028</v>
      </c>
      <c r="E766" s="404" t="s">
        <v>1199</v>
      </c>
      <c r="F766" s="405">
        <v>0.40763888888888899</v>
      </c>
      <c r="G766" s="405">
        <v>0.40833333333333399</v>
      </c>
      <c r="H766" s="405" t="s">
        <v>979</v>
      </c>
      <c r="I766" s="416">
        <v>755</v>
      </c>
      <c r="J766" s="405" t="str">
        <f>IFERROR(VLOOKUP(I766,'Chart of accounts'!A:H,2,FALSE),"")</f>
        <v>50203010 00</v>
      </c>
      <c r="K766" s="405" t="str">
        <f>IFERROR(VLOOKUP(I766,'Chart of accounts'!A:H,3,FALSE),"")</f>
        <v>Office Supplies Expenses</v>
      </c>
      <c r="L766" s="405" t="str">
        <f>IFERROR(VLOOKUP(I766,'Chart of accounts'!A:H,4,FALSE),"")</f>
        <v>50203010 00 - Office Supplies Expenses (755)</v>
      </c>
      <c r="M766" s="408">
        <v>67</v>
      </c>
      <c r="N766" s="409" t="s">
        <v>822</v>
      </c>
      <c r="O766" s="409" t="s">
        <v>1206</v>
      </c>
      <c r="P766" s="409"/>
      <c r="Q766" s="65">
        <f>21950-21950</f>
        <v>0</v>
      </c>
      <c r="R766" s="63">
        <f>P766-Q766</f>
        <v>0</v>
      </c>
      <c r="S766" s="63" t="str">
        <f>VLOOKUP(H766,'Fund Utilization Report'!$A$4:$U$1800,13,FALSE)</f>
        <v>MOOE</v>
      </c>
      <c r="T766" s="63" t="str">
        <f>VLOOKUP(H766,'Fund Utilization Report'!$A$4:$U$1800,2,FALSE)</f>
        <v>GAA</v>
      </c>
      <c r="U766" s="63" t="str">
        <f>VLOOKUP(H766,'Fund Utilization Report'!$A$4:$U$1800,3,FALSE)</f>
        <v>FY2021, RA11518</v>
      </c>
      <c r="V766" s="63" t="str">
        <f>VLOOKUP(H766,'Fund Utilization Report'!$A$4:$U$1800,4,FALSE)</f>
        <v>OO 4.2</v>
      </c>
      <c r="W766" s="63" t="str">
        <f>VLOOKUP(H766,'Fund Utilization Report'!$A$4:$U$1800,5,FALSE)</f>
        <v>01101101</v>
      </c>
      <c r="X766" s="63" t="str">
        <f>VLOOKUP(H766,'Fund Utilization Report'!$A$4:$U$1800,6,FALSE)</f>
        <v>GOP</v>
      </c>
      <c r="Y766" s="417" t="str">
        <f>VLOOKUP(H766,'Fund Utilization Report'!$A$4:$U$1800,7,FALSE)</f>
        <v>MOOE</v>
      </c>
      <c r="Z766" s="418">
        <f>VLOOKUP(H766,'Fund Utilization Report'!$A$4:$U$1800,8,FALSE)</f>
        <v>5020000000</v>
      </c>
      <c r="AA766" s="63" t="str">
        <f>VLOOKUP(H766,'Fund Utilization Report'!$A$4:$U$1800,14,FALSE)</f>
        <v>340200100002000</v>
      </c>
      <c r="AB766" s="419" t="str">
        <f>VLOOKUP(H766,'Fund Utilization Report'!$A$4:$U$1800,15,FALSE)</f>
        <v>Implementation of Plans, projects and activities on consumer awareness, education, and advocacy</v>
      </c>
      <c r="AC766" s="406"/>
      <c r="AD766" s="403"/>
      <c r="AE766" s="406"/>
      <c r="AF766" s="406"/>
      <c r="AG766" s="407"/>
      <c r="AH766" s="407"/>
    </row>
    <row r="767" spans="1:34" s="411" customFormat="1" ht="27.6">
      <c r="A767" s="405" t="s">
        <v>942</v>
      </c>
      <c r="B767" s="405" t="s">
        <v>945</v>
      </c>
      <c r="C767" s="402">
        <v>44243</v>
      </c>
      <c r="D767" s="403" t="s">
        <v>1028</v>
      </c>
      <c r="E767" s="404" t="s">
        <v>1200</v>
      </c>
      <c r="F767" s="405">
        <v>0.40833333333333299</v>
      </c>
      <c r="G767" s="405">
        <v>0.40902777777777799</v>
      </c>
      <c r="H767" s="405" t="s">
        <v>974</v>
      </c>
      <c r="I767" s="416">
        <v>751</v>
      </c>
      <c r="J767" s="405" t="str">
        <f>IFERROR(VLOOKUP(I767,'Chart of accounts'!A:H,2,FALSE),"")</f>
        <v>50201010 00</v>
      </c>
      <c r="K767" s="405" t="str">
        <f>IFERROR(VLOOKUP(I767,'Chart of accounts'!A:H,3,FALSE),"")</f>
        <v>Traveling Expenses - Local</v>
      </c>
      <c r="L767" s="405" t="str">
        <f>IFERROR(VLOOKUP(I767,'Chart of accounts'!A:H,4,FALSE),"")</f>
        <v>50201010 00 - Traveling Expenses - Local (751)</v>
      </c>
      <c r="M767" s="408">
        <v>68</v>
      </c>
      <c r="N767" s="409" t="s">
        <v>821</v>
      </c>
      <c r="O767" s="409" t="s">
        <v>1206</v>
      </c>
      <c r="P767" s="409"/>
      <c r="Q767" s="65">
        <f>20000-20000</f>
        <v>0</v>
      </c>
      <c r="R767" s="63">
        <f>P767-Q767</f>
        <v>0</v>
      </c>
      <c r="S767" s="63" t="str">
        <f>VLOOKUP(H767,'Fund Utilization Report'!$A$4:$U$1800,13,FALSE)</f>
        <v>MOOE</v>
      </c>
      <c r="T767" s="63" t="str">
        <f>VLOOKUP(H767,'Fund Utilization Report'!$A$4:$U$1800,2,FALSE)</f>
        <v>GAA</v>
      </c>
      <c r="U767" s="63" t="str">
        <f>VLOOKUP(H767,'Fund Utilization Report'!$A$4:$U$1800,3,FALSE)</f>
        <v>FY2021, RA11518</v>
      </c>
      <c r="V767" s="63" t="str">
        <f>VLOOKUP(H767,'Fund Utilization Report'!$A$4:$U$1800,4,FALSE)</f>
        <v>OO4.1(FTL)</v>
      </c>
      <c r="W767" s="63" t="str">
        <f>VLOOKUP(H767,'Fund Utilization Report'!$A$4:$U$1800,5,FALSE)</f>
        <v>01101101</v>
      </c>
      <c r="X767" s="63" t="str">
        <f>VLOOKUP(H767,'Fund Utilization Report'!$A$4:$U$1800,6,FALSE)</f>
        <v>GOP</v>
      </c>
      <c r="Y767" s="417" t="str">
        <f>VLOOKUP(H767,'Fund Utilization Report'!$A$4:$U$1800,7,FALSE)</f>
        <v>MOOE</v>
      </c>
      <c r="Z767" s="418">
        <f>VLOOKUP(H767,'Fund Utilization Report'!$A$4:$U$1800,8,FALSE)</f>
        <v>5020000000</v>
      </c>
      <c r="AA767" s="63" t="str">
        <f>VLOOKUP(H767,'Fund Utilization Report'!$A$4:$U$1800,14,FALSE)</f>
        <v>340100100002000</v>
      </c>
      <c r="AB767" s="419" t="str">
        <f>VLOOKUP(H767,'Fund Utilization Report'!$A$4:$U$1800,15,FALSE)</f>
        <v>Monitoring and Enforcement of FTL including consumer complaints handling</v>
      </c>
      <c r="AC767" s="406"/>
      <c r="AD767" s="403"/>
      <c r="AE767" s="406"/>
      <c r="AF767" s="406"/>
      <c r="AG767" s="407"/>
      <c r="AH767" s="407"/>
    </row>
    <row r="768" spans="1:34" s="411" customFormat="1" ht="27.6">
      <c r="A768" s="405" t="s">
        <v>942</v>
      </c>
      <c r="B768" s="405" t="s">
        <v>945</v>
      </c>
      <c r="C768" s="402">
        <v>44243</v>
      </c>
      <c r="D768" s="403" t="s">
        <v>1028</v>
      </c>
      <c r="E768" s="404" t="s">
        <v>1200</v>
      </c>
      <c r="F768" s="405">
        <v>0.40833333333333299</v>
      </c>
      <c r="G768" s="405">
        <v>0.40902777777777799</v>
      </c>
      <c r="H768" s="405" t="s">
        <v>974</v>
      </c>
      <c r="I768" s="416">
        <v>783</v>
      </c>
      <c r="J768" s="405" t="str">
        <f>IFERROR(VLOOKUP(I768,'Chart of accounts'!A:H,2,FALSE),"")</f>
        <v>50299030 00</v>
      </c>
      <c r="K768" s="405" t="str">
        <f>IFERROR(VLOOKUP(I768,'Chart of accounts'!A:H,3,FALSE),"")</f>
        <v>Representation Expenses</v>
      </c>
      <c r="L768" s="405" t="str">
        <f>IFERROR(VLOOKUP(I768,'Chart of accounts'!A:H,4,FALSE),"")</f>
        <v>50299030 00 - Representation Expenses (783)</v>
      </c>
      <c r="M768" s="408">
        <v>68</v>
      </c>
      <c r="N768" s="409" t="s">
        <v>821</v>
      </c>
      <c r="O768" s="409" t="s">
        <v>1206</v>
      </c>
      <c r="P768" s="409"/>
      <c r="Q768" s="65">
        <f>35000-35000</f>
        <v>0</v>
      </c>
      <c r="R768" s="63">
        <f t="shared" si="19"/>
        <v>0</v>
      </c>
      <c r="S768" s="63" t="str">
        <f>VLOOKUP(H768,'Fund Utilization Report'!$A$4:$U$1800,13,FALSE)</f>
        <v>MOOE</v>
      </c>
      <c r="T768" s="63" t="str">
        <f>VLOOKUP(H768,'Fund Utilization Report'!$A$4:$U$1800,2,FALSE)</f>
        <v>GAA</v>
      </c>
      <c r="U768" s="63" t="str">
        <f>VLOOKUP(H768,'Fund Utilization Report'!$A$4:$U$1800,3,FALSE)</f>
        <v>FY2021, RA11518</v>
      </c>
      <c r="V768" s="63" t="str">
        <f>VLOOKUP(H768,'Fund Utilization Report'!$A$4:$U$1800,4,FALSE)</f>
        <v>OO4.1(FTL)</v>
      </c>
      <c r="W768" s="63" t="str">
        <f>VLOOKUP(H768,'Fund Utilization Report'!$A$4:$U$1800,5,FALSE)</f>
        <v>01101101</v>
      </c>
      <c r="X768" s="63" t="str">
        <f>VLOOKUP(H768,'Fund Utilization Report'!$A$4:$U$1800,6,FALSE)</f>
        <v>GOP</v>
      </c>
      <c r="Y768" s="417" t="str">
        <f>VLOOKUP(H768,'Fund Utilization Report'!$A$4:$U$1800,7,FALSE)</f>
        <v>MOOE</v>
      </c>
      <c r="Z768" s="418">
        <f>VLOOKUP(H768,'Fund Utilization Report'!$A$4:$U$1800,8,FALSE)</f>
        <v>5020000000</v>
      </c>
      <c r="AA768" s="63" t="str">
        <f>VLOOKUP(H768,'Fund Utilization Report'!$A$4:$U$1800,14,FALSE)</f>
        <v>340100100002000</v>
      </c>
      <c r="AB768" s="419" t="str">
        <f>VLOOKUP(H768,'Fund Utilization Report'!$A$4:$U$1800,15,FALSE)</f>
        <v>Monitoring and Enforcement of FTL including consumer complaints handling</v>
      </c>
      <c r="AC768" s="406"/>
      <c r="AD768" s="403"/>
      <c r="AE768" s="406"/>
      <c r="AF768" s="406"/>
      <c r="AG768" s="407"/>
      <c r="AH768" s="407"/>
    </row>
    <row r="769" spans="1:34" s="411" customFormat="1" ht="27.6">
      <c r="A769" s="405" t="s">
        <v>942</v>
      </c>
      <c r="B769" s="405" t="s">
        <v>945</v>
      </c>
      <c r="C769" s="402">
        <v>44243</v>
      </c>
      <c r="D769" s="403" t="s">
        <v>1028</v>
      </c>
      <c r="E769" s="404" t="s">
        <v>1200</v>
      </c>
      <c r="F769" s="405">
        <v>0.40833333333333299</v>
      </c>
      <c r="G769" s="405">
        <v>0.40902777777777799</v>
      </c>
      <c r="H769" s="405" t="s">
        <v>977</v>
      </c>
      <c r="I769" s="416">
        <v>751</v>
      </c>
      <c r="J769" s="405" t="str">
        <f>IFERROR(VLOOKUP(I769,'Chart of accounts'!A:H,2,FALSE),"")</f>
        <v>50201010 00</v>
      </c>
      <c r="K769" s="405" t="str">
        <f>IFERROR(VLOOKUP(I769,'Chart of accounts'!A:H,3,FALSE),"")</f>
        <v>Traveling Expenses - Local</v>
      </c>
      <c r="L769" s="405" t="str">
        <f>IFERROR(VLOOKUP(I769,'Chart of accounts'!A:H,4,FALSE),"")</f>
        <v>50201010 00 - Traveling Expenses - Local (751)</v>
      </c>
      <c r="M769" s="408">
        <v>68</v>
      </c>
      <c r="N769" s="409" t="s">
        <v>821</v>
      </c>
      <c r="O769" s="409" t="s">
        <v>1206</v>
      </c>
      <c r="P769" s="409"/>
      <c r="Q769" s="65">
        <f>20000-20000</f>
        <v>0</v>
      </c>
      <c r="R769" s="63">
        <f>P769-Q769</f>
        <v>0</v>
      </c>
      <c r="S769" s="63" t="str">
        <f>VLOOKUP(H769,'Fund Utilization Report'!$A$4:$U$1800,13,FALSE)</f>
        <v>MOOE</v>
      </c>
      <c r="T769" s="63" t="str">
        <f>VLOOKUP(H769,'Fund Utilization Report'!$A$4:$U$1800,2,FALSE)</f>
        <v>GAA</v>
      </c>
      <c r="U769" s="63" t="str">
        <f>VLOOKUP(H769,'Fund Utilization Report'!$A$4:$U$1800,3,FALSE)</f>
        <v>FY2021, RA11518</v>
      </c>
      <c r="V769" s="63" t="str">
        <f>VLOOKUP(H769,'Fund Utilization Report'!$A$4:$U$1800,4,FALSE)</f>
        <v>OO4.1(Acc)</v>
      </c>
      <c r="W769" s="63" t="str">
        <f>VLOOKUP(H769,'Fund Utilization Report'!$A$4:$U$1800,5,FALSE)</f>
        <v>01101101</v>
      </c>
      <c r="X769" s="63" t="str">
        <f>VLOOKUP(H769,'Fund Utilization Report'!$A$4:$U$1800,6,FALSE)</f>
        <v>GOP</v>
      </c>
      <c r="Y769" s="417" t="str">
        <f>VLOOKUP(H769,'Fund Utilization Report'!$A$4:$U$1800,7,FALSE)</f>
        <v>MOOE</v>
      </c>
      <c r="Z769" s="418">
        <f>VLOOKUP(H769,'Fund Utilization Report'!$A$4:$U$1800,8,FALSE)</f>
        <v>5020000000</v>
      </c>
      <c r="AA769" s="63" t="str">
        <f>VLOOKUP(H769,'Fund Utilization Report'!$A$4:$U$1800,14,FALSE)</f>
        <v>340100100003000</v>
      </c>
      <c r="AB769" s="419" t="str">
        <f>VLOOKUP(H769,'Fund Utilization Report'!$A$4:$U$1800,15,FALSE)</f>
        <v>Accreditation and Issuance of Business Licenses, Permits, registration and authorities</v>
      </c>
      <c r="AC769" s="406"/>
      <c r="AD769" s="403"/>
      <c r="AE769" s="406"/>
      <c r="AF769" s="406"/>
      <c r="AG769" s="407"/>
      <c r="AH769" s="407"/>
    </row>
    <row r="770" spans="1:34" s="411" customFormat="1" ht="27.6">
      <c r="A770" s="405" t="s">
        <v>942</v>
      </c>
      <c r="B770" s="405" t="s">
        <v>945</v>
      </c>
      <c r="C770" s="402">
        <v>44243</v>
      </c>
      <c r="D770" s="403" t="s">
        <v>1028</v>
      </c>
      <c r="E770" s="404" t="s">
        <v>1200</v>
      </c>
      <c r="F770" s="405">
        <v>0.40833333333333299</v>
      </c>
      <c r="G770" s="405">
        <v>0.40902777777777799</v>
      </c>
      <c r="H770" s="405" t="s">
        <v>977</v>
      </c>
      <c r="I770" s="416">
        <v>783</v>
      </c>
      <c r="J770" s="405" t="str">
        <f>IFERROR(VLOOKUP(I770,'Chart of accounts'!A:H,2,FALSE),"")</f>
        <v>50299030 00</v>
      </c>
      <c r="K770" s="405" t="str">
        <f>IFERROR(VLOOKUP(I770,'Chart of accounts'!A:H,3,FALSE),"")</f>
        <v>Representation Expenses</v>
      </c>
      <c r="L770" s="405" t="str">
        <f>IFERROR(VLOOKUP(I770,'Chart of accounts'!A:H,4,FALSE),"")</f>
        <v>50299030 00 - Representation Expenses (783)</v>
      </c>
      <c r="M770" s="408">
        <v>68</v>
      </c>
      <c r="N770" s="409" t="s">
        <v>821</v>
      </c>
      <c r="O770" s="409" t="s">
        <v>1206</v>
      </c>
      <c r="P770" s="409"/>
      <c r="Q770" s="65">
        <f>50000-50000</f>
        <v>0</v>
      </c>
      <c r="R770" s="63">
        <f>P770-Q770</f>
        <v>0</v>
      </c>
      <c r="S770" s="63" t="str">
        <f>VLOOKUP(H770,'Fund Utilization Report'!$A$4:$U$1800,13,FALSE)</f>
        <v>MOOE</v>
      </c>
      <c r="T770" s="63" t="str">
        <f>VLOOKUP(H770,'Fund Utilization Report'!$A$4:$U$1800,2,FALSE)</f>
        <v>GAA</v>
      </c>
      <c r="U770" s="63" t="str">
        <f>VLOOKUP(H770,'Fund Utilization Report'!$A$4:$U$1800,3,FALSE)</f>
        <v>FY2021, RA11518</v>
      </c>
      <c r="V770" s="63" t="str">
        <f>VLOOKUP(H770,'Fund Utilization Report'!$A$4:$U$1800,4,FALSE)</f>
        <v>OO4.1(Acc)</v>
      </c>
      <c r="W770" s="63" t="str">
        <f>VLOOKUP(H770,'Fund Utilization Report'!$A$4:$U$1800,5,FALSE)</f>
        <v>01101101</v>
      </c>
      <c r="X770" s="63" t="str">
        <f>VLOOKUP(H770,'Fund Utilization Report'!$A$4:$U$1800,6,FALSE)</f>
        <v>GOP</v>
      </c>
      <c r="Y770" s="417" t="str">
        <f>VLOOKUP(H770,'Fund Utilization Report'!$A$4:$U$1800,7,FALSE)</f>
        <v>MOOE</v>
      </c>
      <c r="Z770" s="418">
        <f>VLOOKUP(H770,'Fund Utilization Report'!$A$4:$U$1800,8,FALSE)</f>
        <v>5020000000</v>
      </c>
      <c r="AA770" s="63" t="str">
        <f>VLOOKUP(H770,'Fund Utilization Report'!$A$4:$U$1800,14,FALSE)</f>
        <v>340100100003000</v>
      </c>
      <c r="AB770" s="419" t="str">
        <f>VLOOKUP(H770,'Fund Utilization Report'!$A$4:$U$1800,15,FALSE)</f>
        <v>Accreditation and Issuance of Business Licenses, Permits, registration and authorities</v>
      </c>
      <c r="AC770" s="406"/>
      <c r="AD770" s="403"/>
      <c r="AE770" s="406"/>
      <c r="AF770" s="406"/>
      <c r="AG770" s="407"/>
      <c r="AH770" s="407"/>
    </row>
    <row r="771" spans="1:34" s="411" customFormat="1" ht="27.6">
      <c r="A771" s="405" t="s">
        <v>942</v>
      </c>
      <c r="B771" s="405" t="s">
        <v>945</v>
      </c>
      <c r="C771" s="402">
        <v>44243</v>
      </c>
      <c r="D771" s="403" t="s">
        <v>1028</v>
      </c>
      <c r="E771" s="404" t="s">
        <v>1200</v>
      </c>
      <c r="F771" s="405">
        <v>0.40833333333333299</v>
      </c>
      <c r="G771" s="405">
        <v>0.40902777777777799</v>
      </c>
      <c r="H771" s="405" t="s">
        <v>979</v>
      </c>
      <c r="I771" s="416">
        <v>755</v>
      </c>
      <c r="J771" s="405" t="str">
        <f>IFERROR(VLOOKUP(I771,'Chart of accounts'!A:H,2,FALSE),"")</f>
        <v>50203010 00</v>
      </c>
      <c r="K771" s="405" t="str">
        <f>IFERROR(VLOOKUP(I771,'Chart of accounts'!A:H,3,FALSE),"")</f>
        <v>Office Supplies Expenses</v>
      </c>
      <c r="L771" s="405" t="str">
        <f>IFERROR(VLOOKUP(I771,'Chart of accounts'!A:H,4,FALSE),"")</f>
        <v>50203010 00 - Office Supplies Expenses (755)</v>
      </c>
      <c r="M771" s="408">
        <v>68</v>
      </c>
      <c r="N771" s="409" t="s">
        <v>821</v>
      </c>
      <c r="O771" s="409" t="s">
        <v>1206</v>
      </c>
      <c r="P771" s="409"/>
      <c r="Q771" s="65">
        <f>19200-19200</f>
        <v>0</v>
      </c>
      <c r="R771" s="63">
        <f>P771-Q771</f>
        <v>0</v>
      </c>
      <c r="S771" s="63" t="str">
        <f>VLOOKUP(H771,'Fund Utilization Report'!$A$4:$U$1800,13,FALSE)</f>
        <v>MOOE</v>
      </c>
      <c r="T771" s="63" t="str">
        <f>VLOOKUP(H771,'Fund Utilization Report'!$A$4:$U$1800,2,FALSE)</f>
        <v>GAA</v>
      </c>
      <c r="U771" s="63" t="str">
        <f>VLOOKUP(H771,'Fund Utilization Report'!$A$4:$U$1800,3,FALSE)</f>
        <v>FY2021, RA11518</v>
      </c>
      <c r="V771" s="63" t="str">
        <f>VLOOKUP(H771,'Fund Utilization Report'!$A$4:$U$1800,4,FALSE)</f>
        <v>OO 4.2</v>
      </c>
      <c r="W771" s="63" t="str">
        <f>VLOOKUP(H771,'Fund Utilization Report'!$A$4:$U$1800,5,FALSE)</f>
        <v>01101101</v>
      </c>
      <c r="X771" s="63" t="str">
        <f>VLOOKUP(H771,'Fund Utilization Report'!$A$4:$U$1800,6,FALSE)</f>
        <v>GOP</v>
      </c>
      <c r="Y771" s="417" t="str">
        <f>VLOOKUP(H771,'Fund Utilization Report'!$A$4:$U$1800,7,FALSE)</f>
        <v>MOOE</v>
      </c>
      <c r="Z771" s="418">
        <f>VLOOKUP(H771,'Fund Utilization Report'!$A$4:$U$1800,8,FALSE)</f>
        <v>5020000000</v>
      </c>
      <c r="AA771" s="63" t="str">
        <f>VLOOKUP(H771,'Fund Utilization Report'!$A$4:$U$1800,14,FALSE)</f>
        <v>340200100002000</v>
      </c>
      <c r="AB771" s="419" t="str">
        <f>VLOOKUP(H771,'Fund Utilization Report'!$A$4:$U$1800,15,FALSE)</f>
        <v>Implementation of Plans, projects and activities on consumer awareness, education, and advocacy</v>
      </c>
      <c r="AC771" s="406"/>
      <c r="AD771" s="403"/>
      <c r="AE771" s="406"/>
      <c r="AF771" s="406"/>
      <c r="AG771" s="407"/>
      <c r="AH771" s="407"/>
    </row>
    <row r="772" spans="1:34" s="32" customFormat="1" ht="27.6">
      <c r="A772" s="338" t="s">
        <v>942</v>
      </c>
      <c r="B772" s="338" t="s">
        <v>945</v>
      </c>
      <c r="C772" s="358">
        <v>44243</v>
      </c>
      <c r="D772" s="351" t="s">
        <v>1028</v>
      </c>
      <c r="E772" s="352" t="s">
        <v>1201</v>
      </c>
      <c r="F772" s="338">
        <v>0.40902777777777699</v>
      </c>
      <c r="G772" s="338">
        <v>0.40972222222222299</v>
      </c>
      <c r="H772" s="338" t="s">
        <v>974</v>
      </c>
      <c r="I772" s="353">
        <v>751</v>
      </c>
      <c r="J772" s="338" t="str">
        <f>IFERROR(VLOOKUP(I772,'Chart of accounts'!A:H,2,FALSE),"")</f>
        <v>50201010 00</v>
      </c>
      <c r="K772" s="338" t="str">
        <f>IFERROR(VLOOKUP(I772,'Chart of accounts'!A:H,3,FALSE),"")</f>
        <v>Traveling Expenses - Local</v>
      </c>
      <c r="L772" s="338" t="str">
        <f>IFERROR(VLOOKUP(I772,'Chart of accounts'!A:H,4,FALSE),"")</f>
        <v>50201010 00 - Traveling Expenses - Local (751)</v>
      </c>
      <c r="M772" s="361">
        <v>3</v>
      </c>
      <c r="N772" s="355" t="s">
        <v>820</v>
      </c>
      <c r="O772" s="355" t="s">
        <v>1206</v>
      </c>
      <c r="P772" s="355"/>
      <c r="Q772" s="363">
        <v>20000</v>
      </c>
      <c r="R772" s="319">
        <f t="shared" si="19"/>
        <v>-20000</v>
      </c>
      <c r="S772" s="319" t="str">
        <f>VLOOKUP(H772,'Fund Utilization Report'!$A$4:$U$1800,13,FALSE)</f>
        <v>MOOE</v>
      </c>
      <c r="T772" s="319" t="str">
        <f>VLOOKUP(H772,'Fund Utilization Report'!$A$4:$U$1800,2,FALSE)</f>
        <v>GAA</v>
      </c>
      <c r="U772" s="319" t="str">
        <f>VLOOKUP(H772,'Fund Utilization Report'!$A$4:$U$1800,3,FALSE)</f>
        <v>FY2021, RA11518</v>
      </c>
      <c r="V772" s="319" t="str">
        <f>VLOOKUP(H772,'Fund Utilization Report'!$A$4:$U$1800,4,FALSE)</f>
        <v>OO4.1(FTL)</v>
      </c>
      <c r="W772" s="319" t="str">
        <f>VLOOKUP(H772,'Fund Utilization Report'!$A$4:$U$1800,5,FALSE)</f>
        <v>01101101</v>
      </c>
      <c r="X772" s="319" t="str">
        <f>VLOOKUP(H772,'Fund Utilization Report'!$A$4:$U$1800,6,FALSE)</f>
        <v>GOP</v>
      </c>
      <c r="Y772" s="320" t="str">
        <f>VLOOKUP(H772,'Fund Utilization Report'!$A$4:$U$1800,7,FALSE)</f>
        <v>MOOE</v>
      </c>
      <c r="Z772" s="321">
        <f>VLOOKUP(H772,'Fund Utilization Report'!$A$4:$U$1800,8,FALSE)</f>
        <v>5020000000</v>
      </c>
      <c r="AA772" s="319" t="str">
        <f>VLOOKUP(H772,'Fund Utilization Report'!$A$4:$U$1800,14,FALSE)</f>
        <v>340100100002000</v>
      </c>
      <c r="AB772" s="349" t="str">
        <f>VLOOKUP(H772,'Fund Utilization Report'!$A$4:$U$1800,15,FALSE)</f>
        <v>Monitoring and Enforcement of FTL including consumer complaints handling</v>
      </c>
      <c r="AC772" s="39"/>
      <c r="AD772" s="34"/>
      <c r="AE772" s="39"/>
      <c r="AF772" s="51"/>
      <c r="AG772" s="40"/>
      <c r="AH772" s="40"/>
    </row>
    <row r="773" spans="1:34" s="32" customFormat="1" ht="27.6">
      <c r="A773" s="338" t="s">
        <v>942</v>
      </c>
      <c r="B773" s="338" t="s">
        <v>945</v>
      </c>
      <c r="C773" s="358">
        <v>44243</v>
      </c>
      <c r="D773" s="351" t="s">
        <v>1028</v>
      </c>
      <c r="E773" s="352" t="s">
        <v>1201</v>
      </c>
      <c r="F773" s="338">
        <v>0.40902777777777699</v>
      </c>
      <c r="G773" s="338">
        <v>0.40972222222222299</v>
      </c>
      <c r="H773" s="338" t="s">
        <v>974</v>
      </c>
      <c r="I773" s="353">
        <v>783</v>
      </c>
      <c r="J773" s="338" t="str">
        <f>IFERROR(VLOOKUP(I773,'Chart of accounts'!A:H,2,FALSE),"")</f>
        <v>50299030 00</v>
      </c>
      <c r="K773" s="338" t="str">
        <f>IFERROR(VLOOKUP(I773,'Chart of accounts'!A:H,3,FALSE),"")</f>
        <v>Representation Expenses</v>
      </c>
      <c r="L773" s="338" t="str">
        <f>IFERROR(VLOOKUP(I773,'Chart of accounts'!A:H,4,FALSE),"")</f>
        <v>50299030 00 - Representation Expenses (783)</v>
      </c>
      <c r="M773" s="361">
        <v>3</v>
      </c>
      <c r="N773" s="355" t="s">
        <v>820</v>
      </c>
      <c r="O773" s="355" t="s">
        <v>1206</v>
      </c>
      <c r="P773" s="355"/>
      <c r="Q773" s="363">
        <v>35000</v>
      </c>
      <c r="R773" s="319">
        <f>P773-Q773</f>
        <v>-35000</v>
      </c>
      <c r="S773" s="319" t="str">
        <f>VLOOKUP(H773,'Fund Utilization Report'!$A$4:$U$1800,13,FALSE)</f>
        <v>MOOE</v>
      </c>
      <c r="T773" s="319" t="str">
        <f>VLOOKUP(H773,'Fund Utilization Report'!$A$4:$U$1800,2,FALSE)</f>
        <v>GAA</v>
      </c>
      <c r="U773" s="319" t="str">
        <f>VLOOKUP(H773,'Fund Utilization Report'!$A$4:$U$1800,3,FALSE)</f>
        <v>FY2021, RA11518</v>
      </c>
      <c r="V773" s="319" t="str">
        <f>VLOOKUP(H773,'Fund Utilization Report'!$A$4:$U$1800,4,FALSE)</f>
        <v>OO4.1(FTL)</v>
      </c>
      <c r="W773" s="319" t="str">
        <f>VLOOKUP(H773,'Fund Utilization Report'!$A$4:$U$1800,5,FALSE)</f>
        <v>01101101</v>
      </c>
      <c r="X773" s="319" t="str">
        <f>VLOOKUP(H773,'Fund Utilization Report'!$A$4:$U$1800,6,FALSE)</f>
        <v>GOP</v>
      </c>
      <c r="Y773" s="320" t="str">
        <f>VLOOKUP(H773,'Fund Utilization Report'!$A$4:$U$1800,7,FALSE)</f>
        <v>MOOE</v>
      </c>
      <c r="Z773" s="321">
        <f>VLOOKUP(H773,'Fund Utilization Report'!$A$4:$U$1800,8,FALSE)</f>
        <v>5020000000</v>
      </c>
      <c r="AA773" s="319" t="str">
        <f>VLOOKUP(H773,'Fund Utilization Report'!$A$4:$U$1800,14,FALSE)</f>
        <v>340100100002000</v>
      </c>
      <c r="AB773" s="349" t="str">
        <f>VLOOKUP(H773,'Fund Utilization Report'!$A$4:$U$1800,15,FALSE)</f>
        <v>Monitoring and Enforcement of FTL including consumer complaints handling</v>
      </c>
      <c r="AC773" s="39"/>
      <c r="AD773" s="34"/>
      <c r="AE773" s="39"/>
      <c r="AF773" s="51"/>
      <c r="AG773" s="40"/>
      <c r="AH773" s="40"/>
    </row>
    <row r="774" spans="1:34" s="32" customFormat="1" ht="27.6">
      <c r="A774" s="338" t="s">
        <v>942</v>
      </c>
      <c r="B774" s="338" t="s">
        <v>945</v>
      </c>
      <c r="C774" s="358">
        <v>44243</v>
      </c>
      <c r="D774" s="351" t="s">
        <v>1028</v>
      </c>
      <c r="E774" s="352" t="s">
        <v>1201</v>
      </c>
      <c r="F774" s="338">
        <v>0.40902777777777699</v>
      </c>
      <c r="G774" s="338">
        <v>0.40972222222222299</v>
      </c>
      <c r="H774" s="338" t="s">
        <v>977</v>
      </c>
      <c r="I774" s="353">
        <v>751</v>
      </c>
      <c r="J774" s="338" t="str">
        <f>IFERROR(VLOOKUP(I774,'Chart of accounts'!A:H,2,FALSE),"")</f>
        <v>50201010 00</v>
      </c>
      <c r="K774" s="338" t="str">
        <f>IFERROR(VLOOKUP(I774,'Chart of accounts'!A:H,3,FALSE),"")</f>
        <v>Traveling Expenses - Local</v>
      </c>
      <c r="L774" s="338" t="str">
        <f>IFERROR(VLOOKUP(I774,'Chart of accounts'!A:H,4,FALSE),"")</f>
        <v>50201010 00 - Traveling Expenses - Local (751)</v>
      </c>
      <c r="M774" s="361">
        <v>3</v>
      </c>
      <c r="N774" s="355" t="s">
        <v>820</v>
      </c>
      <c r="O774" s="355" t="s">
        <v>1206</v>
      </c>
      <c r="P774" s="355"/>
      <c r="Q774" s="363">
        <v>20000</v>
      </c>
      <c r="R774" s="319">
        <f>P774-Q774</f>
        <v>-20000</v>
      </c>
      <c r="S774" s="319" t="str">
        <f>VLOOKUP(H774,'Fund Utilization Report'!$A$4:$U$1800,13,FALSE)</f>
        <v>MOOE</v>
      </c>
      <c r="T774" s="319" t="str">
        <f>VLOOKUP(H774,'Fund Utilization Report'!$A$4:$U$1800,2,FALSE)</f>
        <v>GAA</v>
      </c>
      <c r="U774" s="319" t="str">
        <f>VLOOKUP(H774,'Fund Utilization Report'!$A$4:$U$1800,3,FALSE)</f>
        <v>FY2021, RA11518</v>
      </c>
      <c r="V774" s="319" t="str">
        <f>VLOOKUP(H774,'Fund Utilization Report'!$A$4:$U$1800,4,FALSE)</f>
        <v>OO4.1(Acc)</v>
      </c>
      <c r="W774" s="319" t="str">
        <f>VLOOKUP(H774,'Fund Utilization Report'!$A$4:$U$1800,5,FALSE)</f>
        <v>01101101</v>
      </c>
      <c r="X774" s="319" t="str">
        <f>VLOOKUP(H774,'Fund Utilization Report'!$A$4:$U$1800,6,FALSE)</f>
        <v>GOP</v>
      </c>
      <c r="Y774" s="320" t="str">
        <f>VLOOKUP(H774,'Fund Utilization Report'!$A$4:$U$1800,7,FALSE)</f>
        <v>MOOE</v>
      </c>
      <c r="Z774" s="321">
        <f>VLOOKUP(H774,'Fund Utilization Report'!$A$4:$U$1800,8,FALSE)</f>
        <v>5020000000</v>
      </c>
      <c r="AA774" s="319" t="str">
        <f>VLOOKUP(H774,'Fund Utilization Report'!$A$4:$U$1800,14,FALSE)</f>
        <v>340100100003000</v>
      </c>
      <c r="AB774" s="349" t="str">
        <f>VLOOKUP(H774,'Fund Utilization Report'!$A$4:$U$1800,15,FALSE)</f>
        <v>Accreditation and Issuance of Business Licenses, Permits, registration and authorities</v>
      </c>
      <c r="AC774" s="39"/>
      <c r="AD774" s="34"/>
      <c r="AE774" s="39"/>
      <c r="AF774" s="51"/>
      <c r="AG774" s="40"/>
      <c r="AH774" s="40"/>
    </row>
    <row r="775" spans="1:34" s="32" customFormat="1" ht="27.6">
      <c r="A775" s="338" t="s">
        <v>942</v>
      </c>
      <c r="B775" s="338" t="s">
        <v>945</v>
      </c>
      <c r="C775" s="358">
        <v>44243</v>
      </c>
      <c r="D775" s="351" t="s">
        <v>1028</v>
      </c>
      <c r="E775" s="352" t="s">
        <v>1201</v>
      </c>
      <c r="F775" s="338">
        <v>0.40902777777777699</v>
      </c>
      <c r="G775" s="338">
        <v>0.40972222222222299</v>
      </c>
      <c r="H775" s="338" t="s">
        <v>977</v>
      </c>
      <c r="I775" s="353">
        <v>783</v>
      </c>
      <c r="J775" s="338" t="str">
        <f>IFERROR(VLOOKUP(I775,'Chart of accounts'!A:H,2,FALSE),"")</f>
        <v>50299030 00</v>
      </c>
      <c r="K775" s="338" t="str">
        <f>IFERROR(VLOOKUP(I775,'Chart of accounts'!A:H,3,FALSE),"")</f>
        <v>Representation Expenses</v>
      </c>
      <c r="L775" s="338" t="str">
        <f>IFERROR(VLOOKUP(I775,'Chart of accounts'!A:H,4,FALSE),"")</f>
        <v>50299030 00 - Representation Expenses (783)</v>
      </c>
      <c r="M775" s="361">
        <v>3</v>
      </c>
      <c r="N775" s="355" t="s">
        <v>820</v>
      </c>
      <c r="O775" s="355" t="s">
        <v>1206</v>
      </c>
      <c r="P775" s="355"/>
      <c r="Q775" s="363">
        <v>50000</v>
      </c>
      <c r="R775" s="319">
        <f>P775-Q775</f>
        <v>-50000</v>
      </c>
      <c r="S775" s="319" t="str">
        <f>VLOOKUP(H775,'Fund Utilization Report'!$A$4:$U$1800,13,FALSE)</f>
        <v>MOOE</v>
      </c>
      <c r="T775" s="319" t="str">
        <f>VLOOKUP(H775,'Fund Utilization Report'!$A$4:$U$1800,2,FALSE)</f>
        <v>GAA</v>
      </c>
      <c r="U775" s="319" t="str">
        <f>VLOOKUP(H775,'Fund Utilization Report'!$A$4:$U$1800,3,FALSE)</f>
        <v>FY2021, RA11518</v>
      </c>
      <c r="V775" s="319" t="str">
        <f>VLOOKUP(H775,'Fund Utilization Report'!$A$4:$U$1800,4,FALSE)</f>
        <v>OO4.1(Acc)</v>
      </c>
      <c r="W775" s="319" t="str">
        <f>VLOOKUP(H775,'Fund Utilization Report'!$A$4:$U$1800,5,FALSE)</f>
        <v>01101101</v>
      </c>
      <c r="X775" s="319" t="str">
        <f>VLOOKUP(H775,'Fund Utilization Report'!$A$4:$U$1800,6,FALSE)</f>
        <v>GOP</v>
      </c>
      <c r="Y775" s="320" t="str">
        <f>VLOOKUP(H775,'Fund Utilization Report'!$A$4:$U$1800,7,FALSE)</f>
        <v>MOOE</v>
      </c>
      <c r="Z775" s="321">
        <f>VLOOKUP(H775,'Fund Utilization Report'!$A$4:$U$1800,8,FALSE)</f>
        <v>5020000000</v>
      </c>
      <c r="AA775" s="319" t="str">
        <f>VLOOKUP(H775,'Fund Utilization Report'!$A$4:$U$1800,14,FALSE)</f>
        <v>340100100003000</v>
      </c>
      <c r="AB775" s="349" t="str">
        <f>VLOOKUP(H775,'Fund Utilization Report'!$A$4:$U$1800,15,FALSE)</f>
        <v>Accreditation and Issuance of Business Licenses, Permits, registration and authorities</v>
      </c>
      <c r="AC775" s="39"/>
      <c r="AD775" s="34"/>
      <c r="AE775" s="39"/>
      <c r="AF775" s="51"/>
      <c r="AG775" s="40"/>
      <c r="AH775" s="40"/>
    </row>
    <row r="776" spans="1:34" s="32" customFormat="1" ht="27.6">
      <c r="A776" s="338" t="s">
        <v>942</v>
      </c>
      <c r="B776" s="338" t="s">
        <v>945</v>
      </c>
      <c r="C776" s="358">
        <v>44243</v>
      </c>
      <c r="D776" s="351" t="s">
        <v>1028</v>
      </c>
      <c r="E776" s="352" t="s">
        <v>1201</v>
      </c>
      <c r="F776" s="338">
        <v>0.40902777777777699</v>
      </c>
      <c r="G776" s="338">
        <v>0.40972222222222299</v>
      </c>
      <c r="H776" s="338" t="s">
        <v>979</v>
      </c>
      <c r="I776" s="353">
        <v>755</v>
      </c>
      <c r="J776" s="338" t="str">
        <f>IFERROR(VLOOKUP(I776,'Chart of accounts'!A:H,2,FALSE),"")</f>
        <v>50203010 00</v>
      </c>
      <c r="K776" s="338" t="str">
        <f>IFERROR(VLOOKUP(I776,'Chart of accounts'!A:H,3,FALSE),"")</f>
        <v>Office Supplies Expenses</v>
      </c>
      <c r="L776" s="338" t="str">
        <f>IFERROR(VLOOKUP(I776,'Chart of accounts'!A:H,4,FALSE),"")</f>
        <v>50203010 00 - Office Supplies Expenses (755)</v>
      </c>
      <c r="M776" s="361">
        <v>3</v>
      </c>
      <c r="N776" s="355" t="s">
        <v>820</v>
      </c>
      <c r="O776" s="355" t="s">
        <v>1206</v>
      </c>
      <c r="P776" s="355"/>
      <c r="Q776" s="363">
        <v>10125</v>
      </c>
      <c r="R776" s="319">
        <f>P776-Q776</f>
        <v>-10125</v>
      </c>
      <c r="S776" s="319" t="str">
        <f>VLOOKUP(H776,'Fund Utilization Report'!$A$4:$U$1800,13,FALSE)</f>
        <v>MOOE</v>
      </c>
      <c r="T776" s="319" t="str">
        <f>VLOOKUP(H776,'Fund Utilization Report'!$A$4:$U$1800,2,FALSE)</f>
        <v>GAA</v>
      </c>
      <c r="U776" s="319" t="str">
        <f>VLOOKUP(H776,'Fund Utilization Report'!$A$4:$U$1800,3,FALSE)</f>
        <v>FY2021, RA11518</v>
      </c>
      <c r="V776" s="319" t="str">
        <f>VLOOKUP(H776,'Fund Utilization Report'!$A$4:$U$1800,4,FALSE)</f>
        <v>OO 4.2</v>
      </c>
      <c r="W776" s="319" t="str">
        <f>VLOOKUP(H776,'Fund Utilization Report'!$A$4:$U$1800,5,FALSE)</f>
        <v>01101101</v>
      </c>
      <c r="X776" s="319" t="str">
        <f>VLOOKUP(H776,'Fund Utilization Report'!$A$4:$U$1800,6,FALSE)</f>
        <v>GOP</v>
      </c>
      <c r="Y776" s="320" t="str">
        <f>VLOOKUP(H776,'Fund Utilization Report'!$A$4:$U$1800,7,FALSE)</f>
        <v>MOOE</v>
      </c>
      <c r="Z776" s="321">
        <f>VLOOKUP(H776,'Fund Utilization Report'!$A$4:$U$1800,8,FALSE)</f>
        <v>5020000000</v>
      </c>
      <c r="AA776" s="319" t="str">
        <f>VLOOKUP(H776,'Fund Utilization Report'!$A$4:$U$1800,14,FALSE)</f>
        <v>340200100002000</v>
      </c>
      <c r="AB776" s="349" t="str">
        <f>VLOOKUP(H776,'Fund Utilization Report'!$A$4:$U$1800,15,FALSE)</f>
        <v>Implementation of Plans, projects and activities on consumer awareness, education, and advocacy</v>
      </c>
      <c r="AC776" s="39"/>
      <c r="AD776" s="34"/>
      <c r="AE776" s="39"/>
      <c r="AF776" s="51"/>
      <c r="AG776" s="40"/>
      <c r="AH776" s="40"/>
    </row>
    <row r="777" spans="1:34" s="411" customFormat="1" ht="27.6">
      <c r="A777" s="405" t="s">
        <v>942</v>
      </c>
      <c r="B777" s="405" t="s">
        <v>945</v>
      </c>
      <c r="C777" s="402">
        <v>44243</v>
      </c>
      <c r="D777" s="403" t="s">
        <v>1028</v>
      </c>
      <c r="E777" s="404" t="s">
        <v>1202</v>
      </c>
      <c r="F777" s="405">
        <v>0.40972222222222199</v>
      </c>
      <c r="G777" s="405">
        <v>0.41041666666666698</v>
      </c>
      <c r="H777" s="405" t="s">
        <v>974</v>
      </c>
      <c r="I777" s="416">
        <v>751</v>
      </c>
      <c r="J777" s="405" t="str">
        <f>IFERROR(VLOOKUP(I777,'Chart of accounts'!A:H,2,FALSE),"")</f>
        <v>50201010 00</v>
      </c>
      <c r="K777" s="405" t="str">
        <f>IFERROR(VLOOKUP(I777,'Chart of accounts'!A:H,3,FALSE),"")</f>
        <v>Traveling Expenses - Local</v>
      </c>
      <c r="L777" s="405" t="str">
        <f>IFERROR(VLOOKUP(I777,'Chart of accounts'!A:H,4,FALSE),"")</f>
        <v>50201010 00 - Traveling Expenses - Local (751)</v>
      </c>
      <c r="M777" s="408">
        <v>2</v>
      </c>
      <c r="N777" s="409" t="s">
        <v>818</v>
      </c>
      <c r="O777" s="409" t="s">
        <v>1206</v>
      </c>
      <c r="P777" s="409"/>
      <c r="Q777" s="65">
        <f>20000-20000</f>
        <v>0</v>
      </c>
      <c r="R777" s="63">
        <f t="shared" si="19"/>
        <v>0</v>
      </c>
      <c r="S777" s="63" t="str">
        <f>VLOOKUP(H777,'Fund Utilization Report'!$A$4:$U$1800,13,FALSE)</f>
        <v>MOOE</v>
      </c>
      <c r="T777" s="63" t="str">
        <f>VLOOKUP(H777,'Fund Utilization Report'!$A$4:$U$1800,2,FALSE)</f>
        <v>GAA</v>
      </c>
      <c r="U777" s="63" t="str">
        <f>VLOOKUP(H777,'Fund Utilization Report'!$A$4:$U$1800,3,FALSE)</f>
        <v>FY2021, RA11518</v>
      </c>
      <c r="V777" s="63" t="str">
        <f>VLOOKUP(H777,'Fund Utilization Report'!$A$4:$U$1800,4,FALSE)</f>
        <v>OO4.1(FTL)</v>
      </c>
      <c r="W777" s="63" t="str">
        <f>VLOOKUP(H777,'Fund Utilization Report'!$A$4:$U$1800,5,FALSE)</f>
        <v>01101101</v>
      </c>
      <c r="X777" s="63" t="str">
        <f>VLOOKUP(H777,'Fund Utilization Report'!$A$4:$U$1800,6,FALSE)</f>
        <v>GOP</v>
      </c>
      <c r="Y777" s="417" t="str">
        <f>VLOOKUP(H777,'Fund Utilization Report'!$A$4:$U$1800,7,FALSE)</f>
        <v>MOOE</v>
      </c>
      <c r="Z777" s="418">
        <f>VLOOKUP(H777,'Fund Utilization Report'!$A$4:$U$1800,8,FALSE)</f>
        <v>5020000000</v>
      </c>
      <c r="AA777" s="63" t="str">
        <f>VLOOKUP(H777,'Fund Utilization Report'!$A$4:$U$1800,14,FALSE)</f>
        <v>340100100002000</v>
      </c>
      <c r="AB777" s="419" t="str">
        <f>VLOOKUP(H777,'Fund Utilization Report'!$A$4:$U$1800,15,FALSE)</f>
        <v>Monitoring and Enforcement of FTL including consumer complaints handling</v>
      </c>
      <c r="AC777" s="406"/>
      <c r="AD777" s="403"/>
      <c r="AE777" s="406"/>
      <c r="AF777" s="406"/>
      <c r="AG777" s="407"/>
      <c r="AH777" s="407"/>
    </row>
    <row r="778" spans="1:34" s="411" customFormat="1" ht="27.6">
      <c r="A778" s="405" t="s">
        <v>942</v>
      </c>
      <c r="B778" s="405" t="s">
        <v>945</v>
      </c>
      <c r="C778" s="402">
        <v>44243</v>
      </c>
      <c r="D778" s="403" t="s">
        <v>1028</v>
      </c>
      <c r="E778" s="404" t="s">
        <v>1202</v>
      </c>
      <c r="F778" s="405">
        <v>0.40972222222222199</v>
      </c>
      <c r="G778" s="405">
        <v>0.41041666666666698</v>
      </c>
      <c r="H778" s="405" t="s">
        <v>974</v>
      </c>
      <c r="I778" s="416">
        <v>783</v>
      </c>
      <c r="J778" s="405" t="str">
        <f>IFERROR(VLOOKUP(I778,'Chart of accounts'!A:H,2,FALSE),"")</f>
        <v>50299030 00</v>
      </c>
      <c r="K778" s="405" t="str">
        <f>IFERROR(VLOOKUP(I778,'Chart of accounts'!A:H,3,FALSE),"")</f>
        <v>Representation Expenses</v>
      </c>
      <c r="L778" s="405" t="str">
        <f>IFERROR(VLOOKUP(I778,'Chart of accounts'!A:H,4,FALSE),"")</f>
        <v>50299030 00 - Representation Expenses (783)</v>
      </c>
      <c r="M778" s="408">
        <v>2</v>
      </c>
      <c r="N778" s="409" t="s">
        <v>818</v>
      </c>
      <c r="O778" s="409" t="s">
        <v>1206</v>
      </c>
      <c r="P778" s="409"/>
      <c r="Q778" s="65">
        <f>40000-40000</f>
        <v>0</v>
      </c>
      <c r="R778" s="63">
        <f>P778-Q778</f>
        <v>0</v>
      </c>
      <c r="S778" s="63" t="str">
        <f>VLOOKUP(H778,'Fund Utilization Report'!$A$4:$U$1800,13,FALSE)</f>
        <v>MOOE</v>
      </c>
      <c r="T778" s="63" t="str">
        <f>VLOOKUP(H778,'Fund Utilization Report'!$A$4:$U$1800,2,FALSE)</f>
        <v>GAA</v>
      </c>
      <c r="U778" s="63" t="str">
        <f>VLOOKUP(H778,'Fund Utilization Report'!$A$4:$U$1800,3,FALSE)</f>
        <v>FY2021, RA11518</v>
      </c>
      <c r="V778" s="63" t="str">
        <f>VLOOKUP(H778,'Fund Utilization Report'!$A$4:$U$1800,4,FALSE)</f>
        <v>OO4.1(FTL)</v>
      </c>
      <c r="W778" s="63" t="str">
        <f>VLOOKUP(H778,'Fund Utilization Report'!$A$4:$U$1800,5,FALSE)</f>
        <v>01101101</v>
      </c>
      <c r="X778" s="63" t="str">
        <f>VLOOKUP(H778,'Fund Utilization Report'!$A$4:$U$1800,6,FALSE)</f>
        <v>GOP</v>
      </c>
      <c r="Y778" s="417" t="str">
        <f>VLOOKUP(H778,'Fund Utilization Report'!$A$4:$U$1800,7,FALSE)</f>
        <v>MOOE</v>
      </c>
      <c r="Z778" s="418">
        <f>VLOOKUP(H778,'Fund Utilization Report'!$A$4:$U$1800,8,FALSE)</f>
        <v>5020000000</v>
      </c>
      <c r="AA778" s="63" t="str">
        <f>VLOOKUP(H778,'Fund Utilization Report'!$A$4:$U$1800,14,FALSE)</f>
        <v>340100100002000</v>
      </c>
      <c r="AB778" s="419" t="str">
        <f>VLOOKUP(H778,'Fund Utilization Report'!$A$4:$U$1800,15,FALSE)</f>
        <v>Monitoring and Enforcement of FTL including consumer complaints handling</v>
      </c>
      <c r="AC778" s="406"/>
      <c r="AD778" s="403"/>
      <c r="AE778" s="406"/>
      <c r="AF778" s="406"/>
      <c r="AG778" s="407"/>
      <c r="AH778" s="407"/>
    </row>
    <row r="779" spans="1:34" s="411" customFormat="1" ht="27.6">
      <c r="A779" s="405" t="s">
        <v>942</v>
      </c>
      <c r="B779" s="405" t="s">
        <v>945</v>
      </c>
      <c r="C779" s="402">
        <v>44243</v>
      </c>
      <c r="D779" s="403" t="s">
        <v>1028</v>
      </c>
      <c r="E779" s="404" t="s">
        <v>1202</v>
      </c>
      <c r="F779" s="405">
        <v>0.40972222222222199</v>
      </c>
      <c r="G779" s="405">
        <v>0.41041666666666698</v>
      </c>
      <c r="H779" s="405" t="s">
        <v>977</v>
      </c>
      <c r="I779" s="416">
        <v>751</v>
      </c>
      <c r="J779" s="405" t="str">
        <f>IFERROR(VLOOKUP(I779,'Chart of accounts'!A:H,2,FALSE),"")</f>
        <v>50201010 00</v>
      </c>
      <c r="K779" s="405" t="str">
        <f>IFERROR(VLOOKUP(I779,'Chart of accounts'!A:H,3,FALSE),"")</f>
        <v>Traveling Expenses - Local</v>
      </c>
      <c r="L779" s="405" t="str">
        <f>IFERROR(VLOOKUP(I779,'Chart of accounts'!A:H,4,FALSE),"")</f>
        <v>50201010 00 - Traveling Expenses - Local (751)</v>
      </c>
      <c r="M779" s="408">
        <v>2</v>
      </c>
      <c r="N779" s="409" t="s">
        <v>818</v>
      </c>
      <c r="O779" s="409" t="s">
        <v>1206</v>
      </c>
      <c r="P779" s="409"/>
      <c r="Q779" s="65">
        <f>20000-20000</f>
        <v>0</v>
      </c>
      <c r="R779" s="63">
        <f>P779-Q779</f>
        <v>0</v>
      </c>
      <c r="S779" s="63" t="str">
        <f>VLOOKUP(H779,'Fund Utilization Report'!$A$4:$U$1800,13,FALSE)</f>
        <v>MOOE</v>
      </c>
      <c r="T779" s="63" t="str">
        <f>VLOOKUP(H779,'Fund Utilization Report'!$A$4:$U$1800,2,FALSE)</f>
        <v>GAA</v>
      </c>
      <c r="U779" s="63" t="str">
        <f>VLOOKUP(H779,'Fund Utilization Report'!$A$4:$U$1800,3,FALSE)</f>
        <v>FY2021, RA11518</v>
      </c>
      <c r="V779" s="63" t="str">
        <f>VLOOKUP(H779,'Fund Utilization Report'!$A$4:$U$1800,4,FALSE)</f>
        <v>OO4.1(Acc)</v>
      </c>
      <c r="W779" s="63" t="str">
        <f>VLOOKUP(H779,'Fund Utilization Report'!$A$4:$U$1800,5,FALSE)</f>
        <v>01101101</v>
      </c>
      <c r="X779" s="63" t="str">
        <f>VLOOKUP(H779,'Fund Utilization Report'!$A$4:$U$1800,6,FALSE)</f>
        <v>GOP</v>
      </c>
      <c r="Y779" s="417" t="str">
        <f>VLOOKUP(H779,'Fund Utilization Report'!$A$4:$U$1800,7,FALSE)</f>
        <v>MOOE</v>
      </c>
      <c r="Z779" s="418">
        <f>VLOOKUP(H779,'Fund Utilization Report'!$A$4:$U$1800,8,FALSE)</f>
        <v>5020000000</v>
      </c>
      <c r="AA779" s="63" t="str">
        <f>VLOOKUP(H779,'Fund Utilization Report'!$A$4:$U$1800,14,FALSE)</f>
        <v>340100100003000</v>
      </c>
      <c r="AB779" s="419" t="str">
        <f>VLOOKUP(H779,'Fund Utilization Report'!$A$4:$U$1800,15,FALSE)</f>
        <v>Accreditation and Issuance of Business Licenses, Permits, registration and authorities</v>
      </c>
      <c r="AC779" s="406"/>
      <c r="AD779" s="403"/>
      <c r="AE779" s="406"/>
      <c r="AF779" s="406"/>
      <c r="AG779" s="407"/>
      <c r="AH779" s="407"/>
    </row>
    <row r="780" spans="1:34" s="411" customFormat="1" ht="27.6">
      <c r="A780" s="405" t="s">
        <v>942</v>
      </c>
      <c r="B780" s="405" t="s">
        <v>945</v>
      </c>
      <c r="C780" s="402">
        <v>44243</v>
      </c>
      <c r="D780" s="403" t="s">
        <v>1028</v>
      </c>
      <c r="E780" s="404" t="s">
        <v>1202</v>
      </c>
      <c r="F780" s="405">
        <v>0.40972222222222199</v>
      </c>
      <c r="G780" s="405">
        <v>0.41041666666666698</v>
      </c>
      <c r="H780" s="405" t="s">
        <v>977</v>
      </c>
      <c r="I780" s="416">
        <v>783</v>
      </c>
      <c r="J780" s="405" t="str">
        <f>IFERROR(VLOOKUP(I780,'Chart of accounts'!A:H,2,FALSE),"")</f>
        <v>50299030 00</v>
      </c>
      <c r="K780" s="405" t="str">
        <f>IFERROR(VLOOKUP(I780,'Chart of accounts'!A:H,3,FALSE),"")</f>
        <v>Representation Expenses</v>
      </c>
      <c r="L780" s="405" t="str">
        <f>IFERROR(VLOOKUP(I780,'Chart of accounts'!A:H,4,FALSE),"")</f>
        <v>50299030 00 - Representation Expenses (783)</v>
      </c>
      <c r="M780" s="408">
        <v>2</v>
      </c>
      <c r="N780" s="409" t="s">
        <v>818</v>
      </c>
      <c r="O780" s="409" t="s">
        <v>1206</v>
      </c>
      <c r="P780" s="409"/>
      <c r="Q780" s="65">
        <f>60000-60000</f>
        <v>0</v>
      </c>
      <c r="R780" s="63">
        <f>P780-Q780</f>
        <v>0</v>
      </c>
      <c r="S780" s="63" t="str">
        <f>VLOOKUP(H780,'Fund Utilization Report'!$A$4:$U$1800,13,FALSE)</f>
        <v>MOOE</v>
      </c>
      <c r="T780" s="63" t="str">
        <f>VLOOKUP(H780,'Fund Utilization Report'!$A$4:$U$1800,2,FALSE)</f>
        <v>GAA</v>
      </c>
      <c r="U780" s="63" t="str">
        <f>VLOOKUP(H780,'Fund Utilization Report'!$A$4:$U$1800,3,FALSE)</f>
        <v>FY2021, RA11518</v>
      </c>
      <c r="V780" s="63" t="str">
        <f>VLOOKUP(H780,'Fund Utilization Report'!$A$4:$U$1800,4,FALSE)</f>
        <v>OO4.1(Acc)</v>
      </c>
      <c r="W780" s="63" t="str">
        <f>VLOOKUP(H780,'Fund Utilization Report'!$A$4:$U$1800,5,FALSE)</f>
        <v>01101101</v>
      </c>
      <c r="X780" s="63" t="str">
        <f>VLOOKUP(H780,'Fund Utilization Report'!$A$4:$U$1800,6,FALSE)</f>
        <v>GOP</v>
      </c>
      <c r="Y780" s="417" t="str">
        <f>VLOOKUP(H780,'Fund Utilization Report'!$A$4:$U$1800,7,FALSE)</f>
        <v>MOOE</v>
      </c>
      <c r="Z780" s="418">
        <f>VLOOKUP(H780,'Fund Utilization Report'!$A$4:$U$1800,8,FALSE)</f>
        <v>5020000000</v>
      </c>
      <c r="AA780" s="63" t="str">
        <f>VLOOKUP(H780,'Fund Utilization Report'!$A$4:$U$1800,14,FALSE)</f>
        <v>340100100003000</v>
      </c>
      <c r="AB780" s="419" t="str">
        <f>VLOOKUP(H780,'Fund Utilization Report'!$A$4:$U$1800,15,FALSE)</f>
        <v>Accreditation and Issuance of Business Licenses, Permits, registration and authorities</v>
      </c>
      <c r="AC780" s="406"/>
      <c r="AD780" s="403"/>
      <c r="AE780" s="406"/>
      <c r="AF780" s="406"/>
      <c r="AG780" s="407"/>
      <c r="AH780" s="407"/>
    </row>
    <row r="781" spans="1:34" s="411" customFormat="1" ht="27.6">
      <c r="A781" s="405" t="s">
        <v>942</v>
      </c>
      <c r="B781" s="405" t="s">
        <v>945</v>
      </c>
      <c r="C781" s="402">
        <v>44243</v>
      </c>
      <c r="D781" s="403" t="s">
        <v>1028</v>
      </c>
      <c r="E781" s="404" t="s">
        <v>1202</v>
      </c>
      <c r="F781" s="405">
        <v>0.40972222222222199</v>
      </c>
      <c r="G781" s="405">
        <v>0.41041666666666698</v>
      </c>
      <c r="H781" s="405" t="s">
        <v>979</v>
      </c>
      <c r="I781" s="416">
        <v>755</v>
      </c>
      <c r="J781" s="405" t="str">
        <f>IFERROR(VLOOKUP(I781,'Chart of accounts'!A:H,2,FALSE),"")</f>
        <v>50203010 00</v>
      </c>
      <c r="K781" s="405" t="str">
        <f>IFERROR(VLOOKUP(I781,'Chart of accounts'!A:H,3,FALSE),"")</f>
        <v>Office Supplies Expenses</v>
      </c>
      <c r="L781" s="405" t="str">
        <f>IFERROR(VLOOKUP(I781,'Chart of accounts'!A:H,4,FALSE),"")</f>
        <v>50203010 00 - Office Supplies Expenses (755)</v>
      </c>
      <c r="M781" s="408">
        <v>2</v>
      </c>
      <c r="N781" s="409" t="s">
        <v>818</v>
      </c>
      <c r="O781" s="409" t="s">
        <v>1206</v>
      </c>
      <c r="P781" s="409"/>
      <c r="Q781" s="65">
        <f>20000-20000</f>
        <v>0</v>
      </c>
      <c r="R781" s="63">
        <f>P781-Q781</f>
        <v>0</v>
      </c>
      <c r="S781" s="63" t="str">
        <f>VLOOKUP(H781,'Fund Utilization Report'!$A$4:$U$1800,13,FALSE)</f>
        <v>MOOE</v>
      </c>
      <c r="T781" s="63" t="str">
        <f>VLOOKUP(H781,'Fund Utilization Report'!$A$4:$U$1800,2,FALSE)</f>
        <v>GAA</v>
      </c>
      <c r="U781" s="63" t="str">
        <f>VLOOKUP(H781,'Fund Utilization Report'!$A$4:$U$1800,3,FALSE)</f>
        <v>FY2021, RA11518</v>
      </c>
      <c r="V781" s="63" t="str">
        <f>VLOOKUP(H781,'Fund Utilization Report'!$A$4:$U$1800,4,FALSE)</f>
        <v>OO 4.2</v>
      </c>
      <c r="W781" s="63" t="str">
        <f>VLOOKUP(H781,'Fund Utilization Report'!$A$4:$U$1800,5,FALSE)</f>
        <v>01101101</v>
      </c>
      <c r="X781" s="63" t="str">
        <f>VLOOKUP(H781,'Fund Utilization Report'!$A$4:$U$1800,6,FALSE)</f>
        <v>GOP</v>
      </c>
      <c r="Y781" s="417" t="str">
        <f>VLOOKUP(H781,'Fund Utilization Report'!$A$4:$U$1800,7,FALSE)</f>
        <v>MOOE</v>
      </c>
      <c r="Z781" s="418">
        <f>VLOOKUP(H781,'Fund Utilization Report'!$A$4:$U$1800,8,FALSE)</f>
        <v>5020000000</v>
      </c>
      <c r="AA781" s="63" t="str">
        <f>VLOOKUP(H781,'Fund Utilization Report'!$A$4:$U$1800,14,FALSE)</f>
        <v>340200100002000</v>
      </c>
      <c r="AB781" s="419" t="str">
        <f>VLOOKUP(H781,'Fund Utilization Report'!$A$4:$U$1800,15,FALSE)</f>
        <v>Implementation of Plans, projects and activities on consumer awareness, education, and advocacy</v>
      </c>
      <c r="AC781" s="406"/>
      <c r="AD781" s="403"/>
      <c r="AE781" s="406"/>
      <c r="AF781" s="406"/>
      <c r="AG781" s="407"/>
      <c r="AH781" s="407"/>
    </row>
    <row r="782" spans="1:34" s="411" customFormat="1">
      <c r="A782" s="405" t="s">
        <v>942</v>
      </c>
      <c r="B782" s="405" t="s">
        <v>945</v>
      </c>
      <c r="C782" s="402">
        <v>44243</v>
      </c>
      <c r="D782" s="403" t="s">
        <v>1028</v>
      </c>
      <c r="E782" s="404" t="s">
        <v>1203</v>
      </c>
      <c r="F782" s="405">
        <v>0.41041666666666599</v>
      </c>
      <c r="G782" s="405">
        <v>0.41111111111111198</v>
      </c>
      <c r="H782" s="405" t="s">
        <v>961</v>
      </c>
      <c r="I782" s="416">
        <v>755</v>
      </c>
      <c r="J782" s="405" t="str">
        <f>IFERROR(VLOOKUP(I782,'Chart of accounts'!A:H,2,FALSE),"")</f>
        <v>50203010 00</v>
      </c>
      <c r="K782" s="405" t="str">
        <f>IFERROR(VLOOKUP(I782,'Chart of accounts'!A:H,3,FALSE),"")</f>
        <v>Office Supplies Expenses</v>
      </c>
      <c r="L782" s="405" t="str">
        <f>IFERROR(VLOOKUP(I782,'Chart of accounts'!A:H,4,FALSE),"")</f>
        <v>50203010 00 - Office Supplies Expenses (755)</v>
      </c>
      <c r="M782" s="408">
        <v>1</v>
      </c>
      <c r="N782" s="409" t="s">
        <v>1036</v>
      </c>
      <c r="O782" s="409" t="s">
        <v>1207</v>
      </c>
      <c r="P782" s="409"/>
      <c r="Q782" s="65">
        <f>2404.78-2404.78</f>
        <v>0</v>
      </c>
      <c r="R782" s="319">
        <f t="shared" si="19"/>
        <v>0</v>
      </c>
      <c r="S782" s="63" t="str">
        <f>VLOOKUP(H782,'Fund Utilization Report'!$A$4:$U$1800,13,FALSE)</f>
        <v>MOOE</v>
      </c>
      <c r="T782" s="63" t="str">
        <f>VLOOKUP(H782,'Fund Utilization Report'!$A$4:$U$1800,2,FALSE)</f>
        <v>GAA</v>
      </c>
      <c r="U782" s="63" t="str">
        <f>VLOOKUP(H782,'Fund Utilization Report'!$A$4:$U$1800,3,FALSE)</f>
        <v>FY2021, RA11518</v>
      </c>
      <c r="V782" s="63" t="str">
        <f>VLOOKUP(H782,'Fund Utilization Report'!$A$4:$U$1800,4,FALSE)</f>
        <v>GAS(GMS)</v>
      </c>
      <c r="W782" s="63" t="str">
        <f>VLOOKUP(H782,'Fund Utilization Report'!$A$4:$U$1800,5,FALSE)</f>
        <v>01101101</v>
      </c>
      <c r="X782" s="63" t="str">
        <f>VLOOKUP(H782,'Fund Utilization Report'!$A$4:$U$1800,6,FALSE)</f>
        <v>GOP</v>
      </c>
      <c r="Y782" s="417" t="str">
        <f>VLOOKUP(H782,'Fund Utilization Report'!$A$4:$U$1800,7,FALSE)</f>
        <v>MOOE</v>
      </c>
      <c r="Z782" s="418">
        <f>VLOOKUP(H782,'Fund Utilization Report'!$A$4:$U$1800,8,FALSE)</f>
        <v>5020000000</v>
      </c>
      <c r="AA782" s="63" t="str">
        <f>VLOOKUP(H782,'Fund Utilization Report'!$A$4:$U$1800,14,FALSE)</f>
        <v>100000100001000</v>
      </c>
      <c r="AB782" s="419" t="str">
        <f>VLOOKUP(H782,'Fund Utilization Report'!$A$4:$U$1800,15,FALSE)</f>
        <v>General Administration and Supervision - General Management and Supervision</v>
      </c>
      <c r="AC782" s="406"/>
      <c r="AD782" s="403"/>
      <c r="AE782" s="406"/>
      <c r="AF782" s="406"/>
      <c r="AG782" s="407"/>
      <c r="AH782" s="407"/>
    </row>
    <row r="783" spans="1:34" s="411" customFormat="1">
      <c r="A783" s="405" t="s">
        <v>942</v>
      </c>
      <c r="B783" s="405" t="s">
        <v>945</v>
      </c>
      <c r="C783" s="402">
        <v>44243</v>
      </c>
      <c r="D783" s="403" t="s">
        <v>1028</v>
      </c>
      <c r="E783" s="404" t="s">
        <v>1204</v>
      </c>
      <c r="F783" s="405">
        <v>0.41111111111110998</v>
      </c>
      <c r="G783" s="405">
        <v>0.41180555555555598</v>
      </c>
      <c r="H783" s="405" t="s">
        <v>982</v>
      </c>
      <c r="I783" s="416">
        <v>751</v>
      </c>
      <c r="J783" s="405" t="str">
        <f>IFERROR(VLOOKUP(I783,'Chart of accounts'!A:H,2,FALSE),"")</f>
        <v>50201010 00</v>
      </c>
      <c r="K783" s="405" t="str">
        <f>IFERROR(VLOOKUP(I783,'Chart of accounts'!A:H,3,FALSE),"")</f>
        <v>Traveling Expenses - Local</v>
      </c>
      <c r="L783" s="405" t="str">
        <f>IFERROR(VLOOKUP(I783,'Chart of accounts'!A:H,4,FALSE),"")</f>
        <v>50201010 00 - Traveling Expenses - Local (751)</v>
      </c>
      <c r="M783" s="408">
        <v>85</v>
      </c>
      <c r="N783" s="409" t="s">
        <v>823</v>
      </c>
      <c r="O783" s="409" t="s">
        <v>1213</v>
      </c>
      <c r="P783" s="409"/>
      <c r="Q783" s="65">
        <f>50000-50000</f>
        <v>0</v>
      </c>
      <c r="R783" s="63">
        <f t="shared" si="19"/>
        <v>0</v>
      </c>
      <c r="S783" s="63" t="str">
        <f>VLOOKUP(H783,'Fund Utilization Report'!$A$4:$U$1800,13,FALSE)</f>
        <v>MOOE</v>
      </c>
      <c r="T783" s="63" t="str">
        <f>VLOOKUP(H783,'Fund Utilization Report'!$A$4:$U$1800,2,FALSE)</f>
        <v>GAA</v>
      </c>
      <c r="U783" s="63" t="str">
        <f>VLOOKUP(H783,'Fund Utilization Report'!$A$4:$U$1800,3,FALSE)</f>
        <v>FY2021, RA11518</v>
      </c>
      <c r="V783" s="63" t="str">
        <f>VLOOKUP(H783,'Fund Utilization Report'!$A$4:$U$1800,4,FALSE)</f>
        <v>OTOP</v>
      </c>
      <c r="W783" s="63" t="str">
        <f>VLOOKUP(H783,'Fund Utilization Report'!$A$4:$U$1800,5,FALSE)</f>
        <v>01101101</v>
      </c>
      <c r="X783" s="63" t="str">
        <f>VLOOKUP(H783,'Fund Utilization Report'!$A$4:$U$1800,6,FALSE)</f>
        <v>GOP</v>
      </c>
      <c r="Y783" s="417" t="str">
        <f>VLOOKUP(H783,'Fund Utilization Report'!$A$4:$U$1800,7,FALSE)</f>
        <v>MOOE</v>
      </c>
      <c r="Z783" s="418">
        <f>VLOOKUP(H783,'Fund Utilization Report'!$A$4:$U$1800,8,FALSE)</f>
        <v>5020000000</v>
      </c>
      <c r="AA783" s="63" t="str">
        <f>VLOOKUP(H783,'Fund Utilization Report'!$A$4:$U$1800,14,FALSE)</f>
        <v>330100200002000</v>
      </c>
      <c r="AB783" s="419" t="str">
        <f>VLOOKUP(H783,'Fund Utilization Report'!$A$4:$U$1800,15,FALSE)</f>
        <v>OTOP - Next Generation</v>
      </c>
      <c r="AC783" s="406"/>
      <c r="AD783" s="403"/>
      <c r="AE783" s="406"/>
      <c r="AF783" s="406"/>
      <c r="AG783" s="407"/>
      <c r="AH783" s="407"/>
    </row>
    <row r="784" spans="1:34" s="411" customFormat="1">
      <c r="A784" s="405" t="s">
        <v>942</v>
      </c>
      <c r="B784" s="405" t="s">
        <v>945</v>
      </c>
      <c r="C784" s="402">
        <v>44243</v>
      </c>
      <c r="D784" s="403" t="s">
        <v>1028</v>
      </c>
      <c r="E784" s="404" t="s">
        <v>1204</v>
      </c>
      <c r="F784" s="405">
        <v>0.41111111111110998</v>
      </c>
      <c r="G784" s="405">
        <v>0.41180555555555598</v>
      </c>
      <c r="H784" s="405" t="s">
        <v>982</v>
      </c>
      <c r="I784" s="416">
        <v>780</v>
      </c>
      <c r="J784" s="405" t="str">
        <f>IFERROR(VLOOKUP(I784,'Chart of accounts'!A:H,2,FALSE),"")</f>
        <v>50299010 00</v>
      </c>
      <c r="K784" s="405" t="str">
        <f>IFERROR(VLOOKUP(I784,'Chart of accounts'!A:H,3,FALSE),"")</f>
        <v>Advertising Expenses</v>
      </c>
      <c r="L784" s="405" t="str">
        <f>IFERROR(VLOOKUP(I784,'Chart of accounts'!A:H,4,FALSE),"")</f>
        <v>50299010 00 - Advertising Expenses (780)</v>
      </c>
      <c r="M784" s="408">
        <v>85</v>
      </c>
      <c r="N784" s="409" t="s">
        <v>823</v>
      </c>
      <c r="O784" s="409" t="s">
        <v>1213</v>
      </c>
      <c r="P784" s="409"/>
      <c r="Q784" s="65">
        <f>50000-50000</f>
        <v>0</v>
      </c>
      <c r="R784" s="63">
        <f>P784-Q784</f>
        <v>0</v>
      </c>
      <c r="S784" s="63" t="str">
        <f>VLOOKUP(H784,'Fund Utilization Report'!$A$4:$U$1800,13,FALSE)</f>
        <v>MOOE</v>
      </c>
      <c r="T784" s="63" t="str">
        <f>VLOOKUP(H784,'Fund Utilization Report'!$A$4:$U$1800,2,FALSE)</f>
        <v>GAA</v>
      </c>
      <c r="U784" s="63" t="str">
        <f>VLOOKUP(H784,'Fund Utilization Report'!$A$4:$U$1800,3,FALSE)</f>
        <v>FY2021, RA11518</v>
      </c>
      <c r="V784" s="63" t="str">
        <f>VLOOKUP(H784,'Fund Utilization Report'!$A$4:$U$1800,4,FALSE)</f>
        <v>OTOP</v>
      </c>
      <c r="W784" s="63" t="str">
        <f>VLOOKUP(H784,'Fund Utilization Report'!$A$4:$U$1800,5,FALSE)</f>
        <v>01101101</v>
      </c>
      <c r="X784" s="63" t="str">
        <f>VLOOKUP(H784,'Fund Utilization Report'!$A$4:$U$1800,6,FALSE)</f>
        <v>GOP</v>
      </c>
      <c r="Y784" s="417" t="str">
        <f>VLOOKUP(H784,'Fund Utilization Report'!$A$4:$U$1800,7,FALSE)</f>
        <v>MOOE</v>
      </c>
      <c r="Z784" s="418">
        <f>VLOOKUP(H784,'Fund Utilization Report'!$A$4:$U$1800,8,FALSE)</f>
        <v>5020000000</v>
      </c>
      <c r="AA784" s="63" t="str">
        <f>VLOOKUP(H784,'Fund Utilization Report'!$A$4:$U$1800,14,FALSE)</f>
        <v>330100200002000</v>
      </c>
      <c r="AB784" s="419" t="str">
        <f>VLOOKUP(H784,'Fund Utilization Report'!$A$4:$U$1800,15,FALSE)</f>
        <v>OTOP - Next Generation</v>
      </c>
      <c r="AC784" s="406"/>
      <c r="AD784" s="403"/>
      <c r="AE784" s="406"/>
      <c r="AF784" s="406"/>
      <c r="AG784" s="407"/>
      <c r="AH784" s="407"/>
    </row>
    <row r="785" spans="1:34" s="411" customFormat="1">
      <c r="A785" s="405" t="s">
        <v>942</v>
      </c>
      <c r="B785" s="405" t="s">
        <v>945</v>
      </c>
      <c r="C785" s="402">
        <v>44243</v>
      </c>
      <c r="D785" s="403" t="s">
        <v>1028</v>
      </c>
      <c r="E785" s="404" t="s">
        <v>1204</v>
      </c>
      <c r="F785" s="405">
        <v>0.41111111111110998</v>
      </c>
      <c r="G785" s="405">
        <v>0.41180555555555598</v>
      </c>
      <c r="H785" s="405" t="s">
        <v>982</v>
      </c>
      <c r="I785" s="416">
        <v>781</v>
      </c>
      <c r="J785" s="405" t="str">
        <f>IFERROR(VLOOKUP(I785,'Chart of accounts'!A:H,2,FALSE),"")</f>
        <v>50299020 00</v>
      </c>
      <c r="K785" s="405" t="str">
        <f>IFERROR(VLOOKUP(I785,'Chart of accounts'!A:H,3,FALSE),"")</f>
        <v>Printing and Binding Expenses</v>
      </c>
      <c r="L785" s="405" t="str">
        <f>IFERROR(VLOOKUP(I785,'Chart of accounts'!A:H,4,FALSE),"")</f>
        <v>50299020 00 - Printing and Binding Expenses (781)</v>
      </c>
      <c r="M785" s="408">
        <v>85</v>
      </c>
      <c r="N785" s="409" t="s">
        <v>823</v>
      </c>
      <c r="O785" s="409" t="s">
        <v>1213</v>
      </c>
      <c r="P785" s="409"/>
      <c r="Q785" s="65">
        <f>65000-65000</f>
        <v>0</v>
      </c>
      <c r="R785" s="63">
        <f>P785-Q785</f>
        <v>0</v>
      </c>
      <c r="S785" s="63" t="str">
        <f>VLOOKUP(H785,'Fund Utilization Report'!$A$4:$U$1800,13,FALSE)</f>
        <v>MOOE</v>
      </c>
      <c r="T785" s="63" t="str">
        <f>VLOOKUP(H785,'Fund Utilization Report'!$A$4:$U$1800,2,FALSE)</f>
        <v>GAA</v>
      </c>
      <c r="U785" s="63" t="str">
        <f>VLOOKUP(H785,'Fund Utilization Report'!$A$4:$U$1800,3,FALSE)</f>
        <v>FY2021, RA11518</v>
      </c>
      <c r="V785" s="63" t="str">
        <f>VLOOKUP(H785,'Fund Utilization Report'!$A$4:$U$1800,4,FALSE)</f>
        <v>OTOP</v>
      </c>
      <c r="W785" s="63" t="str">
        <f>VLOOKUP(H785,'Fund Utilization Report'!$A$4:$U$1800,5,FALSE)</f>
        <v>01101101</v>
      </c>
      <c r="X785" s="63" t="str">
        <f>VLOOKUP(H785,'Fund Utilization Report'!$A$4:$U$1800,6,FALSE)</f>
        <v>GOP</v>
      </c>
      <c r="Y785" s="417" t="str">
        <f>VLOOKUP(H785,'Fund Utilization Report'!$A$4:$U$1800,7,FALSE)</f>
        <v>MOOE</v>
      </c>
      <c r="Z785" s="418">
        <f>VLOOKUP(H785,'Fund Utilization Report'!$A$4:$U$1800,8,FALSE)</f>
        <v>5020000000</v>
      </c>
      <c r="AA785" s="63" t="str">
        <f>VLOOKUP(H785,'Fund Utilization Report'!$A$4:$U$1800,14,FALSE)</f>
        <v>330100200002000</v>
      </c>
      <c r="AB785" s="419" t="str">
        <f>VLOOKUP(H785,'Fund Utilization Report'!$A$4:$U$1800,15,FALSE)</f>
        <v>OTOP - Next Generation</v>
      </c>
      <c r="AC785" s="406"/>
      <c r="AD785" s="403"/>
      <c r="AE785" s="406"/>
      <c r="AF785" s="406"/>
      <c r="AG785" s="407"/>
      <c r="AH785" s="407"/>
    </row>
    <row r="786" spans="1:34" s="411" customFormat="1">
      <c r="A786" s="405" t="s">
        <v>942</v>
      </c>
      <c r="B786" s="405" t="s">
        <v>945</v>
      </c>
      <c r="C786" s="402">
        <v>44243</v>
      </c>
      <c r="D786" s="403" t="s">
        <v>1028</v>
      </c>
      <c r="E786" s="404" t="s">
        <v>1204</v>
      </c>
      <c r="F786" s="405">
        <v>0.41111111111110998</v>
      </c>
      <c r="G786" s="405">
        <v>0.41180555555555598</v>
      </c>
      <c r="H786" s="405" t="s">
        <v>982</v>
      </c>
      <c r="I786" s="416">
        <v>783</v>
      </c>
      <c r="J786" s="405" t="str">
        <f>IFERROR(VLOOKUP(I786,'Chart of accounts'!A:H,2,FALSE),"")</f>
        <v>50299030 00</v>
      </c>
      <c r="K786" s="405" t="str">
        <f>IFERROR(VLOOKUP(I786,'Chart of accounts'!A:H,3,FALSE),"")</f>
        <v>Representation Expenses</v>
      </c>
      <c r="L786" s="405" t="str">
        <f>IFERROR(VLOOKUP(I786,'Chart of accounts'!A:H,4,FALSE),"")</f>
        <v>50299030 00 - Representation Expenses (783)</v>
      </c>
      <c r="M786" s="408">
        <v>85</v>
      </c>
      <c r="N786" s="409" t="s">
        <v>823</v>
      </c>
      <c r="O786" s="409" t="s">
        <v>1213</v>
      </c>
      <c r="P786" s="409"/>
      <c r="Q786" s="65">
        <f>56609.67-56609.67</f>
        <v>0</v>
      </c>
      <c r="R786" s="63">
        <f>P786-Q786</f>
        <v>0</v>
      </c>
      <c r="S786" s="63" t="str">
        <f>VLOOKUP(H786,'Fund Utilization Report'!$A$4:$U$1800,13,FALSE)</f>
        <v>MOOE</v>
      </c>
      <c r="T786" s="63" t="str">
        <f>VLOOKUP(H786,'Fund Utilization Report'!$A$4:$U$1800,2,FALSE)</f>
        <v>GAA</v>
      </c>
      <c r="U786" s="63" t="str">
        <f>VLOOKUP(H786,'Fund Utilization Report'!$A$4:$U$1800,3,FALSE)</f>
        <v>FY2021, RA11518</v>
      </c>
      <c r="V786" s="63" t="str">
        <f>VLOOKUP(H786,'Fund Utilization Report'!$A$4:$U$1800,4,FALSE)</f>
        <v>OTOP</v>
      </c>
      <c r="W786" s="63" t="str">
        <f>VLOOKUP(H786,'Fund Utilization Report'!$A$4:$U$1800,5,FALSE)</f>
        <v>01101101</v>
      </c>
      <c r="X786" s="63" t="str">
        <f>VLOOKUP(H786,'Fund Utilization Report'!$A$4:$U$1800,6,FALSE)</f>
        <v>GOP</v>
      </c>
      <c r="Y786" s="417" t="str">
        <f>VLOOKUP(H786,'Fund Utilization Report'!$A$4:$U$1800,7,FALSE)</f>
        <v>MOOE</v>
      </c>
      <c r="Z786" s="418">
        <f>VLOOKUP(H786,'Fund Utilization Report'!$A$4:$U$1800,8,FALSE)</f>
        <v>5020000000</v>
      </c>
      <c r="AA786" s="63" t="str">
        <f>VLOOKUP(H786,'Fund Utilization Report'!$A$4:$U$1800,14,FALSE)</f>
        <v>330100200002000</v>
      </c>
      <c r="AB786" s="419" t="str">
        <f>VLOOKUP(H786,'Fund Utilization Report'!$A$4:$U$1800,15,FALSE)</f>
        <v>OTOP - Next Generation</v>
      </c>
      <c r="AC786" s="406"/>
      <c r="AD786" s="403"/>
      <c r="AE786" s="406"/>
      <c r="AF786" s="406"/>
      <c r="AG786" s="407"/>
      <c r="AH786" s="407"/>
    </row>
    <row r="787" spans="1:34" s="411" customFormat="1">
      <c r="A787" s="405" t="s">
        <v>942</v>
      </c>
      <c r="B787" s="405" t="s">
        <v>945</v>
      </c>
      <c r="C787" s="402">
        <v>44243</v>
      </c>
      <c r="D787" s="403" t="s">
        <v>1028</v>
      </c>
      <c r="E787" s="404" t="s">
        <v>1208</v>
      </c>
      <c r="F787" s="405">
        <v>0.41180555555555598</v>
      </c>
      <c r="G787" s="405">
        <v>0.41250000000000003</v>
      </c>
      <c r="H787" s="405" t="s">
        <v>982</v>
      </c>
      <c r="I787" s="416">
        <v>751</v>
      </c>
      <c r="J787" s="405" t="str">
        <f>IFERROR(VLOOKUP(I787,'Chart of accounts'!A:H,2,FALSE),"")</f>
        <v>50201010 00</v>
      </c>
      <c r="K787" s="405" t="str">
        <f>IFERROR(VLOOKUP(I787,'Chart of accounts'!A:H,3,FALSE),"")</f>
        <v>Traveling Expenses - Local</v>
      </c>
      <c r="L787" s="405" t="str">
        <f>IFERROR(VLOOKUP(I787,'Chart of accounts'!A:H,4,FALSE),"")</f>
        <v>50201010 00 - Traveling Expenses - Local (751)</v>
      </c>
      <c r="M787" s="408">
        <v>67</v>
      </c>
      <c r="N787" s="409" t="s">
        <v>822</v>
      </c>
      <c r="O787" s="409" t="s">
        <v>1213</v>
      </c>
      <c r="P787" s="409"/>
      <c r="Q787" s="65">
        <f>50000-50000</f>
        <v>0</v>
      </c>
      <c r="R787" s="63">
        <f t="shared" si="19"/>
        <v>0</v>
      </c>
      <c r="S787" s="63" t="str">
        <f>VLOOKUP(H787,'Fund Utilization Report'!$A$4:$U$1800,13,FALSE)</f>
        <v>MOOE</v>
      </c>
      <c r="T787" s="63" t="str">
        <f>VLOOKUP(H787,'Fund Utilization Report'!$A$4:$U$1800,2,FALSE)</f>
        <v>GAA</v>
      </c>
      <c r="U787" s="63" t="str">
        <f>VLOOKUP(H787,'Fund Utilization Report'!$A$4:$U$1800,3,FALSE)</f>
        <v>FY2021, RA11518</v>
      </c>
      <c r="V787" s="63" t="str">
        <f>VLOOKUP(H787,'Fund Utilization Report'!$A$4:$U$1800,4,FALSE)</f>
        <v>OTOP</v>
      </c>
      <c r="W787" s="63" t="str">
        <f>VLOOKUP(H787,'Fund Utilization Report'!$A$4:$U$1800,5,FALSE)</f>
        <v>01101101</v>
      </c>
      <c r="X787" s="63" t="str">
        <f>VLOOKUP(H787,'Fund Utilization Report'!$A$4:$U$1800,6,FALSE)</f>
        <v>GOP</v>
      </c>
      <c r="Y787" s="417" t="str">
        <f>VLOOKUP(H787,'Fund Utilization Report'!$A$4:$U$1800,7,FALSE)</f>
        <v>MOOE</v>
      </c>
      <c r="Z787" s="418">
        <f>VLOOKUP(H787,'Fund Utilization Report'!$A$4:$U$1800,8,FALSE)</f>
        <v>5020000000</v>
      </c>
      <c r="AA787" s="63" t="str">
        <f>VLOOKUP(H787,'Fund Utilization Report'!$A$4:$U$1800,14,FALSE)</f>
        <v>330100200002000</v>
      </c>
      <c r="AB787" s="419" t="str">
        <f>VLOOKUP(H787,'Fund Utilization Report'!$A$4:$U$1800,15,FALSE)</f>
        <v>OTOP - Next Generation</v>
      </c>
      <c r="AC787" s="406"/>
      <c r="AD787" s="403"/>
      <c r="AE787" s="406"/>
      <c r="AF787" s="406"/>
      <c r="AG787" s="407"/>
      <c r="AH787" s="407"/>
    </row>
    <row r="788" spans="1:34" s="411" customFormat="1">
      <c r="A788" s="405" t="s">
        <v>942</v>
      </c>
      <c r="B788" s="405" t="s">
        <v>945</v>
      </c>
      <c r="C788" s="402">
        <v>44243</v>
      </c>
      <c r="D788" s="403" t="s">
        <v>1028</v>
      </c>
      <c r="E788" s="404" t="s">
        <v>1208</v>
      </c>
      <c r="F788" s="405">
        <v>0.41180555555555598</v>
      </c>
      <c r="G788" s="405">
        <v>0.41250000000000003</v>
      </c>
      <c r="H788" s="405" t="s">
        <v>982</v>
      </c>
      <c r="I788" s="416">
        <v>780</v>
      </c>
      <c r="J788" s="405" t="str">
        <f>IFERROR(VLOOKUP(I788,'Chart of accounts'!A:H,2,FALSE),"")</f>
        <v>50299010 00</v>
      </c>
      <c r="K788" s="405" t="str">
        <f>IFERROR(VLOOKUP(I788,'Chart of accounts'!A:H,3,FALSE),"")</f>
        <v>Advertising Expenses</v>
      </c>
      <c r="L788" s="405" t="str">
        <f>IFERROR(VLOOKUP(I788,'Chart of accounts'!A:H,4,FALSE),"")</f>
        <v>50299010 00 - Advertising Expenses (780)</v>
      </c>
      <c r="M788" s="408">
        <v>67</v>
      </c>
      <c r="N788" s="409" t="s">
        <v>822</v>
      </c>
      <c r="O788" s="409" t="s">
        <v>1213</v>
      </c>
      <c r="P788" s="409"/>
      <c r="Q788" s="65">
        <f>50000-50000</f>
        <v>0</v>
      </c>
      <c r="R788" s="63">
        <f>P788-Q788</f>
        <v>0</v>
      </c>
      <c r="S788" s="63" t="str">
        <f>VLOOKUP(H788,'Fund Utilization Report'!$A$4:$U$1800,13,FALSE)</f>
        <v>MOOE</v>
      </c>
      <c r="T788" s="63" t="str">
        <f>VLOOKUP(H788,'Fund Utilization Report'!$A$4:$U$1800,2,FALSE)</f>
        <v>GAA</v>
      </c>
      <c r="U788" s="63" t="str">
        <f>VLOOKUP(H788,'Fund Utilization Report'!$A$4:$U$1800,3,FALSE)</f>
        <v>FY2021, RA11518</v>
      </c>
      <c r="V788" s="63" t="str">
        <f>VLOOKUP(H788,'Fund Utilization Report'!$A$4:$U$1800,4,FALSE)</f>
        <v>OTOP</v>
      </c>
      <c r="W788" s="63" t="str">
        <f>VLOOKUP(H788,'Fund Utilization Report'!$A$4:$U$1800,5,FALSE)</f>
        <v>01101101</v>
      </c>
      <c r="X788" s="63" t="str">
        <f>VLOOKUP(H788,'Fund Utilization Report'!$A$4:$U$1800,6,FALSE)</f>
        <v>GOP</v>
      </c>
      <c r="Y788" s="417" t="str">
        <f>VLOOKUP(H788,'Fund Utilization Report'!$A$4:$U$1800,7,FALSE)</f>
        <v>MOOE</v>
      </c>
      <c r="Z788" s="418">
        <f>VLOOKUP(H788,'Fund Utilization Report'!$A$4:$U$1800,8,FALSE)</f>
        <v>5020000000</v>
      </c>
      <c r="AA788" s="63" t="str">
        <f>VLOOKUP(H788,'Fund Utilization Report'!$A$4:$U$1800,14,FALSE)</f>
        <v>330100200002000</v>
      </c>
      <c r="AB788" s="419" t="str">
        <f>VLOOKUP(H788,'Fund Utilization Report'!$A$4:$U$1800,15,FALSE)</f>
        <v>OTOP - Next Generation</v>
      </c>
      <c r="AC788" s="406"/>
      <c r="AD788" s="403"/>
      <c r="AE788" s="406"/>
      <c r="AF788" s="406"/>
      <c r="AG788" s="407"/>
      <c r="AH788" s="407"/>
    </row>
    <row r="789" spans="1:34" s="411" customFormat="1">
      <c r="A789" s="405" t="s">
        <v>942</v>
      </c>
      <c r="B789" s="405" t="s">
        <v>945</v>
      </c>
      <c r="C789" s="402">
        <v>44243</v>
      </c>
      <c r="D789" s="403" t="s">
        <v>1028</v>
      </c>
      <c r="E789" s="404" t="s">
        <v>1208</v>
      </c>
      <c r="F789" s="405">
        <v>0.41180555555555598</v>
      </c>
      <c r="G789" s="405">
        <v>0.41250000000000003</v>
      </c>
      <c r="H789" s="405" t="s">
        <v>982</v>
      </c>
      <c r="I789" s="416">
        <v>781</v>
      </c>
      <c r="J789" s="405" t="str">
        <f>IFERROR(VLOOKUP(I789,'Chart of accounts'!A:H,2,FALSE),"")</f>
        <v>50299020 00</v>
      </c>
      <c r="K789" s="405" t="str">
        <f>IFERROR(VLOOKUP(I789,'Chart of accounts'!A:H,3,FALSE),"")</f>
        <v>Printing and Binding Expenses</v>
      </c>
      <c r="L789" s="405" t="str">
        <f>IFERROR(VLOOKUP(I789,'Chart of accounts'!A:H,4,FALSE),"")</f>
        <v>50299020 00 - Printing and Binding Expenses (781)</v>
      </c>
      <c r="M789" s="408">
        <v>67</v>
      </c>
      <c r="N789" s="409" t="s">
        <v>822</v>
      </c>
      <c r="O789" s="409" t="s">
        <v>1213</v>
      </c>
      <c r="P789" s="409"/>
      <c r="Q789" s="65">
        <f>65000-65000</f>
        <v>0</v>
      </c>
      <c r="R789" s="63">
        <f>P789-Q789</f>
        <v>0</v>
      </c>
      <c r="S789" s="63" t="str">
        <f>VLOOKUP(H789,'Fund Utilization Report'!$A$4:$U$1800,13,FALSE)</f>
        <v>MOOE</v>
      </c>
      <c r="T789" s="63" t="str">
        <f>VLOOKUP(H789,'Fund Utilization Report'!$A$4:$U$1800,2,FALSE)</f>
        <v>GAA</v>
      </c>
      <c r="U789" s="63" t="str">
        <f>VLOOKUP(H789,'Fund Utilization Report'!$A$4:$U$1800,3,FALSE)</f>
        <v>FY2021, RA11518</v>
      </c>
      <c r="V789" s="63" t="str">
        <f>VLOOKUP(H789,'Fund Utilization Report'!$A$4:$U$1800,4,FALSE)</f>
        <v>OTOP</v>
      </c>
      <c r="W789" s="63" t="str">
        <f>VLOOKUP(H789,'Fund Utilization Report'!$A$4:$U$1800,5,FALSE)</f>
        <v>01101101</v>
      </c>
      <c r="X789" s="63" t="str">
        <f>VLOOKUP(H789,'Fund Utilization Report'!$A$4:$U$1800,6,FALSE)</f>
        <v>GOP</v>
      </c>
      <c r="Y789" s="417" t="str">
        <f>VLOOKUP(H789,'Fund Utilization Report'!$A$4:$U$1800,7,FALSE)</f>
        <v>MOOE</v>
      </c>
      <c r="Z789" s="418">
        <f>VLOOKUP(H789,'Fund Utilization Report'!$A$4:$U$1800,8,FALSE)</f>
        <v>5020000000</v>
      </c>
      <c r="AA789" s="63" t="str">
        <f>VLOOKUP(H789,'Fund Utilization Report'!$A$4:$U$1800,14,FALSE)</f>
        <v>330100200002000</v>
      </c>
      <c r="AB789" s="419" t="str">
        <f>VLOOKUP(H789,'Fund Utilization Report'!$A$4:$U$1800,15,FALSE)</f>
        <v>OTOP - Next Generation</v>
      </c>
      <c r="AC789" s="406"/>
      <c r="AD789" s="403"/>
      <c r="AE789" s="406"/>
      <c r="AF789" s="406"/>
      <c r="AG789" s="407"/>
      <c r="AH789" s="407"/>
    </row>
    <row r="790" spans="1:34" s="411" customFormat="1">
      <c r="A790" s="405" t="s">
        <v>942</v>
      </c>
      <c r="B790" s="405" t="s">
        <v>945</v>
      </c>
      <c r="C790" s="402">
        <v>44243</v>
      </c>
      <c r="D790" s="403" t="s">
        <v>1028</v>
      </c>
      <c r="E790" s="404" t="s">
        <v>1208</v>
      </c>
      <c r="F790" s="405">
        <v>0.41180555555555598</v>
      </c>
      <c r="G790" s="405">
        <v>0.41250000000000003</v>
      </c>
      <c r="H790" s="405" t="s">
        <v>982</v>
      </c>
      <c r="I790" s="416">
        <v>783</v>
      </c>
      <c r="J790" s="405" t="str">
        <f>IFERROR(VLOOKUP(I790,'Chart of accounts'!A:H,2,FALSE),"")</f>
        <v>50299030 00</v>
      </c>
      <c r="K790" s="405" t="str">
        <f>IFERROR(VLOOKUP(I790,'Chart of accounts'!A:H,3,FALSE),"")</f>
        <v>Representation Expenses</v>
      </c>
      <c r="L790" s="405" t="str">
        <f>IFERROR(VLOOKUP(I790,'Chart of accounts'!A:H,4,FALSE),"")</f>
        <v>50299030 00 - Representation Expenses (783)</v>
      </c>
      <c r="M790" s="408">
        <v>67</v>
      </c>
      <c r="N790" s="409" t="s">
        <v>822</v>
      </c>
      <c r="O790" s="409" t="s">
        <v>1213</v>
      </c>
      <c r="P790" s="409"/>
      <c r="Q790" s="65">
        <f>47249.48-47249.48</f>
        <v>0</v>
      </c>
      <c r="R790" s="63">
        <f>P790-Q790</f>
        <v>0</v>
      </c>
      <c r="S790" s="63" t="str">
        <f>VLOOKUP(H790,'Fund Utilization Report'!$A$4:$U$1800,13,FALSE)</f>
        <v>MOOE</v>
      </c>
      <c r="T790" s="63" t="str">
        <f>VLOOKUP(H790,'Fund Utilization Report'!$A$4:$U$1800,2,FALSE)</f>
        <v>GAA</v>
      </c>
      <c r="U790" s="63" t="str">
        <f>VLOOKUP(H790,'Fund Utilization Report'!$A$4:$U$1800,3,FALSE)</f>
        <v>FY2021, RA11518</v>
      </c>
      <c r="V790" s="63" t="str">
        <f>VLOOKUP(H790,'Fund Utilization Report'!$A$4:$U$1800,4,FALSE)</f>
        <v>OTOP</v>
      </c>
      <c r="W790" s="63" t="str">
        <f>VLOOKUP(H790,'Fund Utilization Report'!$A$4:$U$1800,5,FALSE)</f>
        <v>01101101</v>
      </c>
      <c r="X790" s="63" t="str">
        <f>VLOOKUP(H790,'Fund Utilization Report'!$A$4:$U$1800,6,FALSE)</f>
        <v>GOP</v>
      </c>
      <c r="Y790" s="417" t="str">
        <f>VLOOKUP(H790,'Fund Utilization Report'!$A$4:$U$1800,7,FALSE)</f>
        <v>MOOE</v>
      </c>
      <c r="Z790" s="418">
        <f>VLOOKUP(H790,'Fund Utilization Report'!$A$4:$U$1800,8,FALSE)</f>
        <v>5020000000</v>
      </c>
      <c r="AA790" s="63" t="str">
        <f>VLOOKUP(H790,'Fund Utilization Report'!$A$4:$U$1800,14,FALSE)</f>
        <v>330100200002000</v>
      </c>
      <c r="AB790" s="419" t="str">
        <f>VLOOKUP(H790,'Fund Utilization Report'!$A$4:$U$1800,15,FALSE)</f>
        <v>OTOP - Next Generation</v>
      </c>
      <c r="AC790" s="406"/>
      <c r="AD790" s="403"/>
      <c r="AE790" s="406"/>
      <c r="AF790" s="406"/>
      <c r="AG790" s="407"/>
      <c r="AH790" s="407"/>
    </row>
    <row r="791" spans="1:34" s="411" customFormat="1">
      <c r="A791" s="405" t="s">
        <v>942</v>
      </c>
      <c r="B791" s="405" t="s">
        <v>945</v>
      </c>
      <c r="C791" s="402">
        <v>44243</v>
      </c>
      <c r="D791" s="403" t="s">
        <v>1028</v>
      </c>
      <c r="E791" s="404" t="s">
        <v>1209</v>
      </c>
      <c r="F791" s="405">
        <v>0.41250000000000003</v>
      </c>
      <c r="G791" s="405">
        <v>0.41319444444444442</v>
      </c>
      <c r="H791" s="405" t="s">
        <v>982</v>
      </c>
      <c r="I791" s="416">
        <v>751</v>
      </c>
      <c r="J791" s="405" t="str">
        <f>IFERROR(VLOOKUP(I791,'Chart of accounts'!A:H,2,FALSE),"")</f>
        <v>50201010 00</v>
      </c>
      <c r="K791" s="405" t="str">
        <f>IFERROR(VLOOKUP(I791,'Chart of accounts'!A:H,3,FALSE),"")</f>
        <v>Traveling Expenses - Local</v>
      </c>
      <c r="L791" s="405" t="str">
        <f>IFERROR(VLOOKUP(I791,'Chart of accounts'!A:H,4,FALSE),"")</f>
        <v>50201010 00 - Traveling Expenses - Local (751)</v>
      </c>
      <c r="M791" s="408">
        <v>68</v>
      </c>
      <c r="N791" s="409" t="s">
        <v>821</v>
      </c>
      <c r="O791" s="409" t="s">
        <v>1213</v>
      </c>
      <c r="P791" s="409"/>
      <c r="Q791" s="65">
        <f>50000-50000</f>
        <v>0</v>
      </c>
      <c r="R791" s="63">
        <f t="shared" si="19"/>
        <v>0</v>
      </c>
      <c r="S791" s="63" t="str">
        <f>VLOOKUP(H791,'Fund Utilization Report'!$A$4:$U$1800,13,FALSE)</f>
        <v>MOOE</v>
      </c>
      <c r="T791" s="63" t="str">
        <f>VLOOKUP(H791,'Fund Utilization Report'!$A$4:$U$1800,2,FALSE)</f>
        <v>GAA</v>
      </c>
      <c r="U791" s="63" t="str">
        <f>VLOOKUP(H791,'Fund Utilization Report'!$A$4:$U$1800,3,FALSE)</f>
        <v>FY2021, RA11518</v>
      </c>
      <c r="V791" s="63" t="str">
        <f>VLOOKUP(H791,'Fund Utilization Report'!$A$4:$U$1800,4,FALSE)</f>
        <v>OTOP</v>
      </c>
      <c r="W791" s="63" t="str">
        <f>VLOOKUP(H791,'Fund Utilization Report'!$A$4:$U$1800,5,FALSE)</f>
        <v>01101101</v>
      </c>
      <c r="X791" s="63" t="str">
        <f>VLOOKUP(H791,'Fund Utilization Report'!$A$4:$U$1800,6,FALSE)</f>
        <v>GOP</v>
      </c>
      <c r="Y791" s="417" t="str">
        <f>VLOOKUP(H791,'Fund Utilization Report'!$A$4:$U$1800,7,FALSE)</f>
        <v>MOOE</v>
      </c>
      <c r="Z791" s="418">
        <f>VLOOKUP(H791,'Fund Utilization Report'!$A$4:$U$1800,8,FALSE)</f>
        <v>5020000000</v>
      </c>
      <c r="AA791" s="63" t="str">
        <f>VLOOKUP(H791,'Fund Utilization Report'!$A$4:$U$1800,14,FALSE)</f>
        <v>330100200002000</v>
      </c>
      <c r="AB791" s="419" t="str">
        <f>VLOOKUP(H791,'Fund Utilization Report'!$A$4:$U$1800,15,FALSE)</f>
        <v>OTOP - Next Generation</v>
      </c>
      <c r="AC791" s="406"/>
      <c r="AD791" s="403"/>
      <c r="AE791" s="406"/>
      <c r="AF791" s="406"/>
      <c r="AG791" s="407"/>
      <c r="AH791" s="407"/>
    </row>
    <row r="792" spans="1:34" s="411" customFormat="1">
      <c r="A792" s="405" t="s">
        <v>942</v>
      </c>
      <c r="B792" s="405" t="s">
        <v>945</v>
      </c>
      <c r="C792" s="402">
        <v>44243</v>
      </c>
      <c r="D792" s="403" t="s">
        <v>1028</v>
      </c>
      <c r="E792" s="404" t="s">
        <v>1209</v>
      </c>
      <c r="F792" s="405">
        <v>0.41250000000000003</v>
      </c>
      <c r="G792" s="405">
        <v>0.41319444444444442</v>
      </c>
      <c r="H792" s="405" t="s">
        <v>982</v>
      </c>
      <c r="I792" s="416">
        <v>780</v>
      </c>
      <c r="J792" s="405" t="str">
        <f>IFERROR(VLOOKUP(I792,'Chart of accounts'!A:H,2,FALSE),"")</f>
        <v>50299010 00</v>
      </c>
      <c r="K792" s="405" t="str">
        <f>IFERROR(VLOOKUP(I792,'Chart of accounts'!A:H,3,FALSE),"")</f>
        <v>Advertising Expenses</v>
      </c>
      <c r="L792" s="405" t="str">
        <f>IFERROR(VLOOKUP(I792,'Chart of accounts'!A:H,4,FALSE),"")</f>
        <v>50299010 00 - Advertising Expenses (780)</v>
      </c>
      <c r="M792" s="408">
        <v>68</v>
      </c>
      <c r="N792" s="409" t="s">
        <v>821</v>
      </c>
      <c r="O792" s="409" t="s">
        <v>1213</v>
      </c>
      <c r="P792" s="409"/>
      <c r="Q792" s="65">
        <f>50000-50000</f>
        <v>0</v>
      </c>
      <c r="R792" s="63">
        <f>P792-Q792</f>
        <v>0</v>
      </c>
      <c r="S792" s="63" t="str">
        <f>VLOOKUP(H792,'Fund Utilization Report'!$A$4:$U$1800,13,FALSE)</f>
        <v>MOOE</v>
      </c>
      <c r="T792" s="63" t="str">
        <f>VLOOKUP(H792,'Fund Utilization Report'!$A$4:$U$1800,2,FALSE)</f>
        <v>GAA</v>
      </c>
      <c r="U792" s="63" t="str">
        <f>VLOOKUP(H792,'Fund Utilization Report'!$A$4:$U$1800,3,FALSE)</f>
        <v>FY2021, RA11518</v>
      </c>
      <c r="V792" s="63" t="str">
        <f>VLOOKUP(H792,'Fund Utilization Report'!$A$4:$U$1800,4,FALSE)</f>
        <v>OTOP</v>
      </c>
      <c r="W792" s="63" t="str">
        <f>VLOOKUP(H792,'Fund Utilization Report'!$A$4:$U$1800,5,FALSE)</f>
        <v>01101101</v>
      </c>
      <c r="X792" s="63" t="str">
        <f>VLOOKUP(H792,'Fund Utilization Report'!$A$4:$U$1800,6,FALSE)</f>
        <v>GOP</v>
      </c>
      <c r="Y792" s="417" t="str">
        <f>VLOOKUP(H792,'Fund Utilization Report'!$A$4:$U$1800,7,FALSE)</f>
        <v>MOOE</v>
      </c>
      <c r="Z792" s="418">
        <f>VLOOKUP(H792,'Fund Utilization Report'!$A$4:$U$1800,8,FALSE)</f>
        <v>5020000000</v>
      </c>
      <c r="AA792" s="63" t="str">
        <f>VLOOKUP(H792,'Fund Utilization Report'!$A$4:$U$1800,14,FALSE)</f>
        <v>330100200002000</v>
      </c>
      <c r="AB792" s="419" t="str">
        <f>VLOOKUP(H792,'Fund Utilization Report'!$A$4:$U$1800,15,FALSE)</f>
        <v>OTOP - Next Generation</v>
      </c>
      <c r="AC792" s="406"/>
      <c r="AD792" s="403"/>
      <c r="AE792" s="406"/>
      <c r="AF792" s="406"/>
      <c r="AG792" s="407"/>
      <c r="AH792" s="407"/>
    </row>
    <row r="793" spans="1:34" s="411" customFormat="1">
      <c r="A793" s="405" t="s">
        <v>942</v>
      </c>
      <c r="B793" s="405" t="s">
        <v>945</v>
      </c>
      <c r="C793" s="402">
        <v>44243</v>
      </c>
      <c r="D793" s="403" t="s">
        <v>1028</v>
      </c>
      <c r="E793" s="404" t="s">
        <v>1209</v>
      </c>
      <c r="F793" s="405">
        <v>0.41250000000000003</v>
      </c>
      <c r="G793" s="405">
        <v>0.41319444444444442</v>
      </c>
      <c r="H793" s="405" t="s">
        <v>982</v>
      </c>
      <c r="I793" s="416">
        <v>781</v>
      </c>
      <c r="J793" s="405" t="str">
        <f>IFERROR(VLOOKUP(I793,'Chart of accounts'!A:H,2,FALSE),"")</f>
        <v>50299020 00</v>
      </c>
      <c r="K793" s="405" t="str">
        <f>IFERROR(VLOOKUP(I793,'Chart of accounts'!A:H,3,FALSE),"")</f>
        <v>Printing and Binding Expenses</v>
      </c>
      <c r="L793" s="405" t="str">
        <f>IFERROR(VLOOKUP(I793,'Chart of accounts'!A:H,4,FALSE),"")</f>
        <v>50299020 00 - Printing and Binding Expenses (781)</v>
      </c>
      <c r="M793" s="408">
        <v>68</v>
      </c>
      <c r="N793" s="409" t="s">
        <v>821</v>
      </c>
      <c r="O793" s="409" t="s">
        <v>1213</v>
      </c>
      <c r="P793" s="409"/>
      <c r="Q793" s="65">
        <f>65000-65000</f>
        <v>0</v>
      </c>
      <c r="R793" s="63">
        <f>P793-Q793</f>
        <v>0</v>
      </c>
      <c r="S793" s="63" t="str">
        <f>VLOOKUP(H793,'Fund Utilization Report'!$A$4:$U$1800,13,FALSE)</f>
        <v>MOOE</v>
      </c>
      <c r="T793" s="63" t="str">
        <f>VLOOKUP(H793,'Fund Utilization Report'!$A$4:$U$1800,2,FALSE)</f>
        <v>GAA</v>
      </c>
      <c r="U793" s="63" t="str">
        <f>VLOOKUP(H793,'Fund Utilization Report'!$A$4:$U$1800,3,FALSE)</f>
        <v>FY2021, RA11518</v>
      </c>
      <c r="V793" s="63" t="str">
        <f>VLOOKUP(H793,'Fund Utilization Report'!$A$4:$U$1800,4,FALSE)</f>
        <v>OTOP</v>
      </c>
      <c r="W793" s="63" t="str">
        <f>VLOOKUP(H793,'Fund Utilization Report'!$A$4:$U$1800,5,FALSE)</f>
        <v>01101101</v>
      </c>
      <c r="X793" s="63" t="str">
        <f>VLOOKUP(H793,'Fund Utilization Report'!$A$4:$U$1800,6,FALSE)</f>
        <v>GOP</v>
      </c>
      <c r="Y793" s="417" t="str">
        <f>VLOOKUP(H793,'Fund Utilization Report'!$A$4:$U$1800,7,FALSE)</f>
        <v>MOOE</v>
      </c>
      <c r="Z793" s="418">
        <f>VLOOKUP(H793,'Fund Utilization Report'!$A$4:$U$1800,8,FALSE)</f>
        <v>5020000000</v>
      </c>
      <c r="AA793" s="63" t="str">
        <f>VLOOKUP(H793,'Fund Utilization Report'!$A$4:$U$1800,14,FALSE)</f>
        <v>330100200002000</v>
      </c>
      <c r="AB793" s="419" t="str">
        <f>VLOOKUP(H793,'Fund Utilization Report'!$A$4:$U$1800,15,FALSE)</f>
        <v>OTOP - Next Generation</v>
      </c>
      <c r="AC793" s="406"/>
      <c r="AD793" s="403"/>
      <c r="AE793" s="406"/>
      <c r="AF793" s="406"/>
      <c r="AG793" s="407"/>
      <c r="AH793" s="407"/>
    </row>
    <row r="794" spans="1:34" s="411" customFormat="1">
      <c r="A794" s="405" t="s">
        <v>942</v>
      </c>
      <c r="B794" s="405" t="s">
        <v>945</v>
      </c>
      <c r="C794" s="402">
        <v>44243</v>
      </c>
      <c r="D794" s="403" t="s">
        <v>1028</v>
      </c>
      <c r="E794" s="404" t="s">
        <v>1209</v>
      </c>
      <c r="F794" s="405">
        <v>0.41250000000000003</v>
      </c>
      <c r="G794" s="405">
        <v>0.41319444444444442</v>
      </c>
      <c r="H794" s="405" t="s">
        <v>982</v>
      </c>
      <c r="I794" s="416">
        <v>783</v>
      </c>
      <c r="J794" s="405" t="str">
        <f>IFERROR(VLOOKUP(I794,'Chart of accounts'!A:H,2,FALSE),"")</f>
        <v>50299030 00</v>
      </c>
      <c r="K794" s="405" t="str">
        <f>IFERROR(VLOOKUP(I794,'Chart of accounts'!A:H,3,FALSE),"")</f>
        <v>Representation Expenses</v>
      </c>
      <c r="L794" s="405" t="str">
        <f>IFERROR(VLOOKUP(I794,'Chart of accounts'!A:H,4,FALSE),"")</f>
        <v>50299030 00 - Representation Expenses (783)</v>
      </c>
      <c r="M794" s="408">
        <v>68</v>
      </c>
      <c r="N794" s="409" t="s">
        <v>821</v>
      </c>
      <c r="O794" s="409" t="s">
        <v>1213</v>
      </c>
      <c r="P794" s="409"/>
      <c r="Q794" s="65">
        <f>47249.48-47249.48</f>
        <v>0</v>
      </c>
      <c r="R794" s="63">
        <f>P794-Q794</f>
        <v>0</v>
      </c>
      <c r="S794" s="63" t="str">
        <f>VLOOKUP(H794,'Fund Utilization Report'!$A$4:$U$1800,13,FALSE)</f>
        <v>MOOE</v>
      </c>
      <c r="T794" s="63" t="str">
        <f>VLOOKUP(H794,'Fund Utilization Report'!$A$4:$U$1800,2,FALSE)</f>
        <v>GAA</v>
      </c>
      <c r="U794" s="63" t="str">
        <f>VLOOKUP(H794,'Fund Utilization Report'!$A$4:$U$1800,3,FALSE)</f>
        <v>FY2021, RA11518</v>
      </c>
      <c r="V794" s="63" t="str">
        <f>VLOOKUP(H794,'Fund Utilization Report'!$A$4:$U$1800,4,FALSE)</f>
        <v>OTOP</v>
      </c>
      <c r="W794" s="63" t="str">
        <f>VLOOKUP(H794,'Fund Utilization Report'!$A$4:$U$1800,5,FALSE)</f>
        <v>01101101</v>
      </c>
      <c r="X794" s="63" t="str">
        <f>VLOOKUP(H794,'Fund Utilization Report'!$A$4:$U$1800,6,FALSE)</f>
        <v>GOP</v>
      </c>
      <c r="Y794" s="417" t="str">
        <f>VLOOKUP(H794,'Fund Utilization Report'!$A$4:$U$1800,7,FALSE)</f>
        <v>MOOE</v>
      </c>
      <c r="Z794" s="418">
        <f>VLOOKUP(H794,'Fund Utilization Report'!$A$4:$U$1800,8,FALSE)</f>
        <v>5020000000</v>
      </c>
      <c r="AA794" s="63" t="str">
        <f>VLOOKUP(H794,'Fund Utilization Report'!$A$4:$U$1800,14,FALSE)</f>
        <v>330100200002000</v>
      </c>
      <c r="AB794" s="419" t="str">
        <f>VLOOKUP(H794,'Fund Utilization Report'!$A$4:$U$1800,15,FALSE)</f>
        <v>OTOP - Next Generation</v>
      </c>
      <c r="AC794" s="406"/>
      <c r="AD794" s="403"/>
      <c r="AE794" s="406"/>
      <c r="AF794" s="406"/>
      <c r="AG794" s="407"/>
      <c r="AH794" s="407"/>
    </row>
    <row r="795" spans="1:34" s="411" customFormat="1">
      <c r="A795" s="405" t="s">
        <v>942</v>
      </c>
      <c r="B795" s="405" t="s">
        <v>945</v>
      </c>
      <c r="C795" s="402">
        <v>44243</v>
      </c>
      <c r="D795" s="403" t="s">
        <v>1028</v>
      </c>
      <c r="E795" s="404" t="s">
        <v>1210</v>
      </c>
      <c r="F795" s="405">
        <v>0.41319444444444442</v>
      </c>
      <c r="G795" s="405">
        <v>0.41388888888888892</v>
      </c>
      <c r="H795" s="405" t="s">
        <v>982</v>
      </c>
      <c r="I795" s="416">
        <v>751</v>
      </c>
      <c r="J795" s="405" t="str">
        <f>IFERROR(VLOOKUP(I795,'Chart of accounts'!A:H,2,FALSE),"")</f>
        <v>50201010 00</v>
      </c>
      <c r="K795" s="405" t="str">
        <f>IFERROR(VLOOKUP(I795,'Chart of accounts'!A:H,3,FALSE),"")</f>
        <v>Traveling Expenses - Local</v>
      </c>
      <c r="L795" s="405" t="str">
        <f>IFERROR(VLOOKUP(I795,'Chart of accounts'!A:H,4,FALSE),"")</f>
        <v>50201010 00 - Traveling Expenses - Local (751)</v>
      </c>
      <c r="M795" s="408">
        <v>3</v>
      </c>
      <c r="N795" s="409" t="s">
        <v>820</v>
      </c>
      <c r="O795" s="409" t="s">
        <v>1213</v>
      </c>
      <c r="P795" s="409"/>
      <c r="Q795" s="65">
        <f>50000-50000</f>
        <v>0</v>
      </c>
      <c r="R795" s="63">
        <f t="shared" si="19"/>
        <v>0</v>
      </c>
      <c r="S795" s="63" t="str">
        <f>VLOOKUP(H795,'Fund Utilization Report'!$A$4:$U$1800,13,FALSE)</f>
        <v>MOOE</v>
      </c>
      <c r="T795" s="63" t="str">
        <f>VLOOKUP(H795,'Fund Utilization Report'!$A$4:$U$1800,2,FALSE)</f>
        <v>GAA</v>
      </c>
      <c r="U795" s="63" t="str">
        <f>VLOOKUP(H795,'Fund Utilization Report'!$A$4:$U$1800,3,FALSE)</f>
        <v>FY2021, RA11518</v>
      </c>
      <c r="V795" s="63" t="str">
        <f>VLOOKUP(H795,'Fund Utilization Report'!$A$4:$U$1800,4,FALSE)</f>
        <v>OTOP</v>
      </c>
      <c r="W795" s="63" t="str">
        <f>VLOOKUP(H795,'Fund Utilization Report'!$A$4:$U$1800,5,FALSE)</f>
        <v>01101101</v>
      </c>
      <c r="X795" s="63" t="str">
        <f>VLOOKUP(H795,'Fund Utilization Report'!$A$4:$U$1800,6,FALSE)</f>
        <v>GOP</v>
      </c>
      <c r="Y795" s="417" t="str">
        <f>VLOOKUP(H795,'Fund Utilization Report'!$A$4:$U$1800,7,FALSE)</f>
        <v>MOOE</v>
      </c>
      <c r="Z795" s="418">
        <f>VLOOKUP(H795,'Fund Utilization Report'!$A$4:$U$1800,8,FALSE)</f>
        <v>5020000000</v>
      </c>
      <c r="AA795" s="63" t="str">
        <f>VLOOKUP(H795,'Fund Utilization Report'!$A$4:$U$1800,14,FALSE)</f>
        <v>330100200002000</v>
      </c>
      <c r="AB795" s="419" t="str">
        <f>VLOOKUP(H795,'Fund Utilization Report'!$A$4:$U$1800,15,FALSE)</f>
        <v>OTOP - Next Generation</v>
      </c>
      <c r="AC795" s="406"/>
      <c r="AD795" s="403"/>
      <c r="AE795" s="406"/>
      <c r="AF795" s="406"/>
      <c r="AG795" s="407"/>
      <c r="AH795" s="407"/>
    </row>
    <row r="796" spans="1:34" s="411" customFormat="1">
      <c r="A796" s="405" t="s">
        <v>942</v>
      </c>
      <c r="B796" s="405" t="s">
        <v>945</v>
      </c>
      <c r="C796" s="402">
        <v>44243</v>
      </c>
      <c r="D796" s="403" t="s">
        <v>1028</v>
      </c>
      <c r="E796" s="404" t="s">
        <v>1210</v>
      </c>
      <c r="F796" s="405">
        <v>0.41319444444444442</v>
      </c>
      <c r="G796" s="405">
        <v>0.41388888888888892</v>
      </c>
      <c r="H796" s="405" t="s">
        <v>982</v>
      </c>
      <c r="I796" s="416">
        <v>780</v>
      </c>
      <c r="J796" s="405" t="str">
        <f>IFERROR(VLOOKUP(I796,'Chart of accounts'!A:H,2,FALSE),"")</f>
        <v>50299010 00</v>
      </c>
      <c r="K796" s="405" t="str">
        <f>IFERROR(VLOOKUP(I796,'Chart of accounts'!A:H,3,FALSE),"")</f>
        <v>Advertising Expenses</v>
      </c>
      <c r="L796" s="405" t="str">
        <f>IFERROR(VLOOKUP(I796,'Chart of accounts'!A:H,4,FALSE),"")</f>
        <v>50299010 00 - Advertising Expenses (780)</v>
      </c>
      <c r="M796" s="408">
        <v>3</v>
      </c>
      <c r="N796" s="409" t="s">
        <v>820</v>
      </c>
      <c r="O796" s="409" t="s">
        <v>1213</v>
      </c>
      <c r="P796" s="409"/>
      <c r="Q796" s="65">
        <f>50000-50000</f>
        <v>0</v>
      </c>
      <c r="R796" s="63">
        <f>P796-Q796</f>
        <v>0</v>
      </c>
      <c r="S796" s="63" t="str">
        <f>VLOOKUP(H796,'Fund Utilization Report'!$A$4:$U$1800,13,FALSE)</f>
        <v>MOOE</v>
      </c>
      <c r="T796" s="63" t="str">
        <f>VLOOKUP(H796,'Fund Utilization Report'!$A$4:$U$1800,2,FALSE)</f>
        <v>GAA</v>
      </c>
      <c r="U796" s="63" t="str">
        <f>VLOOKUP(H796,'Fund Utilization Report'!$A$4:$U$1800,3,FALSE)</f>
        <v>FY2021, RA11518</v>
      </c>
      <c r="V796" s="63" t="str">
        <f>VLOOKUP(H796,'Fund Utilization Report'!$A$4:$U$1800,4,FALSE)</f>
        <v>OTOP</v>
      </c>
      <c r="W796" s="63" t="str">
        <f>VLOOKUP(H796,'Fund Utilization Report'!$A$4:$U$1800,5,FALSE)</f>
        <v>01101101</v>
      </c>
      <c r="X796" s="63" t="str">
        <f>VLOOKUP(H796,'Fund Utilization Report'!$A$4:$U$1800,6,FALSE)</f>
        <v>GOP</v>
      </c>
      <c r="Y796" s="417" t="str">
        <f>VLOOKUP(H796,'Fund Utilization Report'!$A$4:$U$1800,7,FALSE)</f>
        <v>MOOE</v>
      </c>
      <c r="Z796" s="418">
        <f>VLOOKUP(H796,'Fund Utilization Report'!$A$4:$U$1800,8,FALSE)</f>
        <v>5020000000</v>
      </c>
      <c r="AA796" s="63" t="str">
        <f>VLOOKUP(H796,'Fund Utilization Report'!$A$4:$U$1800,14,FALSE)</f>
        <v>330100200002000</v>
      </c>
      <c r="AB796" s="419" t="str">
        <f>VLOOKUP(H796,'Fund Utilization Report'!$A$4:$U$1800,15,FALSE)</f>
        <v>OTOP - Next Generation</v>
      </c>
      <c r="AC796" s="406"/>
      <c r="AD796" s="403"/>
      <c r="AE796" s="406"/>
      <c r="AF796" s="406"/>
      <c r="AG796" s="407"/>
      <c r="AH796" s="407"/>
    </row>
    <row r="797" spans="1:34" s="411" customFormat="1">
      <c r="A797" s="405" t="s">
        <v>942</v>
      </c>
      <c r="B797" s="405" t="s">
        <v>945</v>
      </c>
      <c r="C797" s="402">
        <v>44243</v>
      </c>
      <c r="D797" s="403" t="s">
        <v>1028</v>
      </c>
      <c r="E797" s="404" t="s">
        <v>1210</v>
      </c>
      <c r="F797" s="405">
        <v>0.41319444444444442</v>
      </c>
      <c r="G797" s="405">
        <v>0.41388888888888892</v>
      </c>
      <c r="H797" s="405" t="s">
        <v>982</v>
      </c>
      <c r="I797" s="416">
        <v>781</v>
      </c>
      <c r="J797" s="405" t="str">
        <f>IFERROR(VLOOKUP(I797,'Chart of accounts'!A:H,2,FALSE),"")</f>
        <v>50299020 00</v>
      </c>
      <c r="K797" s="405" t="str">
        <f>IFERROR(VLOOKUP(I797,'Chart of accounts'!A:H,3,FALSE),"")</f>
        <v>Printing and Binding Expenses</v>
      </c>
      <c r="L797" s="405" t="str">
        <f>IFERROR(VLOOKUP(I797,'Chart of accounts'!A:H,4,FALSE),"")</f>
        <v>50299020 00 - Printing and Binding Expenses (781)</v>
      </c>
      <c r="M797" s="408">
        <v>3</v>
      </c>
      <c r="N797" s="409" t="s">
        <v>820</v>
      </c>
      <c r="O797" s="409" t="s">
        <v>1213</v>
      </c>
      <c r="P797" s="409"/>
      <c r="Q797" s="65">
        <f>65000-65000</f>
        <v>0</v>
      </c>
      <c r="R797" s="63">
        <f>P797-Q797</f>
        <v>0</v>
      </c>
      <c r="S797" s="63" t="str">
        <f>VLOOKUP(H797,'Fund Utilization Report'!$A$4:$U$1800,13,FALSE)</f>
        <v>MOOE</v>
      </c>
      <c r="T797" s="63" t="str">
        <f>VLOOKUP(H797,'Fund Utilization Report'!$A$4:$U$1800,2,FALSE)</f>
        <v>GAA</v>
      </c>
      <c r="U797" s="63" t="str">
        <f>VLOOKUP(H797,'Fund Utilization Report'!$A$4:$U$1800,3,FALSE)</f>
        <v>FY2021, RA11518</v>
      </c>
      <c r="V797" s="63" t="str">
        <f>VLOOKUP(H797,'Fund Utilization Report'!$A$4:$U$1800,4,FALSE)</f>
        <v>OTOP</v>
      </c>
      <c r="W797" s="63" t="str">
        <f>VLOOKUP(H797,'Fund Utilization Report'!$A$4:$U$1800,5,FALSE)</f>
        <v>01101101</v>
      </c>
      <c r="X797" s="63" t="str">
        <f>VLOOKUP(H797,'Fund Utilization Report'!$A$4:$U$1800,6,FALSE)</f>
        <v>GOP</v>
      </c>
      <c r="Y797" s="417" t="str">
        <f>VLOOKUP(H797,'Fund Utilization Report'!$A$4:$U$1800,7,FALSE)</f>
        <v>MOOE</v>
      </c>
      <c r="Z797" s="418">
        <f>VLOOKUP(H797,'Fund Utilization Report'!$A$4:$U$1800,8,FALSE)</f>
        <v>5020000000</v>
      </c>
      <c r="AA797" s="63" t="str">
        <f>VLOOKUP(H797,'Fund Utilization Report'!$A$4:$U$1800,14,FALSE)</f>
        <v>330100200002000</v>
      </c>
      <c r="AB797" s="419" t="str">
        <f>VLOOKUP(H797,'Fund Utilization Report'!$A$4:$U$1800,15,FALSE)</f>
        <v>OTOP - Next Generation</v>
      </c>
      <c r="AC797" s="406"/>
      <c r="AD797" s="403"/>
      <c r="AE797" s="406"/>
      <c r="AF797" s="406"/>
      <c r="AG797" s="407"/>
      <c r="AH797" s="407"/>
    </row>
    <row r="798" spans="1:34" s="411" customFormat="1">
      <c r="A798" s="405" t="s">
        <v>942</v>
      </c>
      <c r="B798" s="405" t="s">
        <v>945</v>
      </c>
      <c r="C798" s="402">
        <v>44243</v>
      </c>
      <c r="D798" s="403" t="s">
        <v>1028</v>
      </c>
      <c r="E798" s="404" t="s">
        <v>1210</v>
      </c>
      <c r="F798" s="405">
        <v>0.41319444444444442</v>
      </c>
      <c r="G798" s="405">
        <v>0.41388888888888892</v>
      </c>
      <c r="H798" s="405" t="s">
        <v>982</v>
      </c>
      <c r="I798" s="416">
        <v>783</v>
      </c>
      <c r="J798" s="405" t="str">
        <f>IFERROR(VLOOKUP(I798,'Chart of accounts'!A:H,2,FALSE),"")</f>
        <v>50299030 00</v>
      </c>
      <c r="K798" s="405" t="str">
        <f>IFERROR(VLOOKUP(I798,'Chart of accounts'!A:H,3,FALSE),"")</f>
        <v>Representation Expenses</v>
      </c>
      <c r="L798" s="405" t="str">
        <f>IFERROR(VLOOKUP(I798,'Chart of accounts'!A:H,4,FALSE),"")</f>
        <v>50299030 00 - Representation Expenses (783)</v>
      </c>
      <c r="M798" s="408">
        <v>3</v>
      </c>
      <c r="N798" s="409" t="s">
        <v>820</v>
      </c>
      <c r="O798" s="409" t="s">
        <v>1213</v>
      </c>
      <c r="P798" s="409"/>
      <c r="Q798" s="65">
        <f>38249.3-38249.3</f>
        <v>0</v>
      </c>
      <c r="R798" s="63">
        <f>P798-Q798</f>
        <v>0</v>
      </c>
      <c r="S798" s="63" t="str">
        <f>VLOOKUP(H798,'Fund Utilization Report'!$A$4:$U$1800,13,FALSE)</f>
        <v>MOOE</v>
      </c>
      <c r="T798" s="63" t="str">
        <f>VLOOKUP(H798,'Fund Utilization Report'!$A$4:$U$1800,2,FALSE)</f>
        <v>GAA</v>
      </c>
      <c r="U798" s="63" t="str">
        <f>VLOOKUP(H798,'Fund Utilization Report'!$A$4:$U$1800,3,FALSE)</f>
        <v>FY2021, RA11518</v>
      </c>
      <c r="V798" s="63" t="str">
        <f>VLOOKUP(H798,'Fund Utilization Report'!$A$4:$U$1800,4,FALSE)</f>
        <v>OTOP</v>
      </c>
      <c r="W798" s="63" t="str">
        <f>VLOOKUP(H798,'Fund Utilization Report'!$A$4:$U$1800,5,FALSE)</f>
        <v>01101101</v>
      </c>
      <c r="X798" s="63" t="str">
        <f>VLOOKUP(H798,'Fund Utilization Report'!$A$4:$U$1800,6,FALSE)</f>
        <v>GOP</v>
      </c>
      <c r="Y798" s="417" t="str">
        <f>VLOOKUP(H798,'Fund Utilization Report'!$A$4:$U$1800,7,FALSE)</f>
        <v>MOOE</v>
      </c>
      <c r="Z798" s="418">
        <f>VLOOKUP(H798,'Fund Utilization Report'!$A$4:$U$1800,8,FALSE)</f>
        <v>5020000000</v>
      </c>
      <c r="AA798" s="63" t="str">
        <f>VLOOKUP(H798,'Fund Utilization Report'!$A$4:$U$1800,14,FALSE)</f>
        <v>330100200002000</v>
      </c>
      <c r="AB798" s="419" t="str">
        <f>VLOOKUP(H798,'Fund Utilization Report'!$A$4:$U$1800,15,FALSE)</f>
        <v>OTOP - Next Generation</v>
      </c>
      <c r="AC798" s="406"/>
      <c r="AD798" s="403"/>
      <c r="AE798" s="406"/>
      <c r="AF798" s="406"/>
      <c r="AG798" s="407"/>
      <c r="AH798" s="407"/>
    </row>
    <row r="799" spans="1:34" s="411" customFormat="1">
      <c r="A799" s="405" t="s">
        <v>942</v>
      </c>
      <c r="B799" s="405" t="s">
        <v>945</v>
      </c>
      <c r="C799" s="402">
        <v>44243</v>
      </c>
      <c r="D799" s="403" t="s">
        <v>1028</v>
      </c>
      <c r="E799" s="404" t="s">
        <v>1211</v>
      </c>
      <c r="F799" s="405">
        <v>0.41388888888888892</v>
      </c>
      <c r="G799" s="405">
        <v>0.4145833333333333</v>
      </c>
      <c r="H799" s="405" t="s">
        <v>982</v>
      </c>
      <c r="I799" s="416">
        <v>751</v>
      </c>
      <c r="J799" s="405" t="str">
        <f>IFERROR(VLOOKUP(I799,'Chart of accounts'!A:H,2,FALSE),"")</f>
        <v>50201010 00</v>
      </c>
      <c r="K799" s="405" t="str">
        <f>IFERROR(VLOOKUP(I799,'Chart of accounts'!A:H,3,FALSE),"")</f>
        <v>Traveling Expenses - Local</v>
      </c>
      <c r="L799" s="405" t="str">
        <f>IFERROR(VLOOKUP(I799,'Chart of accounts'!A:H,4,FALSE),"")</f>
        <v>50201010 00 - Traveling Expenses - Local (751)</v>
      </c>
      <c r="M799" s="408">
        <v>2</v>
      </c>
      <c r="N799" s="409" t="s">
        <v>818</v>
      </c>
      <c r="O799" s="409" t="s">
        <v>1213</v>
      </c>
      <c r="P799" s="409"/>
      <c r="Q799" s="65">
        <f>50000-50000</f>
        <v>0</v>
      </c>
      <c r="R799" s="63">
        <f t="shared" si="19"/>
        <v>0</v>
      </c>
      <c r="S799" s="63" t="str">
        <f>VLOOKUP(H799,'Fund Utilization Report'!$A$4:$U$1800,13,FALSE)</f>
        <v>MOOE</v>
      </c>
      <c r="T799" s="63" t="str">
        <f>VLOOKUP(H799,'Fund Utilization Report'!$A$4:$U$1800,2,FALSE)</f>
        <v>GAA</v>
      </c>
      <c r="U799" s="63" t="str">
        <f>VLOOKUP(H799,'Fund Utilization Report'!$A$4:$U$1800,3,FALSE)</f>
        <v>FY2021, RA11518</v>
      </c>
      <c r="V799" s="63" t="str">
        <f>VLOOKUP(H799,'Fund Utilization Report'!$A$4:$U$1800,4,FALSE)</f>
        <v>OTOP</v>
      </c>
      <c r="W799" s="63" t="str">
        <f>VLOOKUP(H799,'Fund Utilization Report'!$A$4:$U$1800,5,FALSE)</f>
        <v>01101101</v>
      </c>
      <c r="X799" s="63" t="str">
        <f>VLOOKUP(H799,'Fund Utilization Report'!$A$4:$U$1800,6,FALSE)</f>
        <v>GOP</v>
      </c>
      <c r="Y799" s="417" t="str">
        <f>VLOOKUP(H799,'Fund Utilization Report'!$A$4:$U$1800,7,FALSE)</f>
        <v>MOOE</v>
      </c>
      <c r="Z799" s="418">
        <f>VLOOKUP(H799,'Fund Utilization Report'!$A$4:$U$1800,8,FALSE)</f>
        <v>5020000000</v>
      </c>
      <c r="AA799" s="63" t="str">
        <f>VLOOKUP(H799,'Fund Utilization Report'!$A$4:$U$1800,14,FALSE)</f>
        <v>330100200002000</v>
      </c>
      <c r="AB799" s="419" t="str">
        <f>VLOOKUP(H799,'Fund Utilization Report'!$A$4:$U$1800,15,FALSE)</f>
        <v>OTOP - Next Generation</v>
      </c>
      <c r="AC799" s="406"/>
      <c r="AD799" s="403"/>
      <c r="AE799" s="406"/>
      <c r="AF799" s="406"/>
      <c r="AG799" s="407"/>
      <c r="AH799" s="407"/>
    </row>
    <row r="800" spans="1:34" s="411" customFormat="1">
      <c r="A800" s="405" t="s">
        <v>942</v>
      </c>
      <c r="B800" s="405" t="s">
        <v>945</v>
      </c>
      <c r="C800" s="402">
        <v>44243</v>
      </c>
      <c r="D800" s="403" t="s">
        <v>1028</v>
      </c>
      <c r="E800" s="404" t="s">
        <v>1211</v>
      </c>
      <c r="F800" s="405">
        <v>0.41388888888888892</v>
      </c>
      <c r="G800" s="405">
        <v>0.4145833333333333</v>
      </c>
      <c r="H800" s="405" t="s">
        <v>982</v>
      </c>
      <c r="I800" s="416">
        <v>780</v>
      </c>
      <c r="J800" s="405" t="str">
        <f>IFERROR(VLOOKUP(I800,'Chart of accounts'!A:H,2,FALSE),"")</f>
        <v>50299010 00</v>
      </c>
      <c r="K800" s="405" t="str">
        <f>IFERROR(VLOOKUP(I800,'Chart of accounts'!A:H,3,FALSE),"")</f>
        <v>Advertising Expenses</v>
      </c>
      <c r="L800" s="405" t="str">
        <f>IFERROR(VLOOKUP(I800,'Chart of accounts'!A:H,4,FALSE),"")</f>
        <v>50299010 00 - Advertising Expenses (780)</v>
      </c>
      <c r="M800" s="408">
        <v>2</v>
      </c>
      <c r="N800" s="409" t="s">
        <v>818</v>
      </c>
      <c r="O800" s="409" t="s">
        <v>1213</v>
      </c>
      <c r="P800" s="409"/>
      <c r="Q800" s="65">
        <f>50000-50000</f>
        <v>0</v>
      </c>
      <c r="R800" s="63">
        <f>P800-Q800</f>
        <v>0</v>
      </c>
      <c r="S800" s="63" t="str">
        <f>VLOOKUP(H800,'Fund Utilization Report'!$A$4:$U$1800,13,FALSE)</f>
        <v>MOOE</v>
      </c>
      <c r="T800" s="63" t="str">
        <f>VLOOKUP(H800,'Fund Utilization Report'!$A$4:$U$1800,2,FALSE)</f>
        <v>GAA</v>
      </c>
      <c r="U800" s="63" t="str">
        <f>VLOOKUP(H800,'Fund Utilization Report'!$A$4:$U$1800,3,FALSE)</f>
        <v>FY2021, RA11518</v>
      </c>
      <c r="V800" s="63" t="str">
        <f>VLOOKUP(H800,'Fund Utilization Report'!$A$4:$U$1800,4,FALSE)</f>
        <v>OTOP</v>
      </c>
      <c r="W800" s="63" t="str">
        <f>VLOOKUP(H800,'Fund Utilization Report'!$A$4:$U$1800,5,FALSE)</f>
        <v>01101101</v>
      </c>
      <c r="X800" s="63" t="str">
        <f>VLOOKUP(H800,'Fund Utilization Report'!$A$4:$U$1800,6,FALSE)</f>
        <v>GOP</v>
      </c>
      <c r="Y800" s="417" t="str">
        <f>VLOOKUP(H800,'Fund Utilization Report'!$A$4:$U$1800,7,FALSE)</f>
        <v>MOOE</v>
      </c>
      <c r="Z800" s="418">
        <f>VLOOKUP(H800,'Fund Utilization Report'!$A$4:$U$1800,8,FALSE)</f>
        <v>5020000000</v>
      </c>
      <c r="AA800" s="63" t="str">
        <f>VLOOKUP(H800,'Fund Utilization Report'!$A$4:$U$1800,14,FALSE)</f>
        <v>330100200002000</v>
      </c>
      <c r="AB800" s="419" t="str">
        <f>VLOOKUP(H800,'Fund Utilization Report'!$A$4:$U$1800,15,FALSE)</f>
        <v>OTOP - Next Generation</v>
      </c>
      <c r="AC800" s="406"/>
      <c r="AD800" s="403"/>
      <c r="AE800" s="406"/>
      <c r="AF800" s="406"/>
      <c r="AG800" s="407"/>
      <c r="AH800" s="407"/>
    </row>
    <row r="801" spans="1:34" s="411" customFormat="1">
      <c r="A801" s="405" t="s">
        <v>942</v>
      </c>
      <c r="B801" s="405" t="s">
        <v>945</v>
      </c>
      <c r="C801" s="402">
        <v>44243</v>
      </c>
      <c r="D801" s="403" t="s">
        <v>1028</v>
      </c>
      <c r="E801" s="404" t="s">
        <v>1211</v>
      </c>
      <c r="F801" s="405">
        <v>0.41388888888888892</v>
      </c>
      <c r="G801" s="405">
        <v>0.4145833333333333</v>
      </c>
      <c r="H801" s="405" t="s">
        <v>982</v>
      </c>
      <c r="I801" s="416">
        <v>781</v>
      </c>
      <c r="J801" s="405" t="str">
        <f>IFERROR(VLOOKUP(I801,'Chart of accounts'!A:H,2,FALSE),"")</f>
        <v>50299020 00</v>
      </c>
      <c r="K801" s="405" t="str">
        <f>IFERROR(VLOOKUP(I801,'Chart of accounts'!A:H,3,FALSE),"")</f>
        <v>Printing and Binding Expenses</v>
      </c>
      <c r="L801" s="405" t="str">
        <f>IFERROR(VLOOKUP(I801,'Chart of accounts'!A:H,4,FALSE),"")</f>
        <v>50299020 00 - Printing and Binding Expenses (781)</v>
      </c>
      <c r="M801" s="408">
        <v>2</v>
      </c>
      <c r="N801" s="409" t="s">
        <v>818</v>
      </c>
      <c r="O801" s="409" t="s">
        <v>1213</v>
      </c>
      <c r="P801" s="409"/>
      <c r="Q801" s="65">
        <f>65000-65000</f>
        <v>0</v>
      </c>
      <c r="R801" s="63">
        <f>P801-Q801</f>
        <v>0</v>
      </c>
      <c r="S801" s="63" t="str">
        <f>VLOOKUP(H801,'Fund Utilization Report'!$A$4:$U$1800,13,FALSE)</f>
        <v>MOOE</v>
      </c>
      <c r="T801" s="63" t="str">
        <f>VLOOKUP(H801,'Fund Utilization Report'!$A$4:$U$1800,2,FALSE)</f>
        <v>GAA</v>
      </c>
      <c r="U801" s="63" t="str">
        <f>VLOOKUP(H801,'Fund Utilization Report'!$A$4:$U$1800,3,FALSE)</f>
        <v>FY2021, RA11518</v>
      </c>
      <c r="V801" s="63" t="str">
        <f>VLOOKUP(H801,'Fund Utilization Report'!$A$4:$U$1800,4,FALSE)</f>
        <v>OTOP</v>
      </c>
      <c r="W801" s="63" t="str">
        <f>VLOOKUP(H801,'Fund Utilization Report'!$A$4:$U$1800,5,FALSE)</f>
        <v>01101101</v>
      </c>
      <c r="X801" s="63" t="str">
        <f>VLOOKUP(H801,'Fund Utilization Report'!$A$4:$U$1800,6,FALSE)</f>
        <v>GOP</v>
      </c>
      <c r="Y801" s="417" t="str">
        <f>VLOOKUP(H801,'Fund Utilization Report'!$A$4:$U$1800,7,FALSE)</f>
        <v>MOOE</v>
      </c>
      <c r="Z801" s="418">
        <f>VLOOKUP(H801,'Fund Utilization Report'!$A$4:$U$1800,8,FALSE)</f>
        <v>5020000000</v>
      </c>
      <c r="AA801" s="63" t="str">
        <f>VLOOKUP(H801,'Fund Utilization Report'!$A$4:$U$1800,14,FALSE)</f>
        <v>330100200002000</v>
      </c>
      <c r="AB801" s="419" t="str">
        <f>VLOOKUP(H801,'Fund Utilization Report'!$A$4:$U$1800,15,FALSE)</f>
        <v>OTOP - Next Generation</v>
      </c>
      <c r="AC801" s="406"/>
      <c r="AD801" s="403"/>
      <c r="AE801" s="406"/>
      <c r="AF801" s="406"/>
      <c r="AG801" s="407"/>
      <c r="AH801" s="407"/>
    </row>
    <row r="802" spans="1:34" s="411" customFormat="1">
      <c r="A802" s="405" t="s">
        <v>942</v>
      </c>
      <c r="B802" s="405" t="s">
        <v>945</v>
      </c>
      <c r="C802" s="402">
        <v>44243</v>
      </c>
      <c r="D802" s="403" t="s">
        <v>1028</v>
      </c>
      <c r="E802" s="404" t="s">
        <v>1211</v>
      </c>
      <c r="F802" s="405">
        <v>0.41388888888888892</v>
      </c>
      <c r="G802" s="405">
        <v>0.4145833333333333</v>
      </c>
      <c r="H802" s="405" t="s">
        <v>982</v>
      </c>
      <c r="I802" s="416">
        <v>783</v>
      </c>
      <c r="J802" s="405" t="str">
        <f>IFERROR(VLOOKUP(I802,'Chart of accounts'!A:H,2,FALSE),"")</f>
        <v>50299030 00</v>
      </c>
      <c r="K802" s="405" t="str">
        <f>IFERROR(VLOOKUP(I802,'Chart of accounts'!A:H,3,FALSE),"")</f>
        <v>Representation Expenses</v>
      </c>
      <c r="L802" s="405" t="str">
        <f>IFERROR(VLOOKUP(I802,'Chart of accounts'!A:H,4,FALSE),"")</f>
        <v>50299030 00 - Representation Expenses (783)</v>
      </c>
      <c r="M802" s="408">
        <v>2</v>
      </c>
      <c r="N802" s="409" t="s">
        <v>818</v>
      </c>
      <c r="O802" s="409" t="s">
        <v>1213</v>
      </c>
      <c r="P802" s="409"/>
      <c r="Q802" s="65">
        <f>56609.67-56609.67</f>
        <v>0</v>
      </c>
      <c r="R802" s="63">
        <f>P802-Q802</f>
        <v>0</v>
      </c>
      <c r="S802" s="63" t="str">
        <f>VLOOKUP(H802,'Fund Utilization Report'!$A$4:$U$1800,13,FALSE)</f>
        <v>MOOE</v>
      </c>
      <c r="T802" s="63" t="str">
        <f>VLOOKUP(H802,'Fund Utilization Report'!$A$4:$U$1800,2,FALSE)</f>
        <v>GAA</v>
      </c>
      <c r="U802" s="63" t="str">
        <f>VLOOKUP(H802,'Fund Utilization Report'!$A$4:$U$1800,3,FALSE)</f>
        <v>FY2021, RA11518</v>
      </c>
      <c r="V802" s="63" t="str">
        <f>VLOOKUP(H802,'Fund Utilization Report'!$A$4:$U$1800,4,FALSE)</f>
        <v>OTOP</v>
      </c>
      <c r="W802" s="63" t="str">
        <f>VLOOKUP(H802,'Fund Utilization Report'!$A$4:$U$1800,5,FALSE)</f>
        <v>01101101</v>
      </c>
      <c r="X802" s="63" t="str">
        <f>VLOOKUP(H802,'Fund Utilization Report'!$A$4:$U$1800,6,FALSE)</f>
        <v>GOP</v>
      </c>
      <c r="Y802" s="417" t="str">
        <f>VLOOKUP(H802,'Fund Utilization Report'!$A$4:$U$1800,7,FALSE)</f>
        <v>MOOE</v>
      </c>
      <c r="Z802" s="418">
        <f>VLOOKUP(H802,'Fund Utilization Report'!$A$4:$U$1800,8,FALSE)</f>
        <v>5020000000</v>
      </c>
      <c r="AA802" s="63" t="str">
        <f>VLOOKUP(H802,'Fund Utilization Report'!$A$4:$U$1800,14,FALSE)</f>
        <v>330100200002000</v>
      </c>
      <c r="AB802" s="419" t="str">
        <f>VLOOKUP(H802,'Fund Utilization Report'!$A$4:$U$1800,15,FALSE)</f>
        <v>OTOP - Next Generation</v>
      </c>
      <c r="AC802" s="406"/>
      <c r="AD802" s="403"/>
      <c r="AE802" s="406"/>
      <c r="AF802" s="406"/>
      <c r="AG802" s="407"/>
      <c r="AH802" s="407"/>
    </row>
    <row r="803" spans="1:34" s="32" customFormat="1">
      <c r="A803" s="338" t="s">
        <v>942</v>
      </c>
      <c r="B803" s="338" t="s">
        <v>945</v>
      </c>
      <c r="C803" s="358">
        <v>44243</v>
      </c>
      <c r="D803" s="351" t="s">
        <v>1028</v>
      </c>
      <c r="E803" s="352" t="s">
        <v>1212</v>
      </c>
      <c r="F803" s="338">
        <v>0.4145833333333333</v>
      </c>
      <c r="G803" s="338">
        <v>0.4152777777777778</v>
      </c>
      <c r="H803" s="338" t="s">
        <v>968</v>
      </c>
      <c r="I803" s="353">
        <v>755</v>
      </c>
      <c r="J803" s="338" t="str">
        <f>IFERROR(VLOOKUP(I803,'Chart of accounts'!A:H,2,FALSE),"")</f>
        <v>50203010 00</v>
      </c>
      <c r="K803" s="338" t="str">
        <f>IFERROR(VLOOKUP(I803,'Chart of accounts'!A:H,3,FALSE),"")</f>
        <v>Office Supplies Expenses</v>
      </c>
      <c r="L803" s="338" t="str">
        <f>IFERROR(VLOOKUP(I803,'Chart of accounts'!A:H,4,FALSE),"")</f>
        <v>50203010 00 - Office Supplies Expenses (755)</v>
      </c>
      <c r="M803" s="361" t="s">
        <v>814</v>
      </c>
      <c r="N803" s="355" t="s">
        <v>1214</v>
      </c>
      <c r="O803" s="355" t="s">
        <v>1215</v>
      </c>
      <c r="P803" s="355"/>
      <c r="Q803" s="363">
        <v>22320</v>
      </c>
      <c r="R803" s="319">
        <f t="shared" si="19"/>
        <v>-22320</v>
      </c>
      <c r="S803" s="319" t="str">
        <f>VLOOKUP(H803,'Fund Utilization Report'!$A$4:$U$1800,13,FALSE)</f>
        <v>MOOE</v>
      </c>
      <c r="T803" s="319" t="str">
        <f>VLOOKUP(H803,'Fund Utilization Report'!$A$4:$U$1800,2,FALSE)</f>
        <v>GAA</v>
      </c>
      <c r="U803" s="319" t="str">
        <f>VLOOKUP(H803,'Fund Utilization Report'!$A$4:$U$1800,3,FALSE)</f>
        <v>FY2021, RA11518</v>
      </c>
      <c r="V803" s="319" t="str">
        <f>VLOOKUP(H803,'Fund Utilization Report'!$A$4:$U$1800,4,FALSE)</f>
        <v>OO2</v>
      </c>
      <c r="W803" s="319" t="str">
        <f>VLOOKUP(H803,'Fund Utilization Report'!$A$4:$U$1800,5,FALSE)</f>
        <v>01101101</v>
      </c>
      <c r="X803" s="319" t="str">
        <f>VLOOKUP(H803,'Fund Utilization Report'!$A$4:$U$1800,6,FALSE)</f>
        <v>GOP</v>
      </c>
      <c r="Y803" s="320" t="str">
        <f>VLOOKUP(H803,'Fund Utilization Report'!$A$4:$U$1800,7,FALSE)</f>
        <v>MOOE</v>
      </c>
      <c r="Z803" s="321">
        <f>VLOOKUP(H803,'Fund Utilization Report'!$A$4:$U$1800,8,FALSE)</f>
        <v>5020000000</v>
      </c>
      <c r="AA803" s="319" t="str">
        <f>VLOOKUP(H803,'Fund Utilization Report'!$A$4:$U$1800,14,FALSE)</f>
        <v>320100100001000</v>
      </c>
      <c r="AB803" s="349" t="str">
        <f>VLOOKUP(H803,'Fund Utilization Report'!$A$4:$U$1800,15,FALSE)</f>
        <v>Formulation of Strategic plans,programs, and policies to develop competitve industries</v>
      </c>
      <c r="AC803" s="39"/>
      <c r="AD803" s="34"/>
      <c r="AE803" s="39"/>
      <c r="AF803" s="51"/>
      <c r="AG803" s="40"/>
      <c r="AH803" s="40"/>
    </row>
    <row r="804" spans="1:34" s="32" customFormat="1">
      <c r="A804" s="338" t="s">
        <v>942</v>
      </c>
      <c r="B804" s="338" t="s">
        <v>945</v>
      </c>
      <c r="C804" s="358">
        <v>44243</v>
      </c>
      <c r="D804" s="351" t="s">
        <v>1028</v>
      </c>
      <c r="E804" s="352" t="s">
        <v>1222</v>
      </c>
      <c r="F804" s="338">
        <v>0.73541666666666661</v>
      </c>
      <c r="G804" s="338">
        <v>0.7368055555555556</v>
      </c>
      <c r="H804" s="338" t="s">
        <v>1221</v>
      </c>
      <c r="I804" s="353">
        <v>799</v>
      </c>
      <c r="J804" s="338" t="str">
        <f>IFERROR(VLOOKUP(I804,'Chart of accounts'!A:H,2,FALSE),"")</f>
        <v>50211990 00</v>
      </c>
      <c r="K804" s="338" t="str">
        <f>IFERROR(VLOOKUP(I804,'Chart of accounts'!A:H,3,FALSE),"")</f>
        <v>Other Professional Services</v>
      </c>
      <c r="L804" s="338" t="str">
        <f>IFERROR(VLOOKUP(I804,'Chart of accounts'!A:H,4,FALSE),"")</f>
        <v>50211990 00 - Other Professional Services (799)</v>
      </c>
      <c r="M804" s="361">
        <v>1</v>
      </c>
      <c r="N804" s="355" t="s">
        <v>1030</v>
      </c>
      <c r="O804" s="355" t="s">
        <v>1223</v>
      </c>
      <c r="P804" s="355"/>
      <c r="Q804" s="363">
        <v>144603.29</v>
      </c>
      <c r="R804" s="319">
        <f t="shared" si="19"/>
        <v>-144603.29</v>
      </c>
      <c r="S804" s="319" t="str">
        <f>VLOOKUP(H804,'Fund Utilization Report'!$A$4:$U$1800,13,FALSE)</f>
        <v>MOOE</v>
      </c>
      <c r="T804" s="319" t="str">
        <f>VLOOKUP(H804,'Fund Utilization Report'!$A$4:$U$1800,2,FALSE)</f>
        <v>SAA040</v>
      </c>
      <c r="U804" s="319" t="str">
        <f>VLOOKUP(H804,'Fund Utilization Report'!$A$4:$U$1800,3,FALSE)</f>
        <v>21-02-0040</v>
      </c>
      <c r="V804" s="319" t="str">
        <f>VLOOKUP(H804,'Fund Utilization Report'!$A$4:$U$1800,4,FALSE)</f>
        <v>RAPID GOP</v>
      </c>
      <c r="W804" s="319" t="str">
        <f>VLOOKUP(H804,'Fund Utilization Report'!$A$4:$U$1800,5,FALSE)</f>
        <v>01101101</v>
      </c>
      <c r="X804" s="319" t="str">
        <f>VLOOKUP(H804,'Fund Utilization Report'!$A$4:$U$1800,6,FALSE)</f>
        <v>GOP</v>
      </c>
      <c r="Y804" s="320">
        <f>VLOOKUP(H804,'Fund Utilization Report'!$A$4:$U$1800,7,FALSE)</f>
        <v>799</v>
      </c>
      <c r="Z804" s="321">
        <f>VLOOKUP(H804,'Fund Utilization Report'!$A$4:$U$1800,8,FALSE)</f>
        <v>5021199000</v>
      </c>
      <c r="AA804" s="319" t="str">
        <f>VLOOKUP(H804,'Fund Utilization Report'!$A$4:$U$1800,14,FALSE)</f>
        <v>330100300001000</v>
      </c>
      <c r="AB804" s="349" t="str">
        <f>VLOOKUP(H804,'Fund Utilization Report'!$A$4:$U$1800,15,FALSE)</f>
        <v>Rural Agro Enterprise Partnership for Inclusive Development (RAPID) Growth GOP Continuing</v>
      </c>
      <c r="AC804" s="39"/>
      <c r="AD804" s="34"/>
      <c r="AE804" s="39"/>
      <c r="AF804" s="51"/>
      <c r="AG804" s="40"/>
      <c r="AH804" s="40"/>
    </row>
    <row r="805" spans="1:34" s="32" customFormat="1">
      <c r="A805" s="338" t="s">
        <v>942</v>
      </c>
      <c r="B805" s="338" t="s">
        <v>945</v>
      </c>
      <c r="C805" s="358">
        <v>44244</v>
      </c>
      <c r="D805" s="351" t="s">
        <v>1028</v>
      </c>
      <c r="E805" s="352" t="s">
        <v>1224</v>
      </c>
      <c r="F805" s="338">
        <v>0.55972222222222223</v>
      </c>
      <c r="G805" s="338">
        <v>0.56180555555555556</v>
      </c>
      <c r="H805" s="338" t="s">
        <v>1221</v>
      </c>
      <c r="I805" s="353">
        <v>799</v>
      </c>
      <c r="J805" s="338" t="str">
        <f>IFERROR(VLOOKUP(I805,'Chart of accounts'!A:H,2,FALSE),"")</f>
        <v>50211990 00</v>
      </c>
      <c r="K805" s="338" t="str">
        <f>IFERROR(VLOOKUP(I805,'Chart of accounts'!A:H,3,FALSE),"")</f>
        <v>Other Professional Services</v>
      </c>
      <c r="L805" s="338" t="str">
        <f>IFERROR(VLOOKUP(I805,'Chart of accounts'!A:H,4,FALSE),"")</f>
        <v>50211990 00 - Other Professional Services (799)</v>
      </c>
      <c r="M805" s="361">
        <v>2</v>
      </c>
      <c r="N805" s="355" t="s">
        <v>1030</v>
      </c>
      <c r="O805" s="355" t="s">
        <v>1225</v>
      </c>
      <c r="P805" s="355"/>
      <c r="Q805" s="363">
        <v>119889.07</v>
      </c>
      <c r="R805" s="319">
        <f t="shared" si="19"/>
        <v>-119889.07</v>
      </c>
      <c r="S805" s="319" t="str">
        <f>VLOOKUP(H805,'Fund Utilization Report'!$A$4:$U$1800,13,FALSE)</f>
        <v>MOOE</v>
      </c>
      <c r="T805" s="319" t="str">
        <f>VLOOKUP(H805,'Fund Utilization Report'!$A$4:$U$1800,2,FALSE)</f>
        <v>SAA040</v>
      </c>
      <c r="U805" s="319" t="str">
        <f>VLOOKUP(H805,'Fund Utilization Report'!$A$4:$U$1800,3,FALSE)</f>
        <v>21-02-0040</v>
      </c>
      <c r="V805" s="319" t="str">
        <f>VLOOKUP(H805,'Fund Utilization Report'!$A$4:$U$1800,4,FALSE)</f>
        <v>RAPID GOP</v>
      </c>
      <c r="W805" s="319" t="str">
        <f>VLOOKUP(H805,'Fund Utilization Report'!$A$4:$U$1800,5,FALSE)</f>
        <v>01101101</v>
      </c>
      <c r="X805" s="319" t="str">
        <f>VLOOKUP(H805,'Fund Utilization Report'!$A$4:$U$1800,6,FALSE)</f>
        <v>GOP</v>
      </c>
      <c r="Y805" s="320">
        <f>VLOOKUP(H805,'Fund Utilization Report'!$A$4:$U$1800,7,FALSE)</f>
        <v>799</v>
      </c>
      <c r="Z805" s="321">
        <f>VLOOKUP(H805,'Fund Utilization Report'!$A$4:$U$1800,8,FALSE)</f>
        <v>5021199000</v>
      </c>
      <c r="AA805" s="319" t="str">
        <f>VLOOKUP(H805,'Fund Utilization Report'!$A$4:$U$1800,14,FALSE)</f>
        <v>330100300001000</v>
      </c>
      <c r="AB805" s="349" t="str">
        <f>VLOOKUP(H805,'Fund Utilization Report'!$A$4:$U$1800,15,FALSE)</f>
        <v>Rural Agro Enterprise Partnership for Inclusive Development (RAPID) Growth GOP Continuing</v>
      </c>
      <c r="AC805" s="39"/>
      <c r="AD805" s="34"/>
      <c r="AE805" s="39"/>
      <c r="AF805" s="51"/>
      <c r="AG805" s="40"/>
      <c r="AH805" s="40"/>
    </row>
    <row r="806" spans="1:34" s="32" customFormat="1">
      <c r="A806" s="338" t="s">
        <v>942</v>
      </c>
      <c r="B806" s="338" t="s">
        <v>945</v>
      </c>
      <c r="C806" s="358">
        <v>44244</v>
      </c>
      <c r="D806" s="351" t="s">
        <v>1028</v>
      </c>
      <c r="E806" s="352" t="s">
        <v>1226</v>
      </c>
      <c r="F806" s="338">
        <v>0.71319444444444446</v>
      </c>
      <c r="G806" s="338">
        <v>0.71388888888888891</v>
      </c>
      <c r="H806" s="338" t="s">
        <v>1221</v>
      </c>
      <c r="I806" s="353">
        <v>799</v>
      </c>
      <c r="J806" s="338" t="str">
        <f>IFERROR(VLOOKUP(I806,'Chart of accounts'!A:H,2,FALSE),"")</f>
        <v>50211990 00</v>
      </c>
      <c r="K806" s="338" t="str">
        <f>IFERROR(VLOOKUP(I806,'Chart of accounts'!A:H,3,FALSE),"")</f>
        <v>Other Professional Services</v>
      </c>
      <c r="L806" s="338" t="str">
        <f>IFERROR(VLOOKUP(I806,'Chart of accounts'!A:H,4,FALSE),"")</f>
        <v>50211990 00 - Other Professional Services (799)</v>
      </c>
      <c r="M806" s="361">
        <v>67</v>
      </c>
      <c r="N806" s="355" t="s">
        <v>1030</v>
      </c>
      <c r="O806" s="355" t="s">
        <v>1227</v>
      </c>
      <c r="P806" s="355"/>
      <c r="Q806" s="363">
        <v>83142.720000000001</v>
      </c>
      <c r="R806" s="319">
        <f t="shared" si="19"/>
        <v>-83142.720000000001</v>
      </c>
      <c r="S806" s="319" t="str">
        <f>VLOOKUP(H806,'Fund Utilization Report'!$A$4:$U$1800,13,FALSE)</f>
        <v>MOOE</v>
      </c>
      <c r="T806" s="319" t="str">
        <f>VLOOKUP(H806,'Fund Utilization Report'!$A$4:$U$1800,2,FALSE)</f>
        <v>SAA040</v>
      </c>
      <c r="U806" s="319" t="str">
        <f>VLOOKUP(H806,'Fund Utilization Report'!$A$4:$U$1800,3,FALSE)</f>
        <v>21-02-0040</v>
      </c>
      <c r="V806" s="319" t="str">
        <f>VLOOKUP(H806,'Fund Utilization Report'!$A$4:$U$1800,4,FALSE)</f>
        <v>RAPID GOP</v>
      </c>
      <c r="W806" s="319" t="str">
        <f>VLOOKUP(H806,'Fund Utilization Report'!$A$4:$U$1800,5,FALSE)</f>
        <v>01101101</v>
      </c>
      <c r="X806" s="319" t="str">
        <f>VLOOKUP(H806,'Fund Utilization Report'!$A$4:$U$1800,6,FALSE)</f>
        <v>GOP</v>
      </c>
      <c r="Y806" s="320">
        <f>VLOOKUP(H806,'Fund Utilization Report'!$A$4:$U$1800,7,FALSE)</f>
        <v>799</v>
      </c>
      <c r="Z806" s="321">
        <f>VLOOKUP(H806,'Fund Utilization Report'!$A$4:$U$1800,8,FALSE)</f>
        <v>5021199000</v>
      </c>
      <c r="AA806" s="319" t="str">
        <f>VLOOKUP(H806,'Fund Utilization Report'!$A$4:$U$1800,14,FALSE)</f>
        <v>330100300001000</v>
      </c>
      <c r="AB806" s="349" t="str">
        <f>VLOOKUP(H806,'Fund Utilization Report'!$A$4:$U$1800,15,FALSE)</f>
        <v>Rural Agro Enterprise Partnership for Inclusive Development (RAPID) Growth GOP Continuing</v>
      </c>
      <c r="AC806" s="39"/>
      <c r="AD806" s="34"/>
      <c r="AE806" s="39"/>
      <c r="AF806" s="51"/>
      <c r="AG806" s="40"/>
      <c r="AH806" s="40"/>
    </row>
    <row r="807" spans="1:34" s="32" customFormat="1">
      <c r="A807" s="338" t="s">
        <v>942</v>
      </c>
      <c r="B807" s="338" t="s">
        <v>945</v>
      </c>
      <c r="C807" s="358">
        <v>44246</v>
      </c>
      <c r="D807" s="351" t="s">
        <v>1028</v>
      </c>
      <c r="E807" s="352" t="s">
        <v>1228</v>
      </c>
      <c r="F807" s="338">
        <v>0.40486111111111112</v>
      </c>
      <c r="G807" s="338">
        <v>0.4055555555555555</v>
      </c>
      <c r="H807" s="338" t="s">
        <v>1221</v>
      </c>
      <c r="I807" s="353">
        <v>799</v>
      </c>
      <c r="J807" s="338" t="str">
        <f>IFERROR(VLOOKUP(I807,'Chart of accounts'!A:H,2,FALSE),"")</f>
        <v>50211990 00</v>
      </c>
      <c r="K807" s="338" t="str">
        <f>IFERROR(VLOOKUP(I807,'Chart of accounts'!A:H,3,FALSE),"")</f>
        <v>Other Professional Services</v>
      </c>
      <c r="L807" s="338" t="str">
        <f>IFERROR(VLOOKUP(I807,'Chart of accounts'!A:H,4,FALSE),"")</f>
        <v>50211990 00 - Other Professional Services (799)</v>
      </c>
      <c r="M807" s="361">
        <v>3</v>
      </c>
      <c r="N807" s="355" t="s">
        <v>1030</v>
      </c>
      <c r="O807" s="355" t="s">
        <v>1227</v>
      </c>
      <c r="P807" s="355"/>
      <c r="Q807" s="363">
        <v>106531.33</v>
      </c>
      <c r="R807" s="319">
        <f t="shared" si="19"/>
        <v>-106531.33</v>
      </c>
      <c r="S807" s="319" t="str">
        <f>VLOOKUP(H807,'Fund Utilization Report'!$A$4:$U$1800,13,FALSE)</f>
        <v>MOOE</v>
      </c>
      <c r="T807" s="319" t="str">
        <f>VLOOKUP(H807,'Fund Utilization Report'!$A$4:$U$1800,2,FALSE)</f>
        <v>SAA040</v>
      </c>
      <c r="U807" s="319" t="str">
        <f>VLOOKUP(H807,'Fund Utilization Report'!$A$4:$U$1800,3,FALSE)</f>
        <v>21-02-0040</v>
      </c>
      <c r="V807" s="319" t="str">
        <f>VLOOKUP(H807,'Fund Utilization Report'!$A$4:$U$1800,4,FALSE)</f>
        <v>RAPID GOP</v>
      </c>
      <c r="W807" s="319" t="str">
        <f>VLOOKUP(H807,'Fund Utilization Report'!$A$4:$U$1800,5,FALSE)</f>
        <v>01101101</v>
      </c>
      <c r="X807" s="319" t="str">
        <f>VLOOKUP(H807,'Fund Utilization Report'!$A$4:$U$1800,6,FALSE)</f>
        <v>GOP</v>
      </c>
      <c r="Y807" s="320">
        <f>VLOOKUP(H807,'Fund Utilization Report'!$A$4:$U$1800,7,FALSE)</f>
        <v>799</v>
      </c>
      <c r="Z807" s="321">
        <f>VLOOKUP(H807,'Fund Utilization Report'!$A$4:$U$1800,8,FALSE)</f>
        <v>5021199000</v>
      </c>
      <c r="AA807" s="319" t="str">
        <f>VLOOKUP(H807,'Fund Utilization Report'!$A$4:$U$1800,14,FALSE)</f>
        <v>330100300001000</v>
      </c>
      <c r="AB807" s="349" t="str">
        <f>VLOOKUP(H807,'Fund Utilization Report'!$A$4:$U$1800,15,FALSE)</f>
        <v>Rural Agro Enterprise Partnership for Inclusive Development (RAPID) Growth GOP Continuing</v>
      </c>
      <c r="AC807" s="39"/>
      <c r="AD807" s="34"/>
      <c r="AE807" s="39"/>
      <c r="AF807" s="51"/>
      <c r="AG807" s="40"/>
      <c r="AH807" s="40"/>
    </row>
    <row r="808" spans="1:34" s="411" customFormat="1" ht="27.6">
      <c r="A808" s="405" t="s">
        <v>942</v>
      </c>
      <c r="B808" s="405" t="s">
        <v>945</v>
      </c>
      <c r="C808" s="402">
        <v>44251</v>
      </c>
      <c r="D808" s="403" t="s">
        <v>1028</v>
      </c>
      <c r="E808" s="404" t="s">
        <v>1229</v>
      </c>
      <c r="F808" s="405">
        <v>0.38194444444444442</v>
      </c>
      <c r="G808" s="405">
        <v>0.38263888888888892</v>
      </c>
      <c r="H808" s="405" t="s">
        <v>968</v>
      </c>
      <c r="I808" s="416">
        <v>783</v>
      </c>
      <c r="J808" s="405" t="str">
        <f>IFERROR(VLOOKUP(I808,'Chart of accounts'!A:H,2,FALSE),"")</f>
        <v>50299030 00</v>
      </c>
      <c r="K808" s="405" t="str">
        <f>IFERROR(VLOOKUP(I808,'Chart of accounts'!A:H,3,FALSE),"")</f>
        <v>Representation Expenses</v>
      </c>
      <c r="L808" s="405" t="str">
        <f>IFERROR(VLOOKUP(I808,'Chart of accounts'!A:H,4,FALSE),"")</f>
        <v>50299030 00 - Representation Expenses (783)</v>
      </c>
      <c r="M808" s="408">
        <v>1</v>
      </c>
      <c r="N808" s="409" t="s">
        <v>1230</v>
      </c>
      <c r="O808" s="409" t="s">
        <v>1231</v>
      </c>
      <c r="P808" s="409"/>
      <c r="Q808" s="65">
        <f>11000-11000</f>
        <v>0</v>
      </c>
      <c r="R808" s="63">
        <f t="shared" si="19"/>
        <v>0</v>
      </c>
      <c r="S808" s="63" t="str">
        <f>VLOOKUP(H808,'Fund Utilization Report'!$A$4:$U$1800,13,FALSE)</f>
        <v>MOOE</v>
      </c>
      <c r="T808" s="63" t="str">
        <f>VLOOKUP(H808,'Fund Utilization Report'!$A$4:$U$1800,2,FALSE)</f>
        <v>GAA</v>
      </c>
      <c r="U808" s="63" t="str">
        <f>VLOOKUP(H808,'Fund Utilization Report'!$A$4:$U$1800,3,FALSE)</f>
        <v>FY2021, RA11518</v>
      </c>
      <c r="V808" s="63" t="str">
        <f>VLOOKUP(H808,'Fund Utilization Report'!$A$4:$U$1800,4,FALSE)</f>
        <v>OO2</v>
      </c>
      <c r="W808" s="63" t="str">
        <f>VLOOKUP(H808,'Fund Utilization Report'!$A$4:$U$1800,5,FALSE)</f>
        <v>01101101</v>
      </c>
      <c r="X808" s="63" t="str">
        <f>VLOOKUP(H808,'Fund Utilization Report'!$A$4:$U$1800,6,FALSE)</f>
        <v>GOP</v>
      </c>
      <c r="Y808" s="417" t="str">
        <f>VLOOKUP(H808,'Fund Utilization Report'!$A$4:$U$1800,7,FALSE)</f>
        <v>MOOE</v>
      </c>
      <c r="Z808" s="418">
        <f>VLOOKUP(H808,'Fund Utilization Report'!$A$4:$U$1800,8,FALSE)</f>
        <v>5020000000</v>
      </c>
      <c r="AA808" s="63" t="str">
        <f>VLOOKUP(H808,'Fund Utilization Report'!$A$4:$U$1800,14,FALSE)</f>
        <v>320100100001000</v>
      </c>
      <c r="AB808" s="419" t="str">
        <f>VLOOKUP(H808,'Fund Utilization Report'!$A$4:$U$1800,15,FALSE)</f>
        <v>Formulation of Strategic plans,programs, and policies to develop competitve industries</v>
      </c>
      <c r="AC808" s="406"/>
      <c r="AD808" s="403"/>
      <c r="AE808" s="406"/>
      <c r="AF808" s="406"/>
      <c r="AG808" s="407"/>
      <c r="AH808" s="407"/>
    </row>
    <row r="809" spans="1:34" s="411" customFormat="1" ht="27.6">
      <c r="A809" s="405" t="s">
        <v>942</v>
      </c>
      <c r="B809" s="405" t="s">
        <v>945</v>
      </c>
      <c r="C809" s="402">
        <v>44251</v>
      </c>
      <c r="D809" s="403" t="s">
        <v>1028</v>
      </c>
      <c r="E809" s="404" t="s">
        <v>1232</v>
      </c>
      <c r="F809" s="405">
        <v>0.38263888888888892</v>
      </c>
      <c r="G809" s="405">
        <v>0.3833333333333333</v>
      </c>
      <c r="H809" s="405" t="s">
        <v>961</v>
      </c>
      <c r="I809" s="416">
        <v>773</v>
      </c>
      <c r="J809" s="405" t="str">
        <f>IFERROR(VLOOKUP(I809,'Chart of accounts'!A:H,2,FALSE),"")</f>
        <v>50205020 01</v>
      </c>
      <c r="K809" s="405" t="str">
        <f>IFERROR(VLOOKUP(I809,'Chart of accounts'!A:H,3,FALSE),"")</f>
        <v xml:space="preserve">Telephone Expenses - Mobile </v>
      </c>
      <c r="L809" s="405" t="str">
        <f>IFERROR(VLOOKUP(I809,'Chart of accounts'!A:H,4,FALSE),"")</f>
        <v>50205020 01 - Telephone Expenses - Mobile  (773)</v>
      </c>
      <c r="M809" s="408">
        <v>1</v>
      </c>
      <c r="N809" s="409" t="s">
        <v>1102</v>
      </c>
      <c r="O809" s="409" t="s">
        <v>1233</v>
      </c>
      <c r="P809" s="409"/>
      <c r="Q809" s="65">
        <f>2500-2500</f>
        <v>0</v>
      </c>
      <c r="R809" s="63">
        <f t="shared" si="19"/>
        <v>0</v>
      </c>
      <c r="S809" s="63" t="str">
        <f>VLOOKUP(H809,'Fund Utilization Report'!$A$4:$U$1800,13,FALSE)</f>
        <v>MOOE</v>
      </c>
      <c r="T809" s="63" t="str">
        <f>VLOOKUP(H809,'Fund Utilization Report'!$A$4:$U$1800,2,FALSE)</f>
        <v>GAA</v>
      </c>
      <c r="U809" s="63" t="str">
        <f>VLOOKUP(H809,'Fund Utilization Report'!$A$4:$U$1800,3,FALSE)</f>
        <v>FY2021, RA11518</v>
      </c>
      <c r="V809" s="63" t="str">
        <f>VLOOKUP(H809,'Fund Utilization Report'!$A$4:$U$1800,4,FALSE)</f>
        <v>GAS(GMS)</v>
      </c>
      <c r="W809" s="63" t="str">
        <f>VLOOKUP(H809,'Fund Utilization Report'!$A$4:$U$1800,5,FALSE)</f>
        <v>01101101</v>
      </c>
      <c r="X809" s="63" t="str">
        <f>VLOOKUP(H809,'Fund Utilization Report'!$A$4:$U$1800,6,FALSE)</f>
        <v>GOP</v>
      </c>
      <c r="Y809" s="417" t="str">
        <f>VLOOKUP(H809,'Fund Utilization Report'!$A$4:$U$1800,7,FALSE)</f>
        <v>MOOE</v>
      </c>
      <c r="Z809" s="418">
        <f>VLOOKUP(H809,'Fund Utilization Report'!$A$4:$U$1800,8,FALSE)</f>
        <v>5020000000</v>
      </c>
      <c r="AA809" s="63" t="str">
        <f>VLOOKUP(H809,'Fund Utilization Report'!$A$4:$U$1800,14,FALSE)</f>
        <v>100000100001000</v>
      </c>
      <c r="AB809" s="419" t="str">
        <f>VLOOKUP(H809,'Fund Utilization Report'!$A$4:$U$1800,15,FALSE)</f>
        <v>General Administration and Supervision - General Management and Supervision</v>
      </c>
      <c r="AC809" s="406"/>
      <c r="AD809" s="403"/>
      <c r="AE809" s="406"/>
      <c r="AF809" s="406"/>
      <c r="AG809" s="407"/>
      <c r="AH809" s="407"/>
    </row>
    <row r="810" spans="1:34" s="32" customFormat="1">
      <c r="A810" s="338" t="s">
        <v>942</v>
      </c>
      <c r="B810" s="338" t="s">
        <v>945</v>
      </c>
      <c r="C810" s="358">
        <v>44251</v>
      </c>
      <c r="D810" s="351" t="s">
        <v>1028</v>
      </c>
      <c r="E810" s="352" t="s">
        <v>1234</v>
      </c>
      <c r="F810" s="338">
        <v>0.3833333333333333</v>
      </c>
      <c r="G810" s="338">
        <v>0.3840277777777778</v>
      </c>
      <c r="H810" s="338" t="s">
        <v>983</v>
      </c>
      <c r="I810" s="353">
        <v>799</v>
      </c>
      <c r="J810" s="338" t="str">
        <f>IFERROR(VLOOKUP(I810,'Chart of accounts'!A:H,2,FALSE),"")</f>
        <v>50211990 00</v>
      </c>
      <c r="K810" s="338" t="str">
        <f>IFERROR(VLOOKUP(I810,'Chart of accounts'!A:H,3,FALSE),"")</f>
        <v>Other Professional Services</v>
      </c>
      <c r="L810" s="338" t="str">
        <f>IFERROR(VLOOKUP(I810,'Chart of accounts'!A:H,4,FALSE),"")</f>
        <v>50211990 00 - Other Professional Services (799)</v>
      </c>
      <c r="M810" s="361">
        <v>1</v>
      </c>
      <c r="N810" s="355" t="s">
        <v>1235</v>
      </c>
      <c r="O810" s="355" t="s">
        <v>1236</v>
      </c>
      <c r="P810" s="355"/>
      <c r="Q810" s="363">
        <v>10000</v>
      </c>
      <c r="R810" s="319">
        <f t="shared" si="19"/>
        <v>-10000</v>
      </c>
      <c r="S810" s="319" t="str">
        <f>VLOOKUP(H810,'Fund Utilization Report'!$A$4:$U$1800,13,FALSE)</f>
        <v>MOOE</v>
      </c>
      <c r="T810" s="319" t="str">
        <f>VLOOKUP(H810,'Fund Utilization Report'!$A$4:$U$1800,2,FALSE)</f>
        <v>GAA</v>
      </c>
      <c r="U810" s="319" t="str">
        <f>VLOOKUP(H810,'Fund Utilization Report'!$A$4:$U$1800,3,FALSE)</f>
        <v>FY2021, RA11518</v>
      </c>
      <c r="V810" s="319" t="str">
        <f>VLOOKUP(H810,'Fund Utilization Report'!$A$4:$U$1800,4,FALSE)</f>
        <v>SSF</v>
      </c>
      <c r="W810" s="319" t="str">
        <f>VLOOKUP(H810,'Fund Utilization Report'!$A$4:$U$1800,5,FALSE)</f>
        <v>01101101</v>
      </c>
      <c r="X810" s="319" t="str">
        <f>VLOOKUP(H810,'Fund Utilization Report'!$A$4:$U$1800,6,FALSE)</f>
        <v>GOP</v>
      </c>
      <c r="Y810" s="320" t="str">
        <f>VLOOKUP(H810,'Fund Utilization Report'!$A$4:$U$1800,7,FALSE)</f>
        <v>MOOE</v>
      </c>
      <c r="Z810" s="321">
        <f>VLOOKUP(H810,'Fund Utilization Report'!$A$4:$U$1800,8,FALSE)</f>
        <v>5020000000</v>
      </c>
      <c r="AA810" s="319" t="str">
        <f>VLOOKUP(H810,'Fund Utilization Report'!$A$4:$U$1800,14,FALSE)</f>
        <v>330100200003000</v>
      </c>
      <c r="AB810" s="349" t="str">
        <f>VLOOKUP(H810,'Fund Utilization Report'!$A$4:$U$1800,15,FALSE)</f>
        <v>Shared Service Facilities Project</v>
      </c>
      <c r="AC810" s="39"/>
      <c r="AD810" s="34"/>
      <c r="AE810" s="39"/>
      <c r="AF810" s="51"/>
      <c r="AG810" s="40"/>
      <c r="AH810" s="40"/>
    </row>
    <row r="811" spans="1:34" s="32" customFormat="1">
      <c r="A811" s="338" t="s">
        <v>942</v>
      </c>
      <c r="B811" s="338" t="s">
        <v>945</v>
      </c>
      <c r="C811" s="358">
        <v>44251</v>
      </c>
      <c r="D811" s="351" t="s">
        <v>1028</v>
      </c>
      <c r="E811" s="352" t="s">
        <v>1237</v>
      </c>
      <c r="F811" s="338">
        <v>0.3840277777777778</v>
      </c>
      <c r="G811" s="338">
        <v>0.38472222222222219</v>
      </c>
      <c r="H811" s="338" t="s">
        <v>961</v>
      </c>
      <c r="I811" s="353">
        <v>795</v>
      </c>
      <c r="J811" s="338" t="str">
        <f>IFERROR(VLOOKUP(I811,'Chart of accounts'!A:H,2,FALSE),"")</f>
        <v>50212990 00</v>
      </c>
      <c r="K811" s="338" t="str">
        <f>IFERROR(VLOOKUP(I811,'Chart of accounts'!A:H,3,FALSE),"")</f>
        <v>Other General Services</v>
      </c>
      <c r="L811" s="338" t="str">
        <f>IFERROR(VLOOKUP(I811,'Chart of accounts'!A:H,4,FALSE),"")</f>
        <v>50212990 00 - Other General Services (795)</v>
      </c>
      <c r="M811" s="361" t="s">
        <v>816</v>
      </c>
      <c r="N811" s="355" t="s">
        <v>1075</v>
      </c>
      <c r="O811" s="355" t="s">
        <v>1236</v>
      </c>
      <c r="P811" s="355"/>
      <c r="Q811" s="428">
        <v>2790</v>
      </c>
      <c r="R811" s="319">
        <f t="shared" si="19"/>
        <v>-2790</v>
      </c>
      <c r="S811" s="319" t="str">
        <f>VLOOKUP(H811,'Fund Utilization Report'!$A$4:$U$1800,13,FALSE)</f>
        <v>MOOE</v>
      </c>
      <c r="T811" s="319" t="str">
        <f>VLOOKUP(H811,'Fund Utilization Report'!$A$4:$U$1800,2,FALSE)</f>
        <v>GAA</v>
      </c>
      <c r="U811" s="319" t="str">
        <f>VLOOKUP(H811,'Fund Utilization Report'!$A$4:$U$1800,3,FALSE)</f>
        <v>FY2021, RA11518</v>
      </c>
      <c r="V811" s="319" t="str">
        <f>VLOOKUP(H811,'Fund Utilization Report'!$A$4:$U$1800,4,FALSE)</f>
        <v>GAS(GMS)</v>
      </c>
      <c r="W811" s="319" t="str">
        <f>VLOOKUP(H811,'Fund Utilization Report'!$A$4:$U$1800,5,FALSE)</f>
        <v>01101101</v>
      </c>
      <c r="X811" s="319" t="str">
        <f>VLOOKUP(H811,'Fund Utilization Report'!$A$4:$U$1800,6,FALSE)</f>
        <v>GOP</v>
      </c>
      <c r="Y811" s="320" t="str">
        <f>VLOOKUP(H811,'Fund Utilization Report'!$A$4:$U$1800,7,FALSE)</f>
        <v>MOOE</v>
      </c>
      <c r="Z811" s="321">
        <f>VLOOKUP(H811,'Fund Utilization Report'!$A$4:$U$1800,8,FALSE)</f>
        <v>5020000000</v>
      </c>
      <c r="AA811" s="319" t="str">
        <f>VLOOKUP(H811,'Fund Utilization Report'!$A$4:$U$1800,14,FALSE)</f>
        <v>100000100001000</v>
      </c>
      <c r="AB811" s="349" t="str">
        <f>VLOOKUP(H811,'Fund Utilization Report'!$A$4:$U$1800,15,FALSE)</f>
        <v>General Administration and Supervision - General Management and Supervision</v>
      </c>
      <c r="AC811" s="39"/>
      <c r="AD811" s="34"/>
      <c r="AE811" s="39"/>
      <c r="AF811" s="51"/>
      <c r="AG811" s="40"/>
      <c r="AH811" s="40"/>
    </row>
    <row r="812" spans="1:34" s="32" customFormat="1">
      <c r="A812" s="338" t="s">
        <v>942</v>
      </c>
      <c r="B812" s="338" t="s">
        <v>945</v>
      </c>
      <c r="C812" s="358">
        <v>44251</v>
      </c>
      <c r="D812" s="351" t="s">
        <v>1028</v>
      </c>
      <c r="E812" s="352" t="s">
        <v>1237</v>
      </c>
      <c r="F812" s="338">
        <v>0.3840277777777778</v>
      </c>
      <c r="G812" s="338">
        <v>0.38472222222222219</v>
      </c>
      <c r="H812" s="338" t="s">
        <v>961</v>
      </c>
      <c r="I812" s="353">
        <v>796</v>
      </c>
      <c r="J812" s="338" t="str">
        <f>IFERROR(VLOOKUP(I812,'Chart of accounts'!A:H,2,FALSE),"")</f>
        <v>50212020 00</v>
      </c>
      <c r="K812" s="338" t="str">
        <f>IFERROR(VLOOKUP(I812,'Chart of accounts'!A:H,3,FALSE),"")</f>
        <v>Janitorial Services</v>
      </c>
      <c r="L812" s="338" t="str">
        <f>IFERROR(VLOOKUP(I812,'Chart of accounts'!A:H,4,FALSE),"")</f>
        <v>50212020 00 - Janitorial Services (796)</v>
      </c>
      <c r="M812" s="361" t="s">
        <v>816</v>
      </c>
      <c r="N812" s="355" t="s">
        <v>1075</v>
      </c>
      <c r="O812" s="355" t="s">
        <v>1236</v>
      </c>
      <c r="P812" s="355"/>
      <c r="Q812" s="428">
        <f>3600+4400</f>
        <v>8000</v>
      </c>
      <c r="R812" s="319">
        <f t="shared" si="19"/>
        <v>-8000</v>
      </c>
      <c r="S812" s="319" t="str">
        <f>VLOOKUP(H812,'Fund Utilization Report'!$A$4:$U$1800,13,FALSE)</f>
        <v>MOOE</v>
      </c>
      <c r="T812" s="319" t="str">
        <f>VLOOKUP(H812,'Fund Utilization Report'!$A$4:$U$1800,2,FALSE)</f>
        <v>GAA</v>
      </c>
      <c r="U812" s="319" t="str">
        <f>VLOOKUP(H812,'Fund Utilization Report'!$A$4:$U$1800,3,FALSE)</f>
        <v>FY2021, RA11518</v>
      </c>
      <c r="V812" s="319" t="str">
        <f>VLOOKUP(H812,'Fund Utilization Report'!$A$4:$U$1800,4,FALSE)</f>
        <v>GAS(GMS)</v>
      </c>
      <c r="W812" s="319" t="str">
        <f>VLOOKUP(H812,'Fund Utilization Report'!$A$4:$U$1800,5,FALSE)</f>
        <v>01101101</v>
      </c>
      <c r="X812" s="319" t="str">
        <f>VLOOKUP(H812,'Fund Utilization Report'!$A$4:$U$1800,6,FALSE)</f>
        <v>GOP</v>
      </c>
      <c r="Y812" s="320" t="str">
        <f>VLOOKUP(H812,'Fund Utilization Report'!$A$4:$U$1800,7,FALSE)</f>
        <v>MOOE</v>
      </c>
      <c r="Z812" s="321">
        <f>VLOOKUP(H812,'Fund Utilization Report'!$A$4:$U$1800,8,FALSE)</f>
        <v>5020000000</v>
      </c>
      <c r="AA812" s="319" t="str">
        <f>VLOOKUP(H812,'Fund Utilization Report'!$A$4:$U$1800,14,FALSE)</f>
        <v>100000100001000</v>
      </c>
      <c r="AB812" s="349" t="str">
        <f>VLOOKUP(H812,'Fund Utilization Report'!$A$4:$U$1800,15,FALSE)</f>
        <v>General Administration and Supervision - General Management and Supervision</v>
      </c>
      <c r="AC812" s="39"/>
      <c r="AD812" s="34"/>
      <c r="AE812" s="39"/>
      <c r="AF812" s="51"/>
      <c r="AG812" s="40"/>
      <c r="AH812" s="40"/>
    </row>
    <row r="813" spans="1:34" s="32" customFormat="1">
      <c r="A813" s="338" t="s">
        <v>942</v>
      </c>
      <c r="B813" s="338" t="s">
        <v>945</v>
      </c>
      <c r="C813" s="358">
        <v>44251</v>
      </c>
      <c r="D813" s="351" t="s">
        <v>1028</v>
      </c>
      <c r="E813" s="352" t="s">
        <v>1238</v>
      </c>
      <c r="F813" s="338">
        <v>0.38472222222222219</v>
      </c>
      <c r="G813" s="338">
        <v>0.38541666666666669</v>
      </c>
      <c r="H813" s="338" t="s">
        <v>961</v>
      </c>
      <c r="I813" s="353">
        <v>795</v>
      </c>
      <c r="J813" s="338" t="str">
        <f>IFERROR(VLOOKUP(I813,'Chart of accounts'!A:H,2,FALSE),"")</f>
        <v>50212990 00</v>
      </c>
      <c r="K813" s="338" t="str">
        <f>IFERROR(VLOOKUP(I813,'Chart of accounts'!A:H,3,FALSE),"")</f>
        <v>Other General Services</v>
      </c>
      <c r="L813" s="338" t="str">
        <f>IFERROR(VLOOKUP(I813,'Chart of accounts'!A:H,4,FALSE),"")</f>
        <v>50212990 00 - Other General Services (795)</v>
      </c>
      <c r="M813" s="361" t="s">
        <v>812</v>
      </c>
      <c r="N813" s="355" t="s">
        <v>1075</v>
      </c>
      <c r="O813" s="355" t="s">
        <v>1236</v>
      </c>
      <c r="P813" s="355"/>
      <c r="Q813" s="428">
        <v>12352.18</v>
      </c>
      <c r="R813" s="319">
        <f t="shared" si="19"/>
        <v>-12352.18</v>
      </c>
      <c r="S813" s="319" t="str">
        <f>VLOOKUP(H813,'Fund Utilization Report'!$A$4:$U$1800,13,FALSE)</f>
        <v>MOOE</v>
      </c>
      <c r="T813" s="319" t="str">
        <f>VLOOKUP(H813,'Fund Utilization Report'!$A$4:$U$1800,2,FALSE)</f>
        <v>GAA</v>
      </c>
      <c r="U813" s="319" t="str">
        <f>VLOOKUP(H813,'Fund Utilization Report'!$A$4:$U$1800,3,FALSE)</f>
        <v>FY2021, RA11518</v>
      </c>
      <c r="V813" s="319" t="str">
        <f>VLOOKUP(H813,'Fund Utilization Report'!$A$4:$U$1800,4,FALSE)</f>
        <v>GAS(GMS)</v>
      </c>
      <c r="W813" s="319" t="str">
        <f>VLOOKUP(H813,'Fund Utilization Report'!$A$4:$U$1800,5,FALSE)</f>
        <v>01101101</v>
      </c>
      <c r="X813" s="319" t="str">
        <f>VLOOKUP(H813,'Fund Utilization Report'!$A$4:$U$1800,6,FALSE)</f>
        <v>GOP</v>
      </c>
      <c r="Y813" s="320" t="str">
        <f>VLOOKUP(H813,'Fund Utilization Report'!$A$4:$U$1800,7,FALSE)</f>
        <v>MOOE</v>
      </c>
      <c r="Z813" s="321">
        <f>VLOOKUP(H813,'Fund Utilization Report'!$A$4:$U$1800,8,FALSE)</f>
        <v>5020000000</v>
      </c>
      <c r="AA813" s="319" t="str">
        <f>VLOOKUP(H813,'Fund Utilization Report'!$A$4:$U$1800,14,FALSE)</f>
        <v>100000100001000</v>
      </c>
      <c r="AB813" s="349" t="str">
        <f>VLOOKUP(H813,'Fund Utilization Report'!$A$4:$U$1800,15,FALSE)</f>
        <v>General Administration and Supervision - General Management and Supervision</v>
      </c>
      <c r="AC813" s="39"/>
      <c r="AD813" s="34"/>
      <c r="AE813" s="39"/>
      <c r="AF813" s="51"/>
      <c r="AG813" s="40"/>
      <c r="AH813" s="40"/>
    </row>
    <row r="814" spans="1:34" s="32" customFormat="1">
      <c r="A814" s="338" t="s">
        <v>942</v>
      </c>
      <c r="B814" s="338" t="s">
        <v>945</v>
      </c>
      <c r="C814" s="358">
        <v>44251</v>
      </c>
      <c r="D814" s="351" t="s">
        <v>1028</v>
      </c>
      <c r="E814" s="352" t="s">
        <v>1239</v>
      </c>
      <c r="F814" s="338">
        <v>0.38541666666666669</v>
      </c>
      <c r="G814" s="338">
        <v>0.38611111111111113</v>
      </c>
      <c r="H814" s="338" t="s">
        <v>982</v>
      </c>
      <c r="I814" s="353">
        <v>799</v>
      </c>
      <c r="J814" s="338" t="str">
        <f>IFERROR(VLOOKUP(I814,'Chart of accounts'!A:H,2,FALSE),"")</f>
        <v>50211990 00</v>
      </c>
      <c r="K814" s="338" t="str">
        <f>IFERROR(VLOOKUP(I814,'Chart of accounts'!A:H,3,FALSE),"")</f>
        <v>Other Professional Services</v>
      </c>
      <c r="L814" s="338" t="str">
        <f>IFERROR(VLOOKUP(I814,'Chart of accounts'!A:H,4,FALSE),"")</f>
        <v>50211990 00 - Other Professional Services (799)</v>
      </c>
      <c r="M814" s="361" t="s">
        <v>905</v>
      </c>
      <c r="N814" s="355" t="s">
        <v>1075</v>
      </c>
      <c r="O814" s="355" t="s">
        <v>1236</v>
      </c>
      <c r="P814" s="355"/>
      <c r="Q814" s="428">
        <v>11158</v>
      </c>
      <c r="R814" s="319">
        <f t="shared" si="19"/>
        <v>-11158</v>
      </c>
      <c r="S814" s="319" t="str">
        <f>VLOOKUP(H814,'Fund Utilization Report'!$A$4:$U$1800,13,FALSE)</f>
        <v>MOOE</v>
      </c>
      <c r="T814" s="319" t="str">
        <f>VLOOKUP(H814,'Fund Utilization Report'!$A$4:$U$1800,2,FALSE)</f>
        <v>GAA</v>
      </c>
      <c r="U814" s="319" t="str">
        <f>VLOOKUP(H814,'Fund Utilization Report'!$A$4:$U$1800,3,FALSE)</f>
        <v>FY2021, RA11518</v>
      </c>
      <c r="V814" s="319" t="str">
        <f>VLOOKUP(H814,'Fund Utilization Report'!$A$4:$U$1800,4,FALSE)</f>
        <v>OTOP</v>
      </c>
      <c r="W814" s="319" t="str">
        <f>VLOOKUP(H814,'Fund Utilization Report'!$A$4:$U$1800,5,FALSE)</f>
        <v>01101101</v>
      </c>
      <c r="X814" s="319" t="str">
        <f>VLOOKUP(H814,'Fund Utilization Report'!$A$4:$U$1800,6,FALSE)</f>
        <v>GOP</v>
      </c>
      <c r="Y814" s="320" t="str">
        <f>VLOOKUP(H814,'Fund Utilization Report'!$A$4:$U$1800,7,FALSE)</f>
        <v>MOOE</v>
      </c>
      <c r="Z814" s="321">
        <f>VLOOKUP(H814,'Fund Utilization Report'!$A$4:$U$1800,8,FALSE)</f>
        <v>5020000000</v>
      </c>
      <c r="AA814" s="319" t="str">
        <f>VLOOKUP(H814,'Fund Utilization Report'!$A$4:$U$1800,14,FALSE)</f>
        <v>330100200002000</v>
      </c>
      <c r="AB814" s="349" t="str">
        <f>VLOOKUP(H814,'Fund Utilization Report'!$A$4:$U$1800,15,FALSE)</f>
        <v>OTOP - Next Generation</v>
      </c>
      <c r="AC814" s="39"/>
      <c r="AD814" s="34"/>
      <c r="AE814" s="39"/>
      <c r="AF814" s="51"/>
      <c r="AG814" s="40"/>
      <c r="AH814" s="40"/>
    </row>
    <row r="815" spans="1:34" s="32" customFormat="1">
      <c r="A815" s="338" t="s">
        <v>942</v>
      </c>
      <c r="B815" s="338" t="s">
        <v>945</v>
      </c>
      <c r="C815" s="358">
        <v>44251</v>
      </c>
      <c r="D815" s="351" t="s">
        <v>1028</v>
      </c>
      <c r="E815" s="352" t="s">
        <v>1239</v>
      </c>
      <c r="F815" s="338">
        <v>0.38541666666666669</v>
      </c>
      <c r="G815" s="338">
        <v>0.38611111111111113</v>
      </c>
      <c r="H815" s="338" t="s">
        <v>980</v>
      </c>
      <c r="I815" s="353">
        <v>799</v>
      </c>
      <c r="J815" s="338" t="str">
        <f>IFERROR(VLOOKUP(I815,'Chart of accounts'!A:H,2,FALSE),"")</f>
        <v>50211990 00</v>
      </c>
      <c r="K815" s="338" t="str">
        <f>IFERROR(VLOOKUP(I815,'Chart of accounts'!A:H,3,FALSE),"")</f>
        <v>Other Professional Services</v>
      </c>
      <c r="L815" s="338" t="str">
        <f>IFERROR(VLOOKUP(I815,'Chart of accounts'!A:H,4,FALSE),"")</f>
        <v>50211990 00 - Other Professional Services (799)</v>
      </c>
      <c r="M815" s="361" t="s">
        <v>845</v>
      </c>
      <c r="N815" s="355" t="s">
        <v>1075</v>
      </c>
      <c r="O815" s="355" t="s">
        <v>1236</v>
      </c>
      <c r="P815" s="355"/>
      <c r="Q815" s="428">
        <v>12316</v>
      </c>
      <c r="R815" s="319">
        <f t="shared" si="19"/>
        <v>-12316</v>
      </c>
      <c r="S815" s="319" t="str">
        <f>VLOOKUP(H815,'Fund Utilization Report'!$A$4:$U$1800,13,FALSE)</f>
        <v>MOOE</v>
      </c>
      <c r="T815" s="319" t="str">
        <f>VLOOKUP(H815,'Fund Utilization Report'!$A$4:$U$1800,2,FALSE)</f>
        <v>GAA</v>
      </c>
      <c r="U815" s="319" t="str">
        <f>VLOOKUP(H815,'Fund Utilization Report'!$A$4:$U$1800,3,FALSE)</f>
        <v>FY2021, RA11518</v>
      </c>
      <c r="V815" s="319" t="str">
        <f>VLOOKUP(H815,'Fund Utilization Report'!$A$4:$U$1800,4,FALSE)</f>
        <v>NC</v>
      </c>
      <c r="W815" s="319" t="str">
        <f>VLOOKUP(H815,'Fund Utilization Report'!$A$4:$U$1800,5,FALSE)</f>
        <v>01101101</v>
      </c>
      <c r="X815" s="319" t="str">
        <f>VLOOKUP(H815,'Fund Utilization Report'!$A$4:$U$1800,6,FALSE)</f>
        <v>GOP</v>
      </c>
      <c r="Y815" s="320" t="str">
        <f>VLOOKUP(H815,'Fund Utilization Report'!$A$4:$U$1800,7,FALSE)</f>
        <v>MOOE</v>
      </c>
      <c r="Z815" s="321">
        <f>VLOOKUP(H815,'Fund Utilization Report'!$A$4:$U$1800,8,FALSE)</f>
        <v>5020000000</v>
      </c>
      <c r="AA815" s="319" t="str">
        <f>VLOOKUP(H815,'Fund Utilization Report'!$A$4:$U$1800,14,FALSE)</f>
        <v>330100200001000</v>
      </c>
      <c r="AB815" s="349" t="str">
        <f>VLOOKUP(H815,'Fund Utilization Report'!$A$4:$U$1800,15,FALSE)</f>
        <v>Establishment of Negosyo Centers</v>
      </c>
      <c r="AC815" s="39"/>
      <c r="AD815" s="34"/>
      <c r="AE815" s="39"/>
      <c r="AF815" s="51"/>
      <c r="AG815" s="40"/>
      <c r="AH815" s="40"/>
    </row>
    <row r="816" spans="1:34" s="32" customFormat="1">
      <c r="A816" s="338" t="s">
        <v>942</v>
      </c>
      <c r="B816" s="338" t="s">
        <v>945</v>
      </c>
      <c r="C816" s="358">
        <v>44251</v>
      </c>
      <c r="D816" s="351" t="s">
        <v>1028</v>
      </c>
      <c r="E816" s="352" t="s">
        <v>1240</v>
      </c>
      <c r="F816" s="338">
        <v>0.38611111111111113</v>
      </c>
      <c r="G816" s="338">
        <v>0.38680555555555557</v>
      </c>
      <c r="H816" s="338" t="s">
        <v>982</v>
      </c>
      <c r="I816" s="353">
        <v>799</v>
      </c>
      <c r="J816" s="338" t="str">
        <f>IFERROR(VLOOKUP(I816,'Chart of accounts'!A:H,2,FALSE),"")</f>
        <v>50211990 00</v>
      </c>
      <c r="K816" s="338" t="str">
        <f>IFERROR(VLOOKUP(I816,'Chart of accounts'!A:H,3,FALSE),"")</f>
        <v>Other Professional Services</v>
      </c>
      <c r="L816" s="338" t="str">
        <f>IFERROR(VLOOKUP(I816,'Chart of accounts'!A:H,4,FALSE),"")</f>
        <v>50211990 00 - Other Professional Services (799)</v>
      </c>
      <c r="M816" s="361" t="s">
        <v>905</v>
      </c>
      <c r="N816" s="355" t="s">
        <v>1075</v>
      </c>
      <c r="O816" s="355" t="s">
        <v>1236</v>
      </c>
      <c r="P816" s="355"/>
      <c r="Q816" s="428">
        <v>5030.91</v>
      </c>
      <c r="R816" s="319">
        <f t="shared" si="19"/>
        <v>-5030.91</v>
      </c>
      <c r="S816" s="428" t="str">
        <f>VLOOKUP(H816,'Fund Utilization Report'!$A$4:$U$1800,13,FALSE)</f>
        <v>MOOE</v>
      </c>
      <c r="T816" s="428" t="str">
        <f>VLOOKUP(H816,'Fund Utilization Report'!$A$4:$U$1800,2,FALSE)</f>
        <v>GAA</v>
      </c>
      <c r="U816" s="428" t="str">
        <f>VLOOKUP(H816,'Fund Utilization Report'!$A$4:$U$1800,3,FALSE)</f>
        <v>FY2021, RA11518</v>
      </c>
      <c r="V816" s="428" t="str">
        <f>VLOOKUP(H816,'Fund Utilization Report'!$A$4:$U$1800,4,FALSE)</f>
        <v>OTOP</v>
      </c>
      <c r="W816" s="428" t="str">
        <f>VLOOKUP(H816,'Fund Utilization Report'!$A$4:$U$1800,5,FALSE)</f>
        <v>01101101</v>
      </c>
      <c r="X816" s="428" t="str">
        <f>VLOOKUP(H816,'Fund Utilization Report'!$A$4:$U$1800,6,FALSE)</f>
        <v>GOP</v>
      </c>
      <c r="Y816" s="320" t="str">
        <f>VLOOKUP(H816,'Fund Utilization Report'!$A$4:$U$1800,7,FALSE)</f>
        <v>MOOE</v>
      </c>
      <c r="Z816" s="425">
        <f>VLOOKUP(H816,'Fund Utilization Report'!$A$4:$U$1800,8,FALSE)</f>
        <v>5020000000</v>
      </c>
      <c r="AA816" s="428" t="str">
        <f>VLOOKUP(H816,'Fund Utilization Report'!$A$4:$U$1800,14,FALSE)</f>
        <v>330100200002000</v>
      </c>
      <c r="AB816" s="349" t="str">
        <f>VLOOKUP(H816,'Fund Utilization Report'!$A$4:$U$1800,15,FALSE)</f>
        <v>OTOP - Next Generation</v>
      </c>
      <c r="AC816" s="39"/>
      <c r="AD816" s="34"/>
      <c r="AE816" s="39"/>
      <c r="AF816" s="51"/>
      <c r="AG816" s="40"/>
      <c r="AH816" s="40"/>
    </row>
    <row r="817" spans="1:34" s="32" customFormat="1">
      <c r="A817" s="338" t="s">
        <v>942</v>
      </c>
      <c r="B817" s="338" t="s">
        <v>945</v>
      </c>
      <c r="C817" s="358">
        <v>44251</v>
      </c>
      <c r="D817" s="351" t="s">
        <v>1028</v>
      </c>
      <c r="E817" s="352" t="s">
        <v>1240</v>
      </c>
      <c r="F817" s="338">
        <v>0.38611111111111113</v>
      </c>
      <c r="G817" s="338">
        <v>0.38680555555555557</v>
      </c>
      <c r="H817" s="338" t="s">
        <v>961</v>
      </c>
      <c r="I817" s="353">
        <v>792</v>
      </c>
      <c r="J817" s="338" t="str">
        <f>IFERROR(VLOOKUP(I817,'Chart of accounts'!A:H,2,FALSE),"")</f>
        <v>50211020 00</v>
      </c>
      <c r="K817" s="338" t="str">
        <f>IFERROR(VLOOKUP(I817,'Chart of accounts'!A:H,3,FALSE),"")</f>
        <v>Auditing Services</v>
      </c>
      <c r="L817" s="338" t="str">
        <f>IFERROR(VLOOKUP(I817,'Chart of accounts'!A:H,4,FALSE),"")</f>
        <v>50211020 00 - Auditing Services (792)</v>
      </c>
      <c r="M817" s="361" t="s">
        <v>1404</v>
      </c>
      <c r="N817" s="355" t="s">
        <v>1075</v>
      </c>
      <c r="O817" s="355" t="s">
        <v>1236</v>
      </c>
      <c r="P817" s="355"/>
      <c r="Q817" s="428">
        <v>5534</v>
      </c>
      <c r="R817" s="319">
        <f t="shared" ref="R817:R880" si="20">P817-Q817</f>
        <v>-5534</v>
      </c>
      <c r="S817" s="428" t="str">
        <f>VLOOKUP(H817,'Fund Utilization Report'!$A$4:$U$1800,13,FALSE)</f>
        <v>MOOE</v>
      </c>
      <c r="T817" s="428" t="str">
        <f>VLOOKUP(H817,'Fund Utilization Report'!$A$4:$U$1800,2,FALSE)</f>
        <v>GAA</v>
      </c>
      <c r="U817" s="428" t="str">
        <f>VLOOKUP(H817,'Fund Utilization Report'!$A$4:$U$1800,3,FALSE)</f>
        <v>FY2021, RA11518</v>
      </c>
      <c r="V817" s="428" t="str">
        <f>VLOOKUP(H817,'Fund Utilization Report'!$A$4:$U$1800,4,FALSE)</f>
        <v>GAS(GMS)</v>
      </c>
      <c r="W817" s="428" t="str">
        <f>VLOOKUP(H817,'Fund Utilization Report'!$A$4:$U$1800,5,FALSE)</f>
        <v>01101101</v>
      </c>
      <c r="X817" s="428" t="str">
        <f>VLOOKUP(H817,'Fund Utilization Report'!$A$4:$U$1800,6,FALSE)</f>
        <v>GOP</v>
      </c>
      <c r="Y817" s="320" t="str">
        <f>VLOOKUP(H817,'Fund Utilization Report'!$A$4:$U$1800,7,FALSE)</f>
        <v>MOOE</v>
      </c>
      <c r="Z817" s="425">
        <f>VLOOKUP(H817,'Fund Utilization Report'!$A$4:$U$1800,8,FALSE)</f>
        <v>5020000000</v>
      </c>
      <c r="AA817" s="428" t="str">
        <f>VLOOKUP(H817,'Fund Utilization Report'!$A$4:$U$1800,14,FALSE)</f>
        <v>100000100001000</v>
      </c>
      <c r="AB817" s="349" t="str">
        <f>VLOOKUP(H817,'Fund Utilization Report'!$A$4:$U$1800,15,FALSE)</f>
        <v>General Administration and Supervision - General Management and Supervision</v>
      </c>
      <c r="AC817" s="39"/>
      <c r="AD817" s="34"/>
      <c r="AE817" s="39"/>
      <c r="AF817" s="51"/>
      <c r="AG817" s="40"/>
      <c r="AH817" s="40"/>
    </row>
    <row r="818" spans="1:34" s="32" customFormat="1">
      <c r="A818" s="338" t="s">
        <v>942</v>
      </c>
      <c r="B818" s="338" t="s">
        <v>945</v>
      </c>
      <c r="C818" s="358">
        <v>44251</v>
      </c>
      <c r="D818" s="351" t="s">
        <v>1028</v>
      </c>
      <c r="E818" s="352" t="s">
        <v>1240</v>
      </c>
      <c r="F818" s="338">
        <v>0.38611111111111113</v>
      </c>
      <c r="G818" s="338">
        <v>0.38680555555555557</v>
      </c>
      <c r="H818" s="338" t="s">
        <v>961</v>
      </c>
      <c r="I818" s="353">
        <v>795</v>
      </c>
      <c r="J818" s="338" t="str">
        <f>IFERROR(VLOOKUP(I818,'Chart of accounts'!A:H,2,FALSE),"")</f>
        <v>50212990 00</v>
      </c>
      <c r="K818" s="338" t="str">
        <f>IFERROR(VLOOKUP(I818,'Chart of accounts'!A:H,3,FALSE),"")</f>
        <v>Other General Services</v>
      </c>
      <c r="L818" s="338" t="str">
        <f>IFERROR(VLOOKUP(I818,'Chart of accounts'!A:H,4,FALSE),"")</f>
        <v>50212990 00 - Other General Services (795)</v>
      </c>
      <c r="M818" s="361" t="s">
        <v>816</v>
      </c>
      <c r="N818" s="355" t="s">
        <v>1075</v>
      </c>
      <c r="O818" s="355" t="s">
        <v>1236</v>
      </c>
      <c r="P818" s="355"/>
      <c r="Q818" s="428">
        <f>11158+5534</f>
        <v>16692</v>
      </c>
      <c r="R818" s="319">
        <f t="shared" si="20"/>
        <v>-16692</v>
      </c>
      <c r="S818" s="428" t="str">
        <f>VLOOKUP(H818,'Fund Utilization Report'!$A$4:$U$1800,13,FALSE)</f>
        <v>MOOE</v>
      </c>
      <c r="T818" s="428" t="str">
        <f>VLOOKUP(H818,'Fund Utilization Report'!$A$4:$U$1800,2,FALSE)</f>
        <v>GAA</v>
      </c>
      <c r="U818" s="428" t="str">
        <f>VLOOKUP(H818,'Fund Utilization Report'!$A$4:$U$1800,3,FALSE)</f>
        <v>FY2021, RA11518</v>
      </c>
      <c r="V818" s="428" t="str">
        <f>VLOOKUP(H818,'Fund Utilization Report'!$A$4:$U$1800,4,FALSE)</f>
        <v>GAS(GMS)</v>
      </c>
      <c r="W818" s="428" t="str">
        <f>VLOOKUP(H818,'Fund Utilization Report'!$A$4:$U$1800,5,FALSE)</f>
        <v>01101101</v>
      </c>
      <c r="X818" s="428" t="str">
        <f>VLOOKUP(H818,'Fund Utilization Report'!$A$4:$U$1800,6,FALSE)</f>
        <v>GOP</v>
      </c>
      <c r="Y818" s="320" t="str">
        <f>VLOOKUP(H818,'Fund Utilization Report'!$A$4:$U$1800,7,FALSE)</f>
        <v>MOOE</v>
      </c>
      <c r="Z818" s="425">
        <f>VLOOKUP(H818,'Fund Utilization Report'!$A$4:$U$1800,8,FALSE)</f>
        <v>5020000000</v>
      </c>
      <c r="AA818" s="428" t="str">
        <f>VLOOKUP(H818,'Fund Utilization Report'!$A$4:$U$1800,14,FALSE)</f>
        <v>100000100001000</v>
      </c>
      <c r="AB818" s="349" t="str">
        <f>VLOOKUP(H818,'Fund Utilization Report'!$A$4:$U$1800,15,FALSE)</f>
        <v>General Administration and Supervision - General Management and Supervision</v>
      </c>
      <c r="AC818" s="39"/>
      <c r="AD818" s="34"/>
      <c r="AE818" s="39"/>
      <c r="AF818" s="51"/>
      <c r="AG818" s="40"/>
      <c r="AH818" s="40"/>
    </row>
    <row r="819" spans="1:34" s="32" customFormat="1" ht="27.6">
      <c r="A819" s="338" t="s">
        <v>942</v>
      </c>
      <c r="B819" s="338" t="s">
        <v>945</v>
      </c>
      <c r="C819" s="358">
        <v>44251</v>
      </c>
      <c r="D819" s="351" t="s">
        <v>1028</v>
      </c>
      <c r="E819" s="352" t="s">
        <v>1241</v>
      </c>
      <c r="F819" s="338">
        <v>0.38680555555555557</v>
      </c>
      <c r="G819" s="338">
        <v>0.38750000000000001</v>
      </c>
      <c r="H819" s="338" t="s">
        <v>961</v>
      </c>
      <c r="I819" s="353">
        <v>795</v>
      </c>
      <c r="J819" s="338" t="str">
        <f>IFERROR(VLOOKUP(I819,'Chart of accounts'!A:H,2,FALSE),"")</f>
        <v>50212990 00</v>
      </c>
      <c r="K819" s="338" t="str">
        <f>IFERROR(VLOOKUP(I819,'Chart of accounts'!A:H,3,FALSE),"")</f>
        <v>Other General Services</v>
      </c>
      <c r="L819" s="338" t="str">
        <f>IFERROR(VLOOKUP(I819,'Chart of accounts'!A:H,4,FALSE),"")</f>
        <v>50212990 00 - Other General Services (795)</v>
      </c>
      <c r="M819" s="361">
        <v>1</v>
      </c>
      <c r="N819" s="355" t="s">
        <v>1242</v>
      </c>
      <c r="O819" s="355" t="s">
        <v>1243</v>
      </c>
      <c r="P819" s="355"/>
      <c r="Q819" s="363">
        <v>7321.62</v>
      </c>
      <c r="R819" s="319">
        <f t="shared" si="20"/>
        <v>-7321.62</v>
      </c>
      <c r="S819" s="428" t="str">
        <f>VLOOKUP(H819,'Fund Utilization Report'!$A$4:$U$1800,13,FALSE)</f>
        <v>MOOE</v>
      </c>
      <c r="T819" s="428" t="str">
        <f>VLOOKUP(H819,'Fund Utilization Report'!$A$4:$U$1800,2,FALSE)</f>
        <v>GAA</v>
      </c>
      <c r="U819" s="428" t="str">
        <f>VLOOKUP(H819,'Fund Utilization Report'!$A$4:$U$1800,3,FALSE)</f>
        <v>FY2021, RA11518</v>
      </c>
      <c r="V819" s="428" t="str">
        <f>VLOOKUP(H819,'Fund Utilization Report'!$A$4:$U$1800,4,FALSE)</f>
        <v>GAS(GMS)</v>
      </c>
      <c r="W819" s="428" t="str">
        <f>VLOOKUP(H819,'Fund Utilization Report'!$A$4:$U$1800,5,FALSE)</f>
        <v>01101101</v>
      </c>
      <c r="X819" s="428" t="str">
        <f>VLOOKUP(H819,'Fund Utilization Report'!$A$4:$U$1800,6,FALSE)</f>
        <v>GOP</v>
      </c>
      <c r="Y819" s="320" t="str">
        <f>VLOOKUP(H819,'Fund Utilization Report'!$A$4:$U$1800,7,FALSE)</f>
        <v>MOOE</v>
      </c>
      <c r="Z819" s="425">
        <f>VLOOKUP(H819,'Fund Utilization Report'!$A$4:$U$1800,8,FALSE)</f>
        <v>5020000000</v>
      </c>
      <c r="AA819" s="428" t="str">
        <f>VLOOKUP(H819,'Fund Utilization Report'!$A$4:$U$1800,14,FALSE)</f>
        <v>100000100001000</v>
      </c>
      <c r="AB819" s="349" t="str">
        <f>VLOOKUP(H819,'Fund Utilization Report'!$A$4:$U$1800,15,FALSE)</f>
        <v>General Administration and Supervision - General Management and Supervision</v>
      </c>
      <c r="AC819" s="39"/>
      <c r="AD819" s="34"/>
      <c r="AE819" s="39"/>
      <c r="AF819" s="51"/>
      <c r="AG819" s="40"/>
      <c r="AH819" s="40"/>
    </row>
    <row r="820" spans="1:34" s="411" customFormat="1" ht="27.6">
      <c r="A820" s="405" t="s">
        <v>942</v>
      </c>
      <c r="B820" s="405" t="s">
        <v>945</v>
      </c>
      <c r="C820" s="402">
        <v>44251</v>
      </c>
      <c r="D820" s="403" t="s">
        <v>1028</v>
      </c>
      <c r="E820" s="404" t="s">
        <v>1244</v>
      </c>
      <c r="F820" s="405">
        <v>0.38750000000000001</v>
      </c>
      <c r="G820" s="405">
        <v>0.38819444444444445</v>
      </c>
      <c r="H820" s="405" t="s">
        <v>961</v>
      </c>
      <c r="I820" s="416">
        <v>773</v>
      </c>
      <c r="J820" s="405" t="str">
        <f>IFERROR(VLOOKUP(I820,'Chart of accounts'!A:H,2,FALSE),"")</f>
        <v>50205020 01</v>
      </c>
      <c r="K820" s="405" t="str">
        <f>IFERROR(VLOOKUP(I820,'Chart of accounts'!A:H,3,FALSE),"")</f>
        <v xml:space="preserve">Telephone Expenses - Mobile </v>
      </c>
      <c r="L820" s="405" t="str">
        <f>IFERROR(VLOOKUP(I820,'Chart of accounts'!A:H,4,FALSE),"")</f>
        <v>50205020 01 - Telephone Expenses - Mobile  (773)</v>
      </c>
      <c r="M820" s="408">
        <v>1</v>
      </c>
      <c r="N820" s="409" t="s">
        <v>1245</v>
      </c>
      <c r="O820" s="409" t="s">
        <v>1246</v>
      </c>
      <c r="P820" s="409"/>
      <c r="Q820" s="65">
        <f>4032-4032</f>
        <v>0</v>
      </c>
      <c r="R820" s="319">
        <f t="shared" si="20"/>
        <v>0</v>
      </c>
      <c r="S820" s="63" t="str">
        <f>VLOOKUP(H820,'Fund Utilization Report'!$A$4:$U$1800,13,FALSE)</f>
        <v>MOOE</v>
      </c>
      <c r="T820" s="63" t="str">
        <f>VLOOKUP(H820,'Fund Utilization Report'!$A$4:$U$1800,2,FALSE)</f>
        <v>GAA</v>
      </c>
      <c r="U820" s="63" t="str">
        <f>VLOOKUP(H820,'Fund Utilization Report'!$A$4:$U$1800,3,FALSE)</f>
        <v>FY2021, RA11518</v>
      </c>
      <c r="V820" s="63" t="str">
        <f>VLOOKUP(H820,'Fund Utilization Report'!$A$4:$U$1800,4,FALSE)</f>
        <v>GAS(GMS)</v>
      </c>
      <c r="W820" s="63" t="str">
        <f>VLOOKUP(H820,'Fund Utilization Report'!$A$4:$U$1800,5,FALSE)</f>
        <v>01101101</v>
      </c>
      <c r="X820" s="63" t="str">
        <f>VLOOKUP(H820,'Fund Utilization Report'!$A$4:$U$1800,6,FALSE)</f>
        <v>GOP</v>
      </c>
      <c r="Y820" s="417" t="str">
        <f>VLOOKUP(H820,'Fund Utilization Report'!$A$4:$U$1800,7,FALSE)</f>
        <v>MOOE</v>
      </c>
      <c r="Z820" s="418">
        <f>VLOOKUP(H820,'Fund Utilization Report'!$A$4:$U$1800,8,FALSE)</f>
        <v>5020000000</v>
      </c>
      <c r="AA820" s="63" t="str">
        <f>VLOOKUP(H820,'Fund Utilization Report'!$A$4:$U$1800,14,FALSE)</f>
        <v>100000100001000</v>
      </c>
      <c r="AB820" s="419" t="str">
        <f>VLOOKUP(H820,'Fund Utilization Report'!$A$4:$U$1800,15,FALSE)</f>
        <v>General Administration and Supervision - General Management and Supervision</v>
      </c>
      <c r="AC820" s="406"/>
      <c r="AD820" s="403"/>
      <c r="AE820" s="406"/>
      <c r="AF820" s="406"/>
      <c r="AG820" s="407"/>
      <c r="AH820" s="407"/>
    </row>
    <row r="821" spans="1:34" s="411" customFormat="1" ht="27.6">
      <c r="A821" s="405" t="s">
        <v>942</v>
      </c>
      <c r="B821" s="405" t="s">
        <v>945</v>
      </c>
      <c r="C821" s="402">
        <v>44251</v>
      </c>
      <c r="D821" s="403" t="s">
        <v>1028</v>
      </c>
      <c r="E821" s="404" t="s">
        <v>1247</v>
      </c>
      <c r="F821" s="405">
        <v>0.38819444444444445</v>
      </c>
      <c r="G821" s="405">
        <v>0.3888888888888889</v>
      </c>
      <c r="H821" s="405" t="s">
        <v>961</v>
      </c>
      <c r="I821" s="416">
        <v>773</v>
      </c>
      <c r="J821" s="405" t="str">
        <f>IFERROR(VLOOKUP(I821,'Chart of accounts'!A:H,2,FALSE),"")</f>
        <v>50205020 01</v>
      </c>
      <c r="K821" s="405" t="str">
        <f>IFERROR(VLOOKUP(I821,'Chart of accounts'!A:H,3,FALSE),"")</f>
        <v xml:space="preserve">Telephone Expenses - Mobile </v>
      </c>
      <c r="L821" s="405" t="str">
        <f>IFERROR(VLOOKUP(I821,'Chart of accounts'!A:H,4,FALSE),"")</f>
        <v>50205020 01 - Telephone Expenses - Mobile  (773)</v>
      </c>
      <c r="M821" s="408" t="s">
        <v>812</v>
      </c>
      <c r="N821" s="409" t="s">
        <v>1245</v>
      </c>
      <c r="O821" s="409" t="s">
        <v>1248</v>
      </c>
      <c r="P821" s="409"/>
      <c r="Q821" s="65">
        <f>1344-1344</f>
        <v>0</v>
      </c>
      <c r="R821" s="319">
        <f t="shared" si="20"/>
        <v>0</v>
      </c>
      <c r="S821" s="63" t="str">
        <f>VLOOKUP(H821,'Fund Utilization Report'!$A$4:$U$1800,13,FALSE)</f>
        <v>MOOE</v>
      </c>
      <c r="T821" s="63" t="str">
        <f>VLOOKUP(H821,'Fund Utilization Report'!$A$4:$U$1800,2,FALSE)</f>
        <v>GAA</v>
      </c>
      <c r="U821" s="63" t="str">
        <f>VLOOKUP(H821,'Fund Utilization Report'!$A$4:$U$1800,3,FALSE)</f>
        <v>FY2021, RA11518</v>
      </c>
      <c r="V821" s="63" t="str">
        <f>VLOOKUP(H821,'Fund Utilization Report'!$A$4:$U$1800,4,FALSE)</f>
        <v>GAS(GMS)</v>
      </c>
      <c r="W821" s="63" t="str">
        <f>VLOOKUP(H821,'Fund Utilization Report'!$A$4:$U$1800,5,FALSE)</f>
        <v>01101101</v>
      </c>
      <c r="X821" s="63" t="str">
        <f>VLOOKUP(H821,'Fund Utilization Report'!$A$4:$U$1800,6,FALSE)</f>
        <v>GOP</v>
      </c>
      <c r="Y821" s="417" t="str">
        <f>VLOOKUP(H821,'Fund Utilization Report'!$A$4:$U$1800,7,FALSE)</f>
        <v>MOOE</v>
      </c>
      <c r="Z821" s="418">
        <f>VLOOKUP(H821,'Fund Utilization Report'!$A$4:$U$1800,8,FALSE)</f>
        <v>5020000000</v>
      </c>
      <c r="AA821" s="63" t="str">
        <f>VLOOKUP(H821,'Fund Utilization Report'!$A$4:$U$1800,14,FALSE)</f>
        <v>100000100001000</v>
      </c>
      <c r="AB821" s="419" t="str">
        <f>VLOOKUP(H821,'Fund Utilization Report'!$A$4:$U$1800,15,FALSE)</f>
        <v>General Administration and Supervision - General Management and Supervision</v>
      </c>
      <c r="AC821" s="406"/>
      <c r="AD821" s="403"/>
      <c r="AE821" s="406"/>
      <c r="AF821" s="406"/>
      <c r="AG821" s="407"/>
      <c r="AH821" s="407"/>
    </row>
    <row r="822" spans="1:34" s="32" customFormat="1">
      <c r="A822" s="338" t="s">
        <v>942</v>
      </c>
      <c r="B822" s="338" t="s">
        <v>945</v>
      </c>
      <c r="C822" s="358">
        <v>44251</v>
      </c>
      <c r="D822" s="351" t="s">
        <v>1028</v>
      </c>
      <c r="E822" s="352" t="s">
        <v>1249</v>
      </c>
      <c r="F822" s="338">
        <v>0.3888888888888889</v>
      </c>
      <c r="G822" s="338">
        <v>0.38958333333333334</v>
      </c>
      <c r="H822" s="338" t="s">
        <v>999</v>
      </c>
      <c r="I822" s="353">
        <v>733</v>
      </c>
      <c r="J822" s="338" t="str">
        <f>IFERROR(VLOOKUP(I822,'Chart of accounts'!A:H,2,FALSE),"")</f>
        <v>50103030 01</v>
      </c>
      <c r="K822" s="338" t="str">
        <f>IFERROR(VLOOKUP(I822,'Chart of accounts'!A:H,3,FALSE),"")</f>
        <v>PhilHealth - Civilian</v>
      </c>
      <c r="L822" s="338" t="str">
        <f>IFERROR(VLOOKUP(I822,'Chart of accounts'!A:H,4,FALSE),"")</f>
        <v>50103030 01 - PhilHealth - Civilian (733)</v>
      </c>
      <c r="M822" s="361">
        <v>1</v>
      </c>
      <c r="N822" s="355" t="s">
        <v>863</v>
      </c>
      <c r="O822" s="355" t="s">
        <v>1250</v>
      </c>
      <c r="P822" s="355"/>
      <c r="Q822" s="363">
        <v>0.01</v>
      </c>
      <c r="R822" s="319">
        <f t="shared" si="20"/>
        <v>-0.01</v>
      </c>
      <c r="S822" s="428" t="str">
        <f>VLOOKUP(H822,'Fund Utilization Report'!$A$4:$U$1800,13,FALSE)</f>
        <v>PS</v>
      </c>
      <c r="T822" s="428" t="str">
        <f>VLOOKUP(H822,'Fund Utilization Report'!$A$4:$U$1800,2,FALSE)</f>
        <v>SAA15</v>
      </c>
      <c r="U822" s="428" t="str">
        <f>VLOOKUP(H822,'Fund Utilization Report'!$A$4:$U$1800,3,FALSE)</f>
        <v>2021-01-0015</v>
      </c>
      <c r="V822" s="428" t="str">
        <f>VLOOKUP(H822,'Fund Utilization Report'!$A$4:$U$1800,4,FALSE)</f>
        <v>CARP</v>
      </c>
      <c r="W822" s="428" t="str">
        <f>VLOOKUP(H822,'Fund Utilization Report'!$A$4:$U$1800,5,FALSE)</f>
        <v>01101101</v>
      </c>
      <c r="X822" s="428" t="str">
        <f>VLOOKUP(H822,'Fund Utilization Report'!$A$4:$U$1800,6,FALSE)</f>
        <v>GOP</v>
      </c>
      <c r="Y822" s="320">
        <f>VLOOKUP(H822,'Fund Utilization Report'!$A$4:$U$1800,7,FALSE)</f>
        <v>706</v>
      </c>
      <c r="Z822" s="425" t="str">
        <f>VLOOKUP(H822,'Fund Utilization Report'!$A$4:$U$1800,8,FALSE)</f>
        <v>50101020 00</v>
      </c>
      <c r="AA822" s="428" t="str">
        <f>VLOOKUP(H822,'Fund Utilization Report'!$A$4:$U$1800,14,FALSE)</f>
        <v>330100100003000</v>
      </c>
      <c r="AB822" s="349" t="str">
        <f>VLOOKUP(H822,'Fund Utilization Report'!$A$4:$U$1800,15,FALSE)</f>
        <v>MSME Development Program : Program Beneficiaries Development Component of the Comprehensive Agrarian Reform Program</v>
      </c>
      <c r="AC822" s="39"/>
      <c r="AD822" s="34"/>
      <c r="AE822" s="39"/>
      <c r="AF822" s="51"/>
      <c r="AG822" s="40"/>
      <c r="AH822" s="40"/>
    </row>
    <row r="823" spans="1:34" s="411" customFormat="1" ht="27.6">
      <c r="A823" s="405" t="s">
        <v>942</v>
      </c>
      <c r="B823" s="405" t="s">
        <v>945</v>
      </c>
      <c r="C823" s="402">
        <v>44253</v>
      </c>
      <c r="D823" s="403" t="s">
        <v>1028</v>
      </c>
      <c r="E823" s="404" t="s">
        <v>1251</v>
      </c>
      <c r="F823" s="405">
        <v>0.39305555555555555</v>
      </c>
      <c r="G823" s="405">
        <v>0.39583333333333331</v>
      </c>
      <c r="H823" s="405" t="s">
        <v>1221</v>
      </c>
      <c r="I823" s="416">
        <v>799</v>
      </c>
      <c r="J823" s="405" t="str">
        <f>IFERROR(VLOOKUP(I823,'Chart of accounts'!A:H,2,FALSE),"")</f>
        <v>50211990 00</v>
      </c>
      <c r="K823" s="405" t="str">
        <f>IFERROR(VLOOKUP(I823,'Chart of accounts'!A:H,3,FALSE),"")</f>
        <v>Other Professional Services</v>
      </c>
      <c r="L823" s="405" t="str">
        <f>IFERROR(VLOOKUP(I823,'Chart of accounts'!A:H,4,FALSE),"")</f>
        <v>50211990 00 - Other Professional Services (799)</v>
      </c>
      <c r="M823" s="408">
        <v>2</v>
      </c>
      <c r="N823" s="409" t="s">
        <v>818</v>
      </c>
      <c r="O823" s="409" t="s">
        <v>1252</v>
      </c>
      <c r="P823" s="409"/>
      <c r="Q823" s="65">
        <f>125699.96-125699.96</f>
        <v>0</v>
      </c>
      <c r="R823" s="63">
        <f t="shared" si="20"/>
        <v>0</v>
      </c>
      <c r="S823" s="63" t="str">
        <f>VLOOKUP(H823,'Fund Utilization Report'!$A$4:$U$1800,13,FALSE)</f>
        <v>MOOE</v>
      </c>
      <c r="T823" s="63" t="str">
        <f>VLOOKUP(H823,'Fund Utilization Report'!$A$4:$U$1800,2,FALSE)</f>
        <v>SAA040</v>
      </c>
      <c r="U823" s="63" t="str">
        <f>VLOOKUP(H823,'Fund Utilization Report'!$A$4:$U$1800,3,FALSE)</f>
        <v>21-02-0040</v>
      </c>
      <c r="V823" s="63" t="str">
        <f>VLOOKUP(H823,'Fund Utilization Report'!$A$4:$U$1800,4,FALSE)</f>
        <v>RAPID GOP</v>
      </c>
      <c r="W823" s="63" t="str">
        <f>VLOOKUP(H823,'Fund Utilization Report'!$A$4:$U$1800,5,FALSE)</f>
        <v>01101101</v>
      </c>
      <c r="X823" s="63" t="str">
        <f>VLOOKUP(H823,'Fund Utilization Report'!$A$4:$U$1800,6,FALSE)</f>
        <v>GOP</v>
      </c>
      <c r="Y823" s="417">
        <f>VLOOKUP(H823,'Fund Utilization Report'!$A$4:$U$1800,7,FALSE)</f>
        <v>799</v>
      </c>
      <c r="Z823" s="418">
        <f>VLOOKUP(H823,'Fund Utilization Report'!$A$4:$U$1800,8,FALSE)</f>
        <v>5021199000</v>
      </c>
      <c r="AA823" s="63" t="str">
        <f>VLOOKUP(H823,'Fund Utilization Report'!$A$4:$U$1800,14,FALSE)</f>
        <v>330100300001000</v>
      </c>
      <c r="AB823" s="419" t="str">
        <f>VLOOKUP(H823,'Fund Utilization Report'!$A$4:$U$1800,15,FALSE)</f>
        <v>Rural Agro Enterprise Partnership for Inclusive Development (RAPID) Growth GOP Continuing</v>
      </c>
      <c r="AC823" s="406"/>
      <c r="AD823" s="403"/>
      <c r="AE823" s="406"/>
      <c r="AF823" s="406"/>
      <c r="AG823" s="407"/>
      <c r="AH823" s="407"/>
    </row>
    <row r="824" spans="1:34" s="411" customFormat="1" ht="27.6">
      <c r="A824" s="405" t="s">
        <v>942</v>
      </c>
      <c r="B824" s="405" t="s">
        <v>945</v>
      </c>
      <c r="C824" s="402">
        <v>44253</v>
      </c>
      <c r="D824" s="403" t="s">
        <v>1028</v>
      </c>
      <c r="E824" s="404" t="s">
        <v>1253</v>
      </c>
      <c r="F824" s="405">
        <v>0.39583333333333331</v>
      </c>
      <c r="G824" s="405">
        <v>0.39861111111111108</v>
      </c>
      <c r="H824" s="405" t="s">
        <v>1221</v>
      </c>
      <c r="I824" s="416">
        <v>799</v>
      </c>
      <c r="J824" s="405" t="str">
        <f>IFERROR(VLOOKUP(I824,'Chart of accounts'!A:H,2,FALSE),"")</f>
        <v>50211990 00</v>
      </c>
      <c r="K824" s="405" t="str">
        <f>IFERROR(VLOOKUP(I824,'Chart of accounts'!A:H,3,FALSE),"")</f>
        <v>Other Professional Services</v>
      </c>
      <c r="L824" s="405" t="str">
        <f>IFERROR(VLOOKUP(I824,'Chart of accounts'!A:H,4,FALSE),"")</f>
        <v>50211990 00 - Other Professional Services (799)</v>
      </c>
      <c r="M824" s="408">
        <v>3</v>
      </c>
      <c r="N824" s="409" t="s">
        <v>820</v>
      </c>
      <c r="O824" s="409" t="s">
        <v>1252</v>
      </c>
      <c r="P824" s="409"/>
      <c r="Q824" s="65">
        <f>125699.96-125699.96</f>
        <v>0</v>
      </c>
      <c r="R824" s="63">
        <f t="shared" si="20"/>
        <v>0</v>
      </c>
      <c r="S824" s="63" t="str">
        <f>VLOOKUP(H824,'Fund Utilization Report'!$A$4:$U$1800,13,FALSE)</f>
        <v>MOOE</v>
      </c>
      <c r="T824" s="63" t="str">
        <f>VLOOKUP(H824,'Fund Utilization Report'!$A$4:$U$1800,2,FALSE)</f>
        <v>SAA040</v>
      </c>
      <c r="U824" s="63" t="str">
        <f>VLOOKUP(H824,'Fund Utilization Report'!$A$4:$U$1800,3,FALSE)</f>
        <v>21-02-0040</v>
      </c>
      <c r="V824" s="63" t="str">
        <f>VLOOKUP(H824,'Fund Utilization Report'!$A$4:$U$1800,4,FALSE)</f>
        <v>RAPID GOP</v>
      </c>
      <c r="W824" s="63" t="str">
        <f>VLOOKUP(H824,'Fund Utilization Report'!$A$4:$U$1800,5,FALSE)</f>
        <v>01101101</v>
      </c>
      <c r="X824" s="63" t="str">
        <f>VLOOKUP(H824,'Fund Utilization Report'!$A$4:$U$1800,6,FALSE)</f>
        <v>GOP</v>
      </c>
      <c r="Y824" s="417">
        <f>VLOOKUP(H824,'Fund Utilization Report'!$A$4:$U$1800,7,FALSE)</f>
        <v>799</v>
      </c>
      <c r="Z824" s="418">
        <f>VLOOKUP(H824,'Fund Utilization Report'!$A$4:$U$1800,8,FALSE)</f>
        <v>5021199000</v>
      </c>
      <c r="AA824" s="63" t="str">
        <f>VLOOKUP(H824,'Fund Utilization Report'!$A$4:$U$1800,14,FALSE)</f>
        <v>330100300001000</v>
      </c>
      <c r="AB824" s="419" t="str">
        <f>VLOOKUP(H824,'Fund Utilization Report'!$A$4:$U$1800,15,FALSE)</f>
        <v>Rural Agro Enterprise Partnership for Inclusive Development (RAPID) Growth GOP Continuing</v>
      </c>
      <c r="AC824" s="406"/>
      <c r="AD824" s="403"/>
      <c r="AE824" s="406"/>
      <c r="AF824" s="406"/>
      <c r="AG824" s="407"/>
      <c r="AH824" s="407"/>
    </row>
    <row r="825" spans="1:34" s="411" customFormat="1" ht="27.6">
      <c r="A825" s="405" t="s">
        <v>942</v>
      </c>
      <c r="B825" s="405" t="s">
        <v>945</v>
      </c>
      <c r="C825" s="402">
        <v>44253</v>
      </c>
      <c r="D825" s="403" t="s">
        <v>1028</v>
      </c>
      <c r="E825" s="404" t="s">
        <v>1254</v>
      </c>
      <c r="F825" s="405">
        <v>0.39861111111111108</v>
      </c>
      <c r="G825" s="405">
        <v>0.40138888888888885</v>
      </c>
      <c r="H825" s="405" t="s">
        <v>1221</v>
      </c>
      <c r="I825" s="416">
        <v>799</v>
      </c>
      <c r="J825" s="405" t="str">
        <f>IFERROR(VLOOKUP(I825,'Chart of accounts'!A:H,2,FALSE),"")</f>
        <v>50211990 00</v>
      </c>
      <c r="K825" s="405" t="str">
        <f>IFERROR(VLOOKUP(I825,'Chart of accounts'!A:H,3,FALSE),"")</f>
        <v>Other Professional Services</v>
      </c>
      <c r="L825" s="405" t="str">
        <f>IFERROR(VLOOKUP(I825,'Chart of accounts'!A:H,4,FALSE),"")</f>
        <v>50211990 00 - Other Professional Services (799)</v>
      </c>
      <c r="M825" s="408">
        <v>67</v>
      </c>
      <c r="N825" s="409" t="s">
        <v>822</v>
      </c>
      <c r="O825" s="409" t="s">
        <v>1252</v>
      </c>
      <c r="P825" s="409"/>
      <c r="Q825" s="65">
        <f>125699.96-125699.96</f>
        <v>0</v>
      </c>
      <c r="R825" s="63">
        <f t="shared" si="20"/>
        <v>0</v>
      </c>
      <c r="S825" s="63" t="str">
        <f>VLOOKUP(H825,'Fund Utilization Report'!$A$4:$U$1800,13,FALSE)</f>
        <v>MOOE</v>
      </c>
      <c r="T825" s="63" t="str">
        <f>VLOOKUP(H825,'Fund Utilization Report'!$A$4:$U$1800,2,FALSE)</f>
        <v>SAA040</v>
      </c>
      <c r="U825" s="63" t="str">
        <f>VLOOKUP(H825,'Fund Utilization Report'!$A$4:$U$1800,3,FALSE)</f>
        <v>21-02-0040</v>
      </c>
      <c r="V825" s="63" t="str">
        <f>VLOOKUP(H825,'Fund Utilization Report'!$A$4:$U$1800,4,FALSE)</f>
        <v>RAPID GOP</v>
      </c>
      <c r="W825" s="63" t="str">
        <f>VLOOKUP(H825,'Fund Utilization Report'!$A$4:$U$1800,5,FALSE)</f>
        <v>01101101</v>
      </c>
      <c r="X825" s="63" t="str">
        <f>VLOOKUP(H825,'Fund Utilization Report'!$A$4:$U$1800,6,FALSE)</f>
        <v>GOP</v>
      </c>
      <c r="Y825" s="417">
        <f>VLOOKUP(H825,'Fund Utilization Report'!$A$4:$U$1800,7,FALSE)</f>
        <v>799</v>
      </c>
      <c r="Z825" s="418">
        <f>VLOOKUP(H825,'Fund Utilization Report'!$A$4:$U$1800,8,FALSE)</f>
        <v>5021199000</v>
      </c>
      <c r="AA825" s="63" t="str">
        <f>VLOOKUP(H825,'Fund Utilization Report'!$A$4:$U$1800,14,FALSE)</f>
        <v>330100300001000</v>
      </c>
      <c r="AB825" s="419" t="str">
        <f>VLOOKUP(H825,'Fund Utilization Report'!$A$4:$U$1800,15,FALSE)</f>
        <v>Rural Agro Enterprise Partnership for Inclusive Development (RAPID) Growth GOP Continuing</v>
      </c>
      <c r="AC825" s="406"/>
      <c r="AD825" s="403"/>
      <c r="AE825" s="406"/>
      <c r="AF825" s="406"/>
      <c r="AG825" s="407"/>
      <c r="AH825" s="407"/>
    </row>
    <row r="826" spans="1:34" s="411" customFormat="1" ht="41.4">
      <c r="A826" s="405" t="s">
        <v>942</v>
      </c>
      <c r="B826" s="405" t="s">
        <v>945</v>
      </c>
      <c r="C826" s="402">
        <v>44253</v>
      </c>
      <c r="D826" s="403" t="s">
        <v>1028</v>
      </c>
      <c r="E826" s="404" t="s">
        <v>1255</v>
      </c>
      <c r="F826" s="405">
        <v>0.40138888888888885</v>
      </c>
      <c r="G826" s="405">
        <v>0.40277777777777773</v>
      </c>
      <c r="H826" s="405" t="s">
        <v>961</v>
      </c>
      <c r="I826" s="416">
        <v>753</v>
      </c>
      <c r="J826" s="405" t="str">
        <f>IFERROR(VLOOKUP(I826,'Chart of accounts'!A:H,2,FALSE),"")</f>
        <v>50202010 00</v>
      </c>
      <c r="K826" s="405" t="str">
        <f>IFERROR(VLOOKUP(I826,'Chart of accounts'!A:H,3,FALSE),"")</f>
        <v>Training Expenses</v>
      </c>
      <c r="L826" s="405" t="str">
        <f>IFERROR(VLOOKUP(I826,'Chart of accounts'!A:H,4,FALSE),"")</f>
        <v>50202010 00 - Training Expenses (753)</v>
      </c>
      <c r="M826" s="408" t="s">
        <v>1256</v>
      </c>
      <c r="N826" s="409" t="s">
        <v>1257</v>
      </c>
      <c r="O826" s="409" t="s">
        <v>1258</v>
      </c>
      <c r="P826" s="409"/>
      <c r="Q826" s="65">
        <f>2800-2800</f>
        <v>0</v>
      </c>
      <c r="R826" s="63">
        <f t="shared" si="20"/>
        <v>0</v>
      </c>
      <c r="S826" s="63" t="str">
        <f>VLOOKUP(H826,'Fund Utilization Report'!$A$4:$U$1800,13,FALSE)</f>
        <v>MOOE</v>
      </c>
      <c r="T826" s="63" t="str">
        <f>VLOOKUP(H826,'Fund Utilization Report'!$A$4:$U$1800,2,FALSE)</f>
        <v>GAA</v>
      </c>
      <c r="U826" s="63" t="str">
        <f>VLOOKUP(H826,'Fund Utilization Report'!$A$4:$U$1800,3,FALSE)</f>
        <v>FY2021, RA11518</v>
      </c>
      <c r="V826" s="63" t="str">
        <f>VLOOKUP(H826,'Fund Utilization Report'!$A$4:$U$1800,4,FALSE)</f>
        <v>GAS(GMS)</v>
      </c>
      <c r="W826" s="63" t="str">
        <f>VLOOKUP(H826,'Fund Utilization Report'!$A$4:$U$1800,5,FALSE)</f>
        <v>01101101</v>
      </c>
      <c r="X826" s="63" t="str">
        <f>VLOOKUP(H826,'Fund Utilization Report'!$A$4:$U$1800,6,FALSE)</f>
        <v>GOP</v>
      </c>
      <c r="Y826" s="417" t="str">
        <f>VLOOKUP(H826,'Fund Utilization Report'!$A$4:$U$1800,7,FALSE)</f>
        <v>MOOE</v>
      </c>
      <c r="Z826" s="418">
        <f>VLOOKUP(H826,'Fund Utilization Report'!$A$4:$U$1800,8,FALSE)</f>
        <v>5020000000</v>
      </c>
      <c r="AA826" s="63" t="str">
        <f>VLOOKUP(H826,'Fund Utilization Report'!$A$4:$U$1800,14,FALSE)</f>
        <v>100000100001000</v>
      </c>
      <c r="AB826" s="419" t="str">
        <f>VLOOKUP(H826,'Fund Utilization Report'!$A$4:$U$1800,15,FALSE)</f>
        <v>General Administration and Supervision - General Management and Supervision</v>
      </c>
      <c r="AC826" s="406"/>
      <c r="AD826" s="403"/>
      <c r="AE826" s="406"/>
      <c r="AF826" s="406"/>
      <c r="AG826" s="407"/>
      <c r="AH826" s="407"/>
    </row>
    <row r="827" spans="1:34" s="411" customFormat="1" ht="27.6">
      <c r="A827" s="405" t="s">
        <v>942</v>
      </c>
      <c r="B827" s="405" t="s">
        <v>945</v>
      </c>
      <c r="C827" s="402">
        <v>44253</v>
      </c>
      <c r="D827" s="403" t="s">
        <v>1028</v>
      </c>
      <c r="E827" s="404" t="s">
        <v>1259</v>
      </c>
      <c r="F827" s="405">
        <v>0.40277777777777773</v>
      </c>
      <c r="G827" s="405">
        <v>0.4069444444444445</v>
      </c>
      <c r="H827" s="405" t="s">
        <v>970</v>
      </c>
      <c r="I827" s="416">
        <v>701</v>
      </c>
      <c r="J827" s="405" t="str">
        <f>IFERROR(VLOOKUP(I827,'Chart of accounts'!A:H,2,FALSE),"")</f>
        <v>50101010 01</v>
      </c>
      <c r="K827" s="405" t="str">
        <f>IFERROR(VLOOKUP(I827,'Chart of accounts'!A:H,3,FALSE),"")</f>
        <v>Basic Salary - Civilian</v>
      </c>
      <c r="L827" s="405" t="str">
        <f>IFERROR(VLOOKUP(I827,'Chart of accounts'!A:H,4,FALSE),"")</f>
        <v>50101010 01 - Basic Salary - Civilian (701)</v>
      </c>
      <c r="M827" s="408">
        <v>2</v>
      </c>
      <c r="N827" s="409" t="s">
        <v>1172</v>
      </c>
      <c r="O827" s="409" t="s">
        <v>1260</v>
      </c>
      <c r="P827" s="409"/>
      <c r="Q827" s="65">
        <f>23877-23877</f>
        <v>0</v>
      </c>
      <c r="R827" s="63">
        <f t="shared" si="20"/>
        <v>0</v>
      </c>
      <c r="S827" s="63" t="str">
        <f>VLOOKUP(H827,'Fund Utilization Report'!$A$4:$U$1800,13,FALSE)</f>
        <v>PS</v>
      </c>
      <c r="T827" s="63" t="str">
        <f>VLOOKUP(H827,'Fund Utilization Report'!$A$4:$U$1800,2,FALSE)</f>
        <v>GAA</v>
      </c>
      <c r="U827" s="63" t="str">
        <f>VLOOKUP(H827,'Fund Utilization Report'!$A$4:$U$1800,3,FALSE)</f>
        <v>FY2021, RA11518</v>
      </c>
      <c r="V827" s="63" t="str">
        <f>VLOOKUP(H827,'Fund Utilization Report'!$A$4:$U$1800,4,FALSE)</f>
        <v>OO3</v>
      </c>
      <c r="W827" s="63" t="str">
        <f>VLOOKUP(H827,'Fund Utilization Report'!$A$4:$U$1800,5,FALSE)</f>
        <v>01101101</v>
      </c>
      <c r="X827" s="63" t="str">
        <f>VLOOKUP(H827,'Fund Utilization Report'!$A$4:$U$1800,6,FALSE)</f>
        <v>GOP</v>
      </c>
      <c r="Y827" s="417" t="str">
        <f>VLOOKUP(H827,'Fund Utilization Report'!$A$4:$U$1800,7,FALSE)</f>
        <v>PS</v>
      </c>
      <c r="Z827" s="418">
        <f>VLOOKUP(H827,'Fund Utilization Report'!$A$4:$U$1800,8,FALSE)</f>
        <v>5010000000</v>
      </c>
      <c r="AA827" s="63" t="str">
        <f>VLOOKUP(H827,'Fund Utilization Report'!$A$4:$U$1800,14,FALSE)</f>
        <v>330100100002000</v>
      </c>
      <c r="AB827" s="419" t="str">
        <f>VLOOKUP(H827,'Fund Utilization Report'!$A$4:$U$1800,15,FALSE)</f>
        <v>Implementation of the MSME Development Plan and other initiatives to promote the growth of Micro, Small and Medium Enterprises</v>
      </c>
      <c r="AC827" s="406"/>
      <c r="AD827" s="403"/>
      <c r="AE827" s="406"/>
      <c r="AF827" s="406"/>
      <c r="AG827" s="407"/>
      <c r="AH827" s="407"/>
    </row>
    <row r="828" spans="1:34" s="411" customFormat="1" ht="27.6">
      <c r="A828" s="405" t="s">
        <v>942</v>
      </c>
      <c r="B828" s="405" t="s">
        <v>945</v>
      </c>
      <c r="C828" s="402">
        <v>44253</v>
      </c>
      <c r="D828" s="403" t="s">
        <v>1028</v>
      </c>
      <c r="E828" s="404" t="s">
        <v>1259</v>
      </c>
      <c r="F828" s="405">
        <v>0.40277777777777773</v>
      </c>
      <c r="G828" s="405">
        <v>0.4069444444444445</v>
      </c>
      <c r="H828" s="405" t="s">
        <v>970</v>
      </c>
      <c r="I828" s="416">
        <v>711</v>
      </c>
      <c r="J828" s="405" t="str">
        <f>IFERROR(VLOOKUP(I828,'Chart of accounts'!A:H,2,FALSE),"")</f>
        <v>50102010 01</v>
      </c>
      <c r="K828" s="405" t="str">
        <f>IFERROR(VLOOKUP(I828,'Chart of accounts'!A:H,3,FALSE),"")</f>
        <v>PERA - Civilian</v>
      </c>
      <c r="L828" s="405" t="str">
        <f>IFERROR(VLOOKUP(I828,'Chart of accounts'!A:H,4,FALSE),"")</f>
        <v>50102010 01 - PERA - Civilian (711)</v>
      </c>
      <c r="M828" s="408">
        <v>2</v>
      </c>
      <c r="N828" s="409" t="s">
        <v>1172</v>
      </c>
      <c r="O828" s="409" t="s">
        <v>1260</v>
      </c>
      <c r="P828" s="409"/>
      <c r="Q828" s="65">
        <f>2000-2000</f>
        <v>0</v>
      </c>
      <c r="R828" s="63">
        <f t="shared" si="20"/>
        <v>0</v>
      </c>
      <c r="S828" s="63" t="str">
        <f>VLOOKUP(H828,'Fund Utilization Report'!$A$4:$U$1800,13,FALSE)</f>
        <v>PS</v>
      </c>
      <c r="T828" s="63" t="str">
        <f>VLOOKUP(H828,'Fund Utilization Report'!$A$4:$U$1800,2,FALSE)</f>
        <v>GAA</v>
      </c>
      <c r="U828" s="63" t="str">
        <f>VLOOKUP(H828,'Fund Utilization Report'!$A$4:$U$1800,3,FALSE)</f>
        <v>FY2021, RA11518</v>
      </c>
      <c r="V828" s="63" t="str">
        <f>VLOOKUP(H828,'Fund Utilization Report'!$A$4:$U$1800,4,FALSE)</f>
        <v>OO3</v>
      </c>
      <c r="W828" s="63" t="str">
        <f>VLOOKUP(H828,'Fund Utilization Report'!$A$4:$U$1800,5,FALSE)</f>
        <v>01101101</v>
      </c>
      <c r="X828" s="63" t="str">
        <f>VLOOKUP(H828,'Fund Utilization Report'!$A$4:$U$1800,6,FALSE)</f>
        <v>GOP</v>
      </c>
      <c r="Y828" s="417" t="str">
        <f>VLOOKUP(H828,'Fund Utilization Report'!$A$4:$U$1800,7,FALSE)</f>
        <v>PS</v>
      </c>
      <c r="Z828" s="418">
        <f>VLOOKUP(H828,'Fund Utilization Report'!$A$4:$U$1800,8,FALSE)</f>
        <v>5010000000</v>
      </c>
      <c r="AA828" s="63" t="str">
        <f>VLOOKUP(H828,'Fund Utilization Report'!$A$4:$U$1800,14,FALSE)</f>
        <v>330100100002000</v>
      </c>
      <c r="AB828" s="419" t="str">
        <f>VLOOKUP(H828,'Fund Utilization Report'!$A$4:$U$1800,15,FALSE)</f>
        <v>Implementation of the MSME Development Plan and other initiatives to promote the growth of Micro, Small and Medium Enterprises</v>
      </c>
      <c r="AC828" s="406"/>
      <c r="AD828" s="403"/>
      <c r="AE828" s="406"/>
      <c r="AF828" s="406"/>
      <c r="AG828" s="407"/>
      <c r="AH828" s="407"/>
    </row>
    <row r="829" spans="1:34" s="411" customFormat="1" ht="27.6">
      <c r="A829" s="405" t="s">
        <v>942</v>
      </c>
      <c r="B829" s="405" t="s">
        <v>945</v>
      </c>
      <c r="C829" s="402">
        <v>44253</v>
      </c>
      <c r="D829" s="403" t="s">
        <v>1028</v>
      </c>
      <c r="E829" s="404" t="s">
        <v>1259</v>
      </c>
      <c r="F829" s="405">
        <v>0.40277777777777773</v>
      </c>
      <c r="G829" s="405">
        <v>0.4069444444444445</v>
      </c>
      <c r="H829" s="405" t="s">
        <v>970</v>
      </c>
      <c r="I829" s="416">
        <v>731</v>
      </c>
      <c r="J829" s="405" t="str">
        <f>IFERROR(VLOOKUP(I829,'Chart of accounts'!A:H,2,FALSE),"")</f>
        <v>50103010 00</v>
      </c>
      <c r="K829" s="405" t="str">
        <f>IFERROR(VLOOKUP(I829,'Chart of accounts'!A:H,3,FALSE),"")</f>
        <v>Retirement and Life Insurance Premiums</v>
      </c>
      <c r="L829" s="405" t="str">
        <f>IFERROR(VLOOKUP(I829,'Chart of accounts'!A:H,4,FALSE),"")</f>
        <v>50103010 00 - Retirement and Life Insurance Premiums (731)</v>
      </c>
      <c r="M829" s="408">
        <v>2</v>
      </c>
      <c r="N829" s="409" t="s">
        <v>1172</v>
      </c>
      <c r="O829" s="409" t="s">
        <v>1260</v>
      </c>
      <c r="P829" s="409"/>
      <c r="Q829" s="65">
        <f>2865.24-2865.24</f>
        <v>0</v>
      </c>
      <c r="R829" s="63">
        <f t="shared" si="20"/>
        <v>0</v>
      </c>
      <c r="S829" s="63" t="str">
        <f>VLOOKUP(H829,'Fund Utilization Report'!$A$4:$U$1800,13,FALSE)</f>
        <v>PS</v>
      </c>
      <c r="T829" s="63" t="str">
        <f>VLOOKUP(H829,'Fund Utilization Report'!$A$4:$U$1800,2,FALSE)</f>
        <v>GAA</v>
      </c>
      <c r="U829" s="63" t="str">
        <f>VLOOKUP(H829,'Fund Utilization Report'!$A$4:$U$1800,3,FALSE)</f>
        <v>FY2021, RA11518</v>
      </c>
      <c r="V829" s="63" t="str">
        <f>VLOOKUP(H829,'Fund Utilization Report'!$A$4:$U$1800,4,FALSE)</f>
        <v>OO3</v>
      </c>
      <c r="W829" s="63" t="str">
        <f>VLOOKUP(H829,'Fund Utilization Report'!$A$4:$U$1800,5,FALSE)</f>
        <v>01101101</v>
      </c>
      <c r="X829" s="63" t="str">
        <f>VLOOKUP(H829,'Fund Utilization Report'!$A$4:$U$1800,6,FALSE)</f>
        <v>GOP</v>
      </c>
      <c r="Y829" s="417" t="str">
        <f>VLOOKUP(H829,'Fund Utilization Report'!$A$4:$U$1800,7,FALSE)</f>
        <v>PS</v>
      </c>
      <c r="Z829" s="418">
        <f>VLOOKUP(H829,'Fund Utilization Report'!$A$4:$U$1800,8,FALSE)</f>
        <v>5010000000</v>
      </c>
      <c r="AA829" s="63" t="str">
        <f>VLOOKUP(H829,'Fund Utilization Report'!$A$4:$U$1800,14,FALSE)</f>
        <v>330100100002000</v>
      </c>
      <c r="AB829" s="419" t="str">
        <f>VLOOKUP(H829,'Fund Utilization Report'!$A$4:$U$1800,15,FALSE)</f>
        <v>Implementation of the MSME Development Plan and other initiatives to promote the growth of Micro, Small and Medium Enterprises</v>
      </c>
      <c r="AC829" s="406"/>
      <c r="AD829" s="403"/>
      <c r="AE829" s="406"/>
      <c r="AF829" s="406"/>
      <c r="AG829" s="407"/>
      <c r="AH829" s="407"/>
    </row>
    <row r="830" spans="1:34" s="411" customFormat="1" ht="27.6">
      <c r="A830" s="405" t="s">
        <v>942</v>
      </c>
      <c r="B830" s="405" t="s">
        <v>945</v>
      </c>
      <c r="C830" s="402">
        <v>44253</v>
      </c>
      <c r="D830" s="403" t="s">
        <v>1028</v>
      </c>
      <c r="E830" s="404" t="s">
        <v>1259</v>
      </c>
      <c r="F830" s="405">
        <v>0.40277777777777773</v>
      </c>
      <c r="G830" s="405">
        <v>0.4069444444444445</v>
      </c>
      <c r="H830" s="405" t="s">
        <v>970</v>
      </c>
      <c r="I830" s="416">
        <v>732</v>
      </c>
      <c r="J830" s="405" t="str">
        <f>IFERROR(VLOOKUP(I830,'Chart of accounts'!A:H,2,FALSE),"")</f>
        <v>50103020 01</v>
      </c>
      <c r="K830" s="405" t="str">
        <f>IFERROR(VLOOKUP(I830,'Chart of accounts'!A:H,3,FALSE),"")</f>
        <v>Pag-IBIG - Civilian</v>
      </c>
      <c r="L830" s="405" t="str">
        <f>IFERROR(VLOOKUP(I830,'Chart of accounts'!A:H,4,FALSE),"")</f>
        <v>50103020 01 - Pag-IBIG - Civilian (732)</v>
      </c>
      <c r="M830" s="408">
        <v>2</v>
      </c>
      <c r="N830" s="409" t="s">
        <v>1172</v>
      </c>
      <c r="O830" s="409" t="s">
        <v>1260</v>
      </c>
      <c r="P830" s="409"/>
      <c r="Q830" s="65">
        <f>100-100</f>
        <v>0</v>
      </c>
      <c r="R830" s="63">
        <f t="shared" si="20"/>
        <v>0</v>
      </c>
      <c r="S830" s="63" t="str">
        <f>VLOOKUP(H830,'Fund Utilization Report'!$A$4:$U$1800,13,FALSE)</f>
        <v>PS</v>
      </c>
      <c r="T830" s="63" t="str">
        <f>VLOOKUP(H830,'Fund Utilization Report'!$A$4:$U$1800,2,FALSE)</f>
        <v>GAA</v>
      </c>
      <c r="U830" s="63" t="str">
        <f>VLOOKUP(H830,'Fund Utilization Report'!$A$4:$U$1800,3,FALSE)</f>
        <v>FY2021, RA11518</v>
      </c>
      <c r="V830" s="63" t="str">
        <f>VLOOKUP(H830,'Fund Utilization Report'!$A$4:$U$1800,4,FALSE)</f>
        <v>OO3</v>
      </c>
      <c r="W830" s="63" t="str">
        <f>VLOOKUP(H830,'Fund Utilization Report'!$A$4:$U$1800,5,FALSE)</f>
        <v>01101101</v>
      </c>
      <c r="X830" s="63" t="str">
        <f>VLOOKUP(H830,'Fund Utilization Report'!$A$4:$U$1800,6,FALSE)</f>
        <v>GOP</v>
      </c>
      <c r="Y830" s="417" t="str">
        <f>VLOOKUP(H830,'Fund Utilization Report'!$A$4:$U$1800,7,FALSE)</f>
        <v>PS</v>
      </c>
      <c r="Z830" s="418">
        <f>VLOOKUP(H830,'Fund Utilization Report'!$A$4:$U$1800,8,FALSE)</f>
        <v>5010000000</v>
      </c>
      <c r="AA830" s="63" t="str">
        <f>VLOOKUP(H830,'Fund Utilization Report'!$A$4:$U$1800,14,FALSE)</f>
        <v>330100100002000</v>
      </c>
      <c r="AB830" s="419" t="str">
        <f>VLOOKUP(H830,'Fund Utilization Report'!$A$4:$U$1800,15,FALSE)</f>
        <v>Implementation of the MSME Development Plan and other initiatives to promote the growth of Micro, Small and Medium Enterprises</v>
      </c>
      <c r="AC830" s="406"/>
      <c r="AD830" s="403"/>
      <c r="AE830" s="406"/>
      <c r="AF830" s="406"/>
      <c r="AG830" s="407"/>
      <c r="AH830" s="407"/>
    </row>
    <row r="831" spans="1:34" s="411" customFormat="1" ht="27.6">
      <c r="A831" s="405" t="s">
        <v>942</v>
      </c>
      <c r="B831" s="405" t="s">
        <v>945</v>
      </c>
      <c r="C831" s="402">
        <v>44253</v>
      </c>
      <c r="D831" s="403" t="s">
        <v>1028</v>
      </c>
      <c r="E831" s="404" t="s">
        <v>1259</v>
      </c>
      <c r="F831" s="405">
        <v>0.40277777777777773</v>
      </c>
      <c r="G831" s="405">
        <v>0.4069444444444445</v>
      </c>
      <c r="H831" s="405" t="s">
        <v>970</v>
      </c>
      <c r="I831" s="416">
        <v>733</v>
      </c>
      <c r="J831" s="405" t="str">
        <f>IFERROR(VLOOKUP(I831,'Chart of accounts'!A:H,2,FALSE),"")</f>
        <v>50103030 01</v>
      </c>
      <c r="K831" s="405" t="str">
        <f>IFERROR(VLOOKUP(I831,'Chart of accounts'!A:H,3,FALSE),"")</f>
        <v>PhilHealth - Civilian</v>
      </c>
      <c r="L831" s="405" t="str">
        <f>IFERROR(VLOOKUP(I831,'Chart of accounts'!A:H,4,FALSE),"")</f>
        <v>50103030 01 - PhilHealth - Civilian (733)</v>
      </c>
      <c r="M831" s="408">
        <v>2</v>
      </c>
      <c r="N831" s="409" t="s">
        <v>1172</v>
      </c>
      <c r="O831" s="409" t="s">
        <v>1260</v>
      </c>
      <c r="P831" s="409"/>
      <c r="Q831" s="65">
        <f>358.16-358.16</f>
        <v>0</v>
      </c>
      <c r="R831" s="63">
        <f t="shared" si="20"/>
        <v>0</v>
      </c>
      <c r="S831" s="63" t="str">
        <f>VLOOKUP(H831,'Fund Utilization Report'!$A$4:$U$1800,13,FALSE)</f>
        <v>PS</v>
      </c>
      <c r="T831" s="63" t="str">
        <f>VLOOKUP(H831,'Fund Utilization Report'!$A$4:$U$1800,2,FALSE)</f>
        <v>GAA</v>
      </c>
      <c r="U831" s="63" t="str">
        <f>VLOOKUP(H831,'Fund Utilization Report'!$A$4:$U$1800,3,FALSE)</f>
        <v>FY2021, RA11518</v>
      </c>
      <c r="V831" s="63" t="str">
        <f>VLOOKUP(H831,'Fund Utilization Report'!$A$4:$U$1800,4,FALSE)</f>
        <v>OO3</v>
      </c>
      <c r="W831" s="63" t="str">
        <f>VLOOKUP(H831,'Fund Utilization Report'!$A$4:$U$1800,5,FALSE)</f>
        <v>01101101</v>
      </c>
      <c r="X831" s="63" t="str">
        <f>VLOOKUP(H831,'Fund Utilization Report'!$A$4:$U$1800,6,FALSE)</f>
        <v>GOP</v>
      </c>
      <c r="Y831" s="417" t="str">
        <f>VLOOKUP(H831,'Fund Utilization Report'!$A$4:$U$1800,7,FALSE)</f>
        <v>PS</v>
      </c>
      <c r="Z831" s="418">
        <f>VLOOKUP(H831,'Fund Utilization Report'!$A$4:$U$1800,8,FALSE)</f>
        <v>5010000000</v>
      </c>
      <c r="AA831" s="63" t="str">
        <f>VLOOKUP(H831,'Fund Utilization Report'!$A$4:$U$1800,14,FALSE)</f>
        <v>330100100002000</v>
      </c>
      <c r="AB831" s="419" t="str">
        <f>VLOOKUP(H831,'Fund Utilization Report'!$A$4:$U$1800,15,FALSE)</f>
        <v>Implementation of the MSME Development Plan and other initiatives to promote the growth of Micro, Small and Medium Enterprises</v>
      </c>
      <c r="AC831" s="406"/>
      <c r="AD831" s="403"/>
      <c r="AE831" s="406"/>
      <c r="AF831" s="406"/>
      <c r="AG831" s="407"/>
      <c r="AH831" s="407"/>
    </row>
    <row r="832" spans="1:34" s="411" customFormat="1" ht="27.6">
      <c r="A832" s="405" t="s">
        <v>942</v>
      </c>
      <c r="B832" s="405" t="s">
        <v>945</v>
      </c>
      <c r="C832" s="402">
        <v>44253</v>
      </c>
      <c r="D832" s="403" t="s">
        <v>1028</v>
      </c>
      <c r="E832" s="404" t="s">
        <v>1259</v>
      </c>
      <c r="F832" s="405">
        <v>0.40277777777777773</v>
      </c>
      <c r="G832" s="405">
        <v>0.4069444444444445</v>
      </c>
      <c r="H832" s="405" t="s">
        <v>970</v>
      </c>
      <c r="I832" s="416">
        <v>734</v>
      </c>
      <c r="J832" s="405" t="str">
        <f>IFERROR(VLOOKUP(I832,'Chart of accounts'!A:H,2,FALSE),"")</f>
        <v>50103040 01</v>
      </c>
      <c r="K832" s="405" t="str">
        <f>IFERROR(VLOOKUP(I832,'Chart of accounts'!A:H,3,FALSE),"")</f>
        <v>ECIP - Civilian</v>
      </c>
      <c r="L832" s="405" t="str">
        <f>IFERROR(VLOOKUP(I832,'Chart of accounts'!A:H,4,FALSE),"")</f>
        <v>50103040 01 - ECIP - Civilian (734)</v>
      </c>
      <c r="M832" s="408">
        <v>2</v>
      </c>
      <c r="N832" s="409" t="s">
        <v>1172</v>
      </c>
      <c r="O832" s="409" t="s">
        <v>1260</v>
      </c>
      <c r="P832" s="409"/>
      <c r="Q832" s="65">
        <f>100-100</f>
        <v>0</v>
      </c>
      <c r="R832" s="63">
        <f t="shared" si="20"/>
        <v>0</v>
      </c>
      <c r="S832" s="63" t="str">
        <f>VLOOKUP(H832,'Fund Utilization Report'!$A$4:$U$1800,13,FALSE)</f>
        <v>PS</v>
      </c>
      <c r="T832" s="63" t="str">
        <f>VLOOKUP(H832,'Fund Utilization Report'!$A$4:$U$1800,2,FALSE)</f>
        <v>GAA</v>
      </c>
      <c r="U832" s="63" t="str">
        <f>VLOOKUP(H832,'Fund Utilization Report'!$A$4:$U$1800,3,FALSE)</f>
        <v>FY2021, RA11518</v>
      </c>
      <c r="V832" s="63" t="str">
        <f>VLOOKUP(H832,'Fund Utilization Report'!$A$4:$U$1800,4,FALSE)</f>
        <v>OO3</v>
      </c>
      <c r="W832" s="63" t="str">
        <f>VLOOKUP(H832,'Fund Utilization Report'!$A$4:$U$1800,5,FALSE)</f>
        <v>01101101</v>
      </c>
      <c r="X832" s="63" t="str">
        <f>VLOOKUP(H832,'Fund Utilization Report'!$A$4:$U$1800,6,FALSE)</f>
        <v>GOP</v>
      </c>
      <c r="Y832" s="417" t="str">
        <f>VLOOKUP(H832,'Fund Utilization Report'!$A$4:$U$1800,7,FALSE)</f>
        <v>PS</v>
      </c>
      <c r="Z832" s="418">
        <f>VLOOKUP(H832,'Fund Utilization Report'!$A$4:$U$1800,8,FALSE)</f>
        <v>5010000000</v>
      </c>
      <c r="AA832" s="63" t="str">
        <f>VLOOKUP(H832,'Fund Utilization Report'!$A$4:$U$1800,14,FALSE)</f>
        <v>330100100002000</v>
      </c>
      <c r="AB832" s="419" t="str">
        <f>VLOOKUP(H832,'Fund Utilization Report'!$A$4:$U$1800,15,FALSE)</f>
        <v>Implementation of the MSME Development Plan and other initiatives to promote the growth of Micro, Small and Medium Enterprises</v>
      </c>
      <c r="AC832" s="406"/>
      <c r="AD832" s="403"/>
      <c r="AE832" s="406"/>
      <c r="AF832" s="406"/>
      <c r="AG832" s="407"/>
      <c r="AH832" s="407"/>
    </row>
    <row r="833" spans="1:34" s="411" customFormat="1" ht="27.6">
      <c r="A833" s="405" t="s">
        <v>942</v>
      </c>
      <c r="B833" s="405" t="s">
        <v>945</v>
      </c>
      <c r="C833" s="402">
        <v>44253</v>
      </c>
      <c r="D833" s="403" t="s">
        <v>1028</v>
      </c>
      <c r="E833" s="404" t="s">
        <v>1261</v>
      </c>
      <c r="F833" s="405">
        <v>0.4069444444444445</v>
      </c>
      <c r="G833" s="405">
        <v>0.41319444444444442</v>
      </c>
      <c r="H833" s="405" t="s">
        <v>970</v>
      </c>
      <c r="I833" s="416">
        <v>701</v>
      </c>
      <c r="J833" s="405" t="str">
        <f>IFERROR(VLOOKUP(I833,'Chart of accounts'!A:H,2,FALSE),"")</f>
        <v>50101010 01</v>
      </c>
      <c r="K833" s="405" t="str">
        <f>IFERROR(VLOOKUP(I833,'Chart of accounts'!A:H,3,FALSE),"")</f>
        <v>Basic Salary - Civilian</v>
      </c>
      <c r="L833" s="405" t="str">
        <f>IFERROR(VLOOKUP(I833,'Chart of accounts'!A:H,4,FALSE),"")</f>
        <v>50101010 01 - Basic Salary - Civilian (701)</v>
      </c>
      <c r="M833" s="408">
        <v>85</v>
      </c>
      <c r="N833" s="409" t="s">
        <v>1174</v>
      </c>
      <c r="O833" s="409" t="s">
        <v>1260</v>
      </c>
      <c r="P833" s="409"/>
      <c r="Q833" s="65">
        <f>23877-23877</f>
        <v>0</v>
      </c>
      <c r="R833" s="63">
        <f t="shared" si="20"/>
        <v>0</v>
      </c>
      <c r="S833" s="63" t="str">
        <f>VLOOKUP(H833,'Fund Utilization Report'!$A$4:$U$1800,13,FALSE)</f>
        <v>PS</v>
      </c>
      <c r="T833" s="63" t="str">
        <f>VLOOKUP(H833,'Fund Utilization Report'!$A$4:$U$1800,2,FALSE)</f>
        <v>GAA</v>
      </c>
      <c r="U833" s="63" t="str">
        <f>VLOOKUP(H833,'Fund Utilization Report'!$A$4:$U$1800,3,FALSE)</f>
        <v>FY2021, RA11518</v>
      </c>
      <c r="V833" s="63" t="str">
        <f>VLOOKUP(H833,'Fund Utilization Report'!$A$4:$U$1800,4,FALSE)</f>
        <v>OO3</v>
      </c>
      <c r="W833" s="63" t="str">
        <f>VLOOKUP(H833,'Fund Utilization Report'!$A$4:$U$1800,5,FALSE)</f>
        <v>01101101</v>
      </c>
      <c r="X833" s="63" t="str">
        <f>VLOOKUP(H833,'Fund Utilization Report'!$A$4:$U$1800,6,FALSE)</f>
        <v>GOP</v>
      </c>
      <c r="Y833" s="417" t="str">
        <f>VLOOKUP(H833,'Fund Utilization Report'!$A$4:$U$1800,7,FALSE)</f>
        <v>PS</v>
      </c>
      <c r="Z833" s="418">
        <f>VLOOKUP(H833,'Fund Utilization Report'!$A$4:$U$1800,8,FALSE)</f>
        <v>5010000000</v>
      </c>
      <c r="AA833" s="63" t="str">
        <f>VLOOKUP(H833,'Fund Utilization Report'!$A$4:$U$1800,14,FALSE)</f>
        <v>330100100002000</v>
      </c>
      <c r="AB833" s="419" t="str">
        <f>VLOOKUP(H833,'Fund Utilization Report'!$A$4:$U$1800,15,FALSE)</f>
        <v>Implementation of the MSME Development Plan and other initiatives to promote the growth of Micro, Small and Medium Enterprises</v>
      </c>
      <c r="AC833" s="406"/>
      <c r="AD833" s="403"/>
      <c r="AE833" s="406"/>
      <c r="AF833" s="406"/>
      <c r="AG833" s="407"/>
      <c r="AH833" s="407"/>
    </row>
    <row r="834" spans="1:34" s="411" customFormat="1" ht="27.6">
      <c r="A834" s="405" t="s">
        <v>942</v>
      </c>
      <c r="B834" s="405" t="s">
        <v>945</v>
      </c>
      <c r="C834" s="402">
        <v>44253</v>
      </c>
      <c r="D834" s="403" t="s">
        <v>1028</v>
      </c>
      <c r="E834" s="404" t="s">
        <v>1261</v>
      </c>
      <c r="F834" s="405">
        <v>0.4069444444444445</v>
      </c>
      <c r="G834" s="405">
        <v>0.41319444444444442</v>
      </c>
      <c r="H834" s="405" t="s">
        <v>970</v>
      </c>
      <c r="I834" s="416">
        <v>711</v>
      </c>
      <c r="J834" s="405" t="str">
        <f>IFERROR(VLOOKUP(I834,'Chart of accounts'!A:H,2,FALSE),"")</f>
        <v>50102010 01</v>
      </c>
      <c r="K834" s="405" t="str">
        <f>IFERROR(VLOOKUP(I834,'Chart of accounts'!A:H,3,FALSE),"")</f>
        <v>PERA - Civilian</v>
      </c>
      <c r="L834" s="405" t="str">
        <f>IFERROR(VLOOKUP(I834,'Chart of accounts'!A:H,4,FALSE),"")</f>
        <v>50102010 01 - PERA - Civilian (711)</v>
      </c>
      <c r="M834" s="408">
        <v>85</v>
      </c>
      <c r="N834" s="409" t="s">
        <v>1174</v>
      </c>
      <c r="O834" s="409" t="s">
        <v>1260</v>
      </c>
      <c r="P834" s="409"/>
      <c r="Q834" s="65">
        <f>2000-2000</f>
        <v>0</v>
      </c>
      <c r="R834" s="63">
        <f t="shared" si="20"/>
        <v>0</v>
      </c>
      <c r="S834" s="63" t="str">
        <f>VLOOKUP(H834,'Fund Utilization Report'!$A$4:$U$1800,13,FALSE)</f>
        <v>PS</v>
      </c>
      <c r="T834" s="63" t="str">
        <f>VLOOKUP(H834,'Fund Utilization Report'!$A$4:$U$1800,2,FALSE)</f>
        <v>GAA</v>
      </c>
      <c r="U834" s="63" t="str">
        <f>VLOOKUP(H834,'Fund Utilization Report'!$A$4:$U$1800,3,FALSE)</f>
        <v>FY2021, RA11518</v>
      </c>
      <c r="V834" s="63" t="str">
        <f>VLOOKUP(H834,'Fund Utilization Report'!$A$4:$U$1800,4,FALSE)</f>
        <v>OO3</v>
      </c>
      <c r="W834" s="63" t="str">
        <f>VLOOKUP(H834,'Fund Utilization Report'!$A$4:$U$1800,5,FALSE)</f>
        <v>01101101</v>
      </c>
      <c r="X834" s="63" t="str">
        <f>VLOOKUP(H834,'Fund Utilization Report'!$A$4:$U$1800,6,FALSE)</f>
        <v>GOP</v>
      </c>
      <c r="Y834" s="417" t="str">
        <f>VLOOKUP(H834,'Fund Utilization Report'!$A$4:$U$1800,7,FALSE)</f>
        <v>PS</v>
      </c>
      <c r="Z834" s="418">
        <f>VLOOKUP(H834,'Fund Utilization Report'!$A$4:$U$1800,8,FALSE)</f>
        <v>5010000000</v>
      </c>
      <c r="AA834" s="63" t="str">
        <f>VLOOKUP(H834,'Fund Utilization Report'!$A$4:$U$1800,14,FALSE)</f>
        <v>330100100002000</v>
      </c>
      <c r="AB834" s="419" t="str">
        <f>VLOOKUP(H834,'Fund Utilization Report'!$A$4:$U$1800,15,FALSE)</f>
        <v>Implementation of the MSME Development Plan and other initiatives to promote the growth of Micro, Small and Medium Enterprises</v>
      </c>
      <c r="AC834" s="406"/>
      <c r="AD834" s="403"/>
      <c r="AE834" s="406"/>
      <c r="AF834" s="406"/>
      <c r="AG834" s="407"/>
      <c r="AH834" s="407"/>
    </row>
    <row r="835" spans="1:34" s="411" customFormat="1" ht="27.6">
      <c r="A835" s="405" t="s">
        <v>942</v>
      </c>
      <c r="B835" s="405" t="s">
        <v>945</v>
      </c>
      <c r="C835" s="402">
        <v>44253</v>
      </c>
      <c r="D835" s="403" t="s">
        <v>1028</v>
      </c>
      <c r="E835" s="404" t="s">
        <v>1261</v>
      </c>
      <c r="F835" s="405">
        <v>0.4069444444444445</v>
      </c>
      <c r="G835" s="405">
        <v>0.41319444444444442</v>
      </c>
      <c r="H835" s="405" t="s">
        <v>970</v>
      </c>
      <c r="I835" s="416">
        <v>731</v>
      </c>
      <c r="J835" s="405" t="str">
        <f>IFERROR(VLOOKUP(I835,'Chart of accounts'!A:H,2,FALSE),"")</f>
        <v>50103010 00</v>
      </c>
      <c r="K835" s="405" t="str">
        <f>IFERROR(VLOOKUP(I835,'Chart of accounts'!A:H,3,FALSE),"")</f>
        <v>Retirement and Life Insurance Premiums</v>
      </c>
      <c r="L835" s="405" t="str">
        <f>IFERROR(VLOOKUP(I835,'Chart of accounts'!A:H,4,FALSE),"")</f>
        <v>50103010 00 - Retirement and Life Insurance Premiums (731)</v>
      </c>
      <c r="M835" s="408">
        <v>85</v>
      </c>
      <c r="N835" s="409" t="s">
        <v>1174</v>
      </c>
      <c r="O835" s="409" t="s">
        <v>1260</v>
      </c>
      <c r="P835" s="409"/>
      <c r="Q835" s="65">
        <f>2865.24-2865.24</f>
        <v>0</v>
      </c>
      <c r="R835" s="63">
        <f t="shared" si="20"/>
        <v>0</v>
      </c>
      <c r="S835" s="63" t="str">
        <f>VLOOKUP(H835,'Fund Utilization Report'!$A$4:$U$1800,13,FALSE)</f>
        <v>PS</v>
      </c>
      <c r="T835" s="63" t="str">
        <f>VLOOKUP(H835,'Fund Utilization Report'!$A$4:$U$1800,2,FALSE)</f>
        <v>GAA</v>
      </c>
      <c r="U835" s="63" t="str">
        <f>VLOOKUP(H835,'Fund Utilization Report'!$A$4:$U$1800,3,FALSE)</f>
        <v>FY2021, RA11518</v>
      </c>
      <c r="V835" s="63" t="str">
        <f>VLOOKUP(H835,'Fund Utilization Report'!$A$4:$U$1800,4,FALSE)</f>
        <v>OO3</v>
      </c>
      <c r="W835" s="63" t="str">
        <f>VLOOKUP(H835,'Fund Utilization Report'!$A$4:$U$1800,5,FALSE)</f>
        <v>01101101</v>
      </c>
      <c r="X835" s="63" t="str">
        <f>VLOOKUP(H835,'Fund Utilization Report'!$A$4:$U$1800,6,FALSE)</f>
        <v>GOP</v>
      </c>
      <c r="Y835" s="417" t="str">
        <f>VLOOKUP(H835,'Fund Utilization Report'!$A$4:$U$1800,7,FALSE)</f>
        <v>PS</v>
      </c>
      <c r="Z835" s="418">
        <f>VLOOKUP(H835,'Fund Utilization Report'!$A$4:$U$1800,8,FALSE)</f>
        <v>5010000000</v>
      </c>
      <c r="AA835" s="63" t="str">
        <f>VLOOKUP(H835,'Fund Utilization Report'!$A$4:$U$1800,14,FALSE)</f>
        <v>330100100002000</v>
      </c>
      <c r="AB835" s="419" t="str">
        <f>VLOOKUP(H835,'Fund Utilization Report'!$A$4:$U$1800,15,FALSE)</f>
        <v>Implementation of the MSME Development Plan and other initiatives to promote the growth of Micro, Small and Medium Enterprises</v>
      </c>
      <c r="AC835" s="406"/>
      <c r="AD835" s="403"/>
      <c r="AE835" s="406"/>
      <c r="AF835" s="406"/>
      <c r="AG835" s="407"/>
      <c r="AH835" s="407"/>
    </row>
    <row r="836" spans="1:34" s="411" customFormat="1" ht="27.6">
      <c r="A836" s="405" t="s">
        <v>942</v>
      </c>
      <c r="B836" s="405" t="s">
        <v>945</v>
      </c>
      <c r="C836" s="402">
        <v>44253</v>
      </c>
      <c r="D836" s="403" t="s">
        <v>1028</v>
      </c>
      <c r="E836" s="404" t="s">
        <v>1261</v>
      </c>
      <c r="F836" s="405">
        <v>0.4069444444444445</v>
      </c>
      <c r="G836" s="405">
        <v>0.41319444444444442</v>
      </c>
      <c r="H836" s="405" t="s">
        <v>970</v>
      </c>
      <c r="I836" s="416">
        <v>732</v>
      </c>
      <c r="J836" s="405" t="str">
        <f>IFERROR(VLOOKUP(I836,'Chart of accounts'!A:H,2,FALSE),"")</f>
        <v>50103020 01</v>
      </c>
      <c r="K836" s="405" t="str">
        <f>IFERROR(VLOOKUP(I836,'Chart of accounts'!A:H,3,FALSE),"")</f>
        <v>Pag-IBIG - Civilian</v>
      </c>
      <c r="L836" s="405" t="str">
        <f>IFERROR(VLOOKUP(I836,'Chart of accounts'!A:H,4,FALSE),"")</f>
        <v>50103020 01 - Pag-IBIG - Civilian (732)</v>
      </c>
      <c r="M836" s="408">
        <v>85</v>
      </c>
      <c r="N836" s="409" t="s">
        <v>1174</v>
      </c>
      <c r="O836" s="409" t="s">
        <v>1260</v>
      </c>
      <c r="P836" s="409"/>
      <c r="Q836" s="65">
        <f>100-100</f>
        <v>0</v>
      </c>
      <c r="R836" s="63">
        <f t="shared" si="20"/>
        <v>0</v>
      </c>
      <c r="S836" s="63" t="str">
        <f>VLOOKUP(H836,'Fund Utilization Report'!$A$4:$U$1800,13,FALSE)</f>
        <v>PS</v>
      </c>
      <c r="T836" s="63" t="str">
        <f>VLOOKUP(H836,'Fund Utilization Report'!$A$4:$U$1800,2,FALSE)</f>
        <v>GAA</v>
      </c>
      <c r="U836" s="63" t="str">
        <f>VLOOKUP(H836,'Fund Utilization Report'!$A$4:$U$1800,3,FALSE)</f>
        <v>FY2021, RA11518</v>
      </c>
      <c r="V836" s="63" t="str">
        <f>VLOOKUP(H836,'Fund Utilization Report'!$A$4:$U$1800,4,FALSE)</f>
        <v>OO3</v>
      </c>
      <c r="W836" s="63" t="str">
        <f>VLOOKUP(H836,'Fund Utilization Report'!$A$4:$U$1800,5,FALSE)</f>
        <v>01101101</v>
      </c>
      <c r="X836" s="63" t="str">
        <f>VLOOKUP(H836,'Fund Utilization Report'!$A$4:$U$1800,6,FALSE)</f>
        <v>GOP</v>
      </c>
      <c r="Y836" s="417" t="str">
        <f>VLOOKUP(H836,'Fund Utilization Report'!$A$4:$U$1800,7,FALSE)</f>
        <v>PS</v>
      </c>
      <c r="Z836" s="418">
        <f>VLOOKUP(H836,'Fund Utilization Report'!$A$4:$U$1800,8,FALSE)</f>
        <v>5010000000</v>
      </c>
      <c r="AA836" s="63" t="str">
        <f>VLOOKUP(H836,'Fund Utilization Report'!$A$4:$U$1800,14,FALSE)</f>
        <v>330100100002000</v>
      </c>
      <c r="AB836" s="419" t="str">
        <f>VLOOKUP(H836,'Fund Utilization Report'!$A$4:$U$1800,15,FALSE)</f>
        <v>Implementation of the MSME Development Plan and other initiatives to promote the growth of Micro, Small and Medium Enterprises</v>
      </c>
      <c r="AC836" s="406"/>
      <c r="AD836" s="403"/>
      <c r="AE836" s="406"/>
      <c r="AF836" s="406"/>
      <c r="AG836" s="407"/>
      <c r="AH836" s="407"/>
    </row>
    <row r="837" spans="1:34" s="411" customFormat="1" ht="27.6">
      <c r="A837" s="405" t="s">
        <v>942</v>
      </c>
      <c r="B837" s="405" t="s">
        <v>945</v>
      </c>
      <c r="C837" s="402">
        <v>44253</v>
      </c>
      <c r="D837" s="403" t="s">
        <v>1028</v>
      </c>
      <c r="E837" s="404" t="s">
        <v>1261</v>
      </c>
      <c r="F837" s="405">
        <v>0.4069444444444445</v>
      </c>
      <c r="G837" s="405">
        <v>0.41319444444444442</v>
      </c>
      <c r="H837" s="405" t="s">
        <v>970</v>
      </c>
      <c r="I837" s="416">
        <v>733</v>
      </c>
      <c r="J837" s="405" t="str">
        <f>IFERROR(VLOOKUP(I837,'Chart of accounts'!A:H,2,FALSE),"")</f>
        <v>50103030 01</v>
      </c>
      <c r="K837" s="405" t="str">
        <f>IFERROR(VLOOKUP(I837,'Chart of accounts'!A:H,3,FALSE),"")</f>
        <v>PhilHealth - Civilian</v>
      </c>
      <c r="L837" s="405" t="str">
        <f>IFERROR(VLOOKUP(I837,'Chart of accounts'!A:H,4,FALSE),"")</f>
        <v>50103030 01 - PhilHealth - Civilian (733)</v>
      </c>
      <c r="M837" s="408">
        <v>85</v>
      </c>
      <c r="N837" s="409" t="s">
        <v>1174</v>
      </c>
      <c r="O837" s="409" t="s">
        <v>1260</v>
      </c>
      <c r="P837" s="409"/>
      <c r="Q837" s="65">
        <f>358.16-358.16</f>
        <v>0</v>
      </c>
      <c r="R837" s="63">
        <f t="shared" si="20"/>
        <v>0</v>
      </c>
      <c r="S837" s="63" t="str">
        <f>VLOOKUP(H837,'Fund Utilization Report'!$A$4:$U$1800,13,FALSE)</f>
        <v>PS</v>
      </c>
      <c r="T837" s="63" t="str">
        <f>VLOOKUP(H837,'Fund Utilization Report'!$A$4:$U$1800,2,FALSE)</f>
        <v>GAA</v>
      </c>
      <c r="U837" s="63" t="str">
        <f>VLOOKUP(H837,'Fund Utilization Report'!$A$4:$U$1800,3,FALSE)</f>
        <v>FY2021, RA11518</v>
      </c>
      <c r="V837" s="63" t="str">
        <f>VLOOKUP(H837,'Fund Utilization Report'!$A$4:$U$1800,4,FALSE)</f>
        <v>OO3</v>
      </c>
      <c r="W837" s="63" t="str">
        <f>VLOOKUP(H837,'Fund Utilization Report'!$A$4:$U$1800,5,FALSE)</f>
        <v>01101101</v>
      </c>
      <c r="X837" s="63" t="str">
        <f>VLOOKUP(H837,'Fund Utilization Report'!$A$4:$U$1800,6,FALSE)</f>
        <v>GOP</v>
      </c>
      <c r="Y837" s="417" t="str">
        <f>VLOOKUP(H837,'Fund Utilization Report'!$A$4:$U$1800,7,FALSE)</f>
        <v>PS</v>
      </c>
      <c r="Z837" s="418">
        <f>VLOOKUP(H837,'Fund Utilization Report'!$A$4:$U$1800,8,FALSE)</f>
        <v>5010000000</v>
      </c>
      <c r="AA837" s="63" t="str">
        <f>VLOOKUP(H837,'Fund Utilization Report'!$A$4:$U$1800,14,FALSE)</f>
        <v>330100100002000</v>
      </c>
      <c r="AB837" s="419" t="str">
        <f>VLOOKUP(H837,'Fund Utilization Report'!$A$4:$U$1800,15,FALSE)</f>
        <v>Implementation of the MSME Development Plan and other initiatives to promote the growth of Micro, Small and Medium Enterprises</v>
      </c>
      <c r="AC837" s="406"/>
      <c r="AD837" s="403"/>
      <c r="AE837" s="406"/>
      <c r="AF837" s="406"/>
      <c r="AG837" s="407"/>
      <c r="AH837" s="407"/>
    </row>
    <row r="838" spans="1:34" s="411" customFormat="1" ht="27.6">
      <c r="A838" s="405" t="s">
        <v>942</v>
      </c>
      <c r="B838" s="405" t="s">
        <v>945</v>
      </c>
      <c r="C838" s="402">
        <v>44253</v>
      </c>
      <c r="D838" s="403" t="s">
        <v>1028</v>
      </c>
      <c r="E838" s="404" t="s">
        <v>1261</v>
      </c>
      <c r="F838" s="405">
        <v>0.4069444444444445</v>
      </c>
      <c r="G838" s="405">
        <v>0.41319444444444442</v>
      </c>
      <c r="H838" s="405" t="s">
        <v>970</v>
      </c>
      <c r="I838" s="416">
        <v>734</v>
      </c>
      <c r="J838" s="405" t="str">
        <f>IFERROR(VLOOKUP(I838,'Chart of accounts'!A:H,2,FALSE),"")</f>
        <v>50103040 01</v>
      </c>
      <c r="K838" s="405" t="str">
        <f>IFERROR(VLOOKUP(I838,'Chart of accounts'!A:H,3,FALSE),"")</f>
        <v>ECIP - Civilian</v>
      </c>
      <c r="L838" s="405" t="str">
        <f>IFERROR(VLOOKUP(I838,'Chart of accounts'!A:H,4,FALSE),"")</f>
        <v>50103040 01 - ECIP - Civilian (734)</v>
      </c>
      <c r="M838" s="408">
        <v>85</v>
      </c>
      <c r="N838" s="409" t="s">
        <v>1174</v>
      </c>
      <c r="O838" s="409" t="s">
        <v>1260</v>
      </c>
      <c r="P838" s="409"/>
      <c r="Q838" s="65">
        <f>100-100</f>
        <v>0</v>
      </c>
      <c r="R838" s="63">
        <f t="shared" si="20"/>
        <v>0</v>
      </c>
      <c r="S838" s="63" t="str">
        <f>VLOOKUP(H838,'Fund Utilization Report'!$A$4:$U$1800,13,FALSE)</f>
        <v>PS</v>
      </c>
      <c r="T838" s="63" t="str">
        <f>VLOOKUP(H838,'Fund Utilization Report'!$A$4:$U$1800,2,FALSE)</f>
        <v>GAA</v>
      </c>
      <c r="U838" s="63" t="str">
        <f>VLOOKUP(H838,'Fund Utilization Report'!$A$4:$U$1800,3,FALSE)</f>
        <v>FY2021, RA11518</v>
      </c>
      <c r="V838" s="63" t="str">
        <f>VLOOKUP(H838,'Fund Utilization Report'!$A$4:$U$1800,4,FALSE)</f>
        <v>OO3</v>
      </c>
      <c r="W838" s="63" t="str">
        <f>VLOOKUP(H838,'Fund Utilization Report'!$A$4:$U$1800,5,FALSE)</f>
        <v>01101101</v>
      </c>
      <c r="X838" s="63" t="str">
        <f>VLOOKUP(H838,'Fund Utilization Report'!$A$4:$U$1800,6,FALSE)</f>
        <v>GOP</v>
      </c>
      <c r="Y838" s="417" t="str">
        <f>VLOOKUP(H838,'Fund Utilization Report'!$A$4:$U$1800,7,FALSE)</f>
        <v>PS</v>
      </c>
      <c r="Z838" s="418">
        <f>VLOOKUP(H838,'Fund Utilization Report'!$A$4:$U$1800,8,FALSE)</f>
        <v>5010000000</v>
      </c>
      <c r="AA838" s="63" t="str">
        <f>VLOOKUP(H838,'Fund Utilization Report'!$A$4:$U$1800,14,FALSE)</f>
        <v>330100100002000</v>
      </c>
      <c r="AB838" s="419" t="str">
        <f>VLOOKUP(H838,'Fund Utilization Report'!$A$4:$U$1800,15,FALSE)</f>
        <v>Implementation of the MSME Development Plan and other initiatives to promote the growth of Micro, Small and Medium Enterprises</v>
      </c>
      <c r="AC838" s="406"/>
      <c r="AD838" s="403"/>
      <c r="AE838" s="406"/>
      <c r="AF838" s="406"/>
      <c r="AG838" s="407"/>
      <c r="AH838" s="407"/>
    </row>
    <row r="839" spans="1:34" s="411" customFormat="1">
      <c r="A839" s="405" t="s">
        <v>942</v>
      </c>
      <c r="B839" s="405" t="s">
        <v>945</v>
      </c>
      <c r="C839" s="402">
        <v>44253</v>
      </c>
      <c r="D839" s="403" t="s">
        <v>1028</v>
      </c>
      <c r="E839" s="404" t="s">
        <v>1262</v>
      </c>
      <c r="F839" s="405">
        <v>0.41944444444444445</v>
      </c>
      <c r="G839" s="405">
        <v>0.42083333333333334</v>
      </c>
      <c r="H839" s="405" t="s">
        <v>1221</v>
      </c>
      <c r="I839" s="416">
        <v>799</v>
      </c>
      <c r="J839" s="405" t="str">
        <f>IFERROR(VLOOKUP(I839,'Chart of accounts'!A:H,2,FALSE),"")</f>
        <v>50211990 00</v>
      </c>
      <c r="K839" s="405" t="str">
        <f>IFERROR(VLOOKUP(I839,'Chart of accounts'!A:H,3,FALSE),"")</f>
        <v>Other Professional Services</v>
      </c>
      <c r="L839" s="405" t="str">
        <f>IFERROR(VLOOKUP(I839,'Chart of accounts'!A:H,4,FALSE),"")</f>
        <v>50211990 00 - Other Professional Services (799)</v>
      </c>
      <c r="M839" s="408">
        <v>1</v>
      </c>
      <c r="N839" s="409" t="s">
        <v>1030</v>
      </c>
      <c r="O839" s="409" t="s">
        <v>1263</v>
      </c>
      <c r="P839" s="409"/>
      <c r="Q839" s="65">
        <f>83842.21-83842.21</f>
        <v>0</v>
      </c>
      <c r="R839" s="63">
        <f t="shared" si="20"/>
        <v>0</v>
      </c>
      <c r="S839" s="63" t="str">
        <f>VLOOKUP(H839,'Fund Utilization Report'!$A$4:$U$1800,13,FALSE)</f>
        <v>MOOE</v>
      </c>
      <c r="T839" s="63" t="str">
        <f>VLOOKUP(H839,'Fund Utilization Report'!$A$4:$U$1800,2,FALSE)</f>
        <v>SAA040</v>
      </c>
      <c r="U839" s="63" t="str">
        <f>VLOOKUP(H839,'Fund Utilization Report'!$A$4:$U$1800,3,FALSE)</f>
        <v>21-02-0040</v>
      </c>
      <c r="V839" s="63" t="str">
        <f>VLOOKUP(H839,'Fund Utilization Report'!$A$4:$U$1800,4,FALSE)</f>
        <v>RAPID GOP</v>
      </c>
      <c r="W839" s="63" t="str">
        <f>VLOOKUP(H839,'Fund Utilization Report'!$A$4:$U$1800,5,FALSE)</f>
        <v>01101101</v>
      </c>
      <c r="X839" s="63" t="str">
        <f>VLOOKUP(H839,'Fund Utilization Report'!$A$4:$U$1800,6,FALSE)</f>
        <v>GOP</v>
      </c>
      <c r="Y839" s="417">
        <f>VLOOKUP(H839,'Fund Utilization Report'!$A$4:$U$1800,7,FALSE)</f>
        <v>799</v>
      </c>
      <c r="Z839" s="418">
        <f>VLOOKUP(H839,'Fund Utilization Report'!$A$4:$U$1800,8,FALSE)</f>
        <v>5021199000</v>
      </c>
      <c r="AA839" s="63" t="str">
        <f>VLOOKUP(H839,'Fund Utilization Report'!$A$4:$U$1800,14,FALSE)</f>
        <v>330100300001000</v>
      </c>
      <c r="AB839" s="419" t="str">
        <f>VLOOKUP(H839,'Fund Utilization Report'!$A$4:$U$1800,15,FALSE)</f>
        <v>Rural Agro Enterprise Partnership for Inclusive Development (RAPID) Growth GOP Continuing</v>
      </c>
      <c r="AC839" s="406"/>
      <c r="AD839" s="403"/>
      <c r="AE839" s="406"/>
      <c r="AF839" s="406"/>
      <c r="AG839" s="407"/>
      <c r="AH839" s="407"/>
    </row>
    <row r="840" spans="1:34" s="443" customFormat="1">
      <c r="A840" s="434" t="s">
        <v>942</v>
      </c>
      <c r="B840" s="457" t="s">
        <v>946</v>
      </c>
      <c r="C840" s="233">
        <v>44257</v>
      </c>
      <c r="D840" s="435" t="s">
        <v>1267</v>
      </c>
      <c r="E840" s="436" t="s">
        <v>1268</v>
      </c>
      <c r="F840" s="434">
        <v>0.56874999999999998</v>
      </c>
      <c r="G840" s="434">
        <v>0.56944444444444442</v>
      </c>
      <c r="H840" s="434" t="s">
        <v>1221</v>
      </c>
      <c r="I840" s="437">
        <v>799</v>
      </c>
      <c r="J840" s="434" t="str">
        <f>IFERROR(VLOOKUP(I840,'Chart of accounts'!A:H,2,FALSE),"")</f>
        <v>50211990 00</v>
      </c>
      <c r="K840" s="434" t="str">
        <f>IFERROR(VLOOKUP(I840,'Chart of accounts'!A:H,3,FALSE),"")</f>
        <v>Other Professional Services</v>
      </c>
      <c r="L840" s="434" t="str">
        <f>IFERROR(VLOOKUP(I840,'Chart of accounts'!A:H,4,FALSE),"")</f>
        <v>50211990 00 - Other Professional Services (799)</v>
      </c>
      <c r="M840" s="438">
        <v>1</v>
      </c>
      <c r="N840" s="439" t="s">
        <v>1030</v>
      </c>
      <c r="O840" s="439" t="s">
        <v>1263</v>
      </c>
      <c r="P840" s="439"/>
      <c r="Q840" s="50">
        <f>83842.21</f>
        <v>83842.210000000006</v>
      </c>
      <c r="R840" s="239">
        <f>P840-Q840</f>
        <v>-83842.210000000006</v>
      </c>
      <c r="S840" s="239" t="str">
        <f>VLOOKUP(H840,'Fund Utilization Report'!$A$4:$U$1800,13,FALSE)</f>
        <v>MOOE</v>
      </c>
      <c r="T840" s="239" t="str">
        <f>VLOOKUP(H840,'Fund Utilization Report'!$A$4:$U$1800,2,FALSE)</f>
        <v>SAA040</v>
      </c>
      <c r="U840" s="239" t="str">
        <f>VLOOKUP(H840,'Fund Utilization Report'!$A$4:$U$1800,3,FALSE)</f>
        <v>21-02-0040</v>
      </c>
      <c r="V840" s="239" t="str">
        <f>VLOOKUP(H840,'Fund Utilization Report'!$A$4:$U$1800,4,FALSE)</f>
        <v>RAPID GOP</v>
      </c>
      <c r="W840" s="239" t="str">
        <f>VLOOKUP(H840,'Fund Utilization Report'!$A$4:$U$1800,5,FALSE)</f>
        <v>01101101</v>
      </c>
      <c r="X840" s="239" t="str">
        <f>VLOOKUP(H840,'Fund Utilization Report'!$A$4:$U$1800,6,FALSE)</f>
        <v>GOP</v>
      </c>
      <c r="Y840" s="440">
        <f>VLOOKUP(H840,'Fund Utilization Report'!$A$4:$U$1800,7,FALSE)</f>
        <v>799</v>
      </c>
      <c r="Z840" s="441">
        <f>VLOOKUP(H840,'Fund Utilization Report'!$A$4:$U$1800,8,FALSE)</f>
        <v>5021199000</v>
      </c>
      <c r="AA840" s="239" t="str">
        <f>VLOOKUP(H840,'Fund Utilization Report'!$A$4:$U$1800,14,FALSE)</f>
        <v>330100300001000</v>
      </c>
      <c r="AB840" s="242" t="str">
        <f>VLOOKUP(H840,'Fund Utilization Report'!$A$4:$U$1800,15,FALSE)</f>
        <v>Rural Agro Enterprise Partnership for Inclusive Development (RAPID) Growth GOP Continuing</v>
      </c>
      <c r="AC840" s="51"/>
      <c r="AD840" s="435"/>
      <c r="AE840" s="51"/>
      <c r="AF840" s="51"/>
      <c r="AG840" s="442"/>
      <c r="AH840" s="442"/>
    </row>
    <row r="841" spans="1:34" s="443" customFormat="1">
      <c r="A841" s="434" t="s">
        <v>942</v>
      </c>
      <c r="B841" s="457" t="s">
        <v>946</v>
      </c>
      <c r="C841" s="233">
        <v>44257</v>
      </c>
      <c r="D841" s="435" t="s">
        <v>1267</v>
      </c>
      <c r="E841" s="436" t="s">
        <v>1269</v>
      </c>
      <c r="F841" s="434">
        <v>0.56944444444444442</v>
      </c>
      <c r="G841" s="434">
        <v>0.57152777777777775</v>
      </c>
      <c r="H841" s="434" t="s">
        <v>1221</v>
      </c>
      <c r="I841" s="437">
        <v>799</v>
      </c>
      <c r="J841" s="434" t="str">
        <f>IFERROR(VLOOKUP(I841,'Chart of accounts'!A:H,2,FALSE),"")</f>
        <v>50211990 00</v>
      </c>
      <c r="K841" s="434" t="str">
        <f>IFERROR(VLOOKUP(I841,'Chart of accounts'!A:H,3,FALSE),"")</f>
        <v>Other Professional Services</v>
      </c>
      <c r="L841" s="434" t="str">
        <f>IFERROR(VLOOKUP(I841,'Chart of accounts'!A:H,4,FALSE),"")</f>
        <v>50211990 00 - Other Professional Services (799)</v>
      </c>
      <c r="M841" s="438">
        <v>1</v>
      </c>
      <c r="N841" s="439" t="s">
        <v>1030</v>
      </c>
      <c r="O841" s="439" t="s">
        <v>1263</v>
      </c>
      <c r="P841" s="439"/>
      <c r="Q841" s="50">
        <f>83842.21</f>
        <v>83842.210000000006</v>
      </c>
      <c r="R841" s="239">
        <f t="shared" ref="R841:R847" si="21">P841-Q841</f>
        <v>-83842.210000000006</v>
      </c>
      <c r="S841" s="239" t="str">
        <f>VLOOKUP(H841,'Fund Utilization Report'!$A$4:$U$1800,13,FALSE)</f>
        <v>MOOE</v>
      </c>
      <c r="T841" s="239" t="str">
        <f>VLOOKUP(H841,'Fund Utilization Report'!$A$4:$U$1800,2,FALSE)</f>
        <v>SAA040</v>
      </c>
      <c r="U841" s="239" t="str">
        <f>VLOOKUP(H841,'Fund Utilization Report'!$A$4:$U$1800,3,FALSE)</f>
        <v>21-02-0040</v>
      </c>
      <c r="V841" s="239" t="str">
        <f>VLOOKUP(H841,'Fund Utilization Report'!$A$4:$U$1800,4,FALSE)</f>
        <v>RAPID GOP</v>
      </c>
      <c r="W841" s="239" t="str">
        <f>VLOOKUP(H841,'Fund Utilization Report'!$A$4:$U$1800,5,FALSE)</f>
        <v>01101101</v>
      </c>
      <c r="X841" s="239" t="str">
        <f>VLOOKUP(H841,'Fund Utilization Report'!$A$4:$U$1800,6,FALSE)</f>
        <v>GOP</v>
      </c>
      <c r="Y841" s="440">
        <f>VLOOKUP(H841,'Fund Utilization Report'!$A$4:$U$1800,7,FALSE)</f>
        <v>799</v>
      </c>
      <c r="Z841" s="441">
        <f>VLOOKUP(H841,'Fund Utilization Report'!$A$4:$U$1800,8,FALSE)</f>
        <v>5021199000</v>
      </c>
      <c r="AA841" s="239" t="str">
        <f>VLOOKUP(H841,'Fund Utilization Report'!$A$4:$U$1800,14,FALSE)</f>
        <v>330100300001000</v>
      </c>
      <c r="AB841" s="242" t="str">
        <f>VLOOKUP(H841,'Fund Utilization Report'!$A$4:$U$1800,15,FALSE)</f>
        <v>Rural Agro Enterprise Partnership for Inclusive Development (RAPID) Growth GOP Continuing</v>
      </c>
      <c r="AC841" s="51"/>
      <c r="AD841" s="435"/>
      <c r="AE841" s="51"/>
      <c r="AF841" s="51"/>
      <c r="AG841" s="442"/>
      <c r="AH841" s="442"/>
    </row>
    <row r="842" spans="1:34" s="32" customFormat="1" ht="27.6">
      <c r="A842" s="434" t="s">
        <v>942</v>
      </c>
      <c r="B842" s="457" t="s">
        <v>946</v>
      </c>
      <c r="C842" s="233">
        <v>44257</v>
      </c>
      <c r="D842" s="435" t="s">
        <v>1267</v>
      </c>
      <c r="E842" s="436" t="s">
        <v>1270</v>
      </c>
      <c r="F842" s="434">
        <v>0.57152777777777775</v>
      </c>
      <c r="G842" s="338">
        <v>0.57430555555555551</v>
      </c>
      <c r="H842" s="338" t="s">
        <v>970</v>
      </c>
      <c r="I842" s="353">
        <v>701</v>
      </c>
      <c r="J842" s="338" t="str">
        <f>IFERROR(VLOOKUP(I842,'Chart of accounts'!A:H,2,FALSE),"")</f>
        <v>50101010 01</v>
      </c>
      <c r="K842" s="338" t="str">
        <f>IFERROR(VLOOKUP(I842,'Chart of accounts'!A:H,3,FALSE),"")</f>
        <v>Basic Salary - Civilian</v>
      </c>
      <c r="L842" s="338" t="str">
        <f>IFERROR(VLOOKUP(I842,'Chart of accounts'!A:H,4,FALSE),"")</f>
        <v>50101010 01 - Basic Salary - Civilian (701)</v>
      </c>
      <c r="M842" s="361">
        <v>68</v>
      </c>
      <c r="N842" s="355" t="s">
        <v>1176</v>
      </c>
      <c r="O842" s="355" t="s">
        <v>1260</v>
      </c>
      <c r="P842" s="355"/>
      <c r="Q842" s="363">
        <v>23877</v>
      </c>
      <c r="R842" s="428">
        <f t="shared" si="21"/>
        <v>-23877</v>
      </c>
      <c r="S842" s="428" t="str">
        <f>VLOOKUP(H842,'Fund Utilization Report'!$A$4:$U$1800,13,FALSE)</f>
        <v>PS</v>
      </c>
      <c r="T842" s="428" t="str">
        <f>VLOOKUP(H842,'Fund Utilization Report'!$A$4:$U$1800,2,FALSE)</f>
        <v>GAA</v>
      </c>
      <c r="U842" s="428" t="str">
        <f>VLOOKUP(H842,'Fund Utilization Report'!$A$4:$U$1800,3,FALSE)</f>
        <v>FY2021, RA11518</v>
      </c>
      <c r="V842" s="428" t="str">
        <f>VLOOKUP(H842,'Fund Utilization Report'!$A$4:$U$1800,4,FALSE)</f>
        <v>OO3</v>
      </c>
      <c r="W842" s="428" t="str">
        <f>VLOOKUP(H842,'Fund Utilization Report'!$A$4:$U$1800,5,FALSE)</f>
        <v>01101101</v>
      </c>
      <c r="X842" s="428" t="str">
        <f>VLOOKUP(H842,'Fund Utilization Report'!$A$4:$U$1800,6,FALSE)</f>
        <v>GOP</v>
      </c>
      <c r="Y842" s="320" t="str">
        <f>VLOOKUP(H842,'Fund Utilization Report'!$A$4:$U$1800,7,FALSE)</f>
        <v>PS</v>
      </c>
      <c r="Z842" s="425">
        <f>VLOOKUP(H842,'Fund Utilization Report'!$A$4:$U$1800,8,FALSE)</f>
        <v>5010000000</v>
      </c>
      <c r="AA842" s="428" t="str">
        <f>VLOOKUP(H842,'Fund Utilization Report'!$A$4:$U$1800,14,FALSE)</f>
        <v>330100100002000</v>
      </c>
      <c r="AB842" s="349" t="str">
        <f>VLOOKUP(H842,'Fund Utilization Report'!$A$4:$U$1800,15,FALSE)</f>
        <v>Implementation of the MSME Development Plan and other initiatives to promote the growth of Micro, Small and Medium Enterprises</v>
      </c>
      <c r="AC842" s="39"/>
      <c r="AD842" s="34"/>
      <c r="AE842" s="39"/>
      <c r="AF842" s="51"/>
      <c r="AG842" s="40"/>
      <c r="AH842" s="40"/>
    </row>
    <row r="843" spans="1:34" s="32" customFormat="1" ht="27.6">
      <c r="A843" s="434" t="s">
        <v>942</v>
      </c>
      <c r="B843" s="457" t="s">
        <v>946</v>
      </c>
      <c r="C843" s="233">
        <v>44257</v>
      </c>
      <c r="D843" s="435" t="s">
        <v>1267</v>
      </c>
      <c r="E843" s="436" t="s">
        <v>1270</v>
      </c>
      <c r="F843" s="434">
        <v>0.57152777777777775</v>
      </c>
      <c r="G843" s="338">
        <v>0.57430555555555551</v>
      </c>
      <c r="H843" s="338" t="s">
        <v>970</v>
      </c>
      <c r="I843" s="353">
        <v>711</v>
      </c>
      <c r="J843" s="338" t="str">
        <f>IFERROR(VLOOKUP(I843,'Chart of accounts'!A:H,2,FALSE),"")</f>
        <v>50102010 01</v>
      </c>
      <c r="K843" s="338" t="str">
        <f>IFERROR(VLOOKUP(I843,'Chart of accounts'!A:H,3,FALSE),"")</f>
        <v>PERA - Civilian</v>
      </c>
      <c r="L843" s="338" t="str">
        <f>IFERROR(VLOOKUP(I843,'Chart of accounts'!A:H,4,FALSE),"")</f>
        <v>50102010 01 - PERA - Civilian (711)</v>
      </c>
      <c r="M843" s="361">
        <v>68</v>
      </c>
      <c r="N843" s="355" t="s">
        <v>1176</v>
      </c>
      <c r="O843" s="355" t="s">
        <v>1260</v>
      </c>
      <c r="P843" s="355"/>
      <c r="Q843" s="363">
        <v>2000</v>
      </c>
      <c r="R843" s="428">
        <f t="shared" si="21"/>
        <v>-2000</v>
      </c>
      <c r="S843" s="428" t="str">
        <f>VLOOKUP(H843,'Fund Utilization Report'!$A$4:$U$1800,13,FALSE)</f>
        <v>PS</v>
      </c>
      <c r="T843" s="428" t="str">
        <f>VLOOKUP(H843,'Fund Utilization Report'!$A$4:$U$1800,2,FALSE)</f>
        <v>GAA</v>
      </c>
      <c r="U843" s="428" t="str">
        <f>VLOOKUP(H843,'Fund Utilization Report'!$A$4:$U$1800,3,FALSE)</f>
        <v>FY2021, RA11518</v>
      </c>
      <c r="V843" s="428" t="str">
        <f>VLOOKUP(H843,'Fund Utilization Report'!$A$4:$U$1800,4,FALSE)</f>
        <v>OO3</v>
      </c>
      <c r="W843" s="428" t="str">
        <f>VLOOKUP(H843,'Fund Utilization Report'!$A$4:$U$1800,5,FALSE)</f>
        <v>01101101</v>
      </c>
      <c r="X843" s="428" t="str">
        <f>VLOOKUP(H843,'Fund Utilization Report'!$A$4:$U$1800,6,FALSE)</f>
        <v>GOP</v>
      </c>
      <c r="Y843" s="320" t="str">
        <f>VLOOKUP(H843,'Fund Utilization Report'!$A$4:$U$1800,7,FALSE)</f>
        <v>PS</v>
      </c>
      <c r="Z843" s="425">
        <f>VLOOKUP(H843,'Fund Utilization Report'!$A$4:$U$1800,8,FALSE)</f>
        <v>5010000000</v>
      </c>
      <c r="AA843" s="428" t="str">
        <f>VLOOKUP(H843,'Fund Utilization Report'!$A$4:$U$1800,14,FALSE)</f>
        <v>330100100002000</v>
      </c>
      <c r="AB843" s="349" t="str">
        <f>VLOOKUP(H843,'Fund Utilization Report'!$A$4:$U$1800,15,FALSE)</f>
        <v>Implementation of the MSME Development Plan and other initiatives to promote the growth of Micro, Small and Medium Enterprises</v>
      </c>
      <c r="AC843" s="39"/>
      <c r="AD843" s="34"/>
      <c r="AE843" s="39"/>
      <c r="AF843" s="51"/>
      <c r="AG843" s="40"/>
      <c r="AH843" s="40"/>
    </row>
    <row r="844" spans="1:34" s="32" customFormat="1" ht="27.6">
      <c r="A844" s="434" t="s">
        <v>942</v>
      </c>
      <c r="B844" s="457" t="s">
        <v>946</v>
      </c>
      <c r="C844" s="233">
        <v>44257</v>
      </c>
      <c r="D844" s="435" t="s">
        <v>1267</v>
      </c>
      <c r="E844" s="436" t="s">
        <v>1270</v>
      </c>
      <c r="F844" s="434">
        <v>0.57152777777777775</v>
      </c>
      <c r="G844" s="338">
        <v>0.57430555555555551</v>
      </c>
      <c r="H844" s="338" t="s">
        <v>972</v>
      </c>
      <c r="I844" s="353">
        <v>731</v>
      </c>
      <c r="J844" s="338" t="str">
        <f>IFERROR(VLOOKUP(I844,'Chart of accounts'!A:H,2,FALSE),"")</f>
        <v>50103010 00</v>
      </c>
      <c r="K844" s="338" t="str">
        <f>IFERROR(VLOOKUP(I844,'Chart of accounts'!A:H,3,FALSE),"")</f>
        <v>Retirement and Life Insurance Premiums</v>
      </c>
      <c r="L844" s="338" t="str">
        <f>IFERROR(VLOOKUP(I844,'Chart of accounts'!A:H,4,FALSE),"")</f>
        <v>50103010 00 - Retirement and Life Insurance Premiums (731)</v>
      </c>
      <c r="M844" s="361">
        <v>68</v>
      </c>
      <c r="N844" s="355" t="s">
        <v>1176</v>
      </c>
      <c r="O844" s="355" t="s">
        <v>1260</v>
      </c>
      <c r="P844" s="355"/>
      <c r="Q844" s="363">
        <v>2865.24</v>
      </c>
      <c r="R844" s="428">
        <f t="shared" si="21"/>
        <v>-2865.24</v>
      </c>
      <c r="S844" s="428" t="str">
        <f>VLOOKUP(H844,'Fund Utilization Report'!$A$4:$U$1800,13,FALSE)</f>
        <v>PS</v>
      </c>
      <c r="T844" s="428" t="str">
        <f>VLOOKUP(H844,'Fund Utilization Report'!$A$4:$U$1800,2,FALSE)</f>
        <v>GAA</v>
      </c>
      <c r="U844" s="428" t="str">
        <f>VLOOKUP(H844,'Fund Utilization Report'!$A$4:$U$1800,3,FALSE)</f>
        <v>FY2021, RA11518</v>
      </c>
      <c r="V844" s="428" t="str">
        <f>VLOOKUP(H844,'Fund Utilization Report'!$A$4:$U$1800,4,FALSE)</f>
        <v>OO3</v>
      </c>
      <c r="W844" s="428" t="str">
        <f>VLOOKUP(H844,'Fund Utilization Report'!$A$4:$U$1800,5,FALSE)</f>
        <v>01101101</v>
      </c>
      <c r="X844" s="428" t="str">
        <f>VLOOKUP(H844,'Fund Utilization Report'!$A$4:$U$1800,6,FALSE)</f>
        <v>GOP</v>
      </c>
      <c r="Y844" s="320" t="str">
        <f>VLOOKUP(H844,'Fund Utilization Report'!$A$4:$U$1800,7,FALSE)</f>
        <v>RLIP</v>
      </c>
      <c r="Z844" s="425" t="str">
        <f>VLOOKUP(H844,'Fund Utilization Report'!$A$4:$U$1800,8,FALSE)</f>
        <v>50103010-00</v>
      </c>
      <c r="AA844" s="428" t="str">
        <f>VLOOKUP(H844,'Fund Utilization Report'!$A$4:$U$1800,14,FALSE)</f>
        <v>330100100002000</v>
      </c>
      <c r="AB844" s="349" t="str">
        <f>VLOOKUP(H844,'Fund Utilization Report'!$A$4:$U$1800,15,FALSE)</f>
        <v>Implementation of the MSME Development Plan and other initiatives to promote the growth of Micro, Small and Medium Enterprises</v>
      </c>
      <c r="AC844" s="39"/>
      <c r="AD844" s="34"/>
      <c r="AE844" s="39"/>
      <c r="AF844" s="51"/>
      <c r="AG844" s="40"/>
      <c r="AH844" s="40"/>
    </row>
    <row r="845" spans="1:34" s="32" customFormat="1" ht="27.6">
      <c r="A845" s="434" t="s">
        <v>942</v>
      </c>
      <c r="B845" s="457" t="s">
        <v>946</v>
      </c>
      <c r="C845" s="233">
        <v>44257</v>
      </c>
      <c r="D845" s="435" t="s">
        <v>1267</v>
      </c>
      <c r="E845" s="436" t="s">
        <v>1270</v>
      </c>
      <c r="F845" s="434">
        <v>0.57152777777777775</v>
      </c>
      <c r="G845" s="338">
        <v>0.57430555555555551</v>
      </c>
      <c r="H845" s="338" t="s">
        <v>970</v>
      </c>
      <c r="I845" s="353">
        <v>732</v>
      </c>
      <c r="J845" s="338" t="str">
        <f>IFERROR(VLOOKUP(I845,'Chart of accounts'!A:H,2,FALSE),"")</f>
        <v>50103020 01</v>
      </c>
      <c r="K845" s="338" t="str">
        <f>IFERROR(VLOOKUP(I845,'Chart of accounts'!A:H,3,FALSE),"")</f>
        <v>Pag-IBIG - Civilian</v>
      </c>
      <c r="L845" s="338" t="str">
        <f>IFERROR(VLOOKUP(I845,'Chart of accounts'!A:H,4,FALSE),"")</f>
        <v>50103020 01 - Pag-IBIG - Civilian (732)</v>
      </c>
      <c r="M845" s="361">
        <v>68</v>
      </c>
      <c r="N845" s="355" t="s">
        <v>1176</v>
      </c>
      <c r="O845" s="355" t="s">
        <v>1260</v>
      </c>
      <c r="P845" s="355"/>
      <c r="Q845" s="363">
        <v>100</v>
      </c>
      <c r="R845" s="428">
        <f t="shared" si="21"/>
        <v>-100</v>
      </c>
      <c r="S845" s="428" t="str">
        <f>VLOOKUP(H845,'Fund Utilization Report'!$A$4:$U$1800,13,FALSE)</f>
        <v>PS</v>
      </c>
      <c r="T845" s="428" t="str">
        <f>VLOOKUP(H845,'Fund Utilization Report'!$A$4:$U$1800,2,FALSE)</f>
        <v>GAA</v>
      </c>
      <c r="U845" s="428" t="str">
        <f>VLOOKUP(H845,'Fund Utilization Report'!$A$4:$U$1800,3,FALSE)</f>
        <v>FY2021, RA11518</v>
      </c>
      <c r="V845" s="428" t="str">
        <f>VLOOKUP(H845,'Fund Utilization Report'!$A$4:$U$1800,4,FALSE)</f>
        <v>OO3</v>
      </c>
      <c r="W845" s="428" t="str">
        <f>VLOOKUP(H845,'Fund Utilization Report'!$A$4:$U$1800,5,FALSE)</f>
        <v>01101101</v>
      </c>
      <c r="X845" s="428" t="str">
        <f>VLOOKUP(H845,'Fund Utilization Report'!$A$4:$U$1800,6,FALSE)</f>
        <v>GOP</v>
      </c>
      <c r="Y845" s="320" t="str">
        <f>VLOOKUP(H845,'Fund Utilization Report'!$A$4:$U$1800,7,FALSE)</f>
        <v>PS</v>
      </c>
      <c r="Z845" s="425">
        <f>VLOOKUP(H845,'Fund Utilization Report'!$A$4:$U$1800,8,FALSE)</f>
        <v>5010000000</v>
      </c>
      <c r="AA845" s="428" t="str">
        <f>VLOOKUP(H845,'Fund Utilization Report'!$A$4:$U$1800,14,FALSE)</f>
        <v>330100100002000</v>
      </c>
      <c r="AB845" s="349" t="str">
        <f>VLOOKUP(H845,'Fund Utilization Report'!$A$4:$U$1800,15,FALSE)</f>
        <v>Implementation of the MSME Development Plan and other initiatives to promote the growth of Micro, Small and Medium Enterprises</v>
      </c>
      <c r="AC845" s="39"/>
      <c r="AD845" s="34"/>
      <c r="AE845" s="39"/>
      <c r="AF845" s="51"/>
      <c r="AG845" s="40"/>
      <c r="AH845" s="40"/>
    </row>
    <row r="846" spans="1:34" s="32" customFormat="1" ht="27.6">
      <c r="A846" s="434" t="s">
        <v>942</v>
      </c>
      <c r="B846" s="457" t="s">
        <v>946</v>
      </c>
      <c r="C846" s="233">
        <v>44257</v>
      </c>
      <c r="D846" s="435" t="s">
        <v>1267</v>
      </c>
      <c r="E846" s="436" t="s">
        <v>1270</v>
      </c>
      <c r="F846" s="434">
        <v>0.57152777777777775</v>
      </c>
      <c r="G846" s="338">
        <v>0.57430555555555551</v>
      </c>
      <c r="H846" s="338" t="s">
        <v>970</v>
      </c>
      <c r="I846" s="353">
        <v>733</v>
      </c>
      <c r="J846" s="338" t="str">
        <f>IFERROR(VLOOKUP(I846,'Chart of accounts'!A:H,2,FALSE),"")</f>
        <v>50103030 01</v>
      </c>
      <c r="K846" s="338" t="str">
        <f>IFERROR(VLOOKUP(I846,'Chart of accounts'!A:H,3,FALSE),"")</f>
        <v>PhilHealth - Civilian</v>
      </c>
      <c r="L846" s="338" t="str">
        <f>IFERROR(VLOOKUP(I846,'Chart of accounts'!A:H,4,FALSE),"")</f>
        <v>50103030 01 - PhilHealth - Civilian (733)</v>
      </c>
      <c r="M846" s="361">
        <v>68</v>
      </c>
      <c r="N846" s="355" t="s">
        <v>1176</v>
      </c>
      <c r="O846" s="355" t="s">
        <v>1260</v>
      </c>
      <c r="P846" s="355"/>
      <c r="Q846" s="363">
        <v>358.16</v>
      </c>
      <c r="R846" s="428">
        <f t="shared" si="21"/>
        <v>-358.16</v>
      </c>
      <c r="S846" s="428" t="str">
        <f>VLOOKUP(H846,'Fund Utilization Report'!$A$4:$U$1800,13,FALSE)</f>
        <v>PS</v>
      </c>
      <c r="T846" s="428" t="str">
        <f>VLOOKUP(H846,'Fund Utilization Report'!$A$4:$U$1800,2,FALSE)</f>
        <v>GAA</v>
      </c>
      <c r="U846" s="428" t="str">
        <f>VLOOKUP(H846,'Fund Utilization Report'!$A$4:$U$1800,3,FALSE)</f>
        <v>FY2021, RA11518</v>
      </c>
      <c r="V846" s="428" t="str">
        <f>VLOOKUP(H846,'Fund Utilization Report'!$A$4:$U$1800,4,FALSE)</f>
        <v>OO3</v>
      </c>
      <c r="W846" s="428" t="str">
        <f>VLOOKUP(H846,'Fund Utilization Report'!$A$4:$U$1800,5,FALSE)</f>
        <v>01101101</v>
      </c>
      <c r="X846" s="428" t="str">
        <f>VLOOKUP(H846,'Fund Utilization Report'!$A$4:$U$1800,6,FALSE)</f>
        <v>GOP</v>
      </c>
      <c r="Y846" s="320" t="str">
        <f>VLOOKUP(H846,'Fund Utilization Report'!$A$4:$U$1800,7,FALSE)</f>
        <v>PS</v>
      </c>
      <c r="Z846" s="425">
        <f>VLOOKUP(H846,'Fund Utilization Report'!$A$4:$U$1800,8,FALSE)</f>
        <v>5010000000</v>
      </c>
      <c r="AA846" s="428" t="str">
        <f>VLOOKUP(H846,'Fund Utilization Report'!$A$4:$U$1800,14,FALSE)</f>
        <v>330100100002000</v>
      </c>
      <c r="AB846" s="349" t="str">
        <f>VLOOKUP(H846,'Fund Utilization Report'!$A$4:$U$1800,15,FALSE)</f>
        <v>Implementation of the MSME Development Plan and other initiatives to promote the growth of Micro, Small and Medium Enterprises</v>
      </c>
      <c r="AC846" s="39"/>
      <c r="AD846" s="34"/>
      <c r="AE846" s="39"/>
      <c r="AF846" s="51"/>
      <c r="AG846" s="40"/>
      <c r="AH846" s="40"/>
    </row>
    <row r="847" spans="1:34" s="32" customFormat="1" ht="27.6">
      <c r="A847" s="434" t="s">
        <v>942</v>
      </c>
      <c r="B847" s="457" t="s">
        <v>946</v>
      </c>
      <c r="C847" s="233">
        <v>44257</v>
      </c>
      <c r="D847" s="435" t="s">
        <v>1267</v>
      </c>
      <c r="E847" s="436" t="s">
        <v>1270</v>
      </c>
      <c r="F847" s="434">
        <v>0.57152777777777775</v>
      </c>
      <c r="G847" s="338">
        <v>0.57430555555555551</v>
      </c>
      <c r="H847" s="338" t="s">
        <v>970</v>
      </c>
      <c r="I847" s="353">
        <v>734</v>
      </c>
      <c r="J847" s="338" t="str">
        <f>IFERROR(VLOOKUP(I847,'Chart of accounts'!A:H,2,FALSE),"")</f>
        <v>50103040 01</v>
      </c>
      <c r="K847" s="338" t="str">
        <f>IFERROR(VLOOKUP(I847,'Chart of accounts'!A:H,3,FALSE),"")</f>
        <v>ECIP - Civilian</v>
      </c>
      <c r="L847" s="338" t="str">
        <f>IFERROR(VLOOKUP(I847,'Chart of accounts'!A:H,4,FALSE),"")</f>
        <v>50103040 01 - ECIP - Civilian (734)</v>
      </c>
      <c r="M847" s="361">
        <v>68</v>
      </c>
      <c r="N847" s="355" t="s">
        <v>1176</v>
      </c>
      <c r="O847" s="355" t="s">
        <v>1260</v>
      </c>
      <c r="P847" s="355"/>
      <c r="Q847" s="363">
        <v>100</v>
      </c>
      <c r="R847" s="428">
        <f t="shared" si="21"/>
        <v>-100</v>
      </c>
      <c r="S847" s="428" t="str">
        <f>VLOOKUP(H847,'Fund Utilization Report'!$A$4:$U$1800,13,FALSE)</f>
        <v>PS</v>
      </c>
      <c r="T847" s="428" t="str">
        <f>VLOOKUP(H847,'Fund Utilization Report'!$A$4:$U$1800,2,FALSE)</f>
        <v>GAA</v>
      </c>
      <c r="U847" s="428" t="str">
        <f>VLOOKUP(H847,'Fund Utilization Report'!$A$4:$U$1800,3,FALSE)</f>
        <v>FY2021, RA11518</v>
      </c>
      <c r="V847" s="428" t="str">
        <f>VLOOKUP(H847,'Fund Utilization Report'!$A$4:$U$1800,4,FALSE)</f>
        <v>OO3</v>
      </c>
      <c r="W847" s="428" t="str">
        <f>VLOOKUP(H847,'Fund Utilization Report'!$A$4:$U$1800,5,FALSE)</f>
        <v>01101101</v>
      </c>
      <c r="X847" s="428" t="str">
        <f>VLOOKUP(H847,'Fund Utilization Report'!$A$4:$U$1800,6,FALSE)</f>
        <v>GOP</v>
      </c>
      <c r="Y847" s="320" t="str">
        <f>VLOOKUP(H847,'Fund Utilization Report'!$A$4:$U$1800,7,FALSE)</f>
        <v>PS</v>
      </c>
      <c r="Z847" s="425">
        <f>VLOOKUP(H847,'Fund Utilization Report'!$A$4:$U$1800,8,FALSE)</f>
        <v>5010000000</v>
      </c>
      <c r="AA847" s="428" t="str">
        <f>VLOOKUP(H847,'Fund Utilization Report'!$A$4:$U$1800,14,FALSE)</f>
        <v>330100100002000</v>
      </c>
      <c r="AB847" s="349" t="str">
        <f>VLOOKUP(H847,'Fund Utilization Report'!$A$4:$U$1800,15,FALSE)</f>
        <v>Implementation of the MSME Development Plan and other initiatives to promote the growth of Micro, Small and Medium Enterprises</v>
      </c>
      <c r="AC847" s="39"/>
      <c r="AD847" s="34"/>
      <c r="AE847" s="39"/>
      <c r="AF847" s="51"/>
      <c r="AG847" s="40"/>
      <c r="AH847" s="40"/>
    </row>
    <row r="848" spans="1:34" s="32" customFormat="1">
      <c r="A848" s="434" t="s">
        <v>942</v>
      </c>
      <c r="B848" s="457" t="s">
        <v>946</v>
      </c>
      <c r="C848" s="233">
        <v>44257</v>
      </c>
      <c r="D848" s="435" t="s">
        <v>1267</v>
      </c>
      <c r="E848" s="436" t="s">
        <v>1271</v>
      </c>
      <c r="F848" s="338">
        <v>0.57430555555555551</v>
      </c>
      <c r="G848" s="338">
        <v>0.5756944444444444</v>
      </c>
      <c r="H848" s="338" t="s">
        <v>961</v>
      </c>
      <c r="I848" s="353">
        <v>795</v>
      </c>
      <c r="J848" s="338" t="str">
        <f>IFERROR(VLOOKUP(I848,'Chart of accounts'!A:H,2,FALSE),"")</f>
        <v>50212990 00</v>
      </c>
      <c r="K848" s="338" t="str">
        <f>IFERROR(VLOOKUP(I848,'Chart of accounts'!A:H,3,FALSE),"")</f>
        <v>Other General Services</v>
      </c>
      <c r="L848" s="338" t="str">
        <f>IFERROR(VLOOKUP(I848,'Chart of accounts'!A:H,4,FALSE),"")</f>
        <v>50212990 00 - Other General Services (795)</v>
      </c>
      <c r="M848" s="361" t="s">
        <v>816</v>
      </c>
      <c r="N848" s="355" t="s">
        <v>1272</v>
      </c>
      <c r="O848" s="355" t="s">
        <v>1273</v>
      </c>
      <c r="P848" s="355"/>
      <c r="Q848" s="428">
        <v>2170</v>
      </c>
      <c r="R848" s="319">
        <f t="shared" si="20"/>
        <v>-2170</v>
      </c>
      <c r="S848" s="428" t="str">
        <f>VLOOKUP(H848,'Fund Utilization Report'!$A$4:$U$1800,13,FALSE)</f>
        <v>MOOE</v>
      </c>
      <c r="T848" s="428" t="str">
        <f>VLOOKUP(H848,'Fund Utilization Report'!$A$4:$U$1800,2,FALSE)</f>
        <v>GAA</v>
      </c>
      <c r="U848" s="428" t="str">
        <f>VLOOKUP(H848,'Fund Utilization Report'!$A$4:$U$1800,3,FALSE)</f>
        <v>FY2021, RA11518</v>
      </c>
      <c r="V848" s="428" t="str">
        <f>VLOOKUP(H848,'Fund Utilization Report'!$A$4:$U$1800,4,FALSE)</f>
        <v>GAS(GMS)</v>
      </c>
      <c r="W848" s="428" t="str">
        <f>VLOOKUP(H848,'Fund Utilization Report'!$A$4:$U$1800,5,FALSE)</f>
        <v>01101101</v>
      </c>
      <c r="X848" s="428" t="str">
        <f>VLOOKUP(H848,'Fund Utilization Report'!$A$4:$U$1800,6,FALSE)</f>
        <v>GOP</v>
      </c>
      <c r="Y848" s="320" t="str">
        <f>VLOOKUP(H848,'Fund Utilization Report'!$A$4:$U$1800,7,FALSE)</f>
        <v>MOOE</v>
      </c>
      <c r="Z848" s="425">
        <f>VLOOKUP(H848,'Fund Utilization Report'!$A$4:$U$1800,8,FALSE)</f>
        <v>5020000000</v>
      </c>
      <c r="AA848" s="428" t="str">
        <f>VLOOKUP(H848,'Fund Utilization Report'!$A$4:$U$1800,14,FALSE)</f>
        <v>100000100001000</v>
      </c>
      <c r="AB848" s="349" t="str">
        <f>VLOOKUP(H848,'Fund Utilization Report'!$A$4:$U$1800,15,FALSE)</f>
        <v>General Administration and Supervision - General Management and Supervision</v>
      </c>
      <c r="AC848" s="39"/>
      <c r="AD848" s="34"/>
      <c r="AE848" s="39"/>
      <c r="AF848" s="51"/>
      <c r="AG848" s="40"/>
      <c r="AH848" s="40"/>
    </row>
    <row r="849" spans="1:34" s="32" customFormat="1">
      <c r="A849" s="434" t="s">
        <v>942</v>
      </c>
      <c r="B849" s="457" t="s">
        <v>946</v>
      </c>
      <c r="C849" s="233">
        <v>44257</v>
      </c>
      <c r="D849" s="435" t="s">
        <v>1267</v>
      </c>
      <c r="E849" s="436" t="s">
        <v>1271</v>
      </c>
      <c r="F849" s="338">
        <v>0.57430555555555551</v>
      </c>
      <c r="G849" s="338">
        <v>0.5756944444444444</v>
      </c>
      <c r="H849" s="338" t="s">
        <v>961</v>
      </c>
      <c r="I849" s="353">
        <v>796</v>
      </c>
      <c r="J849" s="338" t="str">
        <f>IFERROR(VLOOKUP(I849,'Chart of accounts'!A:H,2,FALSE),"")</f>
        <v>50212020 00</v>
      </c>
      <c r="K849" s="338" t="str">
        <f>IFERROR(VLOOKUP(I849,'Chart of accounts'!A:H,3,FALSE),"")</f>
        <v>Janitorial Services</v>
      </c>
      <c r="L849" s="338" t="str">
        <f>IFERROR(VLOOKUP(I849,'Chart of accounts'!A:H,4,FALSE),"")</f>
        <v>50212020 00 - Janitorial Services (796)</v>
      </c>
      <c r="M849" s="361" t="s">
        <v>816</v>
      </c>
      <c r="N849" s="355" t="s">
        <v>1272</v>
      </c>
      <c r="O849" s="355" t="s">
        <v>1273</v>
      </c>
      <c r="P849" s="355"/>
      <c r="Q849" s="428">
        <f>3000+4000</f>
        <v>7000</v>
      </c>
      <c r="R849" s="319">
        <f t="shared" si="20"/>
        <v>-7000</v>
      </c>
      <c r="S849" s="428" t="str">
        <f>VLOOKUP(H849,'Fund Utilization Report'!$A$4:$U$1800,13,FALSE)</f>
        <v>MOOE</v>
      </c>
      <c r="T849" s="428" t="str">
        <f>VLOOKUP(H849,'Fund Utilization Report'!$A$4:$U$1800,2,FALSE)</f>
        <v>GAA</v>
      </c>
      <c r="U849" s="428" t="str">
        <f>VLOOKUP(H849,'Fund Utilization Report'!$A$4:$U$1800,3,FALSE)</f>
        <v>FY2021, RA11518</v>
      </c>
      <c r="V849" s="428" t="str">
        <f>VLOOKUP(H849,'Fund Utilization Report'!$A$4:$U$1800,4,FALSE)</f>
        <v>GAS(GMS)</v>
      </c>
      <c r="W849" s="428" t="str">
        <f>VLOOKUP(H849,'Fund Utilization Report'!$A$4:$U$1800,5,FALSE)</f>
        <v>01101101</v>
      </c>
      <c r="X849" s="428" t="str">
        <f>VLOOKUP(H849,'Fund Utilization Report'!$A$4:$U$1800,6,FALSE)</f>
        <v>GOP</v>
      </c>
      <c r="Y849" s="320" t="str">
        <f>VLOOKUP(H849,'Fund Utilization Report'!$A$4:$U$1800,7,FALSE)</f>
        <v>MOOE</v>
      </c>
      <c r="Z849" s="425">
        <f>VLOOKUP(H849,'Fund Utilization Report'!$A$4:$U$1800,8,FALSE)</f>
        <v>5020000000</v>
      </c>
      <c r="AA849" s="428" t="str">
        <f>VLOOKUP(H849,'Fund Utilization Report'!$A$4:$U$1800,14,FALSE)</f>
        <v>100000100001000</v>
      </c>
      <c r="AB849" s="349" t="str">
        <f>VLOOKUP(H849,'Fund Utilization Report'!$A$4:$U$1800,15,FALSE)</f>
        <v>General Administration and Supervision - General Management and Supervision</v>
      </c>
      <c r="AC849" s="39"/>
      <c r="AD849" s="34"/>
      <c r="AE849" s="39"/>
      <c r="AF849" s="51"/>
      <c r="AG849" s="40"/>
      <c r="AH849" s="40"/>
    </row>
    <row r="850" spans="1:34" s="32" customFormat="1" ht="41.4">
      <c r="A850" s="434" t="s">
        <v>942</v>
      </c>
      <c r="B850" s="457" t="s">
        <v>946</v>
      </c>
      <c r="C850" s="233">
        <v>44257</v>
      </c>
      <c r="D850" s="435" t="s">
        <v>1267</v>
      </c>
      <c r="E850" s="436" t="s">
        <v>1274</v>
      </c>
      <c r="F850" s="338">
        <v>0.5756944444444444</v>
      </c>
      <c r="G850" s="338">
        <v>0.57986111111111105</v>
      </c>
      <c r="H850" s="338" t="s">
        <v>982</v>
      </c>
      <c r="I850" s="353">
        <v>751</v>
      </c>
      <c r="J850" s="338" t="str">
        <f>IFERROR(VLOOKUP(I850,'Chart of accounts'!A:H,2,FALSE),"")</f>
        <v>50201010 00</v>
      </c>
      <c r="K850" s="338" t="str">
        <f>IFERROR(VLOOKUP(I850,'Chart of accounts'!A:H,3,FALSE),"")</f>
        <v>Traveling Expenses - Local</v>
      </c>
      <c r="L850" s="338" t="str">
        <f>IFERROR(VLOOKUP(I850,'Chart of accounts'!A:H,4,FALSE),"")</f>
        <v>50201010 00 - Traveling Expenses - Local (751)</v>
      </c>
      <c r="M850" s="361">
        <v>1</v>
      </c>
      <c r="N850" s="355" t="s">
        <v>1275</v>
      </c>
      <c r="O850" s="355" t="s">
        <v>1276</v>
      </c>
      <c r="P850" s="355"/>
      <c r="Q850" s="363">
        <v>1200</v>
      </c>
      <c r="R850" s="319">
        <f t="shared" si="20"/>
        <v>-1200</v>
      </c>
      <c r="S850" s="428" t="str">
        <f>VLOOKUP(H850,'Fund Utilization Report'!$A$4:$U$1800,13,FALSE)</f>
        <v>MOOE</v>
      </c>
      <c r="T850" s="428" t="str">
        <f>VLOOKUP(H850,'Fund Utilization Report'!$A$4:$U$1800,2,FALSE)</f>
        <v>GAA</v>
      </c>
      <c r="U850" s="428" t="str">
        <f>VLOOKUP(H850,'Fund Utilization Report'!$A$4:$U$1800,3,FALSE)</f>
        <v>FY2021, RA11518</v>
      </c>
      <c r="V850" s="428" t="str">
        <f>VLOOKUP(H850,'Fund Utilization Report'!$A$4:$U$1800,4,FALSE)</f>
        <v>OTOP</v>
      </c>
      <c r="W850" s="428" t="str">
        <f>VLOOKUP(H850,'Fund Utilization Report'!$A$4:$U$1800,5,FALSE)</f>
        <v>01101101</v>
      </c>
      <c r="X850" s="428" t="str">
        <f>VLOOKUP(H850,'Fund Utilization Report'!$A$4:$U$1800,6,FALSE)</f>
        <v>GOP</v>
      </c>
      <c r="Y850" s="320" t="str">
        <f>VLOOKUP(H850,'Fund Utilization Report'!$A$4:$U$1800,7,FALSE)</f>
        <v>MOOE</v>
      </c>
      <c r="Z850" s="425">
        <f>VLOOKUP(H850,'Fund Utilization Report'!$A$4:$U$1800,8,FALSE)</f>
        <v>5020000000</v>
      </c>
      <c r="AA850" s="428" t="str">
        <f>VLOOKUP(H850,'Fund Utilization Report'!$A$4:$U$1800,14,FALSE)</f>
        <v>330100200002000</v>
      </c>
      <c r="AB850" s="349" t="str">
        <f>VLOOKUP(H850,'Fund Utilization Report'!$A$4:$U$1800,15,FALSE)</f>
        <v>OTOP - Next Generation</v>
      </c>
      <c r="AC850" s="39"/>
      <c r="AD850" s="34"/>
      <c r="AE850" s="39"/>
      <c r="AF850" s="51"/>
      <c r="AG850" s="40"/>
      <c r="AH850" s="40"/>
    </row>
    <row r="851" spans="1:34" s="32" customFormat="1">
      <c r="A851" s="434" t="s">
        <v>942</v>
      </c>
      <c r="B851" s="457" t="s">
        <v>946</v>
      </c>
      <c r="C851" s="233">
        <v>44257</v>
      </c>
      <c r="D851" s="435" t="s">
        <v>1267</v>
      </c>
      <c r="E851" s="436" t="s">
        <v>1277</v>
      </c>
      <c r="F851" s="338">
        <v>0.57986111111111105</v>
      </c>
      <c r="G851" s="338">
        <v>0.5805555555555556</v>
      </c>
      <c r="H851" s="338" t="s">
        <v>961</v>
      </c>
      <c r="I851" s="353">
        <v>755</v>
      </c>
      <c r="J851" s="338" t="str">
        <f>IFERROR(VLOOKUP(I851,'Chart of accounts'!A:H,2,FALSE),"")</f>
        <v>50203010 00</v>
      </c>
      <c r="K851" s="338" t="str">
        <f>IFERROR(VLOOKUP(I851,'Chart of accounts'!A:H,3,FALSE),"")</f>
        <v>Office Supplies Expenses</v>
      </c>
      <c r="L851" s="338" t="str">
        <f>IFERROR(VLOOKUP(I851,'Chart of accounts'!A:H,4,FALSE),"")</f>
        <v>50203010 00 - Office Supplies Expenses (755)</v>
      </c>
      <c r="M851" s="361">
        <v>1</v>
      </c>
      <c r="N851" s="355" t="s">
        <v>1036</v>
      </c>
      <c r="O851" s="355" t="s">
        <v>1207</v>
      </c>
      <c r="P851" s="355"/>
      <c r="Q851" s="363">
        <v>2404.7800000000002</v>
      </c>
      <c r="R851" s="319">
        <f t="shared" si="20"/>
        <v>-2404.7800000000002</v>
      </c>
      <c r="S851" s="428" t="str">
        <f>VLOOKUP(H851,'Fund Utilization Report'!$A$4:$U$1800,13,FALSE)</f>
        <v>MOOE</v>
      </c>
      <c r="T851" s="428" t="str">
        <f>VLOOKUP(H851,'Fund Utilization Report'!$A$4:$U$1800,2,FALSE)</f>
        <v>GAA</v>
      </c>
      <c r="U851" s="428" t="str">
        <f>VLOOKUP(H851,'Fund Utilization Report'!$A$4:$U$1800,3,FALSE)</f>
        <v>FY2021, RA11518</v>
      </c>
      <c r="V851" s="428" t="str">
        <f>VLOOKUP(H851,'Fund Utilization Report'!$A$4:$U$1800,4,FALSE)</f>
        <v>GAS(GMS)</v>
      </c>
      <c r="W851" s="428" t="str">
        <f>VLOOKUP(H851,'Fund Utilization Report'!$A$4:$U$1800,5,FALSE)</f>
        <v>01101101</v>
      </c>
      <c r="X851" s="428" t="str">
        <f>VLOOKUP(H851,'Fund Utilization Report'!$A$4:$U$1800,6,FALSE)</f>
        <v>GOP</v>
      </c>
      <c r="Y851" s="320" t="str">
        <f>VLOOKUP(H851,'Fund Utilization Report'!$A$4:$U$1800,7,FALSE)</f>
        <v>MOOE</v>
      </c>
      <c r="Z851" s="425">
        <f>VLOOKUP(H851,'Fund Utilization Report'!$A$4:$U$1800,8,FALSE)</f>
        <v>5020000000</v>
      </c>
      <c r="AA851" s="428" t="str">
        <f>VLOOKUP(H851,'Fund Utilization Report'!$A$4:$U$1800,14,FALSE)</f>
        <v>100000100001000</v>
      </c>
      <c r="AB851" s="349" t="str">
        <f>VLOOKUP(H851,'Fund Utilization Report'!$A$4:$U$1800,15,FALSE)</f>
        <v>General Administration and Supervision - General Management and Supervision</v>
      </c>
      <c r="AC851" s="39"/>
      <c r="AD851" s="34"/>
      <c r="AE851" s="39"/>
      <c r="AF851" s="51"/>
      <c r="AG851" s="40"/>
      <c r="AH851" s="40"/>
    </row>
    <row r="852" spans="1:34" s="443" customFormat="1" ht="41.4">
      <c r="A852" s="434" t="s">
        <v>942</v>
      </c>
      <c r="B852" s="457" t="s">
        <v>946</v>
      </c>
      <c r="C852" s="233">
        <v>44257</v>
      </c>
      <c r="D852" s="435" t="s">
        <v>1267</v>
      </c>
      <c r="E852" s="436" t="s">
        <v>1278</v>
      </c>
      <c r="F852" s="338">
        <v>0.5805555555555556</v>
      </c>
      <c r="G852" s="434">
        <v>0.5854166666666667</v>
      </c>
      <c r="H852" s="434" t="s">
        <v>961</v>
      </c>
      <c r="I852" s="437">
        <v>753</v>
      </c>
      <c r="J852" s="434" t="str">
        <f>IFERROR(VLOOKUP(I852,'Chart of accounts'!A:H,2,FALSE),"")</f>
        <v>50202010 00</v>
      </c>
      <c r="K852" s="434" t="str">
        <f>IFERROR(VLOOKUP(I852,'Chart of accounts'!A:H,3,FALSE),"")</f>
        <v>Training Expenses</v>
      </c>
      <c r="L852" s="434" t="str">
        <f>IFERROR(VLOOKUP(I852,'Chart of accounts'!A:H,4,FALSE),"")</f>
        <v>50202010 00 - Training Expenses (753)</v>
      </c>
      <c r="M852" s="438" t="s">
        <v>1256</v>
      </c>
      <c r="N852" s="439" t="s">
        <v>1257</v>
      </c>
      <c r="O852" s="439" t="s">
        <v>1258</v>
      </c>
      <c r="P852" s="439"/>
      <c r="Q852" s="50">
        <f>2800</f>
        <v>2800</v>
      </c>
      <c r="R852" s="239">
        <f t="shared" ref="R852:R866" si="22">P852-Q852</f>
        <v>-2800</v>
      </c>
      <c r="S852" s="239" t="str">
        <f>VLOOKUP(H852,'Fund Utilization Report'!$A$4:$U$1800,13,FALSE)</f>
        <v>MOOE</v>
      </c>
      <c r="T852" s="239" t="str">
        <f>VLOOKUP(H852,'Fund Utilization Report'!$A$4:$U$1800,2,FALSE)</f>
        <v>GAA</v>
      </c>
      <c r="U852" s="239" t="str">
        <f>VLOOKUP(H852,'Fund Utilization Report'!$A$4:$U$1800,3,FALSE)</f>
        <v>FY2021, RA11518</v>
      </c>
      <c r="V852" s="239" t="str">
        <f>VLOOKUP(H852,'Fund Utilization Report'!$A$4:$U$1800,4,FALSE)</f>
        <v>GAS(GMS)</v>
      </c>
      <c r="W852" s="239" t="str">
        <f>VLOOKUP(H852,'Fund Utilization Report'!$A$4:$U$1800,5,FALSE)</f>
        <v>01101101</v>
      </c>
      <c r="X852" s="239" t="str">
        <f>VLOOKUP(H852,'Fund Utilization Report'!$A$4:$U$1800,6,FALSE)</f>
        <v>GOP</v>
      </c>
      <c r="Y852" s="440" t="str">
        <f>VLOOKUP(H852,'Fund Utilization Report'!$A$4:$U$1800,7,FALSE)</f>
        <v>MOOE</v>
      </c>
      <c r="Z852" s="441">
        <f>VLOOKUP(H852,'Fund Utilization Report'!$A$4:$U$1800,8,FALSE)</f>
        <v>5020000000</v>
      </c>
      <c r="AA852" s="239" t="str">
        <f>VLOOKUP(H852,'Fund Utilization Report'!$A$4:$U$1800,14,FALSE)</f>
        <v>100000100001000</v>
      </c>
      <c r="AB852" s="242" t="str">
        <f>VLOOKUP(H852,'Fund Utilization Report'!$A$4:$U$1800,15,FALSE)</f>
        <v>General Administration and Supervision - General Management and Supervision</v>
      </c>
      <c r="AC852" s="51"/>
      <c r="AD852" s="435"/>
      <c r="AE852" s="51"/>
      <c r="AF852" s="51"/>
      <c r="AG852" s="442"/>
      <c r="AH852" s="442"/>
    </row>
    <row r="853" spans="1:34" s="443" customFormat="1" ht="27.6">
      <c r="A853" s="434" t="s">
        <v>942</v>
      </c>
      <c r="B853" s="457" t="s">
        <v>946</v>
      </c>
      <c r="C853" s="233">
        <v>44257</v>
      </c>
      <c r="D853" s="435" t="s">
        <v>1267</v>
      </c>
      <c r="E853" s="436" t="s">
        <v>1279</v>
      </c>
      <c r="F853" s="434">
        <v>0.5854166666666667</v>
      </c>
      <c r="G853" s="434">
        <v>0.58680555555555558</v>
      </c>
      <c r="H853" s="434" t="s">
        <v>970</v>
      </c>
      <c r="I853" s="437">
        <v>701</v>
      </c>
      <c r="J853" s="434" t="str">
        <f>IFERROR(VLOOKUP(I853,'Chart of accounts'!A:H,2,FALSE),"")</f>
        <v>50101010 01</v>
      </c>
      <c r="K853" s="434" t="str">
        <f>IFERROR(VLOOKUP(I853,'Chart of accounts'!A:H,3,FALSE),"")</f>
        <v>Basic Salary - Civilian</v>
      </c>
      <c r="L853" s="434" t="str">
        <f>IFERROR(VLOOKUP(I853,'Chart of accounts'!A:H,4,FALSE),"")</f>
        <v>50101010 01 - Basic Salary - Civilian (701)</v>
      </c>
      <c r="M853" s="438">
        <v>2</v>
      </c>
      <c r="N853" s="439" t="s">
        <v>1172</v>
      </c>
      <c r="O853" s="439" t="s">
        <v>1260</v>
      </c>
      <c r="P853" s="439"/>
      <c r="Q853" s="50">
        <f>23877</f>
        <v>23877</v>
      </c>
      <c r="R853" s="239">
        <f t="shared" si="22"/>
        <v>-23877</v>
      </c>
      <c r="S853" s="239" t="str">
        <f>VLOOKUP(H853,'Fund Utilization Report'!$A$4:$U$1800,13,FALSE)</f>
        <v>PS</v>
      </c>
      <c r="T853" s="239" t="str">
        <f>VLOOKUP(H853,'Fund Utilization Report'!$A$4:$U$1800,2,FALSE)</f>
        <v>GAA</v>
      </c>
      <c r="U853" s="239" t="str">
        <f>VLOOKUP(H853,'Fund Utilization Report'!$A$4:$U$1800,3,FALSE)</f>
        <v>FY2021, RA11518</v>
      </c>
      <c r="V853" s="239" t="str">
        <f>VLOOKUP(H853,'Fund Utilization Report'!$A$4:$U$1800,4,FALSE)</f>
        <v>OO3</v>
      </c>
      <c r="W853" s="239" t="str">
        <f>VLOOKUP(H853,'Fund Utilization Report'!$A$4:$U$1800,5,FALSE)</f>
        <v>01101101</v>
      </c>
      <c r="X853" s="239" t="str">
        <f>VLOOKUP(H853,'Fund Utilization Report'!$A$4:$U$1800,6,FALSE)</f>
        <v>GOP</v>
      </c>
      <c r="Y853" s="440" t="str">
        <f>VLOOKUP(H853,'Fund Utilization Report'!$A$4:$U$1800,7,FALSE)</f>
        <v>PS</v>
      </c>
      <c r="Z853" s="441">
        <f>VLOOKUP(H853,'Fund Utilization Report'!$A$4:$U$1800,8,FALSE)</f>
        <v>5010000000</v>
      </c>
      <c r="AA853" s="239" t="str">
        <f>VLOOKUP(H853,'Fund Utilization Report'!$A$4:$U$1800,14,FALSE)</f>
        <v>330100100002000</v>
      </c>
      <c r="AB853" s="242" t="str">
        <f>VLOOKUP(H853,'Fund Utilization Report'!$A$4:$U$1800,15,FALSE)</f>
        <v>Implementation of the MSME Development Plan and other initiatives to promote the growth of Micro, Small and Medium Enterprises</v>
      </c>
      <c r="AC853" s="51"/>
      <c r="AD853" s="435"/>
      <c r="AE853" s="51"/>
      <c r="AF853" s="51"/>
      <c r="AG853" s="442"/>
      <c r="AH853" s="442"/>
    </row>
    <row r="854" spans="1:34" s="443" customFormat="1" ht="27.6">
      <c r="A854" s="434" t="s">
        <v>942</v>
      </c>
      <c r="B854" s="457" t="s">
        <v>946</v>
      </c>
      <c r="C854" s="233">
        <v>44257</v>
      </c>
      <c r="D854" s="435" t="s">
        <v>1267</v>
      </c>
      <c r="E854" s="436" t="s">
        <v>1279</v>
      </c>
      <c r="F854" s="434">
        <v>0.5854166666666667</v>
      </c>
      <c r="G854" s="434">
        <v>0.58680555555555558</v>
      </c>
      <c r="H854" s="434" t="s">
        <v>970</v>
      </c>
      <c r="I854" s="437">
        <v>711</v>
      </c>
      <c r="J854" s="434" t="str">
        <f>IFERROR(VLOOKUP(I854,'Chart of accounts'!A:H,2,FALSE),"")</f>
        <v>50102010 01</v>
      </c>
      <c r="K854" s="434" t="str">
        <f>IFERROR(VLOOKUP(I854,'Chart of accounts'!A:H,3,FALSE),"")</f>
        <v>PERA - Civilian</v>
      </c>
      <c r="L854" s="434" t="str">
        <f>IFERROR(VLOOKUP(I854,'Chart of accounts'!A:H,4,FALSE),"")</f>
        <v>50102010 01 - PERA - Civilian (711)</v>
      </c>
      <c r="M854" s="438">
        <v>2</v>
      </c>
      <c r="N854" s="439" t="s">
        <v>1172</v>
      </c>
      <c r="O854" s="439" t="s">
        <v>1260</v>
      </c>
      <c r="P854" s="439"/>
      <c r="Q854" s="50">
        <f>2000</f>
        <v>2000</v>
      </c>
      <c r="R854" s="239">
        <f t="shared" si="22"/>
        <v>-2000</v>
      </c>
      <c r="S854" s="239" t="str">
        <f>VLOOKUP(H854,'Fund Utilization Report'!$A$4:$U$1800,13,FALSE)</f>
        <v>PS</v>
      </c>
      <c r="T854" s="239" t="str">
        <f>VLOOKUP(H854,'Fund Utilization Report'!$A$4:$U$1800,2,FALSE)</f>
        <v>GAA</v>
      </c>
      <c r="U854" s="239" t="str">
        <f>VLOOKUP(H854,'Fund Utilization Report'!$A$4:$U$1800,3,FALSE)</f>
        <v>FY2021, RA11518</v>
      </c>
      <c r="V854" s="239" t="str">
        <f>VLOOKUP(H854,'Fund Utilization Report'!$A$4:$U$1800,4,FALSE)</f>
        <v>OO3</v>
      </c>
      <c r="W854" s="239" t="str">
        <f>VLOOKUP(H854,'Fund Utilization Report'!$A$4:$U$1800,5,FALSE)</f>
        <v>01101101</v>
      </c>
      <c r="X854" s="239" t="str">
        <f>VLOOKUP(H854,'Fund Utilization Report'!$A$4:$U$1800,6,FALSE)</f>
        <v>GOP</v>
      </c>
      <c r="Y854" s="440" t="str">
        <f>VLOOKUP(H854,'Fund Utilization Report'!$A$4:$U$1800,7,FALSE)</f>
        <v>PS</v>
      </c>
      <c r="Z854" s="441">
        <f>VLOOKUP(H854,'Fund Utilization Report'!$A$4:$U$1800,8,FALSE)</f>
        <v>5010000000</v>
      </c>
      <c r="AA854" s="239" t="str">
        <f>VLOOKUP(H854,'Fund Utilization Report'!$A$4:$U$1800,14,FALSE)</f>
        <v>330100100002000</v>
      </c>
      <c r="AB854" s="242" t="str">
        <f>VLOOKUP(H854,'Fund Utilization Report'!$A$4:$U$1800,15,FALSE)</f>
        <v>Implementation of the MSME Development Plan and other initiatives to promote the growth of Micro, Small and Medium Enterprises</v>
      </c>
      <c r="AC854" s="51"/>
      <c r="AD854" s="435"/>
      <c r="AE854" s="51"/>
      <c r="AF854" s="51"/>
      <c r="AG854" s="442"/>
      <c r="AH854" s="442"/>
    </row>
    <row r="855" spans="1:34" s="443" customFormat="1" ht="27.6">
      <c r="A855" s="434" t="s">
        <v>942</v>
      </c>
      <c r="B855" s="457" t="s">
        <v>946</v>
      </c>
      <c r="C855" s="233">
        <v>44257</v>
      </c>
      <c r="D855" s="435" t="s">
        <v>1267</v>
      </c>
      <c r="E855" s="436" t="s">
        <v>1279</v>
      </c>
      <c r="F855" s="434">
        <v>0.5854166666666667</v>
      </c>
      <c r="G855" s="434">
        <v>0.58680555555555558</v>
      </c>
      <c r="H855" s="434" t="s">
        <v>972</v>
      </c>
      <c r="I855" s="437">
        <v>731</v>
      </c>
      <c r="J855" s="434" t="str">
        <f>IFERROR(VLOOKUP(I855,'Chart of accounts'!A:H,2,FALSE),"")</f>
        <v>50103010 00</v>
      </c>
      <c r="K855" s="434" t="str">
        <f>IFERROR(VLOOKUP(I855,'Chart of accounts'!A:H,3,FALSE),"")</f>
        <v>Retirement and Life Insurance Premiums</v>
      </c>
      <c r="L855" s="434" t="str">
        <f>IFERROR(VLOOKUP(I855,'Chart of accounts'!A:H,4,FALSE),"")</f>
        <v>50103010 00 - Retirement and Life Insurance Premiums (731)</v>
      </c>
      <c r="M855" s="438">
        <v>2</v>
      </c>
      <c r="N855" s="439" t="s">
        <v>1172</v>
      </c>
      <c r="O855" s="439" t="s">
        <v>1260</v>
      </c>
      <c r="P855" s="439"/>
      <c r="Q855" s="50">
        <f>2865.24</f>
        <v>2865.24</v>
      </c>
      <c r="R855" s="239">
        <f t="shared" si="22"/>
        <v>-2865.24</v>
      </c>
      <c r="S855" s="239" t="str">
        <f>VLOOKUP(H855,'Fund Utilization Report'!$A$4:$U$1800,13,FALSE)</f>
        <v>PS</v>
      </c>
      <c r="T855" s="239" t="str">
        <f>VLOOKUP(H855,'Fund Utilization Report'!$A$4:$U$1800,2,FALSE)</f>
        <v>GAA</v>
      </c>
      <c r="U855" s="239" t="str">
        <f>VLOOKUP(H855,'Fund Utilization Report'!$A$4:$U$1800,3,FALSE)</f>
        <v>FY2021, RA11518</v>
      </c>
      <c r="V855" s="239" t="str">
        <f>VLOOKUP(H855,'Fund Utilization Report'!$A$4:$U$1800,4,FALSE)</f>
        <v>OO3</v>
      </c>
      <c r="W855" s="239" t="str">
        <f>VLOOKUP(H855,'Fund Utilization Report'!$A$4:$U$1800,5,FALSE)</f>
        <v>01101101</v>
      </c>
      <c r="X855" s="239" t="str">
        <f>VLOOKUP(H855,'Fund Utilization Report'!$A$4:$U$1800,6,FALSE)</f>
        <v>GOP</v>
      </c>
      <c r="Y855" s="440" t="str">
        <f>VLOOKUP(H855,'Fund Utilization Report'!$A$4:$U$1800,7,FALSE)</f>
        <v>RLIP</v>
      </c>
      <c r="Z855" s="441" t="str">
        <f>VLOOKUP(H855,'Fund Utilization Report'!$A$4:$U$1800,8,FALSE)</f>
        <v>50103010-00</v>
      </c>
      <c r="AA855" s="239" t="str">
        <f>VLOOKUP(H855,'Fund Utilization Report'!$A$4:$U$1800,14,FALSE)</f>
        <v>330100100002000</v>
      </c>
      <c r="AB855" s="242" t="str">
        <f>VLOOKUP(H855,'Fund Utilization Report'!$A$4:$U$1800,15,FALSE)</f>
        <v>Implementation of the MSME Development Plan and other initiatives to promote the growth of Micro, Small and Medium Enterprises</v>
      </c>
      <c r="AC855" s="51"/>
      <c r="AD855" s="435"/>
      <c r="AE855" s="51"/>
      <c r="AF855" s="51"/>
      <c r="AG855" s="442"/>
      <c r="AH855" s="442"/>
    </row>
    <row r="856" spans="1:34" s="443" customFormat="1" ht="27.6">
      <c r="A856" s="434" t="s">
        <v>942</v>
      </c>
      <c r="B856" s="457" t="s">
        <v>946</v>
      </c>
      <c r="C856" s="233">
        <v>44257</v>
      </c>
      <c r="D856" s="435" t="s">
        <v>1267</v>
      </c>
      <c r="E856" s="436" t="s">
        <v>1279</v>
      </c>
      <c r="F856" s="434">
        <v>0.5854166666666667</v>
      </c>
      <c r="G856" s="434">
        <v>0.58680555555555558</v>
      </c>
      <c r="H856" s="434" t="s">
        <v>970</v>
      </c>
      <c r="I856" s="437">
        <v>732</v>
      </c>
      <c r="J856" s="434" t="str">
        <f>IFERROR(VLOOKUP(I856,'Chart of accounts'!A:H,2,FALSE),"")</f>
        <v>50103020 01</v>
      </c>
      <c r="K856" s="434" t="str">
        <f>IFERROR(VLOOKUP(I856,'Chart of accounts'!A:H,3,FALSE),"")</f>
        <v>Pag-IBIG - Civilian</v>
      </c>
      <c r="L856" s="434" t="str">
        <f>IFERROR(VLOOKUP(I856,'Chart of accounts'!A:H,4,FALSE),"")</f>
        <v>50103020 01 - Pag-IBIG - Civilian (732)</v>
      </c>
      <c r="M856" s="438">
        <v>2</v>
      </c>
      <c r="N856" s="439" t="s">
        <v>1172</v>
      </c>
      <c r="O856" s="439" t="s">
        <v>1260</v>
      </c>
      <c r="P856" s="439"/>
      <c r="Q856" s="50">
        <f>100</f>
        <v>100</v>
      </c>
      <c r="R856" s="239">
        <f t="shared" si="22"/>
        <v>-100</v>
      </c>
      <c r="S856" s="239" t="str">
        <f>VLOOKUP(H856,'Fund Utilization Report'!$A$4:$U$1800,13,FALSE)</f>
        <v>PS</v>
      </c>
      <c r="T856" s="239" t="str">
        <f>VLOOKUP(H856,'Fund Utilization Report'!$A$4:$U$1800,2,FALSE)</f>
        <v>GAA</v>
      </c>
      <c r="U856" s="239" t="str">
        <f>VLOOKUP(H856,'Fund Utilization Report'!$A$4:$U$1800,3,FALSE)</f>
        <v>FY2021, RA11518</v>
      </c>
      <c r="V856" s="239" t="str">
        <f>VLOOKUP(H856,'Fund Utilization Report'!$A$4:$U$1800,4,FALSE)</f>
        <v>OO3</v>
      </c>
      <c r="W856" s="239" t="str">
        <f>VLOOKUP(H856,'Fund Utilization Report'!$A$4:$U$1800,5,FALSE)</f>
        <v>01101101</v>
      </c>
      <c r="X856" s="239" t="str">
        <f>VLOOKUP(H856,'Fund Utilization Report'!$A$4:$U$1800,6,FALSE)</f>
        <v>GOP</v>
      </c>
      <c r="Y856" s="440" t="str">
        <f>VLOOKUP(H856,'Fund Utilization Report'!$A$4:$U$1800,7,FALSE)</f>
        <v>PS</v>
      </c>
      <c r="Z856" s="441">
        <f>VLOOKUP(H856,'Fund Utilization Report'!$A$4:$U$1800,8,FALSE)</f>
        <v>5010000000</v>
      </c>
      <c r="AA856" s="239" t="str">
        <f>VLOOKUP(H856,'Fund Utilization Report'!$A$4:$U$1800,14,FALSE)</f>
        <v>330100100002000</v>
      </c>
      <c r="AB856" s="242" t="str">
        <f>VLOOKUP(H856,'Fund Utilization Report'!$A$4:$U$1800,15,FALSE)</f>
        <v>Implementation of the MSME Development Plan and other initiatives to promote the growth of Micro, Small and Medium Enterprises</v>
      </c>
      <c r="AC856" s="51"/>
      <c r="AD856" s="435"/>
      <c r="AE856" s="51"/>
      <c r="AF856" s="51"/>
      <c r="AG856" s="442"/>
      <c r="AH856" s="442"/>
    </row>
    <row r="857" spans="1:34" s="443" customFormat="1" ht="27.6">
      <c r="A857" s="434" t="s">
        <v>942</v>
      </c>
      <c r="B857" s="457" t="s">
        <v>946</v>
      </c>
      <c r="C857" s="233">
        <v>44257</v>
      </c>
      <c r="D857" s="435" t="s">
        <v>1267</v>
      </c>
      <c r="E857" s="436" t="s">
        <v>1279</v>
      </c>
      <c r="F857" s="434">
        <v>0.5854166666666667</v>
      </c>
      <c r="G857" s="434">
        <v>0.58680555555555558</v>
      </c>
      <c r="H857" s="434" t="s">
        <v>970</v>
      </c>
      <c r="I857" s="437">
        <v>733</v>
      </c>
      <c r="J857" s="434" t="str">
        <f>IFERROR(VLOOKUP(I857,'Chart of accounts'!A:H,2,FALSE),"")</f>
        <v>50103030 01</v>
      </c>
      <c r="K857" s="434" t="str">
        <f>IFERROR(VLOOKUP(I857,'Chart of accounts'!A:H,3,FALSE),"")</f>
        <v>PhilHealth - Civilian</v>
      </c>
      <c r="L857" s="434" t="str">
        <f>IFERROR(VLOOKUP(I857,'Chart of accounts'!A:H,4,FALSE),"")</f>
        <v>50103030 01 - PhilHealth - Civilian (733)</v>
      </c>
      <c r="M857" s="438">
        <v>2</v>
      </c>
      <c r="N857" s="439" t="s">
        <v>1172</v>
      </c>
      <c r="O857" s="439" t="s">
        <v>1260</v>
      </c>
      <c r="P857" s="439"/>
      <c r="Q857" s="50">
        <f>358.16</f>
        <v>358.16</v>
      </c>
      <c r="R857" s="239">
        <f t="shared" si="22"/>
        <v>-358.16</v>
      </c>
      <c r="S857" s="239" t="str">
        <f>VLOOKUP(H857,'Fund Utilization Report'!$A$4:$U$1800,13,FALSE)</f>
        <v>PS</v>
      </c>
      <c r="T857" s="239" t="str">
        <f>VLOOKUP(H857,'Fund Utilization Report'!$A$4:$U$1800,2,FALSE)</f>
        <v>GAA</v>
      </c>
      <c r="U857" s="239" t="str">
        <f>VLOOKUP(H857,'Fund Utilization Report'!$A$4:$U$1800,3,FALSE)</f>
        <v>FY2021, RA11518</v>
      </c>
      <c r="V857" s="239" t="str">
        <f>VLOOKUP(H857,'Fund Utilization Report'!$A$4:$U$1800,4,FALSE)</f>
        <v>OO3</v>
      </c>
      <c r="W857" s="239" t="str">
        <f>VLOOKUP(H857,'Fund Utilization Report'!$A$4:$U$1800,5,FALSE)</f>
        <v>01101101</v>
      </c>
      <c r="X857" s="239" t="str">
        <f>VLOOKUP(H857,'Fund Utilization Report'!$A$4:$U$1800,6,FALSE)</f>
        <v>GOP</v>
      </c>
      <c r="Y857" s="440" t="str">
        <f>VLOOKUP(H857,'Fund Utilization Report'!$A$4:$U$1800,7,FALSE)</f>
        <v>PS</v>
      </c>
      <c r="Z857" s="441">
        <f>VLOOKUP(H857,'Fund Utilization Report'!$A$4:$U$1800,8,FALSE)</f>
        <v>5010000000</v>
      </c>
      <c r="AA857" s="239" t="str">
        <f>VLOOKUP(H857,'Fund Utilization Report'!$A$4:$U$1800,14,FALSE)</f>
        <v>330100100002000</v>
      </c>
      <c r="AB857" s="242" t="str">
        <f>VLOOKUP(H857,'Fund Utilization Report'!$A$4:$U$1800,15,FALSE)</f>
        <v>Implementation of the MSME Development Plan and other initiatives to promote the growth of Micro, Small and Medium Enterprises</v>
      </c>
      <c r="AC857" s="51"/>
      <c r="AD857" s="435"/>
      <c r="AE857" s="51"/>
      <c r="AF857" s="51"/>
      <c r="AG857" s="442"/>
      <c r="AH857" s="442"/>
    </row>
    <row r="858" spans="1:34" s="443" customFormat="1" ht="27.6">
      <c r="A858" s="434" t="s">
        <v>942</v>
      </c>
      <c r="B858" s="457" t="s">
        <v>946</v>
      </c>
      <c r="C858" s="233">
        <v>44257</v>
      </c>
      <c r="D858" s="435" t="s">
        <v>1267</v>
      </c>
      <c r="E858" s="436" t="s">
        <v>1279</v>
      </c>
      <c r="F858" s="434">
        <v>0.5854166666666667</v>
      </c>
      <c r="G858" s="434">
        <v>0.58680555555555558</v>
      </c>
      <c r="H858" s="434" t="s">
        <v>970</v>
      </c>
      <c r="I858" s="437">
        <v>734</v>
      </c>
      <c r="J858" s="434" t="str">
        <f>IFERROR(VLOOKUP(I858,'Chart of accounts'!A:H,2,FALSE),"")</f>
        <v>50103040 01</v>
      </c>
      <c r="K858" s="434" t="str">
        <f>IFERROR(VLOOKUP(I858,'Chart of accounts'!A:H,3,FALSE),"")</f>
        <v>ECIP - Civilian</v>
      </c>
      <c r="L858" s="434" t="str">
        <f>IFERROR(VLOOKUP(I858,'Chart of accounts'!A:H,4,FALSE),"")</f>
        <v>50103040 01 - ECIP - Civilian (734)</v>
      </c>
      <c r="M858" s="438">
        <v>2</v>
      </c>
      <c r="N858" s="439" t="s">
        <v>1172</v>
      </c>
      <c r="O858" s="439" t="s">
        <v>1260</v>
      </c>
      <c r="P858" s="439"/>
      <c r="Q858" s="50">
        <f>100</f>
        <v>100</v>
      </c>
      <c r="R858" s="239">
        <f t="shared" si="22"/>
        <v>-100</v>
      </c>
      <c r="S858" s="239" t="str">
        <f>VLOOKUP(H858,'Fund Utilization Report'!$A$4:$U$1800,13,FALSE)</f>
        <v>PS</v>
      </c>
      <c r="T858" s="239" t="str">
        <f>VLOOKUP(H858,'Fund Utilization Report'!$A$4:$U$1800,2,FALSE)</f>
        <v>GAA</v>
      </c>
      <c r="U858" s="239" t="str">
        <f>VLOOKUP(H858,'Fund Utilization Report'!$A$4:$U$1800,3,FALSE)</f>
        <v>FY2021, RA11518</v>
      </c>
      <c r="V858" s="239" t="str">
        <f>VLOOKUP(H858,'Fund Utilization Report'!$A$4:$U$1800,4,FALSE)</f>
        <v>OO3</v>
      </c>
      <c r="W858" s="239" t="str">
        <f>VLOOKUP(H858,'Fund Utilization Report'!$A$4:$U$1800,5,FALSE)</f>
        <v>01101101</v>
      </c>
      <c r="X858" s="239" t="str">
        <f>VLOOKUP(H858,'Fund Utilization Report'!$A$4:$U$1800,6,FALSE)</f>
        <v>GOP</v>
      </c>
      <c r="Y858" s="440" t="str">
        <f>VLOOKUP(H858,'Fund Utilization Report'!$A$4:$U$1800,7,FALSE)</f>
        <v>PS</v>
      </c>
      <c r="Z858" s="441">
        <f>VLOOKUP(H858,'Fund Utilization Report'!$A$4:$U$1800,8,FALSE)</f>
        <v>5010000000</v>
      </c>
      <c r="AA858" s="239" t="str">
        <f>VLOOKUP(H858,'Fund Utilization Report'!$A$4:$U$1800,14,FALSE)</f>
        <v>330100100002000</v>
      </c>
      <c r="AB858" s="242" t="str">
        <f>VLOOKUP(H858,'Fund Utilization Report'!$A$4:$U$1800,15,FALSE)</f>
        <v>Implementation of the MSME Development Plan and other initiatives to promote the growth of Micro, Small and Medium Enterprises</v>
      </c>
      <c r="AC858" s="51"/>
      <c r="AD858" s="435"/>
      <c r="AE858" s="51"/>
      <c r="AF858" s="51"/>
      <c r="AG858" s="442"/>
      <c r="AH858" s="442"/>
    </row>
    <row r="859" spans="1:34" s="443" customFormat="1" ht="27.6">
      <c r="A859" s="434" t="s">
        <v>942</v>
      </c>
      <c r="B859" s="457" t="s">
        <v>946</v>
      </c>
      <c r="C859" s="233">
        <v>44257</v>
      </c>
      <c r="D859" s="435" t="s">
        <v>1267</v>
      </c>
      <c r="E859" s="436" t="s">
        <v>1280</v>
      </c>
      <c r="F859" s="434">
        <v>0.58680555555555558</v>
      </c>
      <c r="G859" s="434">
        <v>0.59375</v>
      </c>
      <c r="H859" s="434" t="s">
        <v>970</v>
      </c>
      <c r="I859" s="437">
        <v>701</v>
      </c>
      <c r="J859" s="434" t="str">
        <f>IFERROR(VLOOKUP(I859,'Chart of accounts'!A:H,2,FALSE),"")</f>
        <v>50101010 01</v>
      </c>
      <c r="K859" s="434" t="str">
        <f>IFERROR(VLOOKUP(I859,'Chart of accounts'!A:H,3,FALSE),"")</f>
        <v>Basic Salary - Civilian</v>
      </c>
      <c r="L859" s="434" t="str">
        <f>IFERROR(VLOOKUP(I859,'Chart of accounts'!A:H,4,FALSE),"")</f>
        <v>50101010 01 - Basic Salary - Civilian (701)</v>
      </c>
      <c r="M859" s="438">
        <v>85</v>
      </c>
      <c r="N859" s="439" t="s">
        <v>1174</v>
      </c>
      <c r="O859" s="439" t="s">
        <v>1260</v>
      </c>
      <c r="P859" s="439"/>
      <c r="Q859" s="50">
        <f>23877</f>
        <v>23877</v>
      </c>
      <c r="R859" s="239">
        <f t="shared" si="22"/>
        <v>-23877</v>
      </c>
      <c r="S859" s="239" t="str">
        <f>VLOOKUP(H859,'Fund Utilization Report'!$A$4:$U$1800,13,FALSE)</f>
        <v>PS</v>
      </c>
      <c r="T859" s="239" t="str">
        <f>VLOOKUP(H859,'Fund Utilization Report'!$A$4:$U$1800,2,FALSE)</f>
        <v>GAA</v>
      </c>
      <c r="U859" s="239" t="str">
        <f>VLOOKUP(H859,'Fund Utilization Report'!$A$4:$U$1800,3,FALSE)</f>
        <v>FY2021, RA11518</v>
      </c>
      <c r="V859" s="239" t="str">
        <f>VLOOKUP(H859,'Fund Utilization Report'!$A$4:$U$1800,4,FALSE)</f>
        <v>OO3</v>
      </c>
      <c r="W859" s="239" t="str">
        <f>VLOOKUP(H859,'Fund Utilization Report'!$A$4:$U$1800,5,FALSE)</f>
        <v>01101101</v>
      </c>
      <c r="X859" s="239" t="str">
        <f>VLOOKUP(H859,'Fund Utilization Report'!$A$4:$U$1800,6,FALSE)</f>
        <v>GOP</v>
      </c>
      <c r="Y859" s="440" t="str">
        <f>VLOOKUP(H859,'Fund Utilization Report'!$A$4:$U$1800,7,FALSE)</f>
        <v>PS</v>
      </c>
      <c r="Z859" s="441">
        <f>VLOOKUP(H859,'Fund Utilization Report'!$A$4:$U$1800,8,FALSE)</f>
        <v>5010000000</v>
      </c>
      <c r="AA859" s="239" t="str">
        <f>VLOOKUP(H859,'Fund Utilization Report'!$A$4:$U$1800,14,FALSE)</f>
        <v>330100100002000</v>
      </c>
      <c r="AB859" s="242" t="str">
        <f>VLOOKUP(H859,'Fund Utilization Report'!$A$4:$U$1800,15,FALSE)</f>
        <v>Implementation of the MSME Development Plan and other initiatives to promote the growth of Micro, Small and Medium Enterprises</v>
      </c>
      <c r="AC859" s="51"/>
      <c r="AD859" s="435"/>
      <c r="AE859" s="51"/>
      <c r="AF859" s="51"/>
      <c r="AG859" s="442"/>
      <c r="AH859" s="442"/>
    </row>
    <row r="860" spans="1:34" s="443" customFormat="1" ht="27.6">
      <c r="A860" s="434" t="s">
        <v>942</v>
      </c>
      <c r="B860" s="457" t="s">
        <v>946</v>
      </c>
      <c r="C860" s="233">
        <v>44257</v>
      </c>
      <c r="D860" s="435" t="s">
        <v>1267</v>
      </c>
      <c r="E860" s="436" t="s">
        <v>1280</v>
      </c>
      <c r="F860" s="434">
        <v>0.58680555555555558</v>
      </c>
      <c r="G860" s="434">
        <v>0.59375</v>
      </c>
      <c r="H860" s="434" t="s">
        <v>970</v>
      </c>
      <c r="I860" s="437">
        <v>711</v>
      </c>
      <c r="J860" s="434" t="str">
        <f>IFERROR(VLOOKUP(I860,'Chart of accounts'!A:H,2,FALSE),"")</f>
        <v>50102010 01</v>
      </c>
      <c r="K860" s="434" t="str">
        <f>IFERROR(VLOOKUP(I860,'Chart of accounts'!A:H,3,FALSE),"")</f>
        <v>PERA - Civilian</v>
      </c>
      <c r="L860" s="434" t="str">
        <f>IFERROR(VLOOKUP(I860,'Chart of accounts'!A:H,4,FALSE),"")</f>
        <v>50102010 01 - PERA - Civilian (711)</v>
      </c>
      <c r="M860" s="438">
        <v>85</v>
      </c>
      <c r="N860" s="439" t="s">
        <v>1174</v>
      </c>
      <c r="O860" s="439" t="s">
        <v>1260</v>
      </c>
      <c r="P860" s="439"/>
      <c r="Q860" s="50">
        <f>2000</f>
        <v>2000</v>
      </c>
      <c r="R860" s="239">
        <f t="shared" si="22"/>
        <v>-2000</v>
      </c>
      <c r="S860" s="239" t="str">
        <f>VLOOKUP(H860,'Fund Utilization Report'!$A$4:$U$1800,13,FALSE)</f>
        <v>PS</v>
      </c>
      <c r="T860" s="239" t="str">
        <f>VLOOKUP(H860,'Fund Utilization Report'!$A$4:$U$1800,2,FALSE)</f>
        <v>GAA</v>
      </c>
      <c r="U860" s="239" t="str">
        <f>VLOOKUP(H860,'Fund Utilization Report'!$A$4:$U$1800,3,FALSE)</f>
        <v>FY2021, RA11518</v>
      </c>
      <c r="V860" s="239" t="str">
        <f>VLOOKUP(H860,'Fund Utilization Report'!$A$4:$U$1800,4,FALSE)</f>
        <v>OO3</v>
      </c>
      <c r="W860" s="239" t="str">
        <f>VLOOKUP(H860,'Fund Utilization Report'!$A$4:$U$1800,5,FALSE)</f>
        <v>01101101</v>
      </c>
      <c r="X860" s="239" t="str">
        <f>VLOOKUP(H860,'Fund Utilization Report'!$A$4:$U$1800,6,FALSE)</f>
        <v>GOP</v>
      </c>
      <c r="Y860" s="440" t="str">
        <f>VLOOKUP(H860,'Fund Utilization Report'!$A$4:$U$1800,7,FALSE)</f>
        <v>PS</v>
      </c>
      <c r="Z860" s="441">
        <f>VLOOKUP(H860,'Fund Utilization Report'!$A$4:$U$1800,8,FALSE)</f>
        <v>5010000000</v>
      </c>
      <c r="AA860" s="239" t="str">
        <f>VLOOKUP(H860,'Fund Utilization Report'!$A$4:$U$1800,14,FALSE)</f>
        <v>330100100002000</v>
      </c>
      <c r="AB860" s="242" t="str">
        <f>VLOOKUP(H860,'Fund Utilization Report'!$A$4:$U$1800,15,FALSE)</f>
        <v>Implementation of the MSME Development Plan and other initiatives to promote the growth of Micro, Small and Medium Enterprises</v>
      </c>
      <c r="AC860" s="51"/>
      <c r="AD860" s="435"/>
      <c r="AE860" s="51"/>
      <c r="AF860" s="51"/>
      <c r="AG860" s="442"/>
      <c r="AH860" s="442"/>
    </row>
    <row r="861" spans="1:34" s="443" customFormat="1" ht="27.6">
      <c r="A861" s="434" t="s">
        <v>942</v>
      </c>
      <c r="B861" s="457" t="s">
        <v>946</v>
      </c>
      <c r="C861" s="233">
        <v>44257</v>
      </c>
      <c r="D861" s="435" t="s">
        <v>1267</v>
      </c>
      <c r="E861" s="436" t="s">
        <v>1280</v>
      </c>
      <c r="F861" s="434">
        <v>0.58680555555555558</v>
      </c>
      <c r="G861" s="434">
        <v>0.59375</v>
      </c>
      <c r="H861" s="434" t="s">
        <v>972</v>
      </c>
      <c r="I861" s="437">
        <v>731</v>
      </c>
      <c r="J861" s="434" t="str">
        <f>IFERROR(VLOOKUP(I861,'Chart of accounts'!A:H,2,FALSE),"")</f>
        <v>50103010 00</v>
      </c>
      <c r="K861" s="434" t="str">
        <f>IFERROR(VLOOKUP(I861,'Chart of accounts'!A:H,3,FALSE),"")</f>
        <v>Retirement and Life Insurance Premiums</v>
      </c>
      <c r="L861" s="434" t="str">
        <f>IFERROR(VLOOKUP(I861,'Chart of accounts'!A:H,4,FALSE),"")</f>
        <v>50103010 00 - Retirement and Life Insurance Premiums (731)</v>
      </c>
      <c r="M861" s="438">
        <v>85</v>
      </c>
      <c r="N861" s="439" t="s">
        <v>1174</v>
      </c>
      <c r="O861" s="439" t="s">
        <v>1260</v>
      </c>
      <c r="P861" s="439"/>
      <c r="Q861" s="50">
        <f>2865.24</f>
        <v>2865.24</v>
      </c>
      <c r="R861" s="239">
        <f t="shared" si="22"/>
        <v>-2865.24</v>
      </c>
      <c r="S861" s="239" t="str">
        <f>VLOOKUP(H861,'Fund Utilization Report'!$A$4:$U$1800,13,FALSE)</f>
        <v>PS</v>
      </c>
      <c r="T861" s="239" t="str">
        <f>VLOOKUP(H861,'Fund Utilization Report'!$A$4:$U$1800,2,FALSE)</f>
        <v>GAA</v>
      </c>
      <c r="U861" s="239" t="str">
        <f>VLOOKUP(H861,'Fund Utilization Report'!$A$4:$U$1800,3,FALSE)</f>
        <v>FY2021, RA11518</v>
      </c>
      <c r="V861" s="239" t="str">
        <f>VLOOKUP(H861,'Fund Utilization Report'!$A$4:$U$1800,4,FALSE)</f>
        <v>OO3</v>
      </c>
      <c r="W861" s="239" t="str">
        <f>VLOOKUP(H861,'Fund Utilization Report'!$A$4:$U$1800,5,FALSE)</f>
        <v>01101101</v>
      </c>
      <c r="X861" s="239" t="str">
        <f>VLOOKUP(H861,'Fund Utilization Report'!$A$4:$U$1800,6,FALSE)</f>
        <v>GOP</v>
      </c>
      <c r="Y861" s="440" t="str">
        <f>VLOOKUP(H861,'Fund Utilization Report'!$A$4:$U$1800,7,FALSE)</f>
        <v>RLIP</v>
      </c>
      <c r="Z861" s="441" t="str">
        <f>VLOOKUP(H861,'Fund Utilization Report'!$A$4:$U$1800,8,FALSE)</f>
        <v>50103010-00</v>
      </c>
      <c r="AA861" s="239" t="str">
        <f>VLOOKUP(H861,'Fund Utilization Report'!$A$4:$U$1800,14,FALSE)</f>
        <v>330100100002000</v>
      </c>
      <c r="AB861" s="242" t="str">
        <f>VLOOKUP(H861,'Fund Utilization Report'!$A$4:$U$1800,15,FALSE)</f>
        <v>Implementation of the MSME Development Plan and other initiatives to promote the growth of Micro, Small and Medium Enterprises</v>
      </c>
      <c r="AC861" s="51"/>
      <c r="AD861" s="435"/>
      <c r="AE861" s="51"/>
      <c r="AF861" s="51"/>
      <c r="AG861" s="442"/>
      <c r="AH861" s="442"/>
    </row>
    <row r="862" spans="1:34" s="443" customFormat="1" ht="27.6">
      <c r="A862" s="434" t="s">
        <v>942</v>
      </c>
      <c r="B862" s="457" t="s">
        <v>946</v>
      </c>
      <c r="C862" s="233">
        <v>44257</v>
      </c>
      <c r="D862" s="435" t="s">
        <v>1267</v>
      </c>
      <c r="E862" s="436" t="s">
        <v>1280</v>
      </c>
      <c r="F862" s="434">
        <v>0.58680555555555558</v>
      </c>
      <c r="G862" s="434">
        <v>0.59375</v>
      </c>
      <c r="H862" s="434" t="s">
        <v>970</v>
      </c>
      <c r="I862" s="437">
        <v>732</v>
      </c>
      <c r="J862" s="434" t="str">
        <f>IFERROR(VLOOKUP(I862,'Chart of accounts'!A:H,2,FALSE),"")</f>
        <v>50103020 01</v>
      </c>
      <c r="K862" s="434" t="str">
        <f>IFERROR(VLOOKUP(I862,'Chart of accounts'!A:H,3,FALSE),"")</f>
        <v>Pag-IBIG - Civilian</v>
      </c>
      <c r="L862" s="434" t="str">
        <f>IFERROR(VLOOKUP(I862,'Chart of accounts'!A:H,4,FALSE),"")</f>
        <v>50103020 01 - Pag-IBIG - Civilian (732)</v>
      </c>
      <c r="M862" s="438">
        <v>85</v>
      </c>
      <c r="N862" s="439" t="s">
        <v>1174</v>
      </c>
      <c r="O862" s="439" t="s">
        <v>1260</v>
      </c>
      <c r="P862" s="439"/>
      <c r="Q862" s="50">
        <f>100</f>
        <v>100</v>
      </c>
      <c r="R862" s="239">
        <f t="shared" si="22"/>
        <v>-100</v>
      </c>
      <c r="S862" s="239" t="str">
        <f>VLOOKUP(H862,'Fund Utilization Report'!$A$4:$U$1800,13,FALSE)</f>
        <v>PS</v>
      </c>
      <c r="T862" s="239" t="str">
        <f>VLOOKUP(H862,'Fund Utilization Report'!$A$4:$U$1800,2,FALSE)</f>
        <v>GAA</v>
      </c>
      <c r="U862" s="239" t="str">
        <f>VLOOKUP(H862,'Fund Utilization Report'!$A$4:$U$1800,3,FALSE)</f>
        <v>FY2021, RA11518</v>
      </c>
      <c r="V862" s="239" t="str">
        <f>VLOOKUP(H862,'Fund Utilization Report'!$A$4:$U$1800,4,FALSE)</f>
        <v>OO3</v>
      </c>
      <c r="W862" s="239" t="str">
        <f>VLOOKUP(H862,'Fund Utilization Report'!$A$4:$U$1800,5,FALSE)</f>
        <v>01101101</v>
      </c>
      <c r="X862" s="239" t="str">
        <f>VLOOKUP(H862,'Fund Utilization Report'!$A$4:$U$1800,6,FALSE)</f>
        <v>GOP</v>
      </c>
      <c r="Y862" s="440" t="str">
        <f>VLOOKUP(H862,'Fund Utilization Report'!$A$4:$U$1800,7,FALSE)</f>
        <v>PS</v>
      </c>
      <c r="Z862" s="441">
        <f>VLOOKUP(H862,'Fund Utilization Report'!$A$4:$U$1800,8,FALSE)</f>
        <v>5010000000</v>
      </c>
      <c r="AA862" s="239" t="str">
        <f>VLOOKUP(H862,'Fund Utilization Report'!$A$4:$U$1800,14,FALSE)</f>
        <v>330100100002000</v>
      </c>
      <c r="AB862" s="242" t="str">
        <f>VLOOKUP(H862,'Fund Utilization Report'!$A$4:$U$1800,15,FALSE)</f>
        <v>Implementation of the MSME Development Plan and other initiatives to promote the growth of Micro, Small and Medium Enterprises</v>
      </c>
      <c r="AC862" s="51"/>
      <c r="AD862" s="435"/>
      <c r="AE862" s="51"/>
      <c r="AF862" s="51"/>
      <c r="AG862" s="442"/>
      <c r="AH862" s="442"/>
    </row>
    <row r="863" spans="1:34" s="443" customFormat="1" ht="27.6">
      <c r="A863" s="434" t="s">
        <v>942</v>
      </c>
      <c r="B863" s="457" t="s">
        <v>946</v>
      </c>
      <c r="C863" s="233">
        <v>44257</v>
      </c>
      <c r="D863" s="435" t="s">
        <v>1267</v>
      </c>
      <c r="E863" s="436" t="s">
        <v>1280</v>
      </c>
      <c r="F863" s="434">
        <v>0.58680555555555558</v>
      </c>
      <c r="G863" s="434">
        <v>0.59375</v>
      </c>
      <c r="H863" s="434" t="s">
        <v>970</v>
      </c>
      <c r="I863" s="437">
        <v>733</v>
      </c>
      <c r="J863" s="434" t="str">
        <f>IFERROR(VLOOKUP(I863,'Chart of accounts'!A:H,2,FALSE),"")</f>
        <v>50103030 01</v>
      </c>
      <c r="K863" s="434" t="str">
        <f>IFERROR(VLOOKUP(I863,'Chart of accounts'!A:H,3,FALSE),"")</f>
        <v>PhilHealth - Civilian</v>
      </c>
      <c r="L863" s="434" t="str">
        <f>IFERROR(VLOOKUP(I863,'Chart of accounts'!A:H,4,FALSE),"")</f>
        <v>50103030 01 - PhilHealth - Civilian (733)</v>
      </c>
      <c r="M863" s="438">
        <v>85</v>
      </c>
      <c r="N863" s="439" t="s">
        <v>1174</v>
      </c>
      <c r="O863" s="439" t="s">
        <v>1260</v>
      </c>
      <c r="P863" s="439"/>
      <c r="Q863" s="50">
        <f>358.16</f>
        <v>358.16</v>
      </c>
      <c r="R863" s="239">
        <f t="shared" si="22"/>
        <v>-358.16</v>
      </c>
      <c r="S863" s="239" t="str">
        <f>VLOOKUP(H863,'Fund Utilization Report'!$A$4:$U$1800,13,FALSE)</f>
        <v>PS</v>
      </c>
      <c r="T863" s="239" t="str">
        <f>VLOOKUP(H863,'Fund Utilization Report'!$A$4:$U$1800,2,FALSE)</f>
        <v>GAA</v>
      </c>
      <c r="U863" s="239" t="str">
        <f>VLOOKUP(H863,'Fund Utilization Report'!$A$4:$U$1800,3,FALSE)</f>
        <v>FY2021, RA11518</v>
      </c>
      <c r="V863" s="239" t="str">
        <f>VLOOKUP(H863,'Fund Utilization Report'!$A$4:$U$1800,4,FALSE)</f>
        <v>OO3</v>
      </c>
      <c r="W863" s="239" t="str">
        <f>VLOOKUP(H863,'Fund Utilization Report'!$A$4:$U$1800,5,FALSE)</f>
        <v>01101101</v>
      </c>
      <c r="X863" s="239" t="str">
        <f>VLOOKUP(H863,'Fund Utilization Report'!$A$4:$U$1800,6,FALSE)</f>
        <v>GOP</v>
      </c>
      <c r="Y863" s="440" t="str">
        <f>VLOOKUP(H863,'Fund Utilization Report'!$A$4:$U$1800,7,FALSE)</f>
        <v>PS</v>
      </c>
      <c r="Z863" s="441">
        <f>VLOOKUP(H863,'Fund Utilization Report'!$A$4:$U$1800,8,FALSE)</f>
        <v>5010000000</v>
      </c>
      <c r="AA863" s="239" t="str">
        <f>VLOOKUP(H863,'Fund Utilization Report'!$A$4:$U$1800,14,FALSE)</f>
        <v>330100100002000</v>
      </c>
      <c r="AB863" s="242" t="str">
        <f>VLOOKUP(H863,'Fund Utilization Report'!$A$4:$U$1800,15,FALSE)</f>
        <v>Implementation of the MSME Development Plan and other initiatives to promote the growth of Micro, Small and Medium Enterprises</v>
      </c>
      <c r="AC863" s="51"/>
      <c r="AD863" s="435"/>
      <c r="AE863" s="51"/>
      <c r="AF863" s="51"/>
      <c r="AG863" s="442"/>
      <c r="AH863" s="442"/>
    </row>
    <row r="864" spans="1:34" s="443" customFormat="1" ht="27.6">
      <c r="A864" s="434" t="s">
        <v>942</v>
      </c>
      <c r="B864" s="457" t="s">
        <v>946</v>
      </c>
      <c r="C864" s="233">
        <v>44257</v>
      </c>
      <c r="D864" s="435" t="s">
        <v>1267</v>
      </c>
      <c r="E864" s="436" t="s">
        <v>1280</v>
      </c>
      <c r="F864" s="434">
        <v>0.58680555555555558</v>
      </c>
      <c r="G864" s="434">
        <v>0.59375</v>
      </c>
      <c r="H864" s="434" t="s">
        <v>970</v>
      </c>
      <c r="I864" s="437">
        <v>734</v>
      </c>
      <c r="J864" s="434" t="str">
        <f>IFERROR(VLOOKUP(I864,'Chart of accounts'!A:H,2,FALSE),"")</f>
        <v>50103040 01</v>
      </c>
      <c r="K864" s="434" t="str">
        <f>IFERROR(VLOOKUP(I864,'Chart of accounts'!A:H,3,FALSE),"")</f>
        <v>ECIP - Civilian</v>
      </c>
      <c r="L864" s="434" t="str">
        <f>IFERROR(VLOOKUP(I864,'Chart of accounts'!A:H,4,FALSE),"")</f>
        <v>50103040 01 - ECIP - Civilian (734)</v>
      </c>
      <c r="M864" s="438">
        <v>85</v>
      </c>
      <c r="N864" s="439" t="s">
        <v>1174</v>
      </c>
      <c r="O864" s="439" t="s">
        <v>1260</v>
      </c>
      <c r="P864" s="439"/>
      <c r="Q864" s="50">
        <f>100</f>
        <v>100</v>
      </c>
      <c r="R864" s="239">
        <f t="shared" si="22"/>
        <v>-100</v>
      </c>
      <c r="S864" s="239" t="str">
        <f>VLOOKUP(H864,'Fund Utilization Report'!$A$4:$U$1800,13,FALSE)</f>
        <v>PS</v>
      </c>
      <c r="T864" s="239" t="str">
        <f>VLOOKUP(H864,'Fund Utilization Report'!$A$4:$U$1800,2,FALSE)</f>
        <v>GAA</v>
      </c>
      <c r="U864" s="239" t="str">
        <f>VLOOKUP(H864,'Fund Utilization Report'!$A$4:$U$1800,3,FALSE)</f>
        <v>FY2021, RA11518</v>
      </c>
      <c r="V864" s="239" t="str">
        <f>VLOOKUP(H864,'Fund Utilization Report'!$A$4:$U$1800,4,FALSE)</f>
        <v>OO3</v>
      </c>
      <c r="W864" s="239" t="str">
        <f>VLOOKUP(H864,'Fund Utilization Report'!$A$4:$U$1800,5,FALSE)</f>
        <v>01101101</v>
      </c>
      <c r="X864" s="239" t="str">
        <f>VLOOKUP(H864,'Fund Utilization Report'!$A$4:$U$1800,6,FALSE)</f>
        <v>GOP</v>
      </c>
      <c r="Y864" s="440" t="str">
        <f>VLOOKUP(H864,'Fund Utilization Report'!$A$4:$U$1800,7,FALSE)</f>
        <v>PS</v>
      </c>
      <c r="Z864" s="441">
        <f>VLOOKUP(H864,'Fund Utilization Report'!$A$4:$U$1800,8,FALSE)</f>
        <v>5010000000</v>
      </c>
      <c r="AA864" s="239" t="str">
        <f>VLOOKUP(H864,'Fund Utilization Report'!$A$4:$U$1800,14,FALSE)</f>
        <v>330100100002000</v>
      </c>
      <c r="AB864" s="242" t="str">
        <f>VLOOKUP(H864,'Fund Utilization Report'!$A$4:$U$1800,15,FALSE)</f>
        <v>Implementation of the MSME Development Plan and other initiatives to promote the growth of Micro, Small and Medium Enterprises</v>
      </c>
      <c r="AC864" s="51"/>
      <c r="AD864" s="435"/>
      <c r="AE864" s="51"/>
      <c r="AF864" s="51"/>
      <c r="AG864" s="442"/>
      <c r="AH864" s="442"/>
    </row>
    <row r="865" spans="1:35" s="443" customFormat="1" ht="27.6">
      <c r="A865" s="434" t="s">
        <v>942</v>
      </c>
      <c r="B865" s="457" t="s">
        <v>946</v>
      </c>
      <c r="C865" s="233">
        <v>44257</v>
      </c>
      <c r="D865" s="435" t="s">
        <v>1267</v>
      </c>
      <c r="E865" s="436" t="s">
        <v>1281</v>
      </c>
      <c r="F865" s="434">
        <v>0.59791666666666665</v>
      </c>
      <c r="G865" s="434">
        <v>0.59861111111111109</v>
      </c>
      <c r="H865" s="434" t="s">
        <v>968</v>
      </c>
      <c r="I865" s="437">
        <v>783</v>
      </c>
      <c r="J865" s="434" t="str">
        <f>IFERROR(VLOOKUP(I865,'Chart of accounts'!A:H,2,FALSE),"")</f>
        <v>50299030 00</v>
      </c>
      <c r="K865" s="434" t="str">
        <f>IFERROR(VLOOKUP(I865,'Chart of accounts'!A:H,3,FALSE),"")</f>
        <v>Representation Expenses</v>
      </c>
      <c r="L865" s="434" t="str">
        <f>IFERROR(VLOOKUP(I865,'Chart of accounts'!A:H,4,FALSE),"")</f>
        <v>50299030 00 - Representation Expenses (783)</v>
      </c>
      <c r="M865" s="438">
        <v>1</v>
      </c>
      <c r="N865" s="439" t="s">
        <v>1230</v>
      </c>
      <c r="O865" s="439" t="s">
        <v>1231</v>
      </c>
      <c r="P865" s="439"/>
      <c r="Q865" s="50">
        <f>11000</f>
        <v>11000</v>
      </c>
      <c r="R865" s="239">
        <f t="shared" si="22"/>
        <v>-11000</v>
      </c>
      <c r="S865" s="239" t="str">
        <f>VLOOKUP(H865,'Fund Utilization Report'!$A$4:$U$1800,13,FALSE)</f>
        <v>MOOE</v>
      </c>
      <c r="T865" s="239" t="str">
        <f>VLOOKUP(H865,'Fund Utilization Report'!$A$4:$U$1800,2,FALSE)</f>
        <v>GAA</v>
      </c>
      <c r="U865" s="239" t="str">
        <f>VLOOKUP(H865,'Fund Utilization Report'!$A$4:$U$1800,3,FALSE)</f>
        <v>FY2021, RA11518</v>
      </c>
      <c r="V865" s="239" t="str">
        <f>VLOOKUP(H865,'Fund Utilization Report'!$A$4:$U$1800,4,FALSE)</f>
        <v>OO2</v>
      </c>
      <c r="W865" s="239" t="str">
        <f>VLOOKUP(H865,'Fund Utilization Report'!$A$4:$U$1800,5,FALSE)</f>
        <v>01101101</v>
      </c>
      <c r="X865" s="239" t="str">
        <f>VLOOKUP(H865,'Fund Utilization Report'!$A$4:$U$1800,6,FALSE)</f>
        <v>GOP</v>
      </c>
      <c r="Y865" s="440" t="str">
        <f>VLOOKUP(H865,'Fund Utilization Report'!$A$4:$U$1800,7,FALSE)</f>
        <v>MOOE</v>
      </c>
      <c r="Z865" s="441">
        <f>VLOOKUP(H865,'Fund Utilization Report'!$A$4:$U$1800,8,FALSE)</f>
        <v>5020000000</v>
      </c>
      <c r="AA865" s="239" t="str">
        <f>VLOOKUP(H865,'Fund Utilization Report'!$A$4:$U$1800,14,FALSE)</f>
        <v>320100100001000</v>
      </c>
      <c r="AB865" s="242" t="str">
        <f>VLOOKUP(H865,'Fund Utilization Report'!$A$4:$U$1800,15,FALSE)</f>
        <v>Formulation of Strategic plans,programs, and policies to develop competitve industries</v>
      </c>
      <c r="AC865" s="51"/>
      <c r="AD865" s="435"/>
      <c r="AE865" s="51"/>
      <c r="AF865" s="51"/>
      <c r="AG865" s="442"/>
      <c r="AH865" s="442"/>
    </row>
    <row r="866" spans="1:35" s="443" customFormat="1" ht="27.6">
      <c r="A866" s="434" t="s">
        <v>942</v>
      </c>
      <c r="B866" s="457" t="s">
        <v>946</v>
      </c>
      <c r="C866" s="233">
        <v>44257</v>
      </c>
      <c r="D866" s="435" t="s">
        <v>1267</v>
      </c>
      <c r="E866" s="436" t="s">
        <v>1282</v>
      </c>
      <c r="F866" s="434">
        <v>0.59861111111111109</v>
      </c>
      <c r="G866" s="434">
        <v>0.59930555555555554</v>
      </c>
      <c r="H866" s="434" t="s">
        <v>961</v>
      </c>
      <c r="I866" s="437">
        <v>773</v>
      </c>
      <c r="J866" s="434" t="str">
        <f>IFERROR(VLOOKUP(I866,'Chart of accounts'!A:H,2,FALSE),"")</f>
        <v>50205020 01</v>
      </c>
      <c r="K866" s="434" t="str">
        <f>IFERROR(VLOOKUP(I866,'Chart of accounts'!A:H,3,FALSE),"")</f>
        <v xml:space="preserve">Telephone Expenses - Mobile </v>
      </c>
      <c r="L866" s="434" t="str">
        <f>IFERROR(VLOOKUP(I866,'Chart of accounts'!A:H,4,FALSE),"")</f>
        <v>50205020 01 - Telephone Expenses - Mobile  (773)</v>
      </c>
      <c r="M866" s="438">
        <v>1</v>
      </c>
      <c r="N866" s="439" t="s">
        <v>1102</v>
      </c>
      <c r="O866" s="439" t="s">
        <v>1283</v>
      </c>
      <c r="P866" s="439"/>
      <c r="Q866" s="50">
        <f>2500</f>
        <v>2500</v>
      </c>
      <c r="R866" s="239">
        <f t="shared" si="22"/>
        <v>-2500</v>
      </c>
      <c r="S866" s="239" t="str">
        <f>VLOOKUP(H866,'Fund Utilization Report'!$A$4:$U$1800,13,FALSE)</f>
        <v>MOOE</v>
      </c>
      <c r="T866" s="239" t="str">
        <f>VLOOKUP(H866,'Fund Utilization Report'!$A$4:$U$1800,2,FALSE)</f>
        <v>GAA</v>
      </c>
      <c r="U866" s="239" t="str">
        <f>VLOOKUP(H866,'Fund Utilization Report'!$A$4:$U$1800,3,FALSE)</f>
        <v>FY2021, RA11518</v>
      </c>
      <c r="V866" s="239" t="str">
        <f>VLOOKUP(H866,'Fund Utilization Report'!$A$4:$U$1800,4,FALSE)</f>
        <v>GAS(GMS)</v>
      </c>
      <c r="W866" s="239" t="str">
        <f>VLOOKUP(H866,'Fund Utilization Report'!$A$4:$U$1800,5,FALSE)</f>
        <v>01101101</v>
      </c>
      <c r="X866" s="239" t="str">
        <f>VLOOKUP(H866,'Fund Utilization Report'!$A$4:$U$1800,6,FALSE)</f>
        <v>GOP</v>
      </c>
      <c r="Y866" s="440" t="str">
        <f>VLOOKUP(H866,'Fund Utilization Report'!$A$4:$U$1800,7,FALSE)</f>
        <v>MOOE</v>
      </c>
      <c r="Z866" s="441">
        <f>VLOOKUP(H866,'Fund Utilization Report'!$A$4:$U$1800,8,FALSE)</f>
        <v>5020000000</v>
      </c>
      <c r="AA866" s="239" t="str">
        <f>VLOOKUP(H866,'Fund Utilization Report'!$A$4:$U$1800,14,FALSE)</f>
        <v>100000100001000</v>
      </c>
      <c r="AB866" s="242" t="str">
        <f>VLOOKUP(H866,'Fund Utilization Report'!$A$4:$U$1800,15,FALSE)</f>
        <v>General Administration and Supervision - General Management and Supervision</v>
      </c>
      <c r="AC866" s="51"/>
      <c r="AD866" s="435"/>
      <c r="AE866" s="51"/>
      <c r="AF866" s="51"/>
      <c r="AG866" s="442"/>
      <c r="AH866" s="442"/>
    </row>
    <row r="867" spans="1:35" s="32" customFormat="1" ht="27.6">
      <c r="A867" s="434" t="s">
        <v>942</v>
      </c>
      <c r="B867" s="457" t="s">
        <v>946</v>
      </c>
      <c r="C867" s="233">
        <v>44257</v>
      </c>
      <c r="D867" s="435" t="s">
        <v>1267</v>
      </c>
      <c r="E867" s="436" t="s">
        <v>1284</v>
      </c>
      <c r="F867" s="434">
        <v>0.59930555555555554</v>
      </c>
      <c r="G867" s="338">
        <v>0.60069444444444442</v>
      </c>
      <c r="H867" s="434" t="s">
        <v>961</v>
      </c>
      <c r="I867" s="353">
        <v>755</v>
      </c>
      <c r="J867" s="338" t="str">
        <f>IFERROR(VLOOKUP(I867,'Chart of accounts'!A:H,2,FALSE),"")</f>
        <v>50203010 00</v>
      </c>
      <c r="K867" s="338" t="str">
        <f>IFERROR(VLOOKUP(I867,'Chart of accounts'!A:H,3,FALSE),"")</f>
        <v>Office Supplies Expenses</v>
      </c>
      <c r="L867" s="338" t="str">
        <f>IFERROR(VLOOKUP(I867,'Chart of accounts'!A:H,4,FALSE),"")</f>
        <v>50203010 00 - Office Supplies Expenses (755)</v>
      </c>
      <c r="M867" s="361">
        <v>1</v>
      </c>
      <c r="N867" s="355" t="s">
        <v>773</v>
      </c>
      <c r="O867" s="355" t="s">
        <v>1285</v>
      </c>
      <c r="P867" s="355"/>
      <c r="Q867" s="363">
        <v>1338.5</v>
      </c>
      <c r="R867" s="319">
        <f t="shared" si="20"/>
        <v>-1338.5</v>
      </c>
      <c r="S867" s="239" t="str">
        <f>VLOOKUP(H867,'Fund Utilization Report'!$A$4:$U$1800,13,FALSE)</f>
        <v>MOOE</v>
      </c>
      <c r="T867" s="239" t="str">
        <f>VLOOKUP(H867,'Fund Utilization Report'!$A$4:$U$1800,2,FALSE)</f>
        <v>GAA</v>
      </c>
      <c r="U867" s="239" t="str">
        <f>VLOOKUP(H867,'Fund Utilization Report'!$A$4:$U$1800,3,FALSE)</f>
        <v>FY2021, RA11518</v>
      </c>
      <c r="V867" s="239" t="str">
        <f>VLOOKUP(H867,'Fund Utilization Report'!$A$4:$U$1800,4,FALSE)</f>
        <v>GAS(GMS)</v>
      </c>
      <c r="W867" s="239" t="str">
        <f>VLOOKUP(H867,'Fund Utilization Report'!$A$4:$U$1800,5,FALSE)</f>
        <v>01101101</v>
      </c>
      <c r="X867" s="239" t="str">
        <f>VLOOKUP(H867,'Fund Utilization Report'!$A$4:$U$1800,6,FALSE)</f>
        <v>GOP</v>
      </c>
      <c r="Y867" s="440" t="str">
        <f>VLOOKUP(H867,'Fund Utilization Report'!$A$4:$U$1800,7,FALSE)</f>
        <v>MOOE</v>
      </c>
      <c r="Z867" s="441">
        <f>VLOOKUP(H867,'Fund Utilization Report'!$A$4:$U$1800,8,FALSE)</f>
        <v>5020000000</v>
      </c>
      <c r="AA867" s="239" t="str">
        <f>VLOOKUP(H867,'Fund Utilization Report'!$A$4:$U$1800,14,FALSE)</f>
        <v>100000100001000</v>
      </c>
      <c r="AB867" s="242" t="str">
        <f>VLOOKUP(H867,'Fund Utilization Report'!$A$4:$U$1800,15,FALSE)</f>
        <v>General Administration and Supervision - General Management and Supervision</v>
      </c>
      <c r="AC867" s="51"/>
      <c r="AD867" s="435"/>
      <c r="AE867" s="51"/>
      <c r="AF867" s="51"/>
      <c r="AG867" s="442"/>
      <c r="AH867" s="442"/>
      <c r="AI867" s="443"/>
    </row>
    <row r="868" spans="1:35" s="32" customFormat="1" ht="27.6">
      <c r="A868" s="434" t="s">
        <v>942</v>
      </c>
      <c r="B868" s="457" t="s">
        <v>946</v>
      </c>
      <c r="C868" s="233">
        <v>44257</v>
      </c>
      <c r="D868" s="435" t="s">
        <v>1267</v>
      </c>
      <c r="E868" s="436" t="s">
        <v>1284</v>
      </c>
      <c r="F868" s="434">
        <v>0.59930555555555554</v>
      </c>
      <c r="G868" s="338">
        <v>0.60069444444444442</v>
      </c>
      <c r="H868" s="434" t="s">
        <v>961</v>
      </c>
      <c r="I868" s="353">
        <v>795</v>
      </c>
      <c r="J868" s="338" t="str">
        <f>IFERROR(VLOOKUP(I868,'Chart of accounts'!A:H,2,FALSE),"")</f>
        <v>50212990 00</v>
      </c>
      <c r="K868" s="338" t="str">
        <f>IFERROR(VLOOKUP(I868,'Chart of accounts'!A:H,3,FALSE),"")</f>
        <v>Other General Services</v>
      </c>
      <c r="L868" s="338" t="str">
        <f>IFERROR(VLOOKUP(I868,'Chart of accounts'!A:H,4,FALSE),"")</f>
        <v>50212990 00 - Other General Services (795)</v>
      </c>
      <c r="M868" s="361">
        <v>1</v>
      </c>
      <c r="N868" s="355" t="s">
        <v>773</v>
      </c>
      <c r="O868" s="355" t="s">
        <v>1285</v>
      </c>
      <c r="P868" s="355"/>
      <c r="Q868" s="363">
        <v>1865</v>
      </c>
      <c r="R868" s="319">
        <f t="shared" si="20"/>
        <v>-1865</v>
      </c>
      <c r="S868" s="239" t="str">
        <f>VLOOKUP(H868,'Fund Utilization Report'!$A$4:$U$1800,13,FALSE)</f>
        <v>MOOE</v>
      </c>
      <c r="T868" s="239" t="str">
        <f>VLOOKUP(H868,'Fund Utilization Report'!$A$4:$U$1800,2,FALSE)</f>
        <v>GAA</v>
      </c>
      <c r="U868" s="239" t="str">
        <f>VLOOKUP(H868,'Fund Utilization Report'!$A$4:$U$1800,3,FALSE)</f>
        <v>FY2021, RA11518</v>
      </c>
      <c r="V868" s="239" t="str">
        <f>VLOOKUP(H868,'Fund Utilization Report'!$A$4:$U$1800,4,FALSE)</f>
        <v>GAS(GMS)</v>
      </c>
      <c r="W868" s="239" t="str">
        <f>VLOOKUP(H868,'Fund Utilization Report'!$A$4:$U$1800,5,FALSE)</f>
        <v>01101101</v>
      </c>
      <c r="X868" s="239" t="str">
        <f>VLOOKUP(H868,'Fund Utilization Report'!$A$4:$U$1800,6,FALSE)</f>
        <v>GOP</v>
      </c>
      <c r="Y868" s="440" t="str">
        <f>VLOOKUP(H868,'Fund Utilization Report'!$A$4:$U$1800,7,FALSE)</f>
        <v>MOOE</v>
      </c>
      <c r="Z868" s="441">
        <f>VLOOKUP(H868,'Fund Utilization Report'!$A$4:$U$1800,8,FALSE)</f>
        <v>5020000000</v>
      </c>
      <c r="AA868" s="239" t="str">
        <f>VLOOKUP(H868,'Fund Utilization Report'!$A$4:$U$1800,14,FALSE)</f>
        <v>100000100001000</v>
      </c>
      <c r="AB868" s="242" t="str">
        <f>VLOOKUP(H868,'Fund Utilization Report'!$A$4:$U$1800,15,FALSE)</f>
        <v>General Administration and Supervision - General Management and Supervision</v>
      </c>
      <c r="AC868" s="51"/>
      <c r="AD868" s="435"/>
      <c r="AE868" s="51"/>
      <c r="AF868" s="51"/>
      <c r="AG868" s="442"/>
      <c r="AH868" s="442"/>
      <c r="AI868" s="443"/>
    </row>
    <row r="869" spans="1:35" s="32" customFormat="1" ht="27.6">
      <c r="A869" s="434" t="s">
        <v>942</v>
      </c>
      <c r="B869" s="457" t="s">
        <v>946</v>
      </c>
      <c r="C869" s="233">
        <v>44257</v>
      </c>
      <c r="D869" s="435" t="s">
        <v>1267</v>
      </c>
      <c r="E869" s="436" t="s">
        <v>1284</v>
      </c>
      <c r="F869" s="434">
        <v>0.59930555555555554</v>
      </c>
      <c r="G869" s="338">
        <v>0.60069444444444442</v>
      </c>
      <c r="H869" s="434" t="s">
        <v>961</v>
      </c>
      <c r="I869" s="353">
        <v>799</v>
      </c>
      <c r="J869" s="338" t="str">
        <f>IFERROR(VLOOKUP(I869,'Chart of accounts'!A:H,2,FALSE),"")</f>
        <v>50211990 00</v>
      </c>
      <c r="K869" s="338" t="str">
        <f>IFERROR(VLOOKUP(I869,'Chart of accounts'!A:H,3,FALSE),"")</f>
        <v>Other Professional Services</v>
      </c>
      <c r="L869" s="338" t="str">
        <f>IFERROR(VLOOKUP(I869,'Chart of accounts'!A:H,4,FALSE),"")</f>
        <v>50211990 00 - Other Professional Services (799)</v>
      </c>
      <c r="M869" s="361">
        <v>1</v>
      </c>
      <c r="N869" s="355" t="s">
        <v>773</v>
      </c>
      <c r="O869" s="355" t="s">
        <v>1285</v>
      </c>
      <c r="P869" s="355"/>
      <c r="Q869" s="363">
        <v>900</v>
      </c>
      <c r="R869" s="319">
        <f t="shared" si="20"/>
        <v>-900</v>
      </c>
      <c r="S869" s="239" t="str">
        <f>VLOOKUP(H869,'Fund Utilization Report'!$A$4:$U$1800,13,FALSE)</f>
        <v>MOOE</v>
      </c>
      <c r="T869" s="239" t="str">
        <f>VLOOKUP(H869,'Fund Utilization Report'!$A$4:$U$1800,2,FALSE)</f>
        <v>GAA</v>
      </c>
      <c r="U869" s="239" t="str">
        <f>VLOOKUP(H869,'Fund Utilization Report'!$A$4:$U$1800,3,FALSE)</f>
        <v>FY2021, RA11518</v>
      </c>
      <c r="V869" s="239" t="str">
        <f>VLOOKUP(H869,'Fund Utilization Report'!$A$4:$U$1800,4,FALSE)</f>
        <v>GAS(GMS)</v>
      </c>
      <c r="W869" s="239" t="str">
        <f>VLOOKUP(H869,'Fund Utilization Report'!$A$4:$U$1800,5,FALSE)</f>
        <v>01101101</v>
      </c>
      <c r="X869" s="239" t="str">
        <f>VLOOKUP(H869,'Fund Utilization Report'!$A$4:$U$1800,6,FALSE)</f>
        <v>GOP</v>
      </c>
      <c r="Y869" s="440" t="str">
        <f>VLOOKUP(H869,'Fund Utilization Report'!$A$4:$U$1800,7,FALSE)</f>
        <v>MOOE</v>
      </c>
      <c r="Z869" s="441">
        <f>VLOOKUP(H869,'Fund Utilization Report'!$A$4:$U$1800,8,FALSE)</f>
        <v>5020000000</v>
      </c>
      <c r="AA869" s="239" t="str">
        <f>VLOOKUP(H869,'Fund Utilization Report'!$A$4:$U$1800,14,FALSE)</f>
        <v>100000100001000</v>
      </c>
      <c r="AB869" s="242" t="str">
        <f>VLOOKUP(H869,'Fund Utilization Report'!$A$4:$U$1800,15,FALSE)</f>
        <v>General Administration and Supervision - General Management and Supervision</v>
      </c>
      <c r="AC869" s="51"/>
      <c r="AD869" s="435"/>
      <c r="AE869" s="51"/>
      <c r="AF869" s="51"/>
      <c r="AG869" s="442"/>
      <c r="AH869" s="442"/>
      <c r="AI869" s="443"/>
    </row>
    <row r="870" spans="1:35" s="32" customFormat="1" ht="27.6">
      <c r="A870" s="434" t="s">
        <v>942</v>
      </c>
      <c r="B870" s="457" t="s">
        <v>946</v>
      </c>
      <c r="C870" s="233">
        <v>44257</v>
      </c>
      <c r="D870" s="435" t="s">
        <v>1267</v>
      </c>
      <c r="E870" s="436" t="s">
        <v>1284</v>
      </c>
      <c r="F870" s="434">
        <v>0.59930555555555554</v>
      </c>
      <c r="G870" s="338">
        <v>0.60069444444444442</v>
      </c>
      <c r="H870" s="434" t="s">
        <v>961</v>
      </c>
      <c r="I870" s="353">
        <v>969</v>
      </c>
      <c r="J870" s="338" t="str">
        <f>IFERROR(VLOOKUP(I870,'Chart of accounts'!A:H,2,FALSE),"")</f>
        <v>50299990 99</v>
      </c>
      <c r="K870" s="338" t="str">
        <f>IFERROR(VLOOKUP(I870,'Chart of accounts'!A:H,3,FALSE),"")</f>
        <v>Other Maintenance and Operating Expenses</v>
      </c>
      <c r="L870" s="338" t="str">
        <f>IFERROR(VLOOKUP(I870,'Chart of accounts'!A:H,4,FALSE),"")</f>
        <v>50299990 99 - Other Maintenance and Operating Expenses (969)</v>
      </c>
      <c r="M870" s="361">
        <v>1</v>
      </c>
      <c r="N870" s="355" t="s">
        <v>773</v>
      </c>
      <c r="O870" s="355" t="s">
        <v>1285</v>
      </c>
      <c r="P870" s="355"/>
      <c r="Q870" s="363">
        <v>120</v>
      </c>
      <c r="R870" s="319">
        <f t="shared" si="20"/>
        <v>-120</v>
      </c>
      <c r="S870" s="239" t="str">
        <f>VLOOKUP(H870,'Fund Utilization Report'!$A$4:$U$1800,13,FALSE)</f>
        <v>MOOE</v>
      </c>
      <c r="T870" s="239" t="str">
        <f>VLOOKUP(H870,'Fund Utilization Report'!$A$4:$U$1800,2,FALSE)</f>
        <v>GAA</v>
      </c>
      <c r="U870" s="239" t="str">
        <f>VLOOKUP(H870,'Fund Utilization Report'!$A$4:$U$1800,3,FALSE)</f>
        <v>FY2021, RA11518</v>
      </c>
      <c r="V870" s="239" t="str">
        <f>VLOOKUP(H870,'Fund Utilization Report'!$A$4:$U$1800,4,FALSE)</f>
        <v>GAS(GMS)</v>
      </c>
      <c r="W870" s="239" t="str">
        <f>VLOOKUP(H870,'Fund Utilization Report'!$A$4:$U$1800,5,FALSE)</f>
        <v>01101101</v>
      </c>
      <c r="X870" s="239" t="str">
        <f>VLOOKUP(H870,'Fund Utilization Report'!$A$4:$U$1800,6,FALSE)</f>
        <v>GOP</v>
      </c>
      <c r="Y870" s="440" t="str">
        <f>VLOOKUP(H870,'Fund Utilization Report'!$A$4:$U$1800,7,FALSE)</f>
        <v>MOOE</v>
      </c>
      <c r="Z870" s="441">
        <f>VLOOKUP(H870,'Fund Utilization Report'!$A$4:$U$1800,8,FALSE)</f>
        <v>5020000000</v>
      </c>
      <c r="AA870" s="239" t="str">
        <f>VLOOKUP(H870,'Fund Utilization Report'!$A$4:$U$1800,14,FALSE)</f>
        <v>100000100001000</v>
      </c>
      <c r="AB870" s="242" t="str">
        <f>VLOOKUP(H870,'Fund Utilization Report'!$A$4:$U$1800,15,FALSE)</f>
        <v>General Administration and Supervision - General Management and Supervision</v>
      </c>
      <c r="AC870" s="51"/>
      <c r="AD870" s="435"/>
      <c r="AE870" s="51"/>
      <c r="AF870" s="51"/>
      <c r="AG870" s="442"/>
      <c r="AH870" s="442"/>
      <c r="AI870" s="443"/>
    </row>
    <row r="871" spans="1:35" s="32" customFormat="1">
      <c r="A871" s="434" t="s">
        <v>942</v>
      </c>
      <c r="B871" s="457" t="s">
        <v>946</v>
      </c>
      <c r="C871" s="233">
        <v>44257</v>
      </c>
      <c r="D871" s="435" t="s">
        <v>1267</v>
      </c>
      <c r="E871" s="436" t="s">
        <v>1286</v>
      </c>
      <c r="F871" s="338">
        <v>0.47569444444444442</v>
      </c>
      <c r="G871" s="338">
        <v>0.47638888888888892</v>
      </c>
      <c r="H871" s="338" t="s">
        <v>983</v>
      </c>
      <c r="I871" s="353">
        <v>799</v>
      </c>
      <c r="J871" s="338" t="str">
        <f>IFERROR(VLOOKUP(I871,'Chart of accounts'!A:H,2,FALSE),"")</f>
        <v>50211990 00</v>
      </c>
      <c r="K871" s="338" t="str">
        <f>IFERROR(VLOOKUP(I871,'Chart of accounts'!A:H,3,FALSE),"")</f>
        <v>Other Professional Services</v>
      </c>
      <c r="L871" s="338" t="str">
        <f>IFERROR(VLOOKUP(I871,'Chart of accounts'!A:H,4,FALSE),"")</f>
        <v>50211990 00 - Other Professional Services (799)</v>
      </c>
      <c r="M871" s="361">
        <v>1</v>
      </c>
      <c r="N871" s="355" t="s">
        <v>1235</v>
      </c>
      <c r="O871" s="355" t="s">
        <v>1288</v>
      </c>
      <c r="P871" s="355"/>
      <c r="Q871" s="363">
        <v>10000</v>
      </c>
      <c r="R871" s="319">
        <f t="shared" si="20"/>
        <v>-10000</v>
      </c>
      <c r="S871" s="239" t="str">
        <f>VLOOKUP(H871,'Fund Utilization Report'!$A$4:$U$1800,13,FALSE)</f>
        <v>MOOE</v>
      </c>
      <c r="T871" s="239" t="str">
        <f>VLOOKUP(H871,'Fund Utilization Report'!$A$4:$U$1800,2,FALSE)</f>
        <v>GAA</v>
      </c>
      <c r="U871" s="239" t="str">
        <f>VLOOKUP(H871,'Fund Utilization Report'!$A$4:$U$1800,3,FALSE)</f>
        <v>FY2021, RA11518</v>
      </c>
      <c r="V871" s="239" t="str">
        <f>VLOOKUP(H871,'Fund Utilization Report'!$A$4:$U$1800,4,FALSE)</f>
        <v>SSF</v>
      </c>
      <c r="W871" s="239" t="str">
        <f>VLOOKUP(H871,'Fund Utilization Report'!$A$4:$U$1800,5,FALSE)</f>
        <v>01101101</v>
      </c>
      <c r="X871" s="239" t="str">
        <f>VLOOKUP(H871,'Fund Utilization Report'!$A$4:$U$1800,6,FALSE)</f>
        <v>GOP</v>
      </c>
      <c r="Y871" s="440" t="str">
        <f>VLOOKUP(H871,'Fund Utilization Report'!$A$4:$U$1800,7,FALSE)</f>
        <v>MOOE</v>
      </c>
      <c r="Z871" s="441">
        <f>VLOOKUP(H871,'Fund Utilization Report'!$A$4:$U$1800,8,FALSE)</f>
        <v>5020000000</v>
      </c>
      <c r="AA871" s="239" t="str">
        <f>VLOOKUP(H871,'Fund Utilization Report'!$A$4:$U$1800,14,FALSE)</f>
        <v>330100200003000</v>
      </c>
      <c r="AB871" s="242" t="str">
        <f>VLOOKUP(H871,'Fund Utilization Report'!$A$4:$U$1800,15,FALSE)</f>
        <v>Shared Service Facilities Project</v>
      </c>
      <c r="AC871" s="51"/>
      <c r="AD871" s="435"/>
      <c r="AE871" s="51"/>
      <c r="AF871" s="51"/>
      <c r="AG871" s="442"/>
      <c r="AH871" s="442"/>
      <c r="AI871" s="443"/>
    </row>
    <row r="872" spans="1:35" s="32" customFormat="1">
      <c r="A872" s="434" t="s">
        <v>942</v>
      </c>
      <c r="B872" s="457" t="s">
        <v>946</v>
      </c>
      <c r="C872" s="233">
        <v>44257</v>
      </c>
      <c r="D872" s="435" t="s">
        <v>1267</v>
      </c>
      <c r="E872" s="436" t="s">
        <v>1287</v>
      </c>
      <c r="F872" s="338">
        <v>0.47638888888888892</v>
      </c>
      <c r="G872" s="338">
        <v>0.4777777777777778</v>
      </c>
      <c r="H872" s="338" t="s">
        <v>983</v>
      </c>
      <c r="I872" s="353">
        <v>799</v>
      </c>
      <c r="J872" s="338" t="str">
        <f>IFERROR(VLOOKUP(I872,'Chart of accounts'!A:H,2,FALSE),"")</f>
        <v>50211990 00</v>
      </c>
      <c r="K872" s="338" t="str">
        <f>IFERROR(VLOOKUP(I872,'Chart of accounts'!A:H,3,FALSE),"")</f>
        <v>Other Professional Services</v>
      </c>
      <c r="L872" s="338" t="str">
        <f>IFERROR(VLOOKUP(I872,'Chart of accounts'!A:H,4,FALSE),"")</f>
        <v>50211990 00 - Other Professional Services (799)</v>
      </c>
      <c r="M872" s="361" t="s">
        <v>5</v>
      </c>
      <c r="N872" s="355" t="s">
        <v>1075</v>
      </c>
      <c r="O872" s="355" t="s">
        <v>1288</v>
      </c>
      <c r="P872" s="355"/>
      <c r="Q872" s="363">
        <v>5534</v>
      </c>
      <c r="R872" s="319">
        <f t="shared" si="20"/>
        <v>-5534</v>
      </c>
      <c r="S872" s="239" t="str">
        <f>VLOOKUP(H872,'Fund Utilization Report'!$A$4:$U$1800,13,FALSE)</f>
        <v>MOOE</v>
      </c>
      <c r="T872" s="239" t="str">
        <f>VLOOKUP(H872,'Fund Utilization Report'!$A$4:$U$1800,2,FALSE)</f>
        <v>GAA</v>
      </c>
      <c r="U872" s="239" t="str">
        <f>VLOOKUP(H872,'Fund Utilization Report'!$A$4:$U$1800,3,FALSE)</f>
        <v>FY2021, RA11518</v>
      </c>
      <c r="V872" s="239" t="str">
        <f>VLOOKUP(H872,'Fund Utilization Report'!$A$4:$U$1800,4,FALSE)</f>
        <v>SSF</v>
      </c>
      <c r="W872" s="239" t="str">
        <f>VLOOKUP(H872,'Fund Utilization Report'!$A$4:$U$1800,5,FALSE)</f>
        <v>01101101</v>
      </c>
      <c r="X872" s="239" t="str">
        <f>VLOOKUP(H872,'Fund Utilization Report'!$A$4:$U$1800,6,FALSE)</f>
        <v>GOP</v>
      </c>
      <c r="Y872" s="440" t="str">
        <f>VLOOKUP(H872,'Fund Utilization Report'!$A$4:$U$1800,7,FALSE)</f>
        <v>MOOE</v>
      </c>
      <c r="Z872" s="441">
        <f>VLOOKUP(H872,'Fund Utilization Report'!$A$4:$U$1800,8,FALSE)</f>
        <v>5020000000</v>
      </c>
      <c r="AA872" s="239" t="str">
        <f>VLOOKUP(H872,'Fund Utilization Report'!$A$4:$U$1800,14,FALSE)</f>
        <v>330100200003000</v>
      </c>
      <c r="AB872" s="242" t="str">
        <f>VLOOKUP(H872,'Fund Utilization Report'!$A$4:$U$1800,15,FALSE)</f>
        <v>Shared Service Facilities Project</v>
      </c>
      <c r="AC872" s="51"/>
      <c r="AD872" s="435"/>
      <c r="AE872" s="51"/>
      <c r="AF872" s="51"/>
      <c r="AG872" s="442"/>
      <c r="AH872" s="442"/>
      <c r="AI872" s="443"/>
    </row>
    <row r="873" spans="1:35" s="32" customFormat="1">
      <c r="A873" s="434" t="s">
        <v>942</v>
      </c>
      <c r="B873" s="457" t="s">
        <v>946</v>
      </c>
      <c r="C873" s="233">
        <v>44257</v>
      </c>
      <c r="D873" s="435" t="s">
        <v>1267</v>
      </c>
      <c r="E873" s="436" t="s">
        <v>1287</v>
      </c>
      <c r="F873" s="338">
        <v>0.47638888888888892</v>
      </c>
      <c r="G873" s="338">
        <v>0.4777777777777778</v>
      </c>
      <c r="H873" s="434" t="s">
        <v>961</v>
      </c>
      <c r="I873" s="353">
        <v>795</v>
      </c>
      <c r="J873" s="338" t="str">
        <f>IFERROR(VLOOKUP(I873,'Chart of accounts'!A:H,2,FALSE),"")</f>
        <v>50212990 00</v>
      </c>
      <c r="K873" s="338" t="str">
        <f>IFERROR(VLOOKUP(I873,'Chart of accounts'!A:H,3,FALSE),"")</f>
        <v>Other General Services</v>
      </c>
      <c r="L873" s="338" t="str">
        <f>IFERROR(VLOOKUP(I873,'Chart of accounts'!A:H,4,FALSE),"")</f>
        <v>50212990 00 - Other General Services (795)</v>
      </c>
      <c r="M873" s="361">
        <v>1</v>
      </c>
      <c r="N873" s="355" t="s">
        <v>1075</v>
      </c>
      <c r="O873" s="355" t="s">
        <v>1288</v>
      </c>
      <c r="P873" s="355"/>
      <c r="Q873" s="363">
        <f>5534+11158</f>
        <v>16692</v>
      </c>
      <c r="R873" s="319">
        <f t="shared" si="20"/>
        <v>-16692</v>
      </c>
      <c r="S873" s="239" t="str">
        <f>VLOOKUP(H873,'Fund Utilization Report'!$A$4:$U$1800,13,FALSE)</f>
        <v>MOOE</v>
      </c>
      <c r="T873" s="239" t="str">
        <f>VLOOKUP(H873,'Fund Utilization Report'!$A$4:$U$1800,2,FALSE)</f>
        <v>GAA</v>
      </c>
      <c r="U873" s="239" t="str">
        <f>VLOOKUP(H873,'Fund Utilization Report'!$A$4:$U$1800,3,FALSE)</f>
        <v>FY2021, RA11518</v>
      </c>
      <c r="V873" s="239" t="str">
        <f>VLOOKUP(H873,'Fund Utilization Report'!$A$4:$U$1800,4,FALSE)</f>
        <v>GAS(GMS)</v>
      </c>
      <c r="W873" s="239" t="str">
        <f>VLOOKUP(H873,'Fund Utilization Report'!$A$4:$U$1800,5,FALSE)</f>
        <v>01101101</v>
      </c>
      <c r="X873" s="239" t="str">
        <f>VLOOKUP(H873,'Fund Utilization Report'!$A$4:$U$1800,6,FALSE)</f>
        <v>GOP</v>
      </c>
      <c r="Y873" s="440" t="str">
        <f>VLOOKUP(H873,'Fund Utilization Report'!$A$4:$U$1800,7,FALSE)</f>
        <v>MOOE</v>
      </c>
      <c r="Z873" s="441">
        <f>VLOOKUP(H873,'Fund Utilization Report'!$A$4:$U$1800,8,FALSE)</f>
        <v>5020000000</v>
      </c>
      <c r="AA873" s="239" t="str">
        <f>VLOOKUP(H873,'Fund Utilization Report'!$A$4:$U$1800,14,FALSE)</f>
        <v>100000100001000</v>
      </c>
      <c r="AB873" s="242" t="str">
        <f>VLOOKUP(H873,'Fund Utilization Report'!$A$4:$U$1800,15,FALSE)</f>
        <v>General Administration and Supervision - General Management and Supervision</v>
      </c>
      <c r="AC873" s="51"/>
      <c r="AD873" s="435"/>
      <c r="AE873" s="51"/>
      <c r="AF873" s="51"/>
      <c r="AG873" s="442"/>
      <c r="AH873" s="442"/>
      <c r="AI873" s="443"/>
    </row>
    <row r="874" spans="1:35" s="32" customFormat="1">
      <c r="A874" s="434" t="s">
        <v>942</v>
      </c>
      <c r="B874" s="457" t="s">
        <v>946</v>
      </c>
      <c r="C874" s="233">
        <v>44257</v>
      </c>
      <c r="D874" s="435" t="s">
        <v>1267</v>
      </c>
      <c r="E874" s="436" t="s">
        <v>1287</v>
      </c>
      <c r="F874" s="338">
        <v>0.47638888888888892</v>
      </c>
      <c r="G874" s="338">
        <v>0.4777777777777778</v>
      </c>
      <c r="H874" s="434" t="s">
        <v>961</v>
      </c>
      <c r="I874" s="353">
        <v>792</v>
      </c>
      <c r="J874" s="338" t="str">
        <f>IFERROR(VLOOKUP(I874,'Chart of accounts'!A:H,2,FALSE),"")</f>
        <v>50211020 00</v>
      </c>
      <c r="K874" s="338" t="str">
        <f>IFERROR(VLOOKUP(I874,'Chart of accounts'!A:H,3,FALSE),"")</f>
        <v>Auditing Services</v>
      </c>
      <c r="L874" s="338" t="str">
        <f>IFERROR(VLOOKUP(I874,'Chart of accounts'!A:H,4,FALSE),"")</f>
        <v>50211020 00 - Auditing Services (792)</v>
      </c>
      <c r="M874" s="361" t="s">
        <v>1404</v>
      </c>
      <c r="N874" s="355" t="s">
        <v>1075</v>
      </c>
      <c r="O874" s="355" t="s">
        <v>1288</v>
      </c>
      <c r="P874" s="355"/>
      <c r="Q874" s="363">
        <v>5534</v>
      </c>
      <c r="R874" s="319">
        <f t="shared" si="20"/>
        <v>-5534</v>
      </c>
      <c r="S874" s="239" t="str">
        <f>VLOOKUP(H874,'Fund Utilization Report'!$A$4:$U$1800,13,FALSE)</f>
        <v>MOOE</v>
      </c>
      <c r="T874" s="239" t="str">
        <f>VLOOKUP(H874,'Fund Utilization Report'!$A$4:$U$1800,2,FALSE)</f>
        <v>GAA</v>
      </c>
      <c r="U874" s="239" t="str">
        <f>VLOOKUP(H874,'Fund Utilization Report'!$A$4:$U$1800,3,FALSE)</f>
        <v>FY2021, RA11518</v>
      </c>
      <c r="V874" s="239" t="str">
        <f>VLOOKUP(H874,'Fund Utilization Report'!$A$4:$U$1800,4,FALSE)</f>
        <v>GAS(GMS)</v>
      </c>
      <c r="W874" s="239" t="str">
        <f>VLOOKUP(H874,'Fund Utilization Report'!$A$4:$U$1800,5,FALSE)</f>
        <v>01101101</v>
      </c>
      <c r="X874" s="239" t="str">
        <f>VLOOKUP(H874,'Fund Utilization Report'!$A$4:$U$1800,6,FALSE)</f>
        <v>GOP</v>
      </c>
      <c r="Y874" s="440" t="str">
        <f>VLOOKUP(H874,'Fund Utilization Report'!$A$4:$U$1800,7,FALSE)</f>
        <v>MOOE</v>
      </c>
      <c r="Z874" s="441">
        <f>VLOOKUP(H874,'Fund Utilization Report'!$A$4:$U$1800,8,FALSE)</f>
        <v>5020000000</v>
      </c>
      <c r="AA874" s="239" t="str">
        <f>VLOOKUP(H874,'Fund Utilization Report'!$A$4:$U$1800,14,FALSE)</f>
        <v>100000100001000</v>
      </c>
      <c r="AB874" s="242" t="str">
        <f>VLOOKUP(H874,'Fund Utilization Report'!$A$4:$U$1800,15,FALSE)</f>
        <v>General Administration and Supervision - General Management and Supervision</v>
      </c>
      <c r="AC874" s="51"/>
      <c r="AD874" s="435"/>
      <c r="AE874" s="51"/>
      <c r="AF874" s="51"/>
      <c r="AG874" s="442"/>
      <c r="AH874" s="442"/>
      <c r="AI874" s="443"/>
    </row>
    <row r="875" spans="1:35" s="32" customFormat="1" ht="27.6">
      <c r="A875" s="434" t="s">
        <v>942</v>
      </c>
      <c r="B875" s="457" t="s">
        <v>946</v>
      </c>
      <c r="C875" s="233">
        <v>44257</v>
      </c>
      <c r="D875" s="435" t="s">
        <v>1267</v>
      </c>
      <c r="E875" s="436" t="s">
        <v>1289</v>
      </c>
      <c r="F875" s="338">
        <v>0.4916666666666667</v>
      </c>
      <c r="G875" s="338">
        <v>0.49236111111111108</v>
      </c>
      <c r="H875" s="338" t="s">
        <v>1221</v>
      </c>
      <c r="I875" s="353">
        <v>799</v>
      </c>
      <c r="J875" s="338" t="str">
        <f>IFERROR(VLOOKUP(I875,'Chart of accounts'!A:H,2,FALSE),"")</f>
        <v>50211990 00</v>
      </c>
      <c r="K875" s="338" t="str">
        <f>IFERROR(VLOOKUP(I875,'Chart of accounts'!A:H,3,FALSE),"")</f>
        <v>Other Professional Services</v>
      </c>
      <c r="L875" s="338" t="str">
        <f>IFERROR(VLOOKUP(I875,'Chart of accounts'!A:H,4,FALSE),"")</f>
        <v>50211990 00 - Other Professional Services (799)</v>
      </c>
      <c r="M875" s="361">
        <v>3</v>
      </c>
      <c r="N875" s="355" t="s">
        <v>1290</v>
      </c>
      <c r="O875" s="355" t="s">
        <v>1291</v>
      </c>
      <c r="P875" s="355"/>
      <c r="Q875" s="363">
        <v>16332.5</v>
      </c>
      <c r="R875" s="319">
        <f t="shared" si="20"/>
        <v>-16332.5</v>
      </c>
      <c r="S875" s="239" t="str">
        <f>VLOOKUP(H875,'Fund Utilization Report'!$A$4:$U$1800,13,FALSE)</f>
        <v>MOOE</v>
      </c>
      <c r="T875" s="239" t="str">
        <f>VLOOKUP(H875,'Fund Utilization Report'!$A$4:$U$1800,2,FALSE)</f>
        <v>SAA040</v>
      </c>
      <c r="U875" s="239" t="str">
        <f>VLOOKUP(H875,'Fund Utilization Report'!$A$4:$U$1800,3,FALSE)</f>
        <v>21-02-0040</v>
      </c>
      <c r="V875" s="239" t="str">
        <f>VLOOKUP(H875,'Fund Utilization Report'!$A$4:$U$1800,4,FALSE)</f>
        <v>RAPID GOP</v>
      </c>
      <c r="W875" s="239" t="str">
        <f>VLOOKUP(H875,'Fund Utilization Report'!$A$4:$U$1800,5,FALSE)</f>
        <v>01101101</v>
      </c>
      <c r="X875" s="239" t="str">
        <f>VLOOKUP(H875,'Fund Utilization Report'!$A$4:$U$1800,6,FALSE)</f>
        <v>GOP</v>
      </c>
      <c r="Y875" s="440">
        <f>VLOOKUP(H875,'Fund Utilization Report'!$A$4:$U$1800,7,FALSE)</f>
        <v>799</v>
      </c>
      <c r="Z875" s="441">
        <f>VLOOKUP(H875,'Fund Utilization Report'!$A$4:$U$1800,8,FALSE)</f>
        <v>5021199000</v>
      </c>
      <c r="AA875" s="239" t="str">
        <f>VLOOKUP(H875,'Fund Utilization Report'!$A$4:$U$1800,14,FALSE)</f>
        <v>330100300001000</v>
      </c>
      <c r="AB875" s="242" t="str">
        <f>VLOOKUP(H875,'Fund Utilization Report'!$A$4:$U$1800,15,FALSE)</f>
        <v>Rural Agro Enterprise Partnership for Inclusive Development (RAPID) Growth GOP Continuing</v>
      </c>
      <c r="AC875" s="51"/>
      <c r="AD875" s="435"/>
      <c r="AE875" s="51"/>
      <c r="AF875" s="51"/>
      <c r="AG875" s="442"/>
      <c r="AH875" s="442"/>
      <c r="AI875" s="443"/>
    </row>
    <row r="876" spans="1:35" s="32" customFormat="1">
      <c r="A876" s="434" t="s">
        <v>942</v>
      </c>
      <c r="B876" s="457" t="s">
        <v>946</v>
      </c>
      <c r="C876" s="233">
        <v>44257</v>
      </c>
      <c r="D876" s="435" t="s">
        <v>1267</v>
      </c>
      <c r="E876" s="436" t="s">
        <v>1292</v>
      </c>
      <c r="F876" s="338">
        <v>0.49236111111111108</v>
      </c>
      <c r="G876" s="338">
        <v>0.49861111111111112</v>
      </c>
      <c r="H876" s="338" t="s">
        <v>982</v>
      </c>
      <c r="I876" s="353">
        <v>799</v>
      </c>
      <c r="J876" s="338" t="str">
        <f>IFERROR(VLOOKUP(I876,'Chart of accounts'!A:H,2,FALSE),"")</f>
        <v>50211990 00</v>
      </c>
      <c r="K876" s="338" t="str">
        <f>IFERROR(VLOOKUP(I876,'Chart of accounts'!A:H,3,FALSE),"")</f>
        <v>Other Professional Services</v>
      </c>
      <c r="L876" s="338" t="str">
        <f>IFERROR(VLOOKUP(I876,'Chart of accounts'!A:H,4,FALSE),"")</f>
        <v>50211990 00 - Other Professional Services (799)</v>
      </c>
      <c r="M876" s="361" t="s">
        <v>905</v>
      </c>
      <c r="N876" s="355" t="s">
        <v>1075</v>
      </c>
      <c r="O876" s="355" t="s">
        <v>1288</v>
      </c>
      <c r="P876" s="355"/>
      <c r="Q876" s="363">
        <v>11158</v>
      </c>
      <c r="R876" s="319">
        <f t="shared" si="20"/>
        <v>-11158</v>
      </c>
      <c r="S876" s="239" t="str">
        <f>VLOOKUP(H876,'Fund Utilization Report'!$A$4:$U$1800,13,FALSE)</f>
        <v>MOOE</v>
      </c>
      <c r="T876" s="239" t="str">
        <f>VLOOKUP(H876,'Fund Utilization Report'!$A$4:$U$1800,2,FALSE)</f>
        <v>GAA</v>
      </c>
      <c r="U876" s="239" t="str">
        <f>VLOOKUP(H876,'Fund Utilization Report'!$A$4:$U$1800,3,FALSE)</f>
        <v>FY2021, RA11518</v>
      </c>
      <c r="V876" s="239" t="str">
        <f>VLOOKUP(H876,'Fund Utilization Report'!$A$4:$U$1800,4,FALSE)</f>
        <v>OTOP</v>
      </c>
      <c r="W876" s="239" t="str">
        <f>VLOOKUP(H876,'Fund Utilization Report'!$A$4:$U$1800,5,FALSE)</f>
        <v>01101101</v>
      </c>
      <c r="X876" s="239" t="str">
        <f>VLOOKUP(H876,'Fund Utilization Report'!$A$4:$U$1800,6,FALSE)</f>
        <v>GOP</v>
      </c>
      <c r="Y876" s="440" t="str">
        <f>VLOOKUP(H876,'Fund Utilization Report'!$A$4:$U$1800,7,FALSE)</f>
        <v>MOOE</v>
      </c>
      <c r="Z876" s="441">
        <f>VLOOKUP(H876,'Fund Utilization Report'!$A$4:$U$1800,8,FALSE)</f>
        <v>5020000000</v>
      </c>
      <c r="AA876" s="239" t="str">
        <f>VLOOKUP(H876,'Fund Utilization Report'!$A$4:$U$1800,14,FALSE)</f>
        <v>330100200002000</v>
      </c>
      <c r="AB876" s="242" t="str">
        <f>VLOOKUP(H876,'Fund Utilization Report'!$A$4:$U$1800,15,FALSE)</f>
        <v>OTOP - Next Generation</v>
      </c>
      <c r="AC876" s="51"/>
      <c r="AD876" s="435"/>
      <c r="AE876" s="51"/>
      <c r="AF876" s="51"/>
      <c r="AG876" s="442"/>
      <c r="AH876" s="442"/>
      <c r="AI876" s="443"/>
    </row>
    <row r="877" spans="1:35" s="32" customFormat="1">
      <c r="A877" s="434" t="s">
        <v>942</v>
      </c>
      <c r="B877" s="457" t="s">
        <v>946</v>
      </c>
      <c r="C877" s="233">
        <v>44257</v>
      </c>
      <c r="D877" s="435" t="s">
        <v>1267</v>
      </c>
      <c r="E877" s="436" t="s">
        <v>1292</v>
      </c>
      <c r="F877" s="338">
        <v>0.49236111111111108</v>
      </c>
      <c r="G877" s="338">
        <v>0.49861111111111112</v>
      </c>
      <c r="H877" s="338" t="s">
        <v>985</v>
      </c>
      <c r="I877" s="353">
        <v>799</v>
      </c>
      <c r="J877" s="338" t="str">
        <f>IFERROR(VLOOKUP(I877,'Chart of accounts'!A:H,2,FALSE),"")</f>
        <v>50211990 00</v>
      </c>
      <c r="K877" s="338" t="str">
        <f>IFERROR(VLOOKUP(I877,'Chart of accounts'!A:H,3,FALSE),"")</f>
        <v>Other Professional Services</v>
      </c>
      <c r="L877" s="338" t="str">
        <f>IFERROR(VLOOKUP(I877,'Chart of accounts'!A:H,4,FALSE),"")</f>
        <v>50211990 00 - Other Professional Services (799)</v>
      </c>
      <c r="M877" s="361" t="s">
        <v>7</v>
      </c>
      <c r="N877" s="355" t="s">
        <v>1075</v>
      </c>
      <c r="O877" s="355" t="s">
        <v>1288</v>
      </c>
      <c r="P877" s="355"/>
      <c r="Q877" s="363">
        <v>11158</v>
      </c>
      <c r="R877" s="319">
        <f t="shared" si="20"/>
        <v>-11158</v>
      </c>
      <c r="S877" s="239" t="str">
        <f>VLOOKUP(H877,'Fund Utilization Report'!$A$4:$U$1800,13,FALSE)</f>
        <v>MOOE</v>
      </c>
      <c r="T877" s="239" t="str">
        <f>VLOOKUP(H877,'Fund Utilization Report'!$A$4:$U$1800,2,FALSE)</f>
        <v>GAA</v>
      </c>
      <c r="U877" s="239" t="str">
        <f>VLOOKUP(H877,'Fund Utilization Report'!$A$4:$U$1800,3,FALSE)</f>
        <v>FY2021, RA11518</v>
      </c>
      <c r="V877" s="239" t="str">
        <f>VLOOKUP(H877,'Fund Utilization Report'!$A$4:$U$1800,4,FALSE)</f>
        <v>LSP-PBG</v>
      </c>
      <c r="W877" s="239" t="str">
        <f>VLOOKUP(H877,'Fund Utilization Report'!$A$4:$U$1800,5,FALSE)</f>
        <v>01101101</v>
      </c>
      <c r="X877" s="239" t="str">
        <f>VLOOKUP(H877,'Fund Utilization Report'!$A$4:$U$1800,6,FALSE)</f>
        <v>GOP</v>
      </c>
      <c r="Y877" s="440" t="str">
        <f>VLOOKUP(H877,'Fund Utilization Report'!$A$4:$U$1800,7,FALSE)</f>
        <v>MOOE</v>
      </c>
      <c r="Z877" s="441">
        <f>VLOOKUP(H877,'Fund Utilization Report'!$A$4:$U$1800,8,FALSE)</f>
        <v>5020000000</v>
      </c>
      <c r="AA877" s="239" t="str">
        <f>VLOOKUP(H877,'Fund Utilization Report'!$A$4:$U$1800,14,FALSE)</f>
        <v>330100200004000</v>
      </c>
      <c r="AB877" s="242" t="str">
        <f>VLOOKUP(H877,'Fund Utilization Report'!$A$4:$U$1800,15,FALSE)</f>
        <v>MSME Development Program : Livelihood Seeding Program and Pangkabuhayan sa Pagbangon at Ginhawa</v>
      </c>
      <c r="AC877" s="51"/>
      <c r="AD877" s="435"/>
      <c r="AE877" s="51"/>
      <c r="AF877" s="51"/>
      <c r="AG877" s="442"/>
      <c r="AH877" s="442"/>
      <c r="AI877" s="443"/>
    </row>
    <row r="878" spans="1:35" s="32" customFormat="1">
      <c r="A878" s="434" t="s">
        <v>942</v>
      </c>
      <c r="B878" s="457" t="s">
        <v>946</v>
      </c>
      <c r="C878" s="233">
        <v>44257</v>
      </c>
      <c r="D878" s="435" t="s">
        <v>1267</v>
      </c>
      <c r="E878" s="436" t="s">
        <v>1293</v>
      </c>
      <c r="F878" s="338">
        <v>0.49861111111111112</v>
      </c>
      <c r="G878" s="338">
        <v>44259</v>
      </c>
      <c r="H878" s="338" t="s">
        <v>961</v>
      </c>
      <c r="I878" s="353">
        <v>795</v>
      </c>
      <c r="J878" s="338" t="str">
        <f>IFERROR(VLOOKUP(I878,'Chart of accounts'!A:H,2,FALSE),"")</f>
        <v>50212990 00</v>
      </c>
      <c r="K878" s="338" t="str">
        <f>IFERROR(VLOOKUP(I878,'Chart of accounts'!A:H,3,FALSE),"")</f>
        <v>Other General Services</v>
      </c>
      <c r="L878" s="338" t="str">
        <f>IFERROR(VLOOKUP(I878,'Chart of accounts'!A:H,4,FALSE),"")</f>
        <v>50212990 00 - Other General Services (795)</v>
      </c>
      <c r="M878" s="361" t="s">
        <v>812</v>
      </c>
      <c r="N878" s="355" t="s">
        <v>1075</v>
      </c>
      <c r="O878" s="355" t="s">
        <v>1288</v>
      </c>
      <c r="P878" s="355"/>
      <c r="Q878" s="363">
        <v>5534</v>
      </c>
      <c r="R878" s="319">
        <f t="shared" si="20"/>
        <v>-5534</v>
      </c>
      <c r="S878" s="239" t="str">
        <f>VLOOKUP(H878,'Fund Utilization Report'!$A$4:$U$1800,13,FALSE)</f>
        <v>MOOE</v>
      </c>
      <c r="T878" s="239" t="str">
        <f>VLOOKUP(H878,'Fund Utilization Report'!$A$4:$U$1800,2,FALSE)</f>
        <v>GAA</v>
      </c>
      <c r="U878" s="239" t="str">
        <f>VLOOKUP(H878,'Fund Utilization Report'!$A$4:$U$1800,3,FALSE)</f>
        <v>FY2021, RA11518</v>
      </c>
      <c r="V878" s="239" t="str">
        <f>VLOOKUP(H878,'Fund Utilization Report'!$A$4:$U$1800,4,FALSE)</f>
        <v>GAS(GMS)</v>
      </c>
      <c r="W878" s="239" t="str">
        <f>VLOOKUP(H878,'Fund Utilization Report'!$A$4:$U$1800,5,FALSE)</f>
        <v>01101101</v>
      </c>
      <c r="X878" s="239" t="str">
        <f>VLOOKUP(H878,'Fund Utilization Report'!$A$4:$U$1800,6,FALSE)</f>
        <v>GOP</v>
      </c>
      <c r="Y878" s="440" t="str">
        <f>VLOOKUP(H878,'Fund Utilization Report'!$A$4:$U$1800,7,FALSE)</f>
        <v>MOOE</v>
      </c>
      <c r="Z878" s="441">
        <f>VLOOKUP(H878,'Fund Utilization Report'!$A$4:$U$1800,8,FALSE)</f>
        <v>5020000000</v>
      </c>
      <c r="AA878" s="239" t="str">
        <f>VLOOKUP(H878,'Fund Utilization Report'!$A$4:$U$1800,14,FALSE)</f>
        <v>100000100001000</v>
      </c>
      <c r="AB878" s="242" t="str">
        <f>VLOOKUP(H878,'Fund Utilization Report'!$A$4:$U$1800,15,FALSE)</f>
        <v>General Administration and Supervision - General Management and Supervision</v>
      </c>
      <c r="AC878" s="51"/>
      <c r="AD878" s="435"/>
      <c r="AE878" s="51"/>
      <c r="AF878" s="51"/>
      <c r="AG878" s="442"/>
      <c r="AH878" s="442"/>
      <c r="AI878" s="443"/>
    </row>
    <row r="879" spans="1:35" s="32" customFormat="1">
      <c r="A879" s="434" t="s">
        <v>942</v>
      </c>
      <c r="B879" s="457" t="s">
        <v>946</v>
      </c>
      <c r="C879" s="233">
        <v>44257</v>
      </c>
      <c r="D879" s="435" t="s">
        <v>1267</v>
      </c>
      <c r="E879" s="436" t="s">
        <v>1293</v>
      </c>
      <c r="F879" s="338">
        <v>0.49861111111111112</v>
      </c>
      <c r="G879" s="338">
        <v>44259</v>
      </c>
      <c r="H879" s="338" t="s">
        <v>961</v>
      </c>
      <c r="I879" s="353">
        <v>795</v>
      </c>
      <c r="J879" s="338" t="str">
        <f>IFERROR(VLOOKUP(I879,'Chart of accounts'!A:H,2,FALSE),"")</f>
        <v>50212990 00</v>
      </c>
      <c r="K879" s="338" t="str">
        <f>IFERROR(VLOOKUP(I879,'Chart of accounts'!A:H,3,FALSE),"")</f>
        <v>Other General Services</v>
      </c>
      <c r="L879" s="338" t="str">
        <f>IFERROR(VLOOKUP(I879,'Chart of accounts'!A:H,4,FALSE),"")</f>
        <v>50212990 00 - Other General Services (795)</v>
      </c>
      <c r="M879" s="361" t="s">
        <v>812</v>
      </c>
      <c r="N879" s="355" t="s">
        <v>1075</v>
      </c>
      <c r="O879" s="355" t="s">
        <v>1288</v>
      </c>
      <c r="P879" s="355"/>
      <c r="Q879" s="363">
        <v>7500</v>
      </c>
      <c r="R879" s="319">
        <f t="shared" si="20"/>
        <v>-7500</v>
      </c>
      <c r="S879" s="239" t="str">
        <f>VLOOKUP(H879,'Fund Utilization Report'!$A$4:$U$1800,13,FALSE)</f>
        <v>MOOE</v>
      </c>
      <c r="T879" s="239" t="str">
        <f>VLOOKUP(H879,'Fund Utilization Report'!$A$4:$U$1800,2,FALSE)</f>
        <v>GAA</v>
      </c>
      <c r="U879" s="239" t="str">
        <f>VLOOKUP(H879,'Fund Utilization Report'!$A$4:$U$1800,3,FALSE)</f>
        <v>FY2021, RA11518</v>
      </c>
      <c r="V879" s="239" t="str">
        <f>VLOOKUP(H879,'Fund Utilization Report'!$A$4:$U$1800,4,FALSE)</f>
        <v>GAS(GMS)</v>
      </c>
      <c r="W879" s="239" t="str">
        <f>VLOOKUP(H879,'Fund Utilization Report'!$A$4:$U$1800,5,FALSE)</f>
        <v>01101101</v>
      </c>
      <c r="X879" s="239" t="str">
        <f>VLOOKUP(H879,'Fund Utilization Report'!$A$4:$U$1800,6,FALSE)</f>
        <v>GOP</v>
      </c>
      <c r="Y879" s="440" t="str">
        <f>VLOOKUP(H879,'Fund Utilization Report'!$A$4:$U$1800,7,FALSE)</f>
        <v>MOOE</v>
      </c>
      <c r="Z879" s="441">
        <f>VLOOKUP(H879,'Fund Utilization Report'!$A$4:$U$1800,8,FALSE)</f>
        <v>5020000000</v>
      </c>
      <c r="AA879" s="239" t="str">
        <f>VLOOKUP(H879,'Fund Utilization Report'!$A$4:$U$1800,14,FALSE)</f>
        <v>100000100001000</v>
      </c>
      <c r="AB879" s="242" t="str">
        <f>VLOOKUP(H879,'Fund Utilization Report'!$A$4:$U$1800,15,FALSE)</f>
        <v>General Administration and Supervision - General Management and Supervision</v>
      </c>
      <c r="AC879" s="51"/>
      <c r="AD879" s="435"/>
      <c r="AE879" s="51"/>
      <c r="AF879" s="51"/>
      <c r="AG879" s="442"/>
      <c r="AH879" s="442"/>
      <c r="AI879" s="443"/>
    </row>
    <row r="880" spans="1:35" s="32" customFormat="1">
      <c r="A880" s="434" t="s">
        <v>942</v>
      </c>
      <c r="B880" s="457" t="s">
        <v>946</v>
      </c>
      <c r="C880" s="233">
        <v>44257</v>
      </c>
      <c r="D880" s="435" t="s">
        <v>1267</v>
      </c>
      <c r="E880" s="436" t="s">
        <v>1294</v>
      </c>
      <c r="F880" s="338">
        <v>44259</v>
      </c>
      <c r="G880" s="338">
        <v>0.50347222222222221</v>
      </c>
      <c r="H880" s="338" t="s">
        <v>960</v>
      </c>
      <c r="I880" s="353">
        <v>713</v>
      </c>
      <c r="J880" s="338" t="str">
        <f>IFERROR(VLOOKUP(I880,'Chart of accounts'!A:H,2,FALSE),"")</f>
        <v>50102020 00</v>
      </c>
      <c r="K880" s="338" t="str">
        <f>IFERROR(VLOOKUP(I880,'Chart of accounts'!A:H,3,FALSE),"")</f>
        <v>Representation Allowance</v>
      </c>
      <c r="L880" s="338" t="str">
        <f>IFERROR(VLOOKUP(I880,'Chart of accounts'!A:H,4,FALSE),"")</f>
        <v>50102020 00 - Representation Allowance (713)</v>
      </c>
      <c r="M880" s="354" t="s">
        <v>2</v>
      </c>
      <c r="N880" s="355" t="s">
        <v>6</v>
      </c>
      <c r="O880" s="355" t="s">
        <v>1295</v>
      </c>
      <c r="P880" s="355"/>
      <c r="Q880" s="428">
        <v>9000</v>
      </c>
      <c r="R880" s="319">
        <f t="shared" si="20"/>
        <v>-9000</v>
      </c>
      <c r="S880" s="239" t="str">
        <f>VLOOKUP(H880,'Fund Utilization Report'!$A$4:$U$1800,13,FALSE)</f>
        <v>PS</v>
      </c>
      <c r="T880" s="239" t="str">
        <f>VLOOKUP(H880,'Fund Utilization Report'!$A$4:$U$1800,2,FALSE)</f>
        <v>GAA</v>
      </c>
      <c r="U880" s="239" t="str">
        <f>VLOOKUP(H880,'Fund Utilization Report'!$A$4:$U$1800,3,FALSE)</f>
        <v>FY2021, RA11518</v>
      </c>
      <c r="V880" s="239" t="str">
        <f>VLOOKUP(H880,'Fund Utilization Report'!$A$4:$U$1800,4,FALSE)</f>
        <v>GAS(GMS)</v>
      </c>
      <c r="W880" s="239" t="str">
        <f>VLOOKUP(H880,'Fund Utilization Report'!$A$4:$U$1800,5,FALSE)</f>
        <v>01101101</v>
      </c>
      <c r="X880" s="239" t="str">
        <f>VLOOKUP(H880,'Fund Utilization Report'!$A$4:$U$1800,6,FALSE)</f>
        <v>GOP</v>
      </c>
      <c r="Y880" s="440" t="str">
        <f>VLOOKUP(H880,'Fund Utilization Report'!$A$4:$U$1800,7,FALSE)</f>
        <v>PS</v>
      </c>
      <c r="Z880" s="441">
        <f>VLOOKUP(H880,'Fund Utilization Report'!$A$4:$U$1800,8,FALSE)</f>
        <v>5010000000</v>
      </c>
      <c r="AA880" s="239" t="str">
        <f>VLOOKUP(H880,'Fund Utilization Report'!$A$4:$U$1800,14,FALSE)</f>
        <v>100000100001000</v>
      </c>
      <c r="AB880" s="242" t="str">
        <f>VLOOKUP(H880,'Fund Utilization Report'!$A$4:$U$1800,15,FALSE)</f>
        <v>General Administration and Supervision - General Management and Supervision</v>
      </c>
      <c r="AC880" s="51"/>
      <c r="AD880" s="435"/>
      <c r="AE880" s="51"/>
      <c r="AF880" s="51"/>
      <c r="AG880" s="442"/>
      <c r="AH880" s="442"/>
      <c r="AI880" s="443"/>
    </row>
    <row r="881" spans="1:35" s="32" customFormat="1">
      <c r="A881" s="434" t="s">
        <v>942</v>
      </c>
      <c r="B881" s="457" t="s">
        <v>946</v>
      </c>
      <c r="C881" s="233">
        <v>44257</v>
      </c>
      <c r="D881" s="435" t="s">
        <v>1267</v>
      </c>
      <c r="E881" s="436" t="s">
        <v>1294</v>
      </c>
      <c r="F881" s="338">
        <v>44259</v>
      </c>
      <c r="G881" s="338">
        <v>0.50347222222222221</v>
      </c>
      <c r="H881" s="338" t="s">
        <v>960</v>
      </c>
      <c r="I881" s="353">
        <v>714</v>
      </c>
      <c r="J881" s="338" t="str">
        <f>IFERROR(VLOOKUP(I881,'Chart of accounts'!A:H,2,FALSE),"")</f>
        <v>50102030 01</v>
      </c>
      <c r="K881" s="338" t="str">
        <f>IFERROR(VLOOKUP(I881,'Chart of accounts'!A:H,3,FALSE),"")</f>
        <v xml:space="preserve">Transportation Allowance  </v>
      </c>
      <c r="L881" s="338" t="str">
        <f>IFERROR(VLOOKUP(I881,'Chart of accounts'!A:H,4,FALSE),"")</f>
        <v>50102030 01 - Transportation Allowance   (714)</v>
      </c>
      <c r="M881" s="354" t="s">
        <v>2</v>
      </c>
      <c r="N881" s="355" t="s">
        <v>6</v>
      </c>
      <c r="O881" s="355" t="s">
        <v>1295</v>
      </c>
      <c r="P881" s="355"/>
      <c r="Q881" s="428">
        <v>9000</v>
      </c>
      <c r="R881" s="319">
        <f t="shared" ref="R881:R943" si="23">P881-Q881</f>
        <v>-9000</v>
      </c>
      <c r="S881" s="239" t="str">
        <f>VLOOKUP(H881,'Fund Utilization Report'!$A$4:$U$1800,13,FALSE)</f>
        <v>PS</v>
      </c>
      <c r="T881" s="239" t="str">
        <f>VLOOKUP(H881,'Fund Utilization Report'!$A$4:$U$1800,2,FALSE)</f>
        <v>GAA</v>
      </c>
      <c r="U881" s="239" t="str">
        <f>VLOOKUP(H881,'Fund Utilization Report'!$A$4:$U$1800,3,FALSE)</f>
        <v>FY2021, RA11518</v>
      </c>
      <c r="V881" s="239" t="str">
        <f>VLOOKUP(H881,'Fund Utilization Report'!$A$4:$U$1800,4,FALSE)</f>
        <v>GAS(GMS)</v>
      </c>
      <c r="W881" s="239" t="str">
        <f>VLOOKUP(H881,'Fund Utilization Report'!$A$4:$U$1800,5,FALSE)</f>
        <v>01101101</v>
      </c>
      <c r="X881" s="239" t="str">
        <f>VLOOKUP(H881,'Fund Utilization Report'!$A$4:$U$1800,6,FALSE)</f>
        <v>GOP</v>
      </c>
      <c r="Y881" s="440" t="str">
        <f>VLOOKUP(H881,'Fund Utilization Report'!$A$4:$U$1800,7,FALSE)</f>
        <v>PS</v>
      </c>
      <c r="Z881" s="441">
        <f>VLOOKUP(H881,'Fund Utilization Report'!$A$4:$U$1800,8,FALSE)</f>
        <v>5010000000</v>
      </c>
      <c r="AA881" s="239" t="str">
        <f>VLOOKUP(H881,'Fund Utilization Report'!$A$4:$U$1800,14,FALSE)</f>
        <v>100000100001000</v>
      </c>
      <c r="AB881" s="242" t="str">
        <f>VLOOKUP(H881,'Fund Utilization Report'!$A$4:$U$1800,15,FALSE)</f>
        <v>General Administration and Supervision - General Management and Supervision</v>
      </c>
      <c r="AC881" s="51"/>
      <c r="AD881" s="435"/>
      <c r="AE881" s="51"/>
      <c r="AF881" s="51"/>
      <c r="AG881" s="442"/>
      <c r="AH881" s="442"/>
      <c r="AI881" s="443"/>
    </row>
    <row r="882" spans="1:35" s="32" customFormat="1">
      <c r="A882" s="434" t="s">
        <v>942</v>
      </c>
      <c r="B882" s="457" t="s">
        <v>946</v>
      </c>
      <c r="C882" s="233">
        <v>44257</v>
      </c>
      <c r="D882" s="435" t="s">
        <v>1267</v>
      </c>
      <c r="E882" s="436" t="s">
        <v>1294</v>
      </c>
      <c r="F882" s="338">
        <v>44259</v>
      </c>
      <c r="G882" s="338">
        <v>0.50347222222222221</v>
      </c>
      <c r="H882" s="338" t="s">
        <v>960</v>
      </c>
      <c r="I882" s="353">
        <v>713</v>
      </c>
      <c r="J882" s="338" t="str">
        <f>IFERROR(VLOOKUP(I882,'Chart of accounts'!A:H,2,FALSE),"")</f>
        <v>50102020 00</v>
      </c>
      <c r="K882" s="338" t="str">
        <f>IFERROR(VLOOKUP(I882,'Chart of accounts'!A:H,3,FALSE),"")</f>
        <v>Representation Allowance</v>
      </c>
      <c r="L882" s="338" t="str">
        <f>IFERROR(VLOOKUP(I882,'Chart of accounts'!A:H,4,FALSE),"")</f>
        <v>50102020 00 - Representation Allowance (713)</v>
      </c>
      <c r="M882" s="354" t="s">
        <v>2</v>
      </c>
      <c r="N882" s="355" t="s">
        <v>796</v>
      </c>
      <c r="O882" s="355" t="s">
        <v>1295</v>
      </c>
      <c r="P882" s="355"/>
      <c r="Q882" s="428">
        <v>8500</v>
      </c>
      <c r="R882" s="319">
        <f t="shared" si="23"/>
        <v>-8500</v>
      </c>
      <c r="S882" s="239" t="str">
        <f>VLOOKUP(H882,'Fund Utilization Report'!$A$4:$U$1800,13,FALSE)</f>
        <v>PS</v>
      </c>
      <c r="T882" s="239" t="str">
        <f>VLOOKUP(H882,'Fund Utilization Report'!$A$4:$U$1800,2,FALSE)</f>
        <v>GAA</v>
      </c>
      <c r="U882" s="239" t="str">
        <f>VLOOKUP(H882,'Fund Utilization Report'!$A$4:$U$1800,3,FALSE)</f>
        <v>FY2021, RA11518</v>
      </c>
      <c r="V882" s="239" t="str">
        <f>VLOOKUP(H882,'Fund Utilization Report'!$A$4:$U$1800,4,FALSE)</f>
        <v>GAS(GMS)</v>
      </c>
      <c r="W882" s="239" t="str">
        <f>VLOOKUP(H882,'Fund Utilization Report'!$A$4:$U$1800,5,FALSE)</f>
        <v>01101101</v>
      </c>
      <c r="X882" s="239" t="str">
        <f>VLOOKUP(H882,'Fund Utilization Report'!$A$4:$U$1800,6,FALSE)</f>
        <v>GOP</v>
      </c>
      <c r="Y882" s="440" t="str">
        <f>VLOOKUP(H882,'Fund Utilization Report'!$A$4:$U$1800,7,FALSE)</f>
        <v>PS</v>
      </c>
      <c r="Z882" s="441">
        <f>VLOOKUP(H882,'Fund Utilization Report'!$A$4:$U$1800,8,FALSE)</f>
        <v>5010000000</v>
      </c>
      <c r="AA882" s="239" t="str">
        <f>VLOOKUP(H882,'Fund Utilization Report'!$A$4:$U$1800,14,FALSE)</f>
        <v>100000100001000</v>
      </c>
      <c r="AB882" s="242" t="str">
        <f>VLOOKUP(H882,'Fund Utilization Report'!$A$4:$U$1800,15,FALSE)</f>
        <v>General Administration and Supervision - General Management and Supervision</v>
      </c>
      <c r="AC882" s="51"/>
      <c r="AD882" s="435"/>
      <c r="AE882" s="51"/>
      <c r="AF882" s="51"/>
      <c r="AG882" s="442"/>
      <c r="AH882" s="442"/>
      <c r="AI882" s="443"/>
    </row>
    <row r="883" spans="1:35" s="32" customFormat="1">
      <c r="A883" s="434" t="s">
        <v>942</v>
      </c>
      <c r="B883" s="457" t="s">
        <v>946</v>
      </c>
      <c r="C883" s="233">
        <v>44257</v>
      </c>
      <c r="D883" s="435" t="s">
        <v>1267</v>
      </c>
      <c r="E883" s="436" t="s">
        <v>1294</v>
      </c>
      <c r="F883" s="338">
        <v>44259</v>
      </c>
      <c r="G883" s="338">
        <v>0.50347222222222221</v>
      </c>
      <c r="H883" s="338" t="s">
        <v>960</v>
      </c>
      <c r="I883" s="353">
        <v>714</v>
      </c>
      <c r="J883" s="338" t="str">
        <f>IFERROR(VLOOKUP(I883,'Chart of accounts'!A:H,2,FALSE),"")</f>
        <v>50102030 01</v>
      </c>
      <c r="K883" s="338" t="str">
        <f>IFERROR(VLOOKUP(I883,'Chart of accounts'!A:H,3,FALSE),"")</f>
        <v xml:space="preserve">Transportation Allowance  </v>
      </c>
      <c r="L883" s="338" t="str">
        <f>IFERROR(VLOOKUP(I883,'Chart of accounts'!A:H,4,FALSE),"")</f>
        <v>50102030 01 - Transportation Allowance   (714)</v>
      </c>
      <c r="M883" s="354" t="s">
        <v>2</v>
      </c>
      <c r="N883" s="355" t="s">
        <v>796</v>
      </c>
      <c r="O883" s="355" t="s">
        <v>1295</v>
      </c>
      <c r="P883" s="355"/>
      <c r="Q883" s="428">
        <v>8500</v>
      </c>
      <c r="R883" s="319">
        <f t="shared" si="23"/>
        <v>-8500</v>
      </c>
      <c r="S883" s="239" t="str">
        <f>VLOOKUP(H883,'Fund Utilization Report'!$A$4:$U$1800,13,FALSE)</f>
        <v>PS</v>
      </c>
      <c r="T883" s="239" t="str">
        <f>VLOOKUP(H883,'Fund Utilization Report'!$A$4:$U$1800,2,FALSE)</f>
        <v>GAA</v>
      </c>
      <c r="U883" s="239" t="str">
        <f>VLOOKUP(H883,'Fund Utilization Report'!$A$4:$U$1800,3,FALSE)</f>
        <v>FY2021, RA11518</v>
      </c>
      <c r="V883" s="239" t="str">
        <f>VLOOKUP(H883,'Fund Utilization Report'!$A$4:$U$1800,4,FALSE)</f>
        <v>GAS(GMS)</v>
      </c>
      <c r="W883" s="239" t="str">
        <f>VLOOKUP(H883,'Fund Utilization Report'!$A$4:$U$1800,5,FALSE)</f>
        <v>01101101</v>
      </c>
      <c r="X883" s="239" t="str">
        <f>VLOOKUP(H883,'Fund Utilization Report'!$A$4:$U$1800,6,FALSE)</f>
        <v>GOP</v>
      </c>
      <c r="Y883" s="440" t="str">
        <f>VLOOKUP(H883,'Fund Utilization Report'!$A$4:$U$1800,7,FALSE)</f>
        <v>PS</v>
      </c>
      <c r="Z883" s="441">
        <f>VLOOKUP(H883,'Fund Utilization Report'!$A$4:$U$1800,8,FALSE)</f>
        <v>5010000000</v>
      </c>
      <c r="AA883" s="239" t="str">
        <f>VLOOKUP(H883,'Fund Utilization Report'!$A$4:$U$1800,14,FALSE)</f>
        <v>100000100001000</v>
      </c>
      <c r="AB883" s="242" t="str">
        <f>VLOOKUP(H883,'Fund Utilization Report'!$A$4:$U$1800,15,FALSE)</f>
        <v>General Administration and Supervision - General Management and Supervision</v>
      </c>
      <c r="AC883" s="51"/>
      <c r="AD883" s="435"/>
      <c r="AE883" s="51"/>
      <c r="AF883" s="51"/>
      <c r="AG883" s="442"/>
      <c r="AH883" s="442"/>
      <c r="AI883" s="443"/>
    </row>
    <row r="884" spans="1:35" s="32" customFormat="1">
      <c r="A884" s="434" t="s">
        <v>942</v>
      </c>
      <c r="B884" s="457" t="s">
        <v>946</v>
      </c>
      <c r="C884" s="233">
        <v>44257</v>
      </c>
      <c r="D884" s="435" t="s">
        <v>1267</v>
      </c>
      <c r="E884" s="436" t="s">
        <v>1294</v>
      </c>
      <c r="F884" s="338">
        <v>44259</v>
      </c>
      <c r="G884" s="338">
        <v>0.50347222222222221</v>
      </c>
      <c r="H884" s="338" t="s">
        <v>960</v>
      </c>
      <c r="I884" s="353">
        <v>713</v>
      </c>
      <c r="J884" s="338" t="str">
        <f>IFERROR(VLOOKUP(I884,'Chart of accounts'!A:H,2,FALSE),"")</f>
        <v>50102020 00</v>
      </c>
      <c r="K884" s="338" t="str">
        <f>IFERROR(VLOOKUP(I884,'Chart of accounts'!A:H,3,FALSE),"")</f>
        <v>Representation Allowance</v>
      </c>
      <c r="L884" s="338" t="str">
        <f>IFERROR(VLOOKUP(I884,'Chart of accounts'!A:H,4,FALSE),"")</f>
        <v>50102020 00 - Representation Allowance (713)</v>
      </c>
      <c r="M884" s="354" t="s">
        <v>2</v>
      </c>
      <c r="N884" s="355" t="s">
        <v>797</v>
      </c>
      <c r="O884" s="355" t="s">
        <v>1295</v>
      </c>
      <c r="P884" s="355"/>
      <c r="Q884" s="428">
        <v>5000</v>
      </c>
      <c r="R884" s="319">
        <f t="shared" si="23"/>
        <v>-5000</v>
      </c>
      <c r="S884" s="239" t="str">
        <f>VLOOKUP(H884,'Fund Utilization Report'!$A$4:$U$1800,13,FALSE)</f>
        <v>PS</v>
      </c>
      <c r="T884" s="239" t="str">
        <f>VLOOKUP(H884,'Fund Utilization Report'!$A$4:$U$1800,2,FALSE)</f>
        <v>GAA</v>
      </c>
      <c r="U884" s="239" t="str">
        <f>VLOOKUP(H884,'Fund Utilization Report'!$A$4:$U$1800,3,FALSE)</f>
        <v>FY2021, RA11518</v>
      </c>
      <c r="V884" s="239" t="str">
        <f>VLOOKUP(H884,'Fund Utilization Report'!$A$4:$U$1800,4,FALSE)</f>
        <v>GAS(GMS)</v>
      </c>
      <c r="W884" s="239" t="str">
        <f>VLOOKUP(H884,'Fund Utilization Report'!$A$4:$U$1800,5,FALSE)</f>
        <v>01101101</v>
      </c>
      <c r="X884" s="239" t="str">
        <f>VLOOKUP(H884,'Fund Utilization Report'!$A$4:$U$1800,6,FALSE)</f>
        <v>GOP</v>
      </c>
      <c r="Y884" s="440" t="str">
        <f>VLOOKUP(H884,'Fund Utilization Report'!$A$4:$U$1800,7,FALSE)</f>
        <v>PS</v>
      </c>
      <c r="Z884" s="441">
        <f>VLOOKUP(H884,'Fund Utilization Report'!$A$4:$U$1800,8,FALSE)</f>
        <v>5010000000</v>
      </c>
      <c r="AA884" s="239" t="str">
        <f>VLOOKUP(H884,'Fund Utilization Report'!$A$4:$U$1800,14,FALSE)</f>
        <v>100000100001000</v>
      </c>
      <c r="AB884" s="242" t="str">
        <f>VLOOKUP(H884,'Fund Utilization Report'!$A$4:$U$1800,15,FALSE)</f>
        <v>General Administration and Supervision - General Management and Supervision</v>
      </c>
      <c r="AC884" s="51"/>
      <c r="AD884" s="435"/>
      <c r="AE884" s="51"/>
      <c r="AF884" s="51"/>
      <c r="AG884" s="442"/>
      <c r="AH884" s="442"/>
      <c r="AI884" s="443"/>
    </row>
    <row r="885" spans="1:35" s="32" customFormat="1">
      <c r="A885" s="434" t="s">
        <v>942</v>
      </c>
      <c r="B885" s="457" t="s">
        <v>946</v>
      </c>
      <c r="C885" s="233">
        <v>44257</v>
      </c>
      <c r="D885" s="435" t="s">
        <v>1267</v>
      </c>
      <c r="E885" s="436" t="s">
        <v>1294</v>
      </c>
      <c r="F885" s="338">
        <v>44259</v>
      </c>
      <c r="G885" s="338">
        <v>0.50347222222222221</v>
      </c>
      <c r="H885" s="338" t="s">
        <v>960</v>
      </c>
      <c r="I885" s="353">
        <v>714</v>
      </c>
      <c r="J885" s="338" t="str">
        <f>IFERROR(VLOOKUP(I885,'Chart of accounts'!A:H,2,FALSE),"")</f>
        <v>50102030 01</v>
      </c>
      <c r="K885" s="338" t="str">
        <f>IFERROR(VLOOKUP(I885,'Chart of accounts'!A:H,3,FALSE),"")</f>
        <v xml:space="preserve">Transportation Allowance  </v>
      </c>
      <c r="L885" s="338" t="str">
        <f>IFERROR(VLOOKUP(I885,'Chart of accounts'!A:H,4,FALSE),"")</f>
        <v>50102030 01 - Transportation Allowance   (714)</v>
      </c>
      <c r="M885" s="354" t="s">
        <v>2</v>
      </c>
      <c r="N885" s="355" t="s">
        <v>797</v>
      </c>
      <c r="O885" s="355" t="s">
        <v>1295</v>
      </c>
      <c r="P885" s="355"/>
      <c r="Q885" s="428">
        <v>5000</v>
      </c>
      <c r="R885" s="319">
        <f t="shared" si="23"/>
        <v>-5000</v>
      </c>
      <c r="S885" s="239" t="str">
        <f>VLOOKUP(H885,'Fund Utilization Report'!$A$4:$U$1800,13,FALSE)</f>
        <v>PS</v>
      </c>
      <c r="T885" s="239" t="str">
        <f>VLOOKUP(H885,'Fund Utilization Report'!$A$4:$U$1800,2,FALSE)</f>
        <v>GAA</v>
      </c>
      <c r="U885" s="239" t="str">
        <f>VLOOKUP(H885,'Fund Utilization Report'!$A$4:$U$1800,3,FALSE)</f>
        <v>FY2021, RA11518</v>
      </c>
      <c r="V885" s="239" t="str">
        <f>VLOOKUP(H885,'Fund Utilization Report'!$A$4:$U$1800,4,FALSE)</f>
        <v>GAS(GMS)</v>
      </c>
      <c r="W885" s="239" t="str">
        <f>VLOOKUP(H885,'Fund Utilization Report'!$A$4:$U$1800,5,FALSE)</f>
        <v>01101101</v>
      </c>
      <c r="X885" s="239" t="str">
        <f>VLOOKUP(H885,'Fund Utilization Report'!$A$4:$U$1800,6,FALSE)</f>
        <v>GOP</v>
      </c>
      <c r="Y885" s="440" t="str">
        <f>VLOOKUP(H885,'Fund Utilization Report'!$A$4:$U$1800,7,FALSE)</f>
        <v>PS</v>
      </c>
      <c r="Z885" s="441">
        <f>VLOOKUP(H885,'Fund Utilization Report'!$A$4:$U$1800,8,FALSE)</f>
        <v>5010000000</v>
      </c>
      <c r="AA885" s="239" t="str">
        <f>VLOOKUP(H885,'Fund Utilization Report'!$A$4:$U$1800,14,FALSE)</f>
        <v>100000100001000</v>
      </c>
      <c r="AB885" s="242" t="str">
        <f>VLOOKUP(H885,'Fund Utilization Report'!$A$4:$U$1800,15,FALSE)</f>
        <v>General Administration and Supervision - General Management and Supervision</v>
      </c>
      <c r="AC885" s="51"/>
      <c r="AD885" s="435"/>
      <c r="AE885" s="51"/>
      <c r="AF885" s="51"/>
      <c r="AG885" s="442"/>
      <c r="AH885" s="442"/>
      <c r="AI885" s="443"/>
    </row>
    <row r="886" spans="1:35" s="32" customFormat="1">
      <c r="A886" s="434" t="s">
        <v>942</v>
      </c>
      <c r="B886" s="457" t="s">
        <v>946</v>
      </c>
      <c r="C886" s="233">
        <v>44257</v>
      </c>
      <c r="D886" s="435" t="s">
        <v>1267</v>
      </c>
      <c r="E886" s="436" t="s">
        <v>1294</v>
      </c>
      <c r="F886" s="338">
        <v>44259</v>
      </c>
      <c r="G886" s="338">
        <v>0.50347222222222221</v>
      </c>
      <c r="H886" s="338" t="s">
        <v>970</v>
      </c>
      <c r="I886" s="353">
        <v>713</v>
      </c>
      <c r="J886" s="338" t="str">
        <f>IFERROR(VLOOKUP(I886,'Chart of accounts'!A:H,2,FALSE),"")</f>
        <v>50102020 00</v>
      </c>
      <c r="K886" s="338" t="str">
        <f>IFERROR(VLOOKUP(I886,'Chart of accounts'!A:H,3,FALSE),"")</f>
        <v>Representation Allowance</v>
      </c>
      <c r="L886" s="338" t="str">
        <f>IFERROR(VLOOKUP(I886,'Chart of accounts'!A:H,4,FALSE),"")</f>
        <v>50102020 00 - Representation Allowance (713)</v>
      </c>
      <c r="M886" s="354" t="s">
        <v>2</v>
      </c>
      <c r="N886" s="355" t="s">
        <v>798</v>
      </c>
      <c r="O886" s="355" t="s">
        <v>1295</v>
      </c>
      <c r="P886" s="355"/>
      <c r="Q886" s="428">
        <v>5000</v>
      </c>
      <c r="R886" s="319">
        <f t="shared" si="23"/>
        <v>-5000</v>
      </c>
      <c r="S886" s="239" t="str">
        <f>VLOOKUP(H886,'Fund Utilization Report'!$A$4:$U$1800,13,FALSE)</f>
        <v>PS</v>
      </c>
      <c r="T886" s="239" t="str">
        <f>VLOOKUP(H886,'Fund Utilization Report'!$A$4:$U$1800,2,FALSE)</f>
        <v>GAA</v>
      </c>
      <c r="U886" s="239" t="str">
        <f>VLOOKUP(H886,'Fund Utilization Report'!$A$4:$U$1800,3,FALSE)</f>
        <v>FY2021, RA11518</v>
      </c>
      <c r="V886" s="239" t="str">
        <f>VLOOKUP(H886,'Fund Utilization Report'!$A$4:$U$1800,4,FALSE)</f>
        <v>OO3</v>
      </c>
      <c r="W886" s="239" t="str">
        <f>VLOOKUP(H886,'Fund Utilization Report'!$A$4:$U$1800,5,FALSE)</f>
        <v>01101101</v>
      </c>
      <c r="X886" s="239" t="str">
        <f>VLOOKUP(H886,'Fund Utilization Report'!$A$4:$U$1800,6,FALSE)</f>
        <v>GOP</v>
      </c>
      <c r="Y886" s="440" t="str">
        <f>VLOOKUP(H886,'Fund Utilization Report'!$A$4:$U$1800,7,FALSE)</f>
        <v>PS</v>
      </c>
      <c r="Z886" s="441">
        <f>VLOOKUP(H886,'Fund Utilization Report'!$A$4:$U$1800,8,FALSE)</f>
        <v>5010000000</v>
      </c>
      <c r="AA886" s="239" t="str">
        <f>VLOOKUP(H886,'Fund Utilization Report'!$A$4:$U$1800,14,FALSE)</f>
        <v>330100100002000</v>
      </c>
      <c r="AB886" s="242" t="str">
        <f>VLOOKUP(H886,'Fund Utilization Report'!$A$4:$U$1800,15,FALSE)</f>
        <v>Implementation of the MSME Development Plan and other initiatives to promote the growth of Micro, Small and Medium Enterprises</v>
      </c>
      <c r="AC886" s="51"/>
      <c r="AD886" s="435"/>
      <c r="AE886" s="51"/>
      <c r="AF886" s="51"/>
      <c r="AG886" s="442"/>
      <c r="AH886" s="442"/>
      <c r="AI886" s="443"/>
    </row>
    <row r="887" spans="1:35" s="32" customFormat="1">
      <c r="A887" s="434" t="s">
        <v>942</v>
      </c>
      <c r="B887" s="457" t="s">
        <v>946</v>
      </c>
      <c r="C887" s="233">
        <v>44257</v>
      </c>
      <c r="D887" s="435" t="s">
        <v>1267</v>
      </c>
      <c r="E887" s="436" t="s">
        <v>1294</v>
      </c>
      <c r="F887" s="338">
        <v>44259</v>
      </c>
      <c r="G887" s="338">
        <v>0.50347222222222221</v>
      </c>
      <c r="H887" s="338" t="s">
        <v>970</v>
      </c>
      <c r="I887" s="353">
        <v>714</v>
      </c>
      <c r="J887" s="338" t="str">
        <f>IFERROR(VLOOKUP(I887,'Chart of accounts'!A:H,2,FALSE),"")</f>
        <v>50102030 01</v>
      </c>
      <c r="K887" s="338" t="str">
        <f>IFERROR(VLOOKUP(I887,'Chart of accounts'!A:H,3,FALSE),"")</f>
        <v xml:space="preserve">Transportation Allowance  </v>
      </c>
      <c r="L887" s="338" t="str">
        <f>IFERROR(VLOOKUP(I887,'Chart of accounts'!A:H,4,FALSE),"")</f>
        <v>50102030 01 - Transportation Allowance   (714)</v>
      </c>
      <c r="M887" s="354" t="s">
        <v>2</v>
      </c>
      <c r="N887" s="355" t="s">
        <v>798</v>
      </c>
      <c r="O887" s="355" t="s">
        <v>1295</v>
      </c>
      <c r="P887" s="355"/>
      <c r="Q887" s="428">
        <v>5000</v>
      </c>
      <c r="R887" s="319">
        <f t="shared" si="23"/>
        <v>-5000</v>
      </c>
      <c r="S887" s="239" t="str">
        <f>VLOOKUP(H887,'Fund Utilization Report'!$A$4:$U$1800,13,FALSE)</f>
        <v>PS</v>
      </c>
      <c r="T887" s="239" t="str">
        <f>VLOOKUP(H887,'Fund Utilization Report'!$A$4:$U$1800,2,FALSE)</f>
        <v>GAA</v>
      </c>
      <c r="U887" s="239" t="str">
        <f>VLOOKUP(H887,'Fund Utilization Report'!$A$4:$U$1800,3,FALSE)</f>
        <v>FY2021, RA11518</v>
      </c>
      <c r="V887" s="239" t="str">
        <f>VLOOKUP(H887,'Fund Utilization Report'!$A$4:$U$1800,4,FALSE)</f>
        <v>OO3</v>
      </c>
      <c r="W887" s="239" t="str">
        <f>VLOOKUP(H887,'Fund Utilization Report'!$A$4:$U$1800,5,FALSE)</f>
        <v>01101101</v>
      </c>
      <c r="X887" s="239" t="str">
        <f>VLOOKUP(H887,'Fund Utilization Report'!$A$4:$U$1800,6,FALSE)</f>
        <v>GOP</v>
      </c>
      <c r="Y887" s="440" t="str">
        <f>VLOOKUP(H887,'Fund Utilization Report'!$A$4:$U$1800,7,FALSE)</f>
        <v>PS</v>
      </c>
      <c r="Z887" s="441">
        <f>VLOOKUP(H887,'Fund Utilization Report'!$A$4:$U$1800,8,FALSE)</f>
        <v>5010000000</v>
      </c>
      <c r="AA887" s="239" t="str">
        <f>VLOOKUP(H887,'Fund Utilization Report'!$A$4:$U$1800,14,FALSE)</f>
        <v>330100100002000</v>
      </c>
      <c r="AB887" s="242" t="str">
        <f>VLOOKUP(H887,'Fund Utilization Report'!$A$4:$U$1800,15,FALSE)</f>
        <v>Implementation of the MSME Development Plan and other initiatives to promote the growth of Micro, Small and Medium Enterprises</v>
      </c>
      <c r="AC887" s="51"/>
      <c r="AD887" s="435"/>
      <c r="AE887" s="51"/>
      <c r="AF887" s="51"/>
      <c r="AG887" s="442"/>
      <c r="AH887" s="442"/>
      <c r="AI887" s="443"/>
    </row>
    <row r="888" spans="1:35" s="32" customFormat="1">
      <c r="A888" s="434" t="s">
        <v>942</v>
      </c>
      <c r="B888" s="457" t="s">
        <v>946</v>
      </c>
      <c r="C888" s="233">
        <v>44257</v>
      </c>
      <c r="D888" s="435" t="s">
        <v>1267</v>
      </c>
      <c r="E888" s="436" t="s">
        <v>1294</v>
      </c>
      <c r="F888" s="338">
        <v>44259</v>
      </c>
      <c r="G888" s="338">
        <v>0.50347222222222221</v>
      </c>
      <c r="H888" s="338" t="s">
        <v>973</v>
      </c>
      <c r="I888" s="353">
        <v>713</v>
      </c>
      <c r="J888" s="338" t="str">
        <f>IFERROR(VLOOKUP(I888,'Chart of accounts'!A:H,2,FALSE),"")</f>
        <v>50102020 00</v>
      </c>
      <c r="K888" s="338" t="str">
        <f>IFERROR(VLOOKUP(I888,'Chart of accounts'!A:H,3,FALSE),"")</f>
        <v>Representation Allowance</v>
      </c>
      <c r="L888" s="338" t="str">
        <f>IFERROR(VLOOKUP(I888,'Chart of accounts'!A:H,4,FALSE),"")</f>
        <v>50102020 00 - Representation Allowance (713)</v>
      </c>
      <c r="M888" s="354" t="s">
        <v>2</v>
      </c>
      <c r="N888" s="355" t="s">
        <v>799</v>
      </c>
      <c r="O888" s="355" t="s">
        <v>1295</v>
      </c>
      <c r="P888" s="355"/>
      <c r="Q888" s="428">
        <v>5000</v>
      </c>
      <c r="R888" s="319">
        <f t="shared" si="23"/>
        <v>-5000</v>
      </c>
      <c r="S888" s="239" t="str">
        <f>VLOOKUP(H888,'Fund Utilization Report'!$A$4:$U$1800,13,FALSE)</f>
        <v>PS</v>
      </c>
      <c r="T888" s="239" t="str">
        <f>VLOOKUP(H888,'Fund Utilization Report'!$A$4:$U$1800,2,FALSE)</f>
        <v>GAA</v>
      </c>
      <c r="U888" s="239" t="str">
        <f>VLOOKUP(H888,'Fund Utilization Report'!$A$4:$U$1800,3,FALSE)</f>
        <v>FY2021, RA11518</v>
      </c>
      <c r="V888" s="239" t="str">
        <f>VLOOKUP(H888,'Fund Utilization Report'!$A$4:$U$1800,4,FALSE)</f>
        <v>OO4.1(FTL)</v>
      </c>
      <c r="W888" s="239" t="str">
        <f>VLOOKUP(H888,'Fund Utilization Report'!$A$4:$U$1800,5,FALSE)</f>
        <v>01101101</v>
      </c>
      <c r="X888" s="239" t="str">
        <f>VLOOKUP(H888,'Fund Utilization Report'!$A$4:$U$1800,6,FALSE)</f>
        <v>GOP</v>
      </c>
      <c r="Y888" s="440" t="str">
        <f>VLOOKUP(H888,'Fund Utilization Report'!$A$4:$U$1800,7,FALSE)</f>
        <v>PS</v>
      </c>
      <c r="Z888" s="441">
        <f>VLOOKUP(H888,'Fund Utilization Report'!$A$4:$U$1800,8,FALSE)</f>
        <v>5010000000</v>
      </c>
      <c r="AA888" s="239" t="str">
        <f>VLOOKUP(H888,'Fund Utilization Report'!$A$4:$U$1800,14,FALSE)</f>
        <v>340100100002000</v>
      </c>
      <c r="AB888" s="242" t="str">
        <f>VLOOKUP(H888,'Fund Utilization Report'!$A$4:$U$1800,15,FALSE)</f>
        <v>Monitoring and Enforcement of FTL including consumer complaints handling</v>
      </c>
      <c r="AC888" s="51"/>
      <c r="AD888" s="435"/>
      <c r="AE888" s="51"/>
      <c r="AF888" s="51"/>
      <c r="AG888" s="442"/>
      <c r="AH888" s="442"/>
      <c r="AI888" s="443"/>
    </row>
    <row r="889" spans="1:35" s="32" customFormat="1">
      <c r="A889" s="434" t="s">
        <v>942</v>
      </c>
      <c r="B889" s="457" t="s">
        <v>946</v>
      </c>
      <c r="C889" s="233">
        <v>44257</v>
      </c>
      <c r="D889" s="435" t="s">
        <v>1267</v>
      </c>
      <c r="E889" s="436" t="s">
        <v>1294</v>
      </c>
      <c r="F889" s="338">
        <v>44259</v>
      </c>
      <c r="G889" s="338">
        <v>0.50347222222222221</v>
      </c>
      <c r="H889" s="338" t="s">
        <v>973</v>
      </c>
      <c r="I889" s="353">
        <v>714</v>
      </c>
      <c r="J889" s="338" t="str">
        <f>IFERROR(VLOOKUP(I889,'Chart of accounts'!A:H,2,FALSE),"")</f>
        <v>50102030 01</v>
      </c>
      <c r="K889" s="338" t="str">
        <f>IFERROR(VLOOKUP(I889,'Chart of accounts'!A:H,3,FALSE),"")</f>
        <v xml:space="preserve">Transportation Allowance  </v>
      </c>
      <c r="L889" s="338" t="str">
        <f>IFERROR(VLOOKUP(I889,'Chart of accounts'!A:H,4,FALSE),"")</f>
        <v>50102030 01 - Transportation Allowance   (714)</v>
      </c>
      <c r="M889" s="354" t="s">
        <v>2</v>
      </c>
      <c r="N889" s="355" t="s">
        <v>799</v>
      </c>
      <c r="O889" s="355" t="s">
        <v>1295</v>
      </c>
      <c r="P889" s="355"/>
      <c r="Q889" s="428">
        <v>5000</v>
      </c>
      <c r="R889" s="319">
        <f t="shared" si="23"/>
        <v>-5000</v>
      </c>
      <c r="S889" s="239" t="str">
        <f>VLOOKUP(H889,'Fund Utilization Report'!$A$4:$U$1800,13,FALSE)</f>
        <v>PS</v>
      </c>
      <c r="T889" s="239" t="str">
        <f>VLOOKUP(H889,'Fund Utilization Report'!$A$4:$U$1800,2,FALSE)</f>
        <v>GAA</v>
      </c>
      <c r="U889" s="239" t="str">
        <f>VLOOKUP(H889,'Fund Utilization Report'!$A$4:$U$1800,3,FALSE)</f>
        <v>FY2021, RA11518</v>
      </c>
      <c r="V889" s="239" t="str">
        <f>VLOOKUP(H889,'Fund Utilization Report'!$A$4:$U$1800,4,FALSE)</f>
        <v>OO4.1(FTL)</v>
      </c>
      <c r="W889" s="239" t="str">
        <f>VLOOKUP(H889,'Fund Utilization Report'!$A$4:$U$1800,5,FALSE)</f>
        <v>01101101</v>
      </c>
      <c r="X889" s="239" t="str">
        <f>VLOOKUP(H889,'Fund Utilization Report'!$A$4:$U$1800,6,FALSE)</f>
        <v>GOP</v>
      </c>
      <c r="Y889" s="440" t="str">
        <f>VLOOKUP(H889,'Fund Utilization Report'!$A$4:$U$1800,7,FALSE)</f>
        <v>PS</v>
      </c>
      <c r="Z889" s="441">
        <f>VLOOKUP(H889,'Fund Utilization Report'!$A$4:$U$1800,8,FALSE)</f>
        <v>5010000000</v>
      </c>
      <c r="AA889" s="239" t="str">
        <f>VLOOKUP(H889,'Fund Utilization Report'!$A$4:$U$1800,14,FALSE)</f>
        <v>340100100002000</v>
      </c>
      <c r="AB889" s="242" t="str">
        <f>VLOOKUP(H889,'Fund Utilization Report'!$A$4:$U$1800,15,FALSE)</f>
        <v>Monitoring and Enforcement of FTL including consumer complaints handling</v>
      </c>
      <c r="AC889" s="51"/>
      <c r="AD889" s="435"/>
      <c r="AE889" s="51"/>
      <c r="AF889" s="51"/>
      <c r="AG889" s="442"/>
      <c r="AH889" s="442"/>
      <c r="AI889" s="443"/>
    </row>
    <row r="890" spans="1:35" s="32" customFormat="1">
      <c r="A890" s="434" t="s">
        <v>942</v>
      </c>
      <c r="B890" s="457" t="s">
        <v>946</v>
      </c>
      <c r="C890" s="233">
        <v>44257</v>
      </c>
      <c r="D890" s="435" t="s">
        <v>1267</v>
      </c>
      <c r="E890" s="436" t="s">
        <v>1294</v>
      </c>
      <c r="F890" s="338">
        <v>44259</v>
      </c>
      <c r="G890" s="338">
        <v>0.50347222222222221</v>
      </c>
      <c r="H890" s="338" t="s">
        <v>967</v>
      </c>
      <c r="I890" s="353">
        <v>713</v>
      </c>
      <c r="J890" s="338" t="str">
        <f>IFERROR(VLOOKUP(I890,'Chart of accounts'!A:H,2,FALSE),"")</f>
        <v>50102020 00</v>
      </c>
      <c r="K890" s="338" t="str">
        <f>IFERROR(VLOOKUP(I890,'Chart of accounts'!A:H,3,FALSE),"")</f>
        <v>Representation Allowance</v>
      </c>
      <c r="L890" s="338" t="str">
        <f>IFERROR(VLOOKUP(I890,'Chart of accounts'!A:H,4,FALSE),"")</f>
        <v>50102020 00 - Representation Allowance (713)</v>
      </c>
      <c r="M890" s="354" t="s">
        <v>2</v>
      </c>
      <c r="N890" s="355" t="s">
        <v>800</v>
      </c>
      <c r="O890" s="355" t="s">
        <v>1295</v>
      </c>
      <c r="P890" s="355"/>
      <c r="Q890" s="428">
        <v>5000</v>
      </c>
      <c r="R890" s="319">
        <f t="shared" si="23"/>
        <v>-5000</v>
      </c>
      <c r="S890" s="239" t="str">
        <f>VLOOKUP(H890,'Fund Utilization Report'!$A$4:$U$1800,13,FALSE)</f>
        <v>PS</v>
      </c>
      <c r="T890" s="239" t="str">
        <f>VLOOKUP(H890,'Fund Utilization Report'!$A$4:$U$1800,2,FALSE)</f>
        <v>GAA</v>
      </c>
      <c r="U890" s="239" t="str">
        <f>VLOOKUP(H890,'Fund Utilization Report'!$A$4:$U$1800,3,FALSE)</f>
        <v>FY2021, RA11518</v>
      </c>
      <c r="V890" s="239" t="str">
        <f>VLOOKUP(H890,'Fund Utilization Report'!$A$4:$U$1800,4,FALSE)</f>
        <v>OO2</v>
      </c>
      <c r="W890" s="239" t="str">
        <f>VLOOKUP(H890,'Fund Utilization Report'!$A$4:$U$1800,5,FALSE)</f>
        <v>01101101</v>
      </c>
      <c r="X890" s="239" t="str">
        <f>VLOOKUP(H890,'Fund Utilization Report'!$A$4:$U$1800,6,FALSE)</f>
        <v>GOP</v>
      </c>
      <c r="Y890" s="440" t="str">
        <f>VLOOKUP(H890,'Fund Utilization Report'!$A$4:$U$1800,7,FALSE)</f>
        <v>PS</v>
      </c>
      <c r="Z890" s="441">
        <f>VLOOKUP(H890,'Fund Utilization Report'!$A$4:$U$1800,8,FALSE)</f>
        <v>5010000000</v>
      </c>
      <c r="AA890" s="239" t="str">
        <f>VLOOKUP(H890,'Fund Utilization Report'!$A$4:$U$1800,14,FALSE)</f>
        <v>320100100001000</v>
      </c>
      <c r="AB890" s="242" t="str">
        <f>VLOOKUP(H890,'Fund Utilization Report'!$A$4:$U$1800,15,FALSE)</f>
        <v>Formulation of Strategic plans,programs, and policies to develop competitve industries</v>
      </c>
      <c r="AC890" s="51"/>
      <c r="AD890" s="435"/>
      <c r="AE890" s="51"/>
      <c r="AF890" s="51"/>
      <c r="AG890" s="442"/>
      <c r="AH890" s="442"/>
      <c r="AI890" s="443"/>
    </row>
    <row r="891" spans="1:35" s="32" customFormat="1">
      <c r="A891" s="434" t="s">
        <v>942</v>
      </c>
      <c r="B891" s="457" t="s">
        <v>946</v>
      </c>
      <c r="C891" s="233">
        <v>44257</v>
      </c>
      <c r="D891" s="435" t="s">
        <v>1267</v>
      </c>
      <c r="E891" s="436" t="s">
        <v>1294</v>
      </c>
      <c r="F891" s="338">
        <v>44259</v>
      </c>
      <c r="G891" s="338">
        <v>0.50347222222222221</v>
      </c>
      <c r="H891" s="338" t="s">
        <v>967</v>
      </c>
      <c r="I891" s="353">
        <v>714</v>
      </c>
      <c r="J891" s="338" t="str">
        <f>IFERROR(VLOOKUP(I891,'Chart of accounts'!A:H,2,FALSE),"")</f>
        <v>50102030 01</v>
      </c>
      <c r="K891" s="338" t="str">
        <f>IFERROR(VLOOKUP(I891,'Chart of accounts'!A:H,3,FALSE),"")</f>
        <v xml:space="preserve">Transportation Allowance  </v>
      </c>
      <c r="L891" s="338" t="str">
        <f>IFERROR(VLOOKUP(I891,'Chart of accounts'!A:H,4,FALSE),"")</f>
        <v>50102030 01 - Transportation Allowance   (714)</v>
      </c>
      <c r="M891" s="354" t="s">
        <v>2</v>
      </c>
      <c r="N891" s="355" t="s">
        <v>800</v>
      </c>
      <c r="O891" s="355" t="s">
        <v>1295</v>
      </c>
      <c r="P891" s="355"/>
      <c r="Q891" s="428">
        <v>5000</v>
      </c>
      <c r="R891" s="319">
        <f t="shared" si="23"/>
        <v>-5000</v>
      </c>
      <c r="S891" s="239" t="str">
        <f>VLOOKUP(H891,'Fund Utilization Report'!$A$4:$U$1800,13,FALSE)</f>
        <v>PS</v>
      </c>
      <c r="T891" s="239" t="str">
        <f>VLOOKUP(H891,'Fund Utilization Report'!$A$4:$U$1800,2,FALSE)</f>
        <v>GAA</v>
      </c>
      <c r="U891" s="239" t="str">
        <f>VLOOKUP(H891,'Fund Utilization Report'!$A$4:$U$1800,3,FALSE)</f>
        <v>FY2021, RA11518</v>
      </c>
      <c r="V891" s="239" t="str">
        <f>VLOOKUP(H891,'Fund Utilization Report'!$A$4:$U$1800,4,FALSE)</f>
        <v>OO2</v>
      </c>
      <c r="W891" s="239" t="str">
        <f>VLOOKUP(H891,'Fund Utilization Report'!$A$4:$U$1800,5,FALSE)</f>
        <v>01101101</v>
      </c>
      <c r="X891" s="239" t="str">
        <f>VLOOKUP(H891,'Fund Utilization Report'!$A$4:$U$1800,6,FALSE)</f>
        <v>GOP</v>
      </c>
      <c r="Y891" s="440" t="str">
        <f>VLOOKUP(H891,'Fund Utilization Report'!$A$4:$U$1800,7,FALSE)</f>
        <v>PS</v>
      </c>
      <c r="Z891" s="441">
        <f>VLOOKUP(H891,'Fund Utilization Report'!$A$4:$U$1800,8,FALSE)</f>
        <v>5010000000</v>
      </c>
      <c r="AA891" s="239" t="str">
        <f>VLOOKUP(H891,'Fund Utilization Report'!$A$4:$U$1800,14,FALSE)</f>
        <v>320100100001000</v>
      </c>
      <c r="AB891" s="242" t="str">
        <f>VLOOKUP(H891,'Fund Utilization Report'!$A$4:$U$1800,15,FALSE)</f>
        <v>Formulation of Strategic plans,programs, and policies to develop competitve industries</v>
      </c>
      <c r="AC891" s="51"/>
      <c r="AD891" s="435"/>
      <c r="AE891" s="51"/>
      <c r="AF891" s="51"/>
      <c r="AG891" s="442"/>
      <c r="AH891" s="442"/>
      <c r="AI891" s="443"/>
    </row>
    <row r="892" spans="1:35" s="32" customFormat="1">
      <c r="A892" s="434" t="s">
        <v>942</v>
      </c>
      <c r="B892" s="457" t="s">
        <v>946</v>
      </c>
      <c r="C892" s="233">
        <v>44257</v>
      </c>
      <c r="D892" s="435" t="s">
        <v>1267</v>
      </c>
      <c r="E892" s="436" t="s">
        <v>1294</v>
      </c>
      <c r="F892" s="338">
        <v>44259</v>
      </c>
      <c r="G892" s="338">
        <v>0.50347222222222221</v>
      </c>
      <c r="H892" s="338" t="s">
        <v>960</v>
      </c>
      <c r="I892" s="353">
        <v>713</v>
      </c>
      <c r="J892" s="338" t="str">
        <f>IFERROR(VLOOKUP(I892,'Chart of accounts'!A:H,2,FALSE),"")</f>
        <v>50102020 00</v>
      </c>
      <c r="K892" s="338" t="str">
        <f>IFERROR(VLOOKUP(I892,'Chart of accounts'!A:H,3,FALSE),"")</f>
        <v>Representation Allowance</v>
      </c>
      <c r="L892" s="338" t="str">
        <f>IFERROR(VLOOKUP(I892,'Chart of accounts'!A:H,4,FALSE),"")</f>
        <v>50102020 00 - Representation Allowance (713)</v>
      </c>
      <c r="M892" s="354" t="s">
        <v>2</v>
      </c>
      <c r="N892" s="355" t="s">
        <v>801</v>
      </c>
      <c r="O892" s="355" t="s">
        <v>1295</v>
      </c>
      <c r="P892" s="355"/>
      <c r="Q892" s="428">
        <v>7500</v>
      </c>
      <c r="R892" s="319">
        <f t="shared" si="23"/>
        <v>-7500</v>
      </c>
      <c r="S892" s="239" t="str">
        <f>VLOOKUP(H892,'Fund Utilization Report'!$A$4:$U$1800,13,FALSE)</f>
        <v>PS</v>
      </c>
      <c r="T892" s="239" t="str">
        <f>VLOOKUP(H892,'Fund Utilization Report'!$A$4:$U$1800,2,FALSE)</f>
        <v>GAA</v>
      </c>
      <c r="U892" s="239" t="str">
        <f>VLOOKUP(H892,'Fund Utilization Report'!$A$4:$U$1800,3,FALSE)</f>
        <v>FY2021, RA11518</v>
      </c>
      <c r="V892" s="239" t="str">
        <f>VLOOKUP(H892,'Fund Utilization Report'!$A$4:$U$1800,4,FALSE)</f>
        <v>GAS(GMS)</v>
      </c>
      <c r="W892" s="239" t="str">
        <f>VLOOKUP(H892,'Fund Utilization Report'!$A$4:$U$1800,5,FALSE)</f>
        <v>01101101</v>
      </c>
      <c r="X892" s="239" t="str">
        <f>VLOOKUP(H892,'Fund Utilization Report'!$A$4:$U$1800,6,FALSE)</f>
        <v>GOP</v>
      </c>
      <c r="Y892" s="440" t="str">
        <f>VLOOKUP(H892,'Fund Utilization Report'!$A$4:$U$1800,7,FALSE)</f>
        <v>PS</v>
      </c>
      <c r="Z892" s="441">
        <f>VLOOKUP(H892,'Fund Utilization Report'!$A$4:$U$1800,8,FALSE)</f>
        <v>5010000000</v>
      </c>
      <c r="AA892" s="239" t="str">
        <f>VLOOKUP(H892,'Fund Utilization Report'!$A$4:$U$1800,14,FALSE)</f>
        <v>100000100001000</v>
      </c>
      <c r="AB892" s="242" t="str">
        <f>VLOOKUP(H892,'Fund Utilization Report'!$A$4:$U$1800,15,FALSE)</f>
        <v>General Administration and Supervision - General Management and Supervision</v>
      </c>
      <c r="AC892" s="51"/>
      <c r="AD892" s="435"/>
      <c r="AE892" s="51"/>
      <c r="AF892" s="51"/>
      <c r="AG892" s="442"/>
      <c r="AH892" s="442"/>
      <c r="AI892" s="443"/>
    </row>
    <row r="893" spans="1:35" s="32" customFormat="1">
      <c r="A893" s="434" t="s">
        <v>942</v>
      </c>
      <c r="B893" s="457" t="s">
        <v>946</v>
      </c>
      <c r="C893" s="233">
        <v>44257</v>
      </c>
      <c r="D893" s="435" t="s">
        <v>1267</v>
      </c>
      <c r="E893" s="436" t="s">
        <v>1294</v>
      </c>
      <c r="F893" s="338">
        <v>44259</v>
      </c>
      <c r="G893" s="338">
        <v>0.50347222222222221</v>
      </c>
      <c r="H893" s="338" t="s">
        <v>960</v>
      </c>
      <c r="I893" s="353">
        <v>714</v>
      </c>
      <c r="J893" s="338" t="str">
        <f>IFERROR(VLOOKUP(I893,'Chart of accounts'!A:H,2,FALSE),"")</f>
        <v>50102030 01</v>
      </c>
      <c r="K893" s="338" t="str">
        <f>IFERROR(VLOOKUP(I893,'Chart of accounts'!A:H,3,FALSE),"")</f>
        <v xml:space="preserve">Transportation Allowance  </v>
      </c>
      <c r="L893" s="338" t="str">
        <f>IFERROR(VLOOKUP(I893,'Chart of accounts'!A:H,4,FALSE),"")</f>
        <v>50102030 01 - Transportation Allowance   (714)</v>
      </c>
      <c r="M893" s="354" t="s">
        <v>2</v>
      </c>
      <c r="N893" s="355" t="s">
        <v>801</v>
      </c>
      <c r="O893" s="355" t="s">
        <v>1295</v>
      </c>
      <c r="P893" s="355"/>
      <c r="Q893" s="428">
        <v>7500</v>
      </c>
      <c r="R893" s="319">
        <f t="shared" si="23"/>
        <v>-7500</v>
      </c>
      <c r="S893" s="239" t="str">
        <f>VLOOKUP(H893,'Fund Utilization Report'!$A$4:$U$1800,13,FALSE)</f>
        <v>PS</v>
      </c>
      <c r="T893" s="239" t="str">
        <f>VLOOKUP(H893,'Fund Utilization Report'!$A$4:$U$1800,2,FALSE)</f>
        <v>GAA</v>
      </c>
      <c r="U893" s="239" t="str">
        <f>VLOOKUP(H893,'Fund Utilization Report'!$A$4:$U$1800,3,FALSE)</f>
        <v>FY2021, RA11518</v>
      </c>
      <c r="V893" s="239" t="str">
        <f>VLOOKUP(H893,'Fund Utilization Report'!$A$4:$U$1800,4,FALSE)</f>
        <v>GAS(GMS)</v>
      </c>
      <c r="W893" s="239" t="str">
        <f>VLOOKUP(H893,'Fund Utilization Report'!$A$4:$U$1800,5,FALSE)</f>
        <v>01101101</v>
      </c>
      <c r="X893" s="239" t="str">
        <f>VLOOKUP(H893,'Fund Utilization Report'!$A$4:$U$1800,6,FALSE)</f>
        <v>GOP</v>
      </c>
      <c r="Y893" s="440" t="str">
        <f>VLOOKUP(H893,'Fund Utilization Report'!$A$4:$U$1800,7,FALSE)</f>
        <v>PS</v>
      </c>
      <c r="Z893" s="441">
        <f>VLOOKUP(H893,'Fund Utilization Report'!$A$4:$U$1800,8,FALSE)</f>
        <v>5010000000</v>
      </c>
      <c r="AA893" s="239" t="str">
        <f>VLOOKUP(H893,'Fund Utilization Report'!$A$4:$U$1800,14,FALSE)</f>
        <v>100000100001000</v>
      </c>
      <c r="AB893" s="242" t="str">
        <f>VLOOKUP(H893,'Fund Utilization Report'!$A$4:$U$1800,15,FALSE)</f>
        <v>General Administration and Supervision - General Management and Supervision</v>
      </c>
      <c r="AC893" s="51"/>
      <c r="AD893" s="435"/>
      <c r="AE893" s="51"/>
      <c r="AF893" s="51"/>
      <c r="AG893" s="442"/>
      <c r="AH893" s="442"/>
      <c r="AI893" s="443"/>
    </row>
    <row r="894" spans="1:35" s="32" customFormat="1">
      <c r="A894" s="434" t="s">
        <v>942</v>
      </c>
      <c r="B894" s="457" t="s">
        <v>946</v>
      </c>
      <c r="C894" s="233">
        <v>44257</v>
      </c>
      <c r="D894" s="435" t="s">
        <v>1267</v>
      </c>
      <c r="E894" s="436" t="s">
        <v>1294</v>
      </c>
      <c r="F894" s="338">
        <v>44259</v>
      </c>
      <c r="G894" s="338">
        <v>0.50347222222222221</v>
      </c>
      <c r="H894" s="338" t="s">
        <v>970</v>
      </c>
      <c r="I894" s="353">
        <v>713</v>
      </c>
      <c r="J894" s="338" t="str">
        <f>IFERROR(VLOOKUP(I894,'Chart of accounts'!A:H,2,FALSE),"")</f>
        <v>50102020 00</v>
      </c>
      <c r="K894" s="338" t="str">
        <f>IFERROR(VLOOKUP(I894,'Chart of accounts'!A:H,3,FALSE),"")</f>
        <v>Representation Allowance</v>
      </c>
      <c r="L894" s="338" t="str">
        <f>IFERROR(VLOOKUP(I894,'Chart of accounts'!A:H,4,FALSE),"")</f>
        <v>50102020 00 - Representation Allowance (713)</v>
      </c>
      <c r="M894" s="354" t="s">
        <v>2</v>
      </c>
      <c r="N894" s="355" t="s">
        <v>802</v>
      </c>
      <c r="O894" s="355" t="s">
        <v>1295</v>
      </c>
      <c r="P894" s="355"/>
      <c r="Q894" s="428">
        <v>5000</v>
      </c>
      <c r="R894" s="319">
        <f t="shared" si="23"/>
        <v>-5000</v>
      </c>
      <c r="S894" s="239" t="str">
        <f>VLOOKUP(H894,'Fund Utilization Report'!$A$4:$U$1800,13,FALSE)</f>
        <v>PS</v>
      </c>
      <c r="T894" s="239" t="str">
        <f>VLOOKUP(H894,'Fund Utilization Report'!$A$4:$U$1800,2,FALSE)</f>
        <v>GAA</v>
      </c>
      <c r="U894" s="239" t="str">
        <f>VLOOKUP(H894,'Fund Utilization Report'!$A$4:$U$1800,3,FALSE)</f>
        <v>FY2021, RA11518</v>
      </c>
      <c r="V894" s="239" t="str">
        <f>VLOOKUP(H894,'Fund Utilization Report'!$A$4:$U$1800,4,FALSE)</f>
        <v>OO3</v>
      </c>
      <c r="W894" s="239" t="str">
        <f>VLOOKUP(H894,'Fund Utilization Report'!$A$4:$U$1800,5,FALSE)</f>
        <v>01101101</v>
      </c>
      <c r="X894" s="239" t="str">
        <f>VLOOKUP(H894,'Fund Utilization Report'!$A$4:$U$1800,6,FALSE)</f>
        <v>GOP</v>
      </c>
      <c r="Y894" s="440" t="str">
        <f>VLOOKUP(H894,'Fund Utilization Report'!$A$4:$U$1800,7,FALSE)</f>
        <v>PS</v>
      </c>
      <c r="Z894" s="441">
        <f>VLOOKUP(H894,'Fund Utilization Report'!$A$4:$U$1800,8,FALSE)</f>
        <v>5010000000</v>
      </c>
      <c r="AA894" s="239" t="str">
        <f>VLOOKUP(H894,'Fund Utilization Report'!$A$4:$U$1800,14,FALSE)</f>
        <v>330100100002000</v>
      </c>
      <c r="AB894" s="242" t="str">
        <f>VLOOKUP(H894,'Fund Utilization Report'!$A$4:$U$1800,15,FALSE)</f>
        <v>Implementation of the MSME Development Plan and other initiatives to promote the growth of Micro, Small and Medium Enterprises</v>
      </c>
      <c r="AC894" s="51"/>
      <c r="AD894" s="435"/>
      <c r="AE894" s="51"/>
      <c r="AF894" s="51"/>
      <c r="AG894" s="442"/>
      <c r="AH894" s="442"/>
      <c r="AI894" s="443"/>
    </row>
    <row r="895" spans="1:35" s="32" customFormat="1">
      <c r="A895" s="434" t="s">
        <v>942</v>
      </c>
      <c r="B895" s="457" t="s">
        <v>946</v>
      </c>
      <c r="C895" s="233">
        <v>44257</v>
      </c>
      <c r="D895" s="435" t="s">
        <v>1267</v>
      </c>
      <c r="E895" s="436" t="s">
        <v>1294</v>
      </c>
      <c r="F895" s="338">
        <v>44259</v>
      </c>
      <c r="G895" s="338">
        <v>0.50347222222222221</v>
      </c>
      <c r="H895" s="338" t="s">
        <v>970</v>
      </c>
      <c r="I895" s="353">
        <v>714</v>
      </c>
      <c r="J895" s="338" t="str">
        <f>IFERROR(VLOOKUP(I895,'Chart of accounts'!A:H,2,FALSE),"")</f>
        <v>50102030 01</v>
      </c>
      <c r="K895" s="338" t="str">
        <f>IFERROR(VLOOKUP(I895,'Chart of accounts'!A:H,3,FALSE),"")</f>
        <v xml:space="preserve">Transportation Allowance  </v>
      </c>
      <c r="L895" s="338" t="str">
        <f>IFERROR(VLOOKUP(I895,'Chart of accounts'!A:H,4,FALSE),"")</f>
        <v>50102030 01 - Transportation Allowance   (714)</v>
      </c>
      <c r="M895" s="354" t="s">
        <v>2</v>
      </c>
      <c r="N895" s="355" t="s">
        <v>802</v>
      </c>
      <c r="O895" s="355" t="s">
        <v>1295</v>
      </c>
      <c r="P895" s="355"/>
      <c r="Q895" s="428">
        <v>5000</v>
      </c>
      <c r="R895" s="319">
        <f t="shared" si="23"/>
        <v>-5000</v>
      </c>
      <c r="S895" s="239" t="str">
        <f>VLOOKUP(H895,'Fund Utilization Report'!$A$4:$U$1800,13,FALSE)</f>
        <v>PS</v>
      </c>
      <c r="T895" s="239" t="str">
        <f>VLOOKUP(H895,'Fund Utilization Report'!$A$4:$U$1800,2,FALSE)</f>
        <v>GAA</v>
      </c>
      <c r="U895" s="239" t="str">
        <f>VLOOKUP(H895,'Fund Utilization Report'!$A$4:$U$1800,3,FALSE)</f>
        <v>FY2021, RA11518</v>
      </c>
      <c r="V895" s="239" t="str">
        <f>VLOOKUP(H895,'Fund Utilization Report'!$A$4:$U$1800,4,FALSE)</f>
        <v>OO3</v>
      </c>
      <c r="W895" s="239" t="str">
        <f>VLOOKUP(H895,'Fund Utilization Report'!$A$4:$U$1800,5,FALSE)</f>
        <v>01101101</v>
      </c>
      <c r="X895" s="239" t="str">
        <f>VLOOKUP(H895,'Fund Utilization Report'!$A$4:$U$1800,6,FALSE)</f>
        <v>GOP</v>
      </c>
      <c r="Y895" s="440" t="str">
        <f>VLOOKUP(H895,'Fund Utilization Report'!$A$4:$U$1800,7,FALSE)</f>
        <v>PS</v>
      </c>
      <c r="Z895" s="441">
        <f>VLOOKUP(H895,'Fund Utilization Report'!$A$4:$U$1800,8,FALSE)</f>
        <v>5010000000</v>
      </c>
      <c r="AA895" s="239" t="str">
        <f>VLOOKUP(H895,'Fund Utilization Report'!$A$4:$U$1800,14,FALSE)</f>
        <v>330100100002000</v>
      </c>
      <c r="AB895" s="242" t="str">
        <f>VLOOKUP(H895,'Fund Utilization Report'!$A$4:$U$1800,15,FALSE)</f>
        <v>Implementation of the MSME Development Plan and other initiatives to promote the growth of Micro, Small and Medium Enterprises</v>
      </c>
      <c r="AC895" s="51"/>
      <c r="AD895" s="435"/>
      <c r="AE895" s="51"/>
      <c r="AF895" s="51"/>
      <c r="AG895" s="442"/>
      <c r="AH895" s="442"/>
      <c r="AI895" s="443"/>
    </row>
    <row r="896" spans="1:35" s="32" customFormat="1">
      <c r="A896" s="434" t="s">
        <v>942</v>
      </c>
      <c r="B896" s="457" t="s">
        <v>946</v>
      </c>
      <c r="C896" s="233">
        <v>44257</v>
      </c>
      <c r="D896" s="435" t="s">
        <v>1267</v>
      </c>
      <c r="E896" s="436" t="s">
        <v>1294</v>
      </c>
      <c r="F896" s="338">
        <v>44259</v>
      </c>
      <c r="G896" s="338">
        <v>0.50347222222222221</v>
      </c>
      <c r="H896" s="338" t="s">
        <v>967</v>
      </c>
      <c r="I896" s="353">
        <v>713</v>
      </c>
      <c r="J896" s="338" t="str">
        <f>IFERROR(VLOOKUP(I896,'Chart of accounts'!A:H,2,FALSE),"")</f>
        <v>50102020 00</v>
      </c>
      <c r="K896" s="338" t="str">
        <f>IFERROR(VLOOKUP(I896,'Chart of accounts'!A:H,3,FALSE),"")</f>
        <v>Representation Allowance</v>
      </c>
      <c r="L896" s="338" t="str">
        <f>IFERROR(VLOOKUP(I896,'Chart of accounts'!A:H,4,FALSE),"")</f>
        <v>50102020 00 - Representation Allowance (713)</v>
      </c>
      <c r="M896" s="354" t="s">
        <v>2</v>
      </c>
      <c r="N896" s="355" t="s">
        <v>803</v>
      </c>
      <c r="O896" s="355" t="s">
        <v>1295</v>
      </c>
      <c r="P896" s="355"/>
      <c r="Q896" s="428">
        <v>5000</v>
      </c>
      <c r="R896" s="319">
        <f t="shared" si="23"/>
        <v>-5000</v>
      </c>
      <c r="S896" s="239" t="str">
        <f>VLOOKUP(H896,'Fund Utilization Report'!$A$4:$U$1800,13,FALSE)</f>
        <v>PS</v>
      </c>
      <c r="T896" s="239" t="str">
        <f>VLOOKUP(H896,'Fund Utilization Report'!$A$4:$U$1800,2,FALSE)</f>
        <v>GAA</v>
      </c>
      <c r="U896" s="239" t="str">
        <f>VLOOKUP(H896,'Fund Utilization Report'!$A$4:$U$1800,3,FALSE)</f>
        <v>FY2021, RA11518</v>
      </c>
      <c r="V896" s="239" t="str">
        <f>VLOOKUP(H896,'Fund Utilization Report'!$A$4:$U$1800,4,FALSE)</f>
        <v>OO2</v>
      </c>
      <c r="W896" s="239" t="str">
        <f>VLOOKUP(H896,'Fund Utilization Report'!$A$4:$U$1800,5,FALSE)</f>
        <v>01101101</v>
      </c>
      <c r="X896" s="239" t="str">
        <f>VLOOKUP(H896,'Fund Utilization Report'!$A$4:$U$1800,6,FALSE)</f>
        <v>GOP</v>
      </c>
      <c r="Y896" s="440" t="str">
        <f>VLOOKUP(H896,'Fund Utilization Report'!$A$4:$U$1800,7,FALSE)</f>
        <v>PS</v>
      </c>
      <c r="Z896" s="441">
        <f>VLOOKUP(H896,'Fund Utilization Report'!$A$4:$U$1800,8,FALSE)</f>
        <v>5010000000</v>
      </c>
      <c r="AA896" s="239" t="str">
        <f>VLOOKUP(H896,'Fund Utilization Report'!$A$4:$U$1800,14,FALSE)</f>
        <v>320100100001000</v>
      </c>
      <c r="AB896" s="242" t="str">
        <f>VLOOKUP(H896,'Fund Utilization Report'!$A$4:$U$1800,15,FALSE)</f>
        <v>Formulation of Strategic plans,programs, and policies to develop competitve industries</v>
      </c>
      <c r="AC896" s="51"/>
      <c r="AD896" s="435"/>
      <c r="AE896" s="51"/>
      <c r="AF896" s="51"/>
      <c r="AG896" s="442"/>
      <c r="AH896" s="442"/>
      <c r="AI896" s="443"/>
    </row>
    <row r="897" spans="1:35" s="32" customFormat="1">
      <c r="A897" s="434" t="s">
        <v>942</v>
      </c>
      <c r="B897" s="457" t="s">
        <v>946</v>
      </c>
      <c r="C897" s="233">
        <v>44257</v>
      </c>
      <c r="D897" s="435" t="s">
        <v>1267</v>
      </c>
      <c r="E897" s="436" t="s">
        <v>1294</v>
      </c>
      <c r="F897" s="338">
        <v>44259</v>
      </c>
      <c r="G897" s="338">
        <v>0.50347222222222221</v>
      </c>
      <c r="H897" s="338" t="s">
        <v>967</v>
      </c>
      <c r="I897" s="353">
        <v>714</v>
      </c>
      <c r="J897" s="338" t="str">
        <f>IFERROR(VLOOKUP(I897,'Chart of accounts'!A:H,2,FALSE),"")</f>
        <v>50102030 01</v>
      </c>
      <c r="K897" s="338" t="str">
        <f>IFERROR(VLOOKUP(I897,'Chart of accounts'!A:H,3,FALSE),"")</f>
        <v xml:space="preserve">Transportation Allowance  </v>
      </c>
      <c r="L897" s="338" t="str">
        <f>IFERROR(VLOOKUP(I897,'Chart of accounts'!A:H,4,FALSE),"")</f>
        <v>50102030 01 - Transportation Allowance   (714)</v>
      </c>
      <c r="M897" s="354" t="s">
        <v>2</v>
      </c>
      <c r="N897" s="355" t="s">
        <v>803</v>
      </c>
      <c r="O897" s="355" t="s">
        <v>1295</v>
      </c>
      <c r="P897" s="355"/>
      <c r="Q897" s="428">
        <v>5000</v>
      </c>
      <c r="R897" s="319">
        <f t="shared" si="23"/>
        <v>-5000</v>
      </c>
      <c r="S897" s="239" t="str">
        <f>VLOOKUP(H897,'Fund Utilization Report'!$A$4:$U$1800,13,FALSE)</f>
        <v>PS</v>
      </c>
      <c r="T897" s="239" t="str">
        <f>VLOOKUP(H897,'Fund Utilization Report'!$A$4:$U$1800,2,FALSE)</f>
        <v>GAA</v>
      </c>
      <c r="U897" s="239" t="str">
        <f>VLOOKUP(H897,'Fund Utilization Report'!$A$4:$U$1800,3,FALSE)</f>
        <v>FY2021, RA11518</v>
      </c>
      <c r="V897" s="239" t="str">
        <f>VLOOKUP(H897,'Fund Utilization Report'!$A$4:$U$1800,4,FALSE)</f>
        <v>OO2</v>
      </c>
      <c r="W897" s="239" t="str">
        <f>VLOOKUP(H897,'Fund Utilization Report'!$A$4:$U$1800,5,FALSE)</f>
        <v>01101101</v>
      </c>
      <c r="X897" s="239" t="str">
        <f>VLOOKUP(H897,'Fund Utilization Report'!$A$4:$U$1800,6,FALSE)</f>
        <v>GOP</v>
      </c>
      <c r="Y897" s="440" t="str">
        <f>VLOOKUP(H897,'Fund Utilization Report'!$A$4:$U$1800,7,FALSE)</f>
        <v>PS</v>
      </c>
      <c r="Z897" s="441">
        <f>VLOOKUP(H897,'Fund Utilization Report'!$A$4:$U$1800,8,FALSE)</f>
        <v>5010000000</v>
      </c>
      <c r="AA897" s="239" t="str">
        <f>VLOOKUP(H897,'Fund Utilization Report'!$A$4:$U$1800,14,FALSE)</f>
        <v>320100100001000</v>
      </c>
      <c r="AB897" s="242" t="str">
        <f>VLOOKUP(H897,'Fund Utilization Report'!$A$4:$U$1800,15,FALSE)</f>
        <v>Formulation of Strategic plans,programs, and policies to develop competitve industries</v>
      </c>
      <c r="AC897" s="51"/>
      <c r="AD897" s="435"/>
      <c r="AE897" s="51"/>
      <c r="AF897" s="51"/>
      <c r="AG897" s="442"/>
      <c r="AH897" s="442"/>
      <c r="AI897" s="443"/>
    </row>
    <row r="898" spans="1:35" s="32" customFormat="1">
      <c r="A898" s="434" t="s">
        <v>942</v>
      </c>
      <c r="B898" s="457" t="s">
        <v>946</v>
      </c>
      <c r="C898" s="233">
        <v>44257</v>
      </c>
      <c r="D898" s="435" t="s">
        <v>1267</v>
      </c>
      <c r="E898" s="436" t="s">
        <v>1294</v>
      </c>
      <c r="F898" s="338">
        <v>44259</v>
      </c>
      <c r="G898" s="338">
        <v>0.50347222222222221</v>
      </c>
      <c r="H898" s="338" t="s">
        <v>960</v>
      </c>
      <c r="I898" s="353">
        <v>713</v>
      </c>
      <c r="J898" s="338" t="str">
        <f>IFERROR(VLOOKUP(I898,'Chart of accounts'!A:H,2,FALSE),"")</f>
        <v>50102020 00</v>
      </c>
      <c r="K898" s="338" t="str">
        <f>IFERROR(VLOOKUP(I898,'Chart of accounts'!A:H,3,FALSE),"")</f>
        <v>Representation Allowance</v>
      </c>
      <c r="L898" s="338" t="str">
        <f>IFERROR(VLOOKUP(I898,'Chart of accounts'!A:H,4,FALSE),"")</f>
        <v>50102020 00 - Representation Allowance (713)</v>
      </c>
      <c r="M898" s="354" t="s">
        <v>2</v>
      </c>
      <c r="N898" s="355" t="s">
        <v>804</v>
      </c>
      <c r="O898" s="355" t="s">
        <v>1295</v>
      </c>
      <c r="P898" s="355"/>
      <c r="Q898" s="428">
        <v>7500</v>
      </c>
      <c r="R898" s="319">
        <f t="shared" si="23"/>
        <v>-7500</v>
      </c>
      <c r="S898" s="239" t="str">
        <f>VLOOKUP(H898,'Fund Utilization Report'!$A$4:$U$1800,13,FALSE)</f>
        <v>PS</v>
      </c>
      <c r="T898" s="239" t="str">
        <f>VLOOKUP(H898,'Fund Utilization Report'!$A$4:$U$1800,2,FALSE)</f>
        <v>GAA</v>
      </c>
      <c r="U898" s="239" t="str">
        <f>VLOOKUP(H898,'Fund Utilization Report'!$A$4:$U$1800,3,FALSE)</f>
        <v>FY2021, RA11518</v>
      </c>
      <c r="V898" s="239" t="str">
        <f>VLOOKUP(H898,'Fund Utilization Report'!$A$4:$U$1800,4,FALSE)</f>
        <v>GAS(GMS)</v>
      </c>
      <c r="W898" s="239" t="str">
        <f>VLOOKUP(H898,'Fund Utilization Report'!$A$4:$U$1800,5,FALSE)</f>
        <v>01101101</v>
      </c>
      <c r="X898" s="239" t="str">
        <f>VLOOKUP(H898,'Fund Utilization Report'!$A$4:$U$1800,6,FALSE)</f>
        <v>GOP</v>
      </c>
      <c r="Y898" s="440" t="str">
        <f>VLOOKUP(H898,'Fund Utilization Report'!$A$4:$U$1800,7,FALSE)</f>
        <v>PS</v>
      </c>
      <c r="Z898" s="441">
        <f>VLOOKUP(H898,'Fund Utilization Report'!$A$4:$U$1800,8,FALSE)</f>
        <v>5010000000</v>
      </c>
      <c r="AA898" s="239" t="str">
        <f>VLOOKUP(H898,'Fund Utilization Report'!$A$4:$U$1800,14,FALSE)</f>
        <v>100000100001000</v>
      </c>
      <c r="AB898" s="242" t="str">
        <f>VLOOKUP(H898,'Fund Utilization Report'!$A$4:$U$1800,15,FALSE)</f>
        <v>General Administration and Supervision - General Management and Supervision</v>
      </c>
      <c r="AC898" s="51"/>
      <c r="AD898" s="435"/>
      <c r="AE898" s="51"/>
      <c r="AF898" s="51"/>
      <c r="AG898" s="442"/>
      <c r="AH898" s="442"/>
      <c r="AI898" s="443"/>
    </row>
    <row r="899" spans="1:35" s="32" customFormat="1">
      <c r="A899" s="434" t="s">
        <v>942</v>
      </c>
      <c r="B899" s="457" t="s">
        <v>946</v>
      </c>
      <c r="C899" s="233">
        <v>44257</v>
      </c>
      <c r="D899" s="435" t="s">
        <v>1267</v>
      </c>
      <c r="E899" s="436" t="s">
        <v>1294</v>
      </c>
      <c r="F899" s="338">
        <v>44259</v>
      </c>
      <c r="G899" s="338">
        <v>0.50347222222222221</v>
      </c>
      <c r="H899" s="338" t="s">
        <v>960</v>
      </c>
      <c r="I899" s="353">
        <v>714</v>
      </c>
      <c r="J899" s="338" t="str">
        <f>IFERROR(VLOOKUP(I899,'Chart of accounts'!A:H,2,FALSE),"")</f>
        <v>50102030 01</v>
      </c>
      <c r="K899" s="338" t="str">
        <f>IFERROR(VLOOKUP(I899,'Chart of accounts'!A:H,3,FALSE),"")</f>
        <v xml:space="preserve">Transportation Allowance  </v>
      </c>
      <c r="L899" s="338" t="str">
        <f>IFERROR(VLOOKUP(I899,'Chart of accounts'!A:H,4,FALSE),"")</f>
        <v>50102030 01 - Transportation Allowance   (714)</v>
      </c>
      <c r="M899" s="354" t="s">
        <v>2</v>
      </c>
      <c r="N899" s="355" t="s">
        <v>804</v>
      </c>
      <c r="O899" s="355" t="s">
        <v>1295</v>
      </c>
      <c r="P899" s="355"/>
      <c r="Q899" s="428">
        <v>7500</v>
      </c>
      <c r="R899" s="319">
        <f t="shared" si="23"/>
        <v>-7500</v>
      </c>
      <c r="S899" s="239" t="str">
        <f>VLOOKUP(H899,'Fund Utilization Report'!$A$4:$U$1800,13,FALSE)</f>
        <v>PS</v>
      </c>
      <c r="T899" s="239" t="str">
        <f>VLOOKUP(H899,'Fund Utilization Report'!$A$4:$U$1800,2,FALSE)</f>
        <v>GAA</v>
      </c>
      <c r="U899" s="239" t="str">
        <f>VLOOKUP(H899,'Fund Utilization Report'!$A$4:$U$1800,3,FALSE)</f>
        <v>FY2021, RA11518</v>
      </c>
      <c r="V899" s="239" t="str">
        <f>VLOOKUP(H899,'Fund Utilization Report'!$A$4:$U$1800,4,FALSE)</f>
        <v>GAS(GMS)</v>
      </c>
      <c r="W899" s="239" t="str">
        <f>VLOOKUP(H899,'Fund Utilization Report'!$A$4:$U$1800,5,FALSE)</f>
        <v>01101101</v>
      </c>
      <c r="X899" s="239" t="str">
        <f>VLOOKUP(H899,'Fund Utilization Report'!$A$4:$U$1800,6,FALSE)</f>
        <v>GOP</v>
      </c>
      <c r="Y899" s="440" t="str">
        <f>VLOOKUP(H899,'Fund Utilization Report'!$A$4:$U$1800,7,FALSE)</f>
        <v>PS</v>
      </c>
      <c r="Z899" s="441">
        <f>VLOOKUP(H899,'Fund Utilization Report'!$A$4:$U$1800,8,FALSE)</f>
        <v>5010000000</v>
      </c>
      <c r="AA899" s="239" t="str">
        <f>VLOOKUP(H899,'Fund Utilization Report'!$A$4:$U$1800,14,FALSE)</f>
        <v>100000100001000</v>
      </c>
      <c r="AB899" s="242" t="str">
        <f>VLOOKUP(H899,'Fund Utilization Report'!$A$4:$U$1800,15,FALSE)</f>
        <v>General Administration and Supervision - General Management and Supervision</v>
      </c>
      <c r="AC899" s="51"/>
      <c r="AD899" s="435"/>
      <c r="AE899" s="51"/>
      <c r="AF899" s="51"/>
      <c r="AG899" s="442"/>
      <c r="AH899" s="442"/>
      <c r="AI899" s="443"/>
    </row>
    <row r="900" spans="1:35" s="32" customFormat="1">
      <c r="A900" s="434" t="s">
        <v>942</v>
      </c>
      <c r="B900" s="457" t="s">
        <v>946</v>
      </c>
      <c r="C900" s="233">
        <v>44257</v>
      </c>
      <c r="D900" s="435" t="s">
        <v>1267</v>
      </c>
      <c r="E900" s="436" t="s">
        <v>1294</v>
      </c>
      <c r="F900" s="338">
        <v>44259</v>
      </c>
      <c r="G900" s="338">
        <v>0.50347222222222221</v>
      </c>
      <c r="H900" s="338" t="s">
        <v>970</v>
      </c>
      <c r="I900" s="353">
        <v>713</v>
      </c>
      <c r="J900" s="338" t="str">
        <f>IFERROR(VLOOKUP(I900,'Chart of accounts'!A:H,2,FALSE),"")</f>
        <v>50102020 00</v>
      </c>
      <c r="K900" s="338" t="str">
        <f>IFERROR(VLOOKUP(I900,'Chart of accounts'!A:H,3,FALSE),"")</f>
        <v>Representation Allowance</v>
      </c>
      <c r="L900" s="338" t="str">
        <f>IFERROR(VLOOKUP(I900,'Chart of accounts'!A:H,4,FALSE),"")</f>
        <v>50102020 00 - Representation Allowance (713)</v>
      </c>
      <c r="M900" s="354" t="s">
        <v>2</v>
      </c>
      <c r="N900" s="355" t="s">
        <v>805</v>
      </c>
      <c r="O900" s="355" t="s">
        <v>1295</v>
      </c>
      <c r="P900" s="355"/>
      <c r="Q900" s="428">
        <v>5000</v>
      </c>
      <c r="R900" s="319">
        <f t="shared" si="23"/>
        <v>-5000</v>
      </c>
      <c r="S900" s="239" t="str">
        <f>VLOOKUP(H900,'Fund Utilization Report'!$A$4:$U$1800,13,FALSE)</f>
        <v>PS</v>
      </c>
      <c r="T900" s="239" t="str">
        <f>VLOOKUP(H900,'Fund Utilization Report'!$A$4:$U$1800,2,FALSE)</f>
        <v>GAA</v>
      </c>
      <c r="U900" s="239" t="str">
        <f>VLOOKUP(H900,'Fund Utilization Report'!$A$4:$U$1800,3,FALSE)</f>
        <v>FY2021, RA11518</v>
      </c>
      <c r="V900" s="239" t="str">
        <f>VLOOKUP(H900,'Fund Utilization Report'!$A$4:$U$1800,4,FALSE)</f>
        <v>OO3</v>
      </c>
      <c r="W900" s="239" t="str">
        <f>VLOOKUP(H900,'Fund Utilization Report'!$A$4:$U$1800,5,FALSE)</f>
        <v>01101101</v>
      </c>
      <c r="X900" s="239" t="str">
        <f>VLOOKUP(H900,'Fund Utilization Report'!$A$4:$U$1800,6,FALSE)</f>
        <v>GOP</v>
      </c>
      <c r="Y900" s="440" t="str">
        <f>VLOOKUP(H900,'Fund Utilization Report'!$A$4:$U$1800,7,FALSE)</f>
        <v>PS</v>
      </c>
      <c r="Z900" s="441">
        <f>VLOOKUP(H900,'Fund Utilization Report'!$A$4:$U$1800,8,FALSE)</f>
        <v>5010000000</v>
      </c>
      <c r="AA900" s="239" t="str">
        <f>VLOOKUP(H900,'Fund Utilization Report'!$A$4:$U$1800,14,FALSE)</f>
        <v>330100100002000</v>
      </c>
      <c r="AB900" s="242" t="str">
        <f>VLOOKUP(H900,'Fund Utilization Report'!$A$4:$U$1800,15,FALSE)</f>
        <v>Implementation of the MSME Development Plan and other initiatives to promote the growth of Micro, Small and Medium Enterprises</v>
      </c>
      <c r="AC900" s="51"/>
      <c r="AD900" s="435"/>
      <c r="AE900" s="51"/>
      <c r="AF900" s="51"/>
      <c r="AG900" s="442"/>
      <c r="AH900" s="442"/>
      <c r="AI900" s="443"/>
    </row>
    <row r="901" spans="1:35" s="32" customFormat="1">
      <c r="A901" s="434" t="s">
        <v>942</v>
      </c>
      <c r="B901" s="457" t="s">
        <v>946</v>
      </c>
      <c r="C901" s="233">
        <v>44257</v>
      </c>
      <c r="D901" s="435" t="s">
        <v>1267</v>
      </c>
      <c r="E901" s="436" t="s">
        <v>1294</v>
      </c>
      <c r="F901" s="338">
        <v>44259</v>
      </c>
      <c r="G901" s="338">
        <v>0.50347222222222221</v>
      </c>
      <c r="H901" s="338" t="s">
        <v>970</v>
      </c>
      <c r="I901" s="353">
        <v>714</v>
      </c>
      <c r="J901" s="338" t="str">
        <f>IFERROR(VLOOKUP(I901,'Chart of accounts'!A:H,2,FALSE),"")</f>
        <v>50102030 01</v>
      </c>
      <c r="K901" s="338" t="str">
        <f>IFERROR(VLOOKUP(I901,'Chart of accounts'!A:H,3,FALSE),"")</f>
        <v xml:space="preserve">Transportation Allowance  </v>
      </c>
      <c r="L901" s="338" t="str">
        <f>IFERROR(VLOOKUP(I901,'Chart of accounts'!A:H,4,FALSE),"")</f>
        <v>50102030 01 - Transportation Allowance   (714)</v>
      </c>
      <c r="M901" s="354" t="s">
        <v>2</v>
      </c>
      <c r="N901" s="355" t="s">
        <v>805</v>
      </c>
      <c r="O901" s="355" t="s">
        <v>1295</v>
      </c>
      <c r="P901" s="355"/>
      <c r="Q901" s="428">
        <v>5000</v>
      </c>
      <c r="R901" s="319">
        <f t="shared" si="23"/>
        <v>-5000</v>
      </c>
      <c r="S901" s="239" t="str">
        <f>VLOOKUP(H901,'Fund Utilization Report'!$A$4:$U$1800,13,FALSE)</f>
        <v>PS</v>
      </c>
      <c r="T901" s="239" t="str">
        <f>VLOOKUP(H901,'Fund Utilization Report'!$A$4:$U$1800,2,FALSE)</f>
        <v>GAA</v>
      </c>
      <c r="U901" s="239" t="str">
        <f>VLOOKUP(H901,'Fund Utilization Report'!$A$4:$U$1800,3,FALSE)</f>
        <v>FY2021, RA11518</v>
      </c>
      <c r="V901" s="239" t="str">
        <f>VLOOKUP(H901,'Fund Utilization Report'!$A$4:$U$1800,4,FALSE)</f>
        <v>OO3</v>
      </c>
      <c r="W901" s="239" t="str">
        <f>VLOOKUP(H901,'Fund Utilization Report'!$A$4:$U$1800,5,FALSE)</f>
        <v>01101101</v>
      </c>
      <c r="X901" s="239" t="str">
        <f>VLOOKUP(H901,'Fund Utilization Report'!$A$4:$U$1800,6,FALSE)</f>
        <v>GOP</v>
      </c>
      <c r="Y901" s="440" t="str">
        <f>VLOOKUP(H901,'Fund Utilization Report'!$A$4:$U$1800,7,FALSE)</f>
        <v>PS</v>
      </c>
      <c r="Z901" s="441">
        <f>VLOOKUP(H901,'Fund Utilization Report'!$A$4:$U$1800,8,FALSE)</f>
        <v>5010000000</v>
      </c>
      <c r="AA901" s="239" t="str">
        <f>VLOOKUP(H901,'Fund Utilization Report'!$A$4:$U$1800,14,FALSE)</f>
        <v>330100100002000</v>
      </c>
      <c r="AB901" s="242" t="str">
        <f>VLOOKUP(H901,'Fund Utilization Report'!$A$4:$U$1800,15,FALSE)</f>
        <v>Implementation of the MSME Development Plan and other initiatives to promote the growth of Micro, Small and Medium Enterprises</v>
      </c>
      <c r="AC901" s="51"/>
      <c r="AD901" s="435"/>
      <c r="AE901" s="51"/>
      <c r="AF901" s="51"/>
      <c r="AG901" s="442"/>
      <c r="AH901" s="442"/>
      <c r="AI901" s="443"/>
    </row>
    <row r="902" spans="1:35" s="32" customFormat="1">
      <c r="A902" s="434" t="s">
        <v>942</v>
      </c>
      <c r="B902" s="457" t="s">
        <v>946</v>
      </c>
      <c r="C902" s="233">
        <v>44257</v>
      </c>
      <c r="D902" s="435" t="s">
        <v>1267</v>
      </c>
      <c r="E902" s="436" t="s">
        <v>1294</v>
      </c>
      <c r="F902" s="338">
        <v>44259</v>
      </c>
      <c r="G902" s="338">
        <v>0.50347222222222221</v>
      </c>
      <c r="H902" s="338" t="s">
        <v>960</v>
      </c>
      <c r="I902" s="353">
        <v>713</v>
      </c>
      <c r="J902" s="338" t="str">
        <f>IFERROR(VLOOKUP(I902,'Chart of accounts'!A:H,2,FALSE),"")</f>
        <v>50102020 00</v>
      </c>
      <c r="K902" s="338" t="str">
        <f>IFERROR(VLOOKUP(I902,'Chart of accounts'!A:H,3,FALSE),"")</f>
        <v>Representation Allowance</v>
      </c>
      <c r="L902" s="338" t="str">
        <f>IFERROR(VLOOKUP(I902,'Chart of accounts'!A:H,4,FALSE),"")</f>
        <v>50102020 00 - Representation Allowance (713)</v>
      </c>
      <c r="M902" s="354" t="s">
        <v>2</v>
      </c>
      <c r="N902" s="355" t="s">
        <v>806</v>
      </c>
      <c r="O902" s="355" t="s">
        <v>1295</v>
      </c>
      <c r="P902" s="355"/>
      <c r="Q902" s="428">
        <v>7500</v>
      </c>
      <c r="R902" s="319">
        <f t="shared" si="23"/>
        <v>-7500</v>
      </c>
      <c r="S902" s="239" t="str">
        <f>VLOOKUP(H902,'Fund Utilization Report'!$A$4:$U$1800,13,FALSE)</f>
        <v>PS</v>
      </c>
      <c r="T902" s="239" t="str">
        <f>VLOOKUP(H902,'Fund Utilization Report'!$A$4:$U$1800,2,FALSE)</f>
        <v>GAA</v>
      </c>
      <c r="U902" s="239" t="str">
        <f>VLOOKUP(H902,'Fund Utilization Report'!$A$4:$U$1800,3,FALSE)</f>
        <v>FY2021, RA11518</v>
      </c>
      <c r="V902" s="239" t="str">
        <f>VLOOKUP(H902,'Fund Utilization Report'!$A$4:$U$1800,4,FALSE)</f>
        <v>GAS(GMS)</v>
      </c>
      <c r="W902" s="239" t="str">
        <f>VLOOKUP(H902,'Fund Utilization Report'!$A$4:$U$1800,5,FALSE)</f>
        <v>01101101</v>
      </c>
      <c r="X902" s="239" t="str">
        <f>VLOOKUP(H902,'Fund Utilization Report'!$A$4:$U$1800,6,FALSE)</f>
        <v>GOP</v>
      </c>
      <c r="Y902" s="440" t="str">
        <f>VLOOKUP(H902,'Fund Utilization Report'!$A$4:$U$1800,7,FALSE)</f>
        <v>PS</v>
      </c>
      <c r="Z902" s="441">
        <f>VLOOKUP(H902,'Fund Utilization Report'!$A$4:$U$1800,8,FALSE)</f>
        <v>5010000000</v>
      </c>
      <c r="AA902" s="239" t="str">
        <f>VLOOKUP(H902,'Fund Utilization Report'!$A$4:$U$1800,14,FALSE)</f>
        <v>100000100001000</v>
      </c>
      <c r="AB902" s="242" t="str">
        <f>VLOOKUP(H902,'Fund Utilization Report'!$A$4:$U$1800,15,FALSE)</f>
        <v>General Administration and Supervision - General Management and Supervision</v>
      </c>
      <c r="AC902" s="51"/>
      <c r="AD902" s="435"/>
      <c r="AE902" s="51"/>
      <c r="AF902" s="51"/>
      <c r="AG902" s="442"/>
      <c r="AH902" s="442"/>
      <c r="AI902" s="443"/>
    </row>
    <row r="903" spans="1:35" s="32" customFormat="1">
      <c r="A903" s="434" t="s">
        <v>942</v>
      </c>
      <c r="B903" s="457" t="s">
        <v>946</v>
      </c>
      <c r="C903" s="233">
        <v>44257</v>
      </c>
      <c r="D903" s="435" t="s">
        <v>1267</v>
      </c>
      <c r="E903" s="436" t="s">
        <v>1294</v>
      </c>
      <c r="F903" s="338">
        <v>44259</v>
      </c>
      <c r="G903" s="338">
        <v>0.50347222222222221</v>
      </c>
      <c r="H903" s="338" t="s">
        <v>960</v>
      </c>
      <c r="I903" s="353">
        <v>714</v>
      </c>
      <c r="J903" s="338" t="str">
        <f>IFERROR(VLOOKUP(I903,'Chart of accounts'!A:H,2,FALSE),"")</f>
        <v>50102030 01</v>
      </c>
      <c r="K903" s="338" t="str">
        <f>IFERROR(VLOOKUP(I903,'Chart of accounts'!A:H,3,FALSE),"")</f>
        <v xml:space="preserve">Transportation Allowance  </v>
      </c>
      <c r="L903" s="338" t="str">
        <f>IFERROR(VLOOKUP(I903,'Chart of accounts'!A:H,4,FALSE),"")</f>
        <v>50102030 01 - Transportation Allowance   (714)</v>
      </c>
      <c r="M903" s="354" t="s">
        <v>2</v>
      </c>
      <c r="N903" s="355" t="s">
        <v>806</v>
      </c>
      <c r="O903" s="355" t="s">
        <v>1295</v>
      </c>
      <c r="P903" s="355"/>
      <c r="Q903" s="428">
        <v>7500</v>
      </c>
      <c r="R903" s="319">
        <f t="shared" si="23"/>
        <v>-7500</v>
      </c>
      <c r="S903" s="239" t="str">
        <f>VLOOKUP(H903,'Fund Utilization Report'!$A$4:$U$1800,13,FALSE)</f>
        <v>PS</v>
      </c>
      <c r="T903" s="239" t="str">
        <f>VLOOKUP(H903,'Fund Utilization Report'!$A$4:$U$1800,2,FALSE)</f>
        <v>GAA</v>
      </c>
      <c r="U903" s="239" t="str">
        <f>VLOOKUP(H903,'Fund Utilization Report'!$A$4:$U$1800,3,FALSE)</f>
        <v>FY2021, RA11518</v>
      </c>
      <c r="V903" s="239" t="str">
        <f>VLOOKUP(H903,'Fund Utilization Report'!$A$4:$U$1800,4,FALSE)</f>
        <v>GAS(GMS)</v>
      </c>
      <c r="W903" s="239" t="str">
        <f>VLOOKUP(H903,'Fund Utilization Report'!$A$4:$U$1800,5,FALSE)</f>
        <v>01101101</v>
      </c>
      <c r="X903" s="239" t="str">
        <f>VLOOKUP(H903,'Fund Utilization Report'!$A$4:$U$1800,6,FALSE)</f>
        <v>GOP</v>
      </c>
      <c r="Y903" s="440" t="str">
        <f>VLOOKUP(H903,'Fund Utilization Report'!$A$4:$U$1800,7,FALSE)</f>
        <v>PS</v>
      </c>
      <c r="Z903" s="441">
        <f>VLOOKUP(H903,'Fund Utilization Report'!$A$4:$U$1800,8,FALSE)</f>
        <v>5010000000</v>
      </c>
      <c r="AA903" s="239" t="str">
        <f>VLOOKUP(H903,'Fund Utilization Report'!$A$4:$U$1800,14,FALSE)</f>
        <v>100000100001000</v>
      </c>
      <c r="AB903" s="242" t="str">
        <f>VLOOKUP(H903,'Fund Utilization Report'!$A$4:$U$1800,15,FALSE)</f>
        <v>General Administration and Supervision - General Management and Supervision</v>
      </c>
      <c r="AC903" s="51"/>
      <c r="AD903" s="435"/>
      <c r="AE903" s="51"/>
      <c r="AF903" s="51"/>
      <c r="AG903" s="442"/>
      <c r="AH903" s="442"/>
      <c r="AI903" s="443"/>
    </row>
    <row r="904" spans="1:35" s="32" customFormat="1" ht="27.6">
      <c r="A904" s="434" t="s">
        <v>942</v>
      </c>
      <c r="B904" s="457" t="s">
        <v>946</v>
      </c>
      <c r="C904" s="233">
        <v>44257</v>
      </c>
      <c r="D904" s="435" t="s">
        <v>1267</v>
      </c>
      <c r="E904" s="436" t="s">
        <v>1296</v>
      </c>
      <c r="F904" s="338">
        <v>0.50347222222222221</v>
      </c>
      <c r="G904" s="338">
        <v>0.50624999999999998</v>
      </c>
      <c r="H904" s="434" t="s">
        <v>961</v>
      </c>
      <c r="I904" s="353">
        <v>799</v>
      </c>
      <c r="J904" s="338" t="str">
        <f>IFERROR(VLOOKUP(I904,'Chart of accounts'!A:H,2,FALSE),"")</f>
        <v>50211990 00</v>
      </c>
      <c r="K904" s="338" t="str">
        <f>IFERROR(VLOOKUP(I904,'Chart of accounts'!A:H,3,FALSE),"")</f>
        <v>Other Professional Services</v>
      </c>
      <c r="L904" s="338" t="str">
        <f>IFERROR(VLOOKUP(I904,'Chart of accounts'!A:H,4,FALSE),"")</f>
        <v>50211990 00 - Other Professional Services (799)</v>
      </c>
      <c r="M904" s="361">
        <v>1</v>
      </c>
      <c r="N904" s="355" t="s">
        <v>1297</v>
      </c>
      <c r="O904" s="355" t="s">
        <v>1298</v>
      </c>
      <c r="P904" s="355"/>
      <c r="Q904" s="363">
        <v>64106</v>
      </c>
      <c r="R904" s="319">
        <f t="shared" si="23"/>
        <v>-64106</v>
      </c>
      <c r="S904" s="239" t="str">
        <f>VLOOKUP(H904,'Fund Utilization Report'!$A$4:$U$1800,13,FALSE)</f>
        <v>MOOE</v>
      </c>
      <c r="T904" s="239" t="str">
        <f>VLOOKUP(H904,'Fund Utilization Report'!$A$4:$U$1800,2,FALSE)</f>
        <v>GAA</v>
      </c>
      <c r="U904" s="239" t="str">
        <f>VLOOKUP(H904,'Fund Utilization Report'!$A$4:$U$1800,3,FALSE)</f>
        <v>FY2021, RA11518</v>
      </c>
      <c r="V904" s="239" t="str">
        <f>VLOOKUP(H904,'Fund Utilization Report'!$A$4:$U$1800,4,FALSE)</f>
        <v>GAS(GMS)</v>
      </c>
      <c r="W904" s="239" t="str">
        <f>VLOOKUP(H904,'Fund Utilization Report'!$A$4:$U$1800,5,FALSE)</f>
        <v>01101101</v>
      </c>
      <c r="X904" s="239" t="str">
        <f>VLOOKUP(H904,'Fund Utilization Report'!$A$4:$U$1800,6,FALSE)</f>
        <v>GOP</v>
      </c>
      <c r="Y904" s="440" t="str">
        <f>VLOOKUP(H904,'Fund Utilization Report'!$A$4:$U$1800,7,FALSE)</f>
        <v>MOOE</v>
      </c>
      <c r="Z904" s="441">
        <f>VLOOKUP(H904,'Fund Utilization Report'!$A$4:$U$1800,8,FALSE)</f>
        <v>5020000000</v>
      </c>
      <c r="AA904" s="239" t="str">
        <f>VLOOKUP(H904,'Fund Utilization Report'!$A$4:$U$1800,14,FALSE)</f>
        <v>100000100001000</v>
      </c>
      <c r="AB904" s="242" t="str">
        <f>VLOOKUP(H904,'Fund Utilization Report'!$A$4:$U$1800,15,FALSE)</f>
        <v>General Administration and Supervision - General Management and Supervision</v>
      </c>
      <c r="AC904" s="51"/>
      <c r="AD904" s="435"/>
      <c r="AE904" s="51"/>
      <c r="AF904" s="51"/>
      <c r="AG904" s="442"/>
      <c r="AH904" s="442"/>
      <c r="AI904" s="443"/>
    </row>
    <row r="905" spans="1:35" s="32" customFormat="1" ht="27.6">
      <c r="A905" s="434" t="s">
        <v>942</v>
      </c>
      <c r="B905" s="457" t="s">
        <v>946</v>
      </c>
      <c r="C905" s="233">
        <v>44257</v>
      </c>
      <c r="D905" s="435" t="s">
        <v>1267</v>
      </c>
      <c r="E905" s="436" t="s">
        <v>1299</v>
      </c>
      <c r="F905" s="338">
        <v>0.50624999999999998</v>
      </c>
      <c r="G905" s="338">
        <v>0.5083333333333333</v>
      </c>
      <c r="H905" s="338" t="s">
        <v>1221</v>
      </c>
      <c r="I905" s="353">
        <v>799</v>
      </c>
      <c r="J905" s="338" t="str">
        <f>IFERROR(VLOOKUP(I905,'Chart of accounts'!A:H,2,FALSE),"")</f>
        <v>50211990 00</v>
      </c>
      <c r="K905" s="338" t="str">
        <f>IFERROR(VLOOKUP(I905,'Chart of accounts'!A:H,3,FALSE),"")</f>
        <v>Other Professional Services</v>
      </c>
      <c r="L905" s="338" t="str">
        <f>IFERROR(VLOOKUP(I905,'Chart of accounts'!A:H,4,FALSE),"")</f>
        <v>50211990 00 - Other Professional Services (799)</v>
      </c>
      <c r="M905" s="361" t="s">
        <v>1011</v>
      </c>
      <c r="N905" s="355" t="s">
        <v>1300</v>
      </c>
      <c r="O905" s="355" t="s">
        <v>1301</v>
      </c>
      <c r="P905" s="355"/>
      <c r="Q905" s="239">
        <v>16332.5</v>
      </c>
      <c r="R905" s="319">
        <f t="shared" si="23"/>
        <v>-16332.5</v>
      </c>
      <c r="S905" s="239" t="str">
        <f>VLOOKUP(H905,'Fund Utilization Report'!$A$4:$U$1800,13,FALSE)</f>
        <v>MOOE</v>
      </c>
      <c r="T905" s="239" t="str">
        <f>VLOOKUP(H905,'Fund Utilization Report'!$A$4:$U$1800,2,FALSE)</f>
        <v>SAA040</v>
      </c>
      <c r="U905" s="239" t="str">
        <f>VLOOKUP(H905,'Fund Utilization Report'!$A$4:$U$1800,3,FALSE)</f>
        <v>21-02-0040</v>
      </c>
      <c r="V905" s="239" t="str">
        <f>VLOOKUP(H905,'Fund Utilization Report'!$A$4:$U$1800,4,FALSE)</f>
        <v>RAPID GOP</v>
      </c>
      <c r="W905" s="239" t="str">
        <f>VLOOKUP(H905,'Fund Utilization Report'!$A$4:$U$1800,5,FALSE)</f>
        <v>01101101</v>
      </c>
      <c r="X905" s="239" t="str">
        <f>VLOOKUP(H905,'Fund Utilization Report'!$A$4:$U$1800,6,FALSE)</f>
        <v>GOP</v>
      </c>
      <c r="Y905" s="440">
        <f>VLOOKUP(H905,'Fund Utilization Report'!$A$4:$U$1800,7,FALSE)</f>
        <v>799</v>
      </c>
      <c r="Z905" s="441">
        <f>VLOOKUP(H905,'Fund Utilization Report'!$A$4:$U$1800,8,FALSE)</f>
        <v>5021199000</v>
      </c>
      <c r="AA905" s="239" t="str">
        <f>VLOOKUP(H905,'Fund Utilization Report'!$A$4:$U$1800,14,FALSE)</f>
        <v>330100300001000</v>
      </c>
      <c r="AB905" s="242" t="str">
        <f>VLOOKUP(H905,'Fund Utilization Report'!$A$4:$U$1800,15,FALSE)</f>
        <v>Rural Agro Enterprise Partnership for Inclusive Development (RAPID) Growth GOP Continuing</v>
      </c>
      <c r="AC905" s="51"/>
      <c r="AD905" s="435"/>
      <c r="AE905" s="51"/>
      <c r="AF905" s="51"/>
      <c r="AG905" s="442"/>
      <c r="AH905" s="442"/>
      <c r="AI905" s="443"/>
    </row>
    <row r="906" spans="1:35" s="32" customFormat="1" ht="27.6">
      <c r="A906" s="434" t="s">
        <v>942</v>
      </c>
      <c r="B906" s="457" t="s">
        <v>946</v>
      </c>
      <c r="C906" s="233">
        <v>44257</v>
      </c>
      <c r="D906" s="435" t="s">
        <v>1267</v>
      </c>
      <c r="E906" s="436" t="s">
        <v>1302</v>
      </c>
      <c r="F906" s="338">
        <v>0.60625000000000007</v>
      </c>
      <c r="G906" s="338">
        <v>0.60902777777777783</v>
      </c>
      <c r="H906" s="338" t="s">
        <v>979</v>
      </c>
      <c r="I906" s="353">
        <v>755</v>
      </c>
      <c r="J906" s="338" t="str">
        <f>IFERROR(VLOOKUP(I906,'Chart of accounts'!A:H,2,FALSE),"")</f>
        <v>50203010 00</v>
      </c>
      <c r="K906" s="338" t="str">
        <f>IFERROR(VLOOKUP(I906,'Chart of accounts'!A:H,3,FALSE),"")</f>
        <v>Office Supplies Expenses</v>
      </c>
      <c r="L906" s="338" t="str">
        <f>IFERROR(VLOOKUP(I906,'Chart of accounts'!A:H,4,FALSE),"")</f>
        <v>50203010 00 - Office Supplies Expenses (755)</v>
      </c>
      <c r="M906" s="361" t="s">
        <v>815</v>
      </c>
      <c r="N906" s="355" t="s">
        <v>1303</v>
      </c>
      <c r="O906" s="355" t="s">
        <v>1304</v>
      </c>
      <c r="P906" s="355"/>
      <c r="Q906" s="363">
        <v>9900</v>
      </c>
      <c r="R906" s="319">
        <f t="shared" si="23"/>
        <v>-9900</v>
      </c>
      <c r="S906" s="239" t="str">
        <f>VLOOKUP(H906,'Fund Utilization Report'!$A$4:$U$1800,13,FALSE)</f>
        <v>MOOE</v>
      </c>
      <c r="T906" s="239" t="str">
        <f>VLOOKUP(H906,'Fund Utilization Report'!$A$4:$U$1800,2,FALSE)</f>
        <v>GAA</v>
      </c>
      <c r="U906" s="239" t="str">
        <f>VLOOKUP(H906,'Fund Utilization Report'!$A$4:$U$1800,3,FALSE)</f>
        <v>FY2021, RA11518</v>
      </c>
      <c r="V906" s="239" t="str">
        <f>VLOOKUP(H906,'Fund Utilization Report'!$A$4:$U$1800,4,FALSE)</f>
        <v>OO 4.2</v>
      </c>
      <c r="W906" s="239" t="str">
        <f>VLOOKUP(H906,'Fund Utilization Report'!$A$4:$U$1800,5,FALSE)</f>
        <v>01101101</v>
      </c>
      <c r="X906" s="239" t="str">
        <f>VLOOKUP(H906,'Fund Utilization Report'!$A$4:$U$1800,6,FALSE)</f>
        <v>GOP</v>
      </c>
      <c r="Y906" s="440" t="str">
        <f>VLOOKUP(H906,'Fund Utilization Report'!$A$4:$U$1800,7,FALSE)</f>
        <v>MOOE</v>
      </c>
      <c r="Z906" s="441">
        <f>VLOOKUP(H906,'Fund Utilization Report'!$A$4:$U$1800,8,FALSE)</f>
        <v>5020000000</v>
      </c>
      <c r="AA906" s="239" t="str">
        <f>VLOOKUP(H906,'Fund Utilization Report'!$A$4:$U$1800,14,FALSE)</f>
        <v>340200100002000</v>
      </c>
      <c r="AB906" s="242" t="str">
        <f>VLOOKUP(H906,'Fund Utilization Report'!$A$4:$U$1800,15,FALSE)</f>
        <v>Implementation of Plans, projects and activities on consumer awareness, education, and advocacy</v>
      </c>
      <c r="AC906" s="51"/>
      <c r="AD906" s="435"/>
      <c r="AE906" s="51"/>
      <c r="AF906" s="51"/>
      <c r="AG906" s="442"/>
      <c r="AH906" s="442"/>
      <c r="AI906" s="443"/>
    </row>
    <row r="907" spans="1:35" s="32" customFormat="1" ht="27.6">
      <c r="A907" s="434" t="s">
        <v>942</v>
      </c>
      <c r="B907" s="457" t="s">
        <v>946</v>
      </c>
      <c r="C907" s="233">
        <v>44257</v>
      </c>
      <c r="D907" s="435" t="s">
        <v>1267</v>
      </c>
      <c r="E907" s="436" t="s">
        <v>1305</v>
      </c>
      <c r="F907" s="338">
        <v>0.60902777777777783</v>
      </c>
      <c r="G907" s="338">
        <v>0.60972222222222217</v>
      </c>
      <c r="H907" s="338" t="s">
        <v>961</v>
      </c>
      <c r="I907" s="353">
        <v>893</v>
      </c>
      <c r="J907" s="338" t="str">
        <f>IFERROR(VLOOKUP(I907,'Chart of accounts'!A:H,2,FALSE),"")</f>
        <v>50215030 00</v>
      </c>
      <c r="K907" s="338" t="str">
        <f>IFERROR(VLOOKUP(I907,'Chart of accounts'!A:H,3,FALSE),"")</f>
        <v>Insurance Expense</v>
      </c>
      <c r="L907" s="338" t="str">
        <f>IFERROR(VLOOKUP(I907,'Chart of accounts'!A:H,4,FALSE),"")</f>
        <v>50215030 00 - Insurance Expense (893)</v>
      </c>
      <c r="M907" s="361">
        <v>1</v>
      </c>
      <c r="N907" s="355" t="s">
        <v>1105</v>
      </c>
      <c r="O907" s="355" t="s">
        <v>1309</v>
      </c>
      <c r="P907" s="355"/>
      <c r="Q907" s="363">
        <v>6617.76</v>
      </c>
      <c r="R907" s="319">
        <f t="shared" si="23"/>
        <v>-6617.76</v>
      </c>
      <c r="S907" s="239" t="str">
        <f>VLOOKUP(H907,'Fund Utilization Report'!$A$4:$U$1800,13,FALSE)</f>
        <v>MOOE</v>
      </c>
      <c r="T907" s="239" t="str">
        <f>VLOOKUP(H907,'Fund Utilization Report'!$A$4:$U$1800,2,FALSE)</f>
        <v>GAA</v>
      </c>
      <c r="U907" s="239" t="str">
        <f>VLOOKUP(H907,'Fund Utilization Report'!$A$4:$U$1800,3,FALSE)</f>
        <v>FY2021, RA11518</v>
      </c>
      <c r="V907" s="239" t="str">
        <f>VLOOKUP(H907,'Fund Utilization Report'!$A$4:$U$1800,4,FALSE)</f>
        <v>GAS(GMS)</v>
      </c>
      <c r="W907" s="239" t="str">
        <f>VLOOKUP(H907,'Fund Utilization Report'!$A$4:$U$1800,5,FALSE)</f>
        <v>01101101</v>
      </c>
      <c r="X907" s="239" t="str">
        <f>VLOOKUP(H907,'Fund Utilization Report'!$A$4:$U$1800,6,FALSE)</f>
        <v>GOP</v>
      </c>
      <c r="Y907" s="440" t="str">
        <f>VLOOKUP(H907,'Fund Utilization Report'!$A$4:$U$1800,7,FALSE)</f>
        <v>MOOE</v>
      </c>
      <c r="Z907" s="441">
        <f>VLOOKUP(H907,'Fund Utilization Report'!$A$4:$U$1800,8,FALSE)</f>
        <v>5020000000</v>
      </c>
      <c r="AA907" s="239" t="str">
        <f>VLOOKUP(H907,'Fund Utilization Report'!$A$4:$U$1800,14,FALSE)</f>
        <v>100000100001000</v>
      </c>
      <c r="AB907" s="242" t="str">
        <f>VLOOKUP(H907,'Fund Utilization Report'!$A$4:$U$1800,15,FALSE)</f>
        <v>General Administration and Supervision - General Management and Supervision</v>
      </c>
      <c r="AC907" s="51"/>
      <c r="AD907" s="435"/>
      <c r="AE907" s="51"/>
      <c r="AF907" s="51"/>
      <c r="AG907" s="442"/>
      <c r="AH907" s="442"/>
      <c r="AI907" s="443"/>
    </row>
    <row r="908" spans="1:35" s="32" customFormat="1" ht="27.6">
      <c r="A908" s="434" t="s">
        <v>942</v>
      </c>
      <c r="B908" s="457" t="s">
        <v>946</v>
      </c>
      <c r="C908" s="233">
        <v>44257</v>
      </c>
      <c r="D908" s="435" t="s">
        <v>1267</v>
      </c>
      <c r="E908" s="436" t="s">
        <v>1306</v>
      </c>
      <c r="F908" s="338">
        <v>0.60972222222222217</v>
      </c>
      <c r="G908" s="338">
        <v>0.6118055555555556</v>
      </c>
      <c r="H908" s="338" t="s">
        <v>961</v>
      </c>
      <c r="I908" s="353">
        <v>891</v>
      </c>
      <c r="J908" s="338" t="str">
        <f>IFERROR(VLOOKUP(I908,'Chart of accounts'!A:H,2,FALSE),"")</f>
        <v>50215010 01</v>
      </c>
      <c r="K908" s="338" t="str">
        <f>IFERROR(VLOOKUP(I908,'Chart of accounts'!A:H,3,FALSE),"")</f>
        <v>Taxes, Duties and Licenses</v>
      </c>
      <c r="L908" s="338" t="str">
        <f>IFERROR(VLOOKUP(I908,'Chart of accounts'!A:H,4,FALSE),"")</f>
        <v>50215010 01 - Taxes, Duties and Licenses (891)</v>
      </c>
      <c r="M908" s="361">
        <v>1</v>
      </c>
      <c r="N908" s="355" t="s">
        <v>1307</v>
      </c>
      <c r="O908" s="355" t="s">
        <v>1308</v>
      </c>
      <c r="P908" s="355"/>
      <c r="Q908" s="363">
        <v>2179.06</v>
      </c>
      <c r="R908" s="319">
        <f t="shared" si="23"/>
        <v>-2179.06</v>
      </c>
      <c r="S908" s="239" t="str">
        <f>VLOOKUP(H908,'Fund Utilization Report'!$A$4:$U$1800,13,FALSE)</f>
        <v>MOOE</v>
      </c>
      <c r="T908" s="239" t="str">
        <f>VLOOKUP(H908,'Fund Utilization Report'!$A$4:$U$1800,2,FALSE)</f>
        <v>GAA</v>
      </c>
      <c r="U908" s="239" t="str">
        <f>VLOOKUP(H908,'Fund Utilization Report'!$A$4:$U$1800,3,FALSE)</f>
        <v>FY2021, RA11518</v>
      </c>
      <c r="V908" s="239" t="str">
        <f>VLOOKUP(H908,'Fund Utilization Report'!$A$4:$U$1800,4,FALSE)</f>
        <v>GAS(GMS)</v>
      </c>
      <c r="W908" s="239" t="str">
        <f>VLOOKUP(H908,'Fund Utilization Report'!$A$4:$U$1800,5,FALSE)</f>
        <v>01101101</v>
      </c>
      <c r="X908" s="239" t="str">
        <f>VLOOKUP(H908,'Fund Utilization Report'!$A$4:$U$1800,6,FALSE)</f>
        <v>GOP</v>
      </c>
      <c r="Y908" s="440" t="str">
        <f>VLOOKUP(H908,'Fund Utilization Report'!$A$4:$U$1800,7,FALSE)</f>
        <v>MOOE</v>
      </c>
      <c r="Z908" s="441">
        <f>VLOOKUP(H908,'Fund Utilization Report'!$A$4:$U$1800,8,FALSE)</f>
        <v>5020000000</v>
      </c>
      <c r="AA908" s="239" t="str">
        <f>VLOOKUP(H908,'Fund Utilization Report'!$A$4:$U$1800,14,FALSE)</f>
        <v>100000100001000</v>
      </c>
      <c r="AB908" s="242" t="str">
        <f>VLOOKUP(H908,'Fund Utilization Report'!$A$4:$U$1800,15,FALSE)</f>
        <v>General Administration and Supervision - General Management and Supervision</v>
      </c>
      <c r="AC908" s="51"/>
      <c r="AD908" s="435"/>
      <c r="AE908" s="51"/>
      <c r="AF908" s="51"/>
      <c r="AG908" s="442"/>
      <c r="AH908" s="442"/>
      <c r="AI908" s="443"/>
    </row>
    <row r="909" spans="1:35" s="32" customFormat="1">
      <c r="A909" s="434" t="s">
        <v>942</v>
      </c>
      <c r="B909" s="457" t="s">
        <v>946</v>
      </c>
      <c r="C909" s="233">
        <v>44257</v>
      </c>
      <c r="D909" s="435" t="s">
        <v>1267</v>
      </c>
      <c r="E909" s="436" t="s">
        <v>1310</v>
      </c>
      <c r="F909" s="338">
        <v>0.6118055555555556</v>
      </c>
      <c r="G909" s="338">
        <v>0.61249999999999993</v>
      </c>
      <c r="H909" s="338" t="s">
        <v>968</v>
      </c>
      <c r="I909" s="353">
        <v>755</v>
      </c>
      <c r="J909" s="338" t="str">
        <f>IFERROR(VLOOKUP(I909,'Chart of accounts'!A:H,2,FALSE),"")</f>
        <v>50203010 00</v>
      </c>
      <c r="K909" s="338" t="str">
        <f>IFERROR(VLOOKUP(I909,'Chart of accounts'!A:H,3,FALSE),"")</f>
        <v>Office Supplies Expenses</v>
      </c>
      <c r="L909" s="338" t="str">
        <f>IFERROR(VLOOKUP(I909,'Chart of accounts'!A:H,4,FALSE),"")</f>
        <v>50203010 00 - Office Supplies Expenses (755)</v>
      </c>
      <c r="M909" s="361" t="s">
        <v>814</v>
      </c>
      <c r="N909" s="355" t="s">
        <v>1038</v>
      </c>
      <c r="O909" s="355" t="s">
        <v>1311</v>
      </c>
      <c r="P909" s="355"/>
      <c r="Q909" s="363">
        <v>3075</v>
      </c>
      <c r="R909" s="319">
        <f t="shared" si="23"/>
        <v>-3075</v>
      </c>
      <c r="S909" s="239" t="str">
        <f>VLOOKUP(H909,'Fund Utilization Report'!$A$4:$U$1800,13,FALSE)</f>
        <v>MOOE</v>
      </c>
      <c r="T909" s="239" t="str">
        <f>VLOOKUP(H909,'Fund Utilization Report'!$A$4:$U$1800,2,FALSE)</f>
        <v>GAA</v>
      </c>
      <c r="U909" s="239" t="str">
        <f>VLOOKUP(H909,'Fund Utilization Report'!$A$4:$U$1800,3,FALSE)</f>
        <v>FY2021, RA11518</v>
      </c>
      <c r="V909" s="239" t="str">
        <f>VLOOKUP(H909,'Fund Utilization Report'!$A$4:$U$1800,4,FALSE)</f>
        <v>OO2</v>
      </c>
      <c r="W909" s="239" t="str">
        <f>VLOOKUP(H909,'Fund Utilization Report'!$A$4:$U$1800,5,FALSE)</f>
        <v>01101101</v>
      </c>
      <c r="X909" s="239" t="str">
        <f>VLOOKUP(H909,'Fund Utilization Report'!$A$4:$U$1800,6,FALSE)</f>
        <v>GOP</v>
      </c>
      <c r="Y909" s="440" t="str">
        <f>VLOOKUP(H909,'Fund Utilization Report'!$A$4:$U$1800,7,FALSE)</f>
        <v>MOOE</v>
      </c>
      <c r="Z909" s="441">
        <f>VLOOKUP(H909,'Fund Utilization Report'!$A$4:$U$1800,8,FALSE)</f>
        <v>5020000000</v>
      </c>
      <c r="AA909" s="239" t="str">
        <f>VLOOKUP(H909,'Fund Utilization Report'!$A$4:$U$1800,14,FALSE)</f>
        <v>320100100001000</v>
      </c>
      <c r="AB909" s="242" t="str">
        <f>VLOOKUP(H909,'Fund Utilization Report'!$A$4:$U$1800,15,FALSE)</f>
        <v>Formulation of Strategic plans,programs, and policies to develop competitve industries</v>
      </c>
      <c r="AC909" s="51"/>
      <c r="AD909" s="435"/>
      <c r="AE909" s="51"/>
      <c r="AF909" s="51"/>
      <c r="AG909" s="442"/>
      <c r="AH909" s="442"/>
      <c r="AI909" s="443"/>
    </row>
    <row r="910" spans="1:35" s="32" customFormat="1" ht="27.6">
      <c r="A910" s="434" t="s">
        <v>942</v>
      </c>
      <c r="B910" s="457" t="s">
        <v>946</v>
      </c>
      <c r="C910" s="233">
        <v>44257</v>
      </c>
      <c r="D910" s="435" t="s">
        <v>1267</v>
      </c>
      <c r="E910" s="436" t="s">
        <v>1312</v>
      </c>
      <c r="F910" s="338">
        <v>0.61249999999999993</v>
      </c>
      <c r="G910" s="338">
        <v>0.61597222222222225</v>
      </c>
      <c r="H910" s="338" t="s">
        <v>968</v>
      </c>
      <c r="I910" s="353">
        <v>773</v>
      </c>
      <c r="J910" s="338" t="str">
        <f>IFERROR(VLOOKUP(I910,'Chart of accounts'!A:H,2,FALSE),"")</f>
        <v>50205020 01</v>
      </c>
      <c r="K910" s="338" t="str">
        <f>IFERROR(VLOOKUP(I910,'Chart of accounts'!A:H,3,FALSE),"")</f>
        <v xml:space="preserve">Telephone Expenses - Mobile </v>
      </c>
      <c r="L910" s="338" t="str">
        <f>IFERROR(VLOOKUP(I910,'Chart of accounts'!A:H,4,FALSE),"")</f>
        <v>50205020 01 - Telephone Expenses - Mobile  (773)</v>
      </c>
      <c r="M910" s="361" t="s">
        <v>814</v>
      </c>
      <c r="N910" s="355" t="s">
        <v>1245</v>
      </c>
      <c r="O910" s="355" t="s">
        <v>1313</v>
      </c>
      <c r="P910" s="355"/>
      <c r="Q910" s="363">
        <v>3048</v>
      </c>
      <c r="R910" s="319">
        <f t="shared" si="23"/>
        <v>-3048</v>
      </c>
      <c r="S910" s="239" t="str">
        <f>VLOOKUP(H910,'Fund Utilization Report'!$A$4:$U$1800,13,FALSE)</f>
        <v>MOOE</v>
      </c>
      <c r="T910" s="239" t="str">
        <f>VLOOKUP(H910,'Fund Utilization Report'!$A$4:$U$1800,2,FALSE)</f>
        <v>GAA</v>
      </c>
      <c r="U910" s="239" t="str">
        <f>VLOOKUP(H910,'Fund Utilization Report'!$A$4:$U$1800,3,FALSE)</f>
        <v>FY2021, RA11518</v>
      </c>
      <c r="V910" s="239" t="str">
        <f>VLOOKUP(H910,'Fund Utilization Report'!$A$4:$U$1800,4,FALSE)</f>
        <v>OO2</v>
      </c>
      <c r="W910" s="239" t="str">
        <f>VLOOKUP(H910,'Fund Utilization Report'!$A$4:$U$1800,5,FALSE)</f>
        <v>01101101</v>
      </c>
      <c r="X910" s="239" t="str">
        <f>VLOOKUP(H910,'Fund Utilization Report'!$A$4:$U$1800,6,FALSE)</f>
        <v>GOP</v>
      </c>
      <c r="Y910" s="440" t="str">
        <f>VLOOKUP(H910,'Fund Utilization Report'!$A$4:$U$1800,7,FALSE)</f>
        <v>MOOE</v>
      </c>
      <c r="Z910" s="441">
        <f>VLOOKUP(H910,'Fund Utilization Report'!$A$4:$U$1800,8,FALSE)</f>
        <v>5020000000</v>
      </c>
      <c r="AA910" s="239" t="str">
        <f>VLOOKUP(H910,'Fund Utilization Report'!$A$4:$U$1800,14,FALSE)</f>
        <v>320100100001000</v>
      </c>
      <c r="AB910" s="242" t="str">
        <f>VLOOKUP(H910,'Fund Utilization Report'!$A$4:$U$1800,15,FALSE)</f>
        <v>Formulation of Strategic plans,programs, and policies to develop competitve industries</v>
      </c>
      <c r="AC910" s="51"/>
      <c r="AD910" s="435"/>
      <c r="AE910" s="51"/>
      <c r="AF910" s="51"/>
      <c r="AG910" s="442"/>
      <c r="AH910" s="442"/>
      <c r="AI910" s="443"/>
    </row>
    <row r="911" spans="1:35" s="411" customFormat="1" ht="27.6">
      <c r="A911" s="405" t="s">
        <v>942</v>
      </c>
      <c r="B911" s="488" t="s">
        <v>946</v>
      </c>
      <c r="C911" s="402">
        <v>44257</v>
      </c>
      <c r="D911" s="403" t="s">
        <v>1267</v>
      </c>
      <c r="E911" s="404" t="s">
        <v>1314</v>
      </c>
      <c r="F911" s="405">
        <v>0.61597222222222225</v>
      </c>
      <c r="G911" s="405">
        <v>0.61736111111111114</v>
      </c>
      <c r="H911" s="405" t="s">
        <v>961</v>
      </c>
      <c r="I911" s="416">
        <v>767</v>
      </c>
      <c r="J911" s="405" t="str">
        <f>IFERROR(VLOOKUP(I911,'Chart of accounts'!A:H,2,FALSE),"")</f>
        <v>50204020 00</v>
      </c>
      <c r="K911" s="405" t="str">
        <f>IFERROR(VLOOKUP(I911,'Chart of accounts'!A:H,3,FALSE),"")</f>
        <v>Electricity Expense</v>
      </c>
      <c r="L911" s="405" t="str">
        <f>IFERROR(VLOOKUP(I911,'Chart of accounts'!A:H,4,FALSE),"")</f>
        <v>50204020 00 - Electricity Expense (767)</v>
      </c>
      <c r="M911" s="408">
        <v>1</v>
      </c>
      <c r="N911" s="409" t="s">
        <v>1315</v>
      </c>
      <c r="O911" s="409" t="s">
        <v>1316</v>
      </c>
      <c r="P911" s="409"/>
      <c r="Q911" s="65">
        <f>86607.18-10000-76607.18</f>
        <v>0</v>
      </c>
      <c r="R911" s="63">
        <f t="shared" si="23"/>
        <v>0</v>
      </c>
      <c r="S911" s="63" t="str">
        <f>VLOOKUP(H911,'Fund Utilization Report'!$A$4:$U$1800,13,FALSE)</f>
        <v>MOOE</v>
      </c>
      <c r="T911" s="63" t="str">
        <f>VLOOKUP(H911,'Fund Utilization Report'!$A$4:$U$1800,2,FALSE)</f>
        <v>GAA</v>
      </c>
      <c r="U911" s="63" t="str">
        <f>VLOOKUP(H911,'Fund Utilization Report'!$A$4:$U$1800,3,FALSE)</f>
        <v>FY2021, RA11518</v>
      </c>
      <c r="V911" s="63" t="str">
        <f>VLOOKUP(H911,'Fund Utilization Report'!$A$4:$U$1800,4,FALSE)</f>
        <v>GAS(GMS)</v>
      </c>
      <c r="W911" s="63" t="str">
        <f>VLOOKUP(H911,'Fund Utilization Report'!$A$4:$U$1800,5,FALSE)</f>
        <v>01101101</v>
      </c>
      <c r="X911" s="63" t="str">
        <f>VLOOKUP(H911,'Fund Utilization Report'!$A$4:$U$1800,6,FALSE)</f>
        <v>GOP</v>
      </c>
      <c r="Y911" s="417" t="str">
        <f>VLOOKUP(H911,'Fund Utilization Report'!$A$4:$U$1800,7,FALSE)</f>
        <v>MOOE</v>
      </c>
      <c r="Z911" s="418">
        <f>VLOOKUP(H911,'Fund Utilization Report'!$A$4:$U$1800,8,FALSE)</f>
        <v>5020000000</v>
      </c>
      <c r="AA911" s="63" t="str">
        <f>VLOOKUP(H911,'Fund Utilization Report'!$A$4:$U$1800,14,FALSE)</f>
        <v>100000100001000</v>
      </c>
      <c r="AB911" s="419" t="str">
        <f>VLOOKUP(H911,'Fund Utilization Report'!$A$4:$U$1800,15,FALSE)</f>
        <v>General Administration and Supervision - General Management and Supervision</v>
      </c>
      <c r="AC911" s="406"/>
      <c r="AD911" s="403"/>
      <c r="AE911" s="406"/>
      <c r="AF911" s="406"/>
      <c r="AG911" s="407"/>
      <c r="AH911" s="407"/>
    </row>
    <row r="912" spans="1:35" s="411" customFormat="1" ht="27.6">
      <c r="A912" s="405" t="s">
        <v>942</v>
      </c>
      <c r="B912" s="488" t="s">
        <v>946</v>
      </c>
      <c r="C912" s="402">
        <v>44257</v>
      </c>
      <c r="D912" s="403" t="s">
        <v>1267</v>
      </c>
      <c r="E912" s="404" t="s">
        <v>1314</v>
      </c>
      <c r="F912" s="405">
        <v>0.61597222222222225</v>
      </c>
      <c r="G912" s="405">
        <v>0.61736111111111114</v>
      </c>
      <c r="H912" s="405" t="s">
        <v>980</v>
      </c>
      <c r="I912" s="416">
        <v>767</v>
      </c>
      <c r="J912" s="405" t="str">
        <f>IFERROR(VLOOKUP(I912,'Chart of accounts'!A:H,2,FALSE),"")</f>
        <v>50204020 00</v>
      </c>
      <c r="K912" s="405" t="str">
        <f>IFERROR(VLOOKUP(I912,'Chart of accounts'!A:H,3,FALSE),"")</f>
        <v>Electricity Expense</v>
      </c>
      <c r="L912" s="405" t="str">
        <f>IFERROR(VLOOKUP(I912,'Chart of accounts'!A:H,4,FALSE),"")</f>
        <v>50204020 00 - Electricity Expense (767)</v>
      </c>
      <c r="M912" s="408">
        <v>1</v>
      </c>
      <c r="N912" s="409" t="s">
        <v>1315</v>
      </c>
      <c r="O912" s="409" t="s">
        <v>1316</v>
      </c>
      <c r="P912" s="409"/>
      <c r="Q912" s="65">
        <f>10000-10000</f>
        <v>0</v>
      </c>
      <c r="R912" s="63">
        <f t="shared" si="23"/>
        <v>0</v>
      </c>
      <c r="S912" s="63" t="str">
        <f>VLOOKUP(H912,'Fund Utilization Report'!$A$4:$U$1800,13,FALSE)</f>
        <v>MOOE</v>
      </c>
      <c r="T912" s="63" t="str">
        <f>VLOOKUP(H912,'Fund Utilization Report'!$A$4:$U$1800,2,FALSE)</f>
        <v>GAA</v>
      </c>
      <c r="U912" s="63" t="str">
        <f>VLOOKUP(H912,'Fund Utilization Report'!$A$4:$U$1800,3,FALSE)</f>
        <v>FY2021, RA11518</v>
      </c>
      <c r="V912" s="63" t="str">
        <f>VLOOKUP(H912,'Fund Utilization Report'!$A$4:$U$1800,4,FALSE)</f>
        <v>NC</v>
      </c>
      <c r="W912" s="63" t="str">
        <f>VLOOKUP(H912,'Fund Utilization Report'!$A$4:$U$1800,5,FALSE)</f>
        <v>01101101</v>
      </c>
      <c r="X912" s="63" t="str">
        <f>VLOOKUP(H912,'Fund Utilization Report'!$A$4:$U$1800,6,FALSE)</f>
        <v>GOP</v>
      </c>
      <c r="Y912" s="417" t="str">
        <f>VLOOKUP(H912,'Fund Utilization Report'!$A$4:$U$1800,7,FALSE)</f>
        <v>MOOE</v>
      </c>
      <c r="Z912" s="418">
        <f>VLOOKUP(H912,'Fund Utilization Report'!$A$4:$U$1800,8,FALSE)</f>
        <v>5020000000</v>
      </c>
      <c r="AA912" s="63" t="str">
        <f>VLOOKUP(H912,'Fund Utilization Report'!$A$4:$U$1800,14,FALSE)</f>
        <v>330100200001000</v>
      </c>
      <c r="AB912" s="419" t="str">
        <f>VLOOKUP(H912,'Fund Utilization Report'!$A$4:$U$1800,15,FALSE)</f>
        <v>Establishment of Negosyo Centers</v>
      </c>
      <c r="AC912" s="406"/>
      <c r="AD912" s="403"/>
      <c r="AE912" s="406"/>
      <c r="AF912" s="406"/>
      <c r="AG912" s="407"/>
      <c r="AH912" s="407"/>
    </row>
    <row r="913" spans="1:35" s="32" customFormat="1" ht="27.6">
      <c r="A913" s="434" t="s">
        <v>942</v>
      </c>
      <c r="B913" s="457" t="s">
        <v>946</v>
      </c>
      <c r="C913" s="233">
        <v>44257</v>
      </c>
      <c r="D913" s="435" t="s">
        <v>1267</v>
      </c>
      <c r="E913" s="436" t="s">
        <v>1317</v>
      </c>
      <c r="F913" s="338">
        <v>0.61736111111111114</v>
      </c>
      <c r="G913" s="338">
        <v>0.62013888888888891</v>
      </c>
      <c r="H913" s="338" t="s">
        <v>961</v>
      </c>
      <c r="I913" s="353">
        <v>775</v>
      </c>
      <c r="J913" s="338" t="str">
        <f>IFERROR(VLOOKUP(I913,'Chart of accounts'!A:H,2,FALSE),"")</f>
        <v>50205040 00</v>
      </c>
      <c r="K913" s="338" t="str">
        <f>IFERROR(VLOOKUP(I913,'Chart of accounts'!A:H,3,FALSE),"")</f>
        <v>Cable, Satellite, Telegraph, and Radio Expenses</v>
      </c>
      <c r="L913" s="338" t="str">
        <f>IFERROR(VLOOKUP(I913,'Chart of accounts'!A:H,4,FALSE),"")</f>
        <v>50205040 00 - Cable, Satellite, Telegraph, and Radio Expenses (775)</v>
      </c>
      <c r="M913" s="361">
        <v>1</v>
      </c>
      <c r="N913" s="355" t="s">
        <v>794</v>
      </c>
      <c r="O913" s="355" t="s">
        <v>1318</v>
      </c>
      <c r="P913" s="355"/>
      <c r="Q913" s="363">
        <v>1080</v>
      </c>
      <c r="R913" s="319">
        <f t="shared" si="23"/>
        <v>-1080</v>
      </c>
      <c r="S913" s="239" t="str">
        <f>VLOOKUP(H913,'Fund Utilization Report'!$A$4:$U$1800,13,FALSE)</f>
        <v>MOOE</v>
      </c>
      <c r="T913" s="239" t="str">
        <f>VLOOKUP(H913,'Fund Utilization Report'!$A$4:$U$1800,2,FALSE)</f>
        <v>GAA</v>
      </c>
      <c r="U913" s="239" t="str">
        <f>VLOOKUP(H913,'Fund Utilization Report'!$A$4:$U$1800,3,FALSE)</f>
        <v>FY2021, RA11518</v>
      </c>
      <c r="V913" s="239" t="str">
        <f>VLOOKUP(H913,'Fund Utilization Report'!$A$4:$U$1800,4,FALSE)</f>
        <v>GAS(GMS)</v>
      </c>
      <c r="W913" s="239" t="str">
        <f>VLOOKUP(H913,'Fund Utilization Report'!$A$4:$U$1800,5,FALSE)</f>
        <v>01101101</v>
      </c>
      <c r="X913" s="239" t="str">
        <f>VLOOKUP(H913,'Fund Utilization Report'!$A$4:$U$1800,6,FALSE)</f>
        <v>GOP</v>
      </c>
      <c r="Y913" s="440" t="str">
        <f>VLOOKUP(H913,'Fund Utilization Report'!$A$4:$U$1800,7,FALSE)</f>
        <v>MOOE</v>
      </c>
      <c r="Z913" s="441">
        <f>VLOOKUP(H913,'Fund Utilization Report'!$A$4:$U$1800,8,FALSE)</f>
        <v>5020000000</v>
      </c>
      <c r="AA913" s="239" t="str">
        <f>VLOOKUP(H913,'Fund Utilization Report'!$A$4:$U$1800,14,FALSE)</f>
        <v>100000100001000</v>
      </c>
      <c r="AB913" s="242" t="str">
        <f>VLOOKUP(H913,'Fund Utilization Report'!$A$4:$U$1800,15,FALSE)</f>
        <v>General Administration and Supervision - General Management and Supervision</v>
      </c>
      <c r="AC913" s="51"/>
      <c r="AD913" s="435"/>
      <c r="AE913" s="51"/>
      <c r="AF913" s="51"/>
      <c r="AG913" s="442"/>
      <c r="AH913" s="442"/>
      <c r="AI913" s="443"/>
    </row>
    <row r="914" spans="1:35" s="32" customFormat="1">
      <c r="A914" s="434" t="s">
        <v>942</v>
      </c>
      <c r="B914" s="457" t="s">
        <v>946</v>
      </c>
      <c r="C914" s="233">
        <v>44257</v>
      </c>
      <c r="D914" s="435" t="s">
        <v>1267</v>
      </c>
      <c r="E914" s="436" t="s">
        <v>1319</v>
      </c>
      <c r="F914" s="338">
        <v>0.62013888888888891</v>
      </c>
      <c r="G914" s="338">
        <v>0.62430555555555556</v>
      </c>
      <c r="H914" s="338" t="s">
        <v>961</v>
      </c>
      <c r="I914" s="353">
        <v>782</v>
      </c>
      <c r="J914" s="338" t="str">
        <f>IFERROR(VLOOKUP(I914,'Chart of accounts'!A:H,2,FALSE),"")</f>
        <v>50299050 01</v>
      </c>
      <c r="K914" s="338" t="str">
        <f>IFERROR(VLOOKUP(I914,'Chart of accounts'!A:H,3,FALSE),"")</f>
        <v>Rent - Buildings and Structures</v>
      </c>
      <c r="L914" s="338" t="str">
        <f>IFERROR(VLOOKUP(I914,'Chart of accounts'!A:H,4,FALSE),"")</f>
        <v>50299050 01 - Rent - Buildings and Structures (782)</v>
      </c>
      <c r="M914" s="361">
        <v>1</v>
      </c>
      <c r="N914" s="355" t="s">
        <v>852</v>
      </c>
      <c r="O914" s="355" t="s">
        <v>1320</v>
      </c>
      <c r="P914" s="355"/>
      <c r="Q914" s="363">
        <v>8800</v>
      </c>
      <c r="R914" s="319">
        <f t="shared" si="23"/>
        <v>-8800</v>
      </c>
      <c r="S914" s="239" t="str">
        <f>VLOOKUP(H914,'Fund Utilization Report'!$A$4:$U$1800,13,FALSE)</f>
        <v>MOOE</v>
      </c>
      <c r="T914" s="239" t="str">
        <f>VLOOKUP(H914,'Fund Utilization Report'!$A$4:$U$1800,2,FALSE)</f>
        <v>GAA</v>
      </c>
      <c r="U914" s="239" t="str">
        <f>VLOOKUP(H914,'Fund Utilization Report'!$A$4:$U$1800,3,FALSE)</f>
        <v>FY2021, RA11518</v>
      </c>
      <c r="V914" s="239" t="str">
        <f>VLOOKUP(H914,'Fund Utilization Report'!$A$4:$U$1800,4,FALSE)</f>
        <v>GAS(GMS)</v>
      </c>
      <c r="W914" s="239" t="str">
        <f>VLOOKUP(H914,'Fund Utilization Report'!$A$4:$U$1800,5,FALSE)</f>
        <v>01101101</v>
      </c>
      <c r="X914" s="239" t="str">
        <f>VLOOKUP(H914,'Fund Utilization Report'!$A$4:$U$1800,6,FALSE)</f>
        <v>GOP</v>
      </c>
      <c r="Y914" s="440" t="str">
        <f>VLOOKUP(H914,'Fund Utilization Report'!$A$4:$U$1800,7,FALSE)</f>
        <v>MOOE</v>
      </c>
      <c r="Z914" s="441">
        <f>VLOOKUP(H914,'Fund Utilization Report'!$A$4:$U$1800,8,FALSE)</f>
        <v>5020000000</v>
      </c>
      <c r="AA914" s="239" t="str">
        <f>VLOOKUP(H914,'Fund Utilization Report'!$A$4:$U$1800,14,FALSE)</f>
        <v>100000100001000</v>
      </c>
      <c r="AB914" s="242" t="str">
        <f>VLOOKUP(H914,'Fund Utilization Report'!$A$4:$U$1800,15,FALSE)</f>
        <v>General Administration and Supervision - General Management and Supervision</v>
      </c>
      <c r="AC914" s="51"/>
      <c r="AD914" s="435"/>
      <c r="AE914" s="51"/>
      <c r="AF914" s="51"/>
      <c r="AG914" s="442"/>
      <c r="AH914" s="442"/>
      <c r="AI914" s="443"/>
    </row>
    <row r="915" spans="1:35" s="32" customFormat="1">
      <c r="A915" s="434" t="s">
        <v>942</v>
      </c>
      <c r="B915" s="457" t="s">
        <v>946</v>
      </c>
      <c r="C915" s="233">
        <v>44257</v>
      </c>
      <c r="D915" s="435" t="s">
        <v>1267</v>
      </c>
      <c r="E915" s="436" t="s">
        <v>1321</v>
      </c>
      <c r="F915" s="338">
        <v>0.69861111111111107</v>
      </c>
      <c r="G915" s="338">
        <v>0.70000000000000007</v>
      </c>
      <c r="H915" s="338" t="s">
        <v>960</v>
      </c>
      <c r="I915" s="353">
        <v>713</v>
      </c>
      <c r="J915" s="338" t="str">
        <f>IFERROR(VLOOKUP(I915,'Chart of accounts'!A:H,2,FALSE),"")</f>
        <v>50102020 00</v>
      </c>
      <c r="K915" s="338" t="str">
        <f>IFERROR(VLOOKUP(I915,'Chart of accounts'!A:H,3,FALSE),"")</f>
        <v>Representation Allowance</v>
      </c>
      <c r="L915" s="338" t="str">
        <f>IFERROR(VLOOKUP(I915,'Chart of accounts'!A:H,4,FALSE),"")</f>
        <v>50102020 00 - Representation Allowance (713)</v>
      </c>
      <c r="M915" s="360">
        <v>1</v>
      </c>
      <c r="N915" s="355" t="s">
        <v>1030</v>
      </c>
      <c r="O915" s="355" t="s">
        <v>1031</v>
      </c>
      <c r="P915" s="355"/>
      <c r="Q915" s="363">
        <v>15000</v>
      </c>
      <c r="R915" s="319">
        <f t="shared" si="23"/>
        <v>-15000</v>
      </c>
      <c r="S915" s="239" t="str">
        <f>VLOOKUP(H915,'Fund Utilization Report'!$A$4:$U$1800,13,FALSE)</f>
        <v>PS</v>
      </c>
      <c r="T915" s="239" t="str">
        <f>VLOOKUP(H915,'Fund Utilization Report'!$A$4:$U$1800,2,FALSE)</f>
        <v>GAA</v>
      </c>
      <c r="U915" s="239" t="str">
        <f>VLOOKUP(H915,'Fund Utilization Report'!$A$4:$U$1800,3,FALSE)</f>
        <v>FY2021, RA11518</v>
      </c>
      <c r="V915" s="239" t="str">
        <f>VLOOKUP(H915,'Fund Utilization Report'!$A$4:$U$1800,4,FALSE)</f>
        <v>GAS(GMS)</v>
      </c>
      <c r="W915" s="239" t="str">
        <f>VLOOKUP(H915,'Fund Utilization Report'!$A$4:$U$1800,5,FALSE)</f>
        <v>01101101</v>
      </c>
      <c r="X915" s="239" t="str">
        <f>VLOOKUP(H915,'Fund Utilization Report'!$A$4:$U$1800,6,FALSE)</f>
        <v>GOP</v>
      </c>
      <c r="Y915" s="440" t="str">
        <f>VLOOKUP(H915,'Fund Utilization Report'!$A$4:$U$1800,7,FALSE)</f>
        <v>PS</v>
      </c>
      <c r="Z915" s="441">
        <f>VLOOKUP(H915,'Fund Utilization Report'!$A$4:$U$1800,8,FALSE)</f>
        <v>5010000000</v>
      </c>
      <c r="AA915" s="239" t="str">
        <f>VLOOKUP(H915,'Fund Utilization Report'!$A$4:$U$1800,14,FALSE)</f>
        <v>100000100001000</v>
      </c>
      <c r="AB915" s="242" t="str">
        <f>VLOOKUP(H915,'Fund Utilization Report'!$A$4:$U$1800,15,FALSE)</f>
        <v>General Administration and Supervision - General Management and Supervision</v>
      </c>
      <c r="AC915" s="51"/>
      <c r="AD915" s="435"/>
      <c r="AE915" s="51"/>
      <c r="AF915" s="51"/>
      <c r="AG915" s="442"/>
      <c r="AH915" s="442"/>
      <c r="AI915" s="443"/>
    </row>
    <row r="916" spans="1:35" s="32" customFormat="1">
      <c r="A916" s="434" t="s">
        <v>942</v>
      </c>
      <c r="B916" s="457" t="s">
        <v>946</v>
      </c>
      <c r="C916" s="233">
        <v>44257</v>
      </c>
      <c r="D916" s="435" t="s">
        <v>1267</v>
      </c>
      <c r="E916" s="436" t="s">
        <v>1321</v>
      </c>
      <c r="F916" s="338">
        <v>0.69861111111111107</v>
      </c>
      <c r="G916" s="338">
        <v>0.70000000000000007</v>
      </c>
      <c r="H916" s="338" t="s">
        <v>960</v>
      </c>
      <c r="I916" s="353">
        <v>714</v>
      </c>
      <c r="J916" s="338" t="str">
        <f>IFERROR(VLOOKUP(I916,'Chart of accounts'!A:H,2,FALSE),"")</f>
        <v>50102030 01</v>
      </c>
      <c r="K916" s="338" t="str">
        <f>IFERROR(VLOOKUP(I916,'Chart of accounts'!A:H,3,FALSE),"")</f>
        <v xml:space="preserve">Transportation Allowance  </v>
      </c>
      <c r="L916" s="338" t="str">
        <f>IFERROR(VLOOKUP(I916,'Chart of accounts'!A:H,4,FALSE),"")</f>
        <v>50102030 01 - Transportation Allowance   (714)</v>
      </c>
      <c r="M916" s="360">
        <v>1</v>
      </c>
      <c r="N916" s="355" t="s">
        <v>1030</v>
      </c>
      <c r="O916" s="355" t="s">
        <v>1031</v>
      </c>
      <c r="P916" s="355"/>
      <c r="Q916" s="363">
        <f>6818.18+7500</f>
        <v>14318.18</v>
      </c>
      <c r="R916" s="319">
        <f t="shared" si="23"/>
        <v>-14318.18</v>
      </c>
      <c r="S916" s="239" t="str">
        <f>VLOOKUP(H916,'Fund Utilization Report'!$A$4:$U$1800,13,FALSE)</f>
        <v>PS</v>
      </c>
      <c r="T916" s="239" t="str">
        <f>VLOOKUP(H916,'Fund Utilization Report'!$A$4:$U$1800,2,FALSE)</f>
        <v>GAA</v>
      </c>
      <c r="U916" s="239" t="str">
        <f>VLOOKUP(H916,'Fund Utilization Report'!$A$4:$U$1800,3,FALSE)</f>
        <v>FY2021, RA11518</v>
      </c>
      <c r="V916" s="239" t="str">
        <f>VLOOKUP(H916,'Fund Utilization Report'!$A$4:$U$1800,4,FALSE)</f>
        <v>GAS(GMS)</v>
      </c>
      <c r="W916" s="239" t="str">
        <f>VLOOKUP(H916,'Fund Utilization Report'!$A$4:$U$1800,5,FALSE)</f>
        <v>01101101</v>
      </c>
      <c r="X916" s="239" t="str">
        <f>VLOOKUP(H916,'Fund Utilization Report'!$A$4:$U$1800,6,FALSE)</f>
        <v>GOP</v>
      </c>
      <c r="Y916" s="440" t="str">
        <f>VLOOKUP(H916,'Fund Utilization Report'!$A$4:$U$1800,7,FALSE)</f>
        <v>PS</v>
      </c>
      <c r="Z916" s="441">
        <f>VLOOKUP(H916,'Fund Utilization Report'!$A$4:$U$1800,8,FALSE)</f>
        <v>5010000000</v>
      </c>
      <c r="AA916" s="239" t="str">
        <f>VLOOKUP(H916,'Fund Utilization Report'!$A$4:$U$1800,14,FALSE)</f>
        <v>100000100001000</v>
      </c>
      <c r="AB916" s="242" t="str">
        <f>VLOOKUP(H916,'Fund Utilization Report'!$A$4:$U$1800,15,FALSE)</f>
        <v>General Administration and Supervision - General Management and Supervision</v>
      </c>
      <c r="AC916" s="51"/>
      <c r="AD916" s="435"/>
      <c r="AE916" s="51"/>
      <c r="AF916" s="51"/>
      <c r="AG916" s="442"/>
      <c r="AH916" s="442"/>
      <c r="AI916" s="443"/>
    </row>
    <row r="917" spans="1:35" s="32" customFormat="1">
      <c r="A917" s="434" t="s">
        <v>942</v>
      </c>
      <c r="B917" s="457" t="s">
        <v>946</v>
      </c>
      <c r="C917" s="233">
        <v>44257</v>
      </c>
      <c r="D917" s="435" t="s">
        <v>1267</v>
      </c>
      <c r="E917" s="436" t="s">
        <v>1322</v>
      </c>
      <c r="F917" s="338">
        <v>0.70000000000000007</v>
      </c>
      <c r="G917" s="338">
        <v>0.70208333333333339</v>
      </c>
      <c r="H917" s="338" t="s">
        <v>961</v>
      </c>
      <c r="I917" s="353">
        <v>755</v>
      </c>
      <c r="J917" s="338" t="str">
        <f>IFERROR(VLOOKUP(I917,'Chart of accounts'!A:H,2,FALSE),"")</f>
        <v>50203010 00</v>
      </c>
      <c r="K917" s="338" t="str">
        <f>IFERROR(VLOOKUP(I917,'Chart of accounts'!A:H,3,FALSE),"")</f>
        <v>Office Supplies Expenses</v>
      </c>
      <c r="L917" s="338" t="str">
        <f>IFERROR(VLOOKUP(I917,'Chart of accounts'!A:H,4,FALSE),"")</f>
        <v>50203010 00 - Office Supplies Expenses (755)</v>
      </c>
      <c r="M917" s="361">
        <v>1</v>
      </c>
      <c r="N917" s="355" t="s">
        <v>1323</v>
      </c>
      <c r="O917" s="355" t="s">
        <v>1207</v>
      </c>
      <c r="P917" s="355"/>
      <c r="Q917" s="363">
        <v>9565</v>
      </c>
      <c r="R917" s="319">
        <f t="shared" si="23"/>
        <v>-9565</v>
      </c>
      <c r="S917" s="239" t="str">
        <f>VLOOKUP(H917,'Fund Utilization Report'!$A$4:$U$1800,13,FALSE)</f>
        <v>MOOE</v>
      </c>
      <c r="T917" s="239" t="str">
        <f>VLOOKUP(H917,'Fund Utilization Report'!$A$4:$U$1800,2,FALSE)</f>
        <v>GAA</v>
      </c>
      <c r="U917" s="239" t="str">
        <f>VLOOKUP(H917,'Fund Utilization Report'!$A$4:$U$1800,3,FALSE)</f>
        <v>FY2021, RA11518</v>
      </c>
      <c r="V917" s="239" t="str">
        <f>VLOOKUP(H917,'Fund Utilization Report'!$A$4:$U$1800,4,FALSE)</f>
        <v>GAS(GMS)</v>
      </c>
      <c r="W917" s="239" t="str">
        <f>VLOOKUP(H917,'Fund Utilization Report'!$A$4:$U$1800,5,FALSE)</f>
        <v>01101101</v>
      </c>
      <c r="X917" s="239" t="str">
        <f>VLOOKUP(H917,'Fund Utilization Report'!$A$4:$U$1800,6,FALSE)</f>
        <v>GOP</v>
      </c>
      <c r="Y917" s="440" t="str">
        <f>VLOOKUP(H917,'Fund Utilization Report'!$A$4:$U$1800,7,FALSE)</f>
        <v>MOOE</v>
      </c>
      <c r="Z917" s="441">
        <f>VLOOKUP(H917,'Fund Utilization Report'!$A$4:$U$1800,8,FALSE)</f>
        <v>5020000000</v>
      </c>
      <c r="AA917" s="239" t="str">
        <f>VLOOKUP(H917,'Fund Utilization Report'!$A$4:$U$1800,14,FALSE)</f>
        <v>100000100001000</v>
      </c>
      <c r="AB917" s="242" t="str">
        <f>VLOOKUP(H917,'Fund Utilization Report'!$A$4:$U$1800,15,FALSE)</f>
        <v>General Administration and Supervision - General Management and Supervision</v>
      </c>
      <c r="AC917" s="51"/>
      <c r="AD917" s="435"/>
      <c r="AE917" s="51"/>
      <c r="AF917" s="51"/>
      <c r="AG917" s="442"/>
      <c r="AH917" s="442"/>
      <c r="AI917" s="443"/>
    </row>
    <row r="918" spans="1:35" s="32" customFormat="1">
      <c r="A918" s="434" t="s">
        <v>942</v>
      </c>
      <c r="B918" s="457" t="s">
        <v>946</v>
      </c>
      <c r="C918" s="233">
        <v>44257</v>
      </c>
      <c r="D918" s="435" t="s">
        <v>1267</v>
      </c>
      <c r="E918" s="436" t="s">
        <v>1324</v>
      </c>
      <c r="F918" s="338">
        <v>0.70208333333333339</v>
      </c>
      <c r="G918" s="338">
        <v>0.70347222222222217</v>
      </c>
      <c r="H918" s="338" t="s">
        <v>961</v>
      </c>
      <c r="I918" s="353">
        <v>755</v>
      </c>
      <c r="J918" s="338" t="str">
        <f>IFERROR(VLOOKUP(I918,'Chart of accounts'!A:H,2,FALSE),"")</f>
        <v>50203010 00</v>
      </c>
      <c r="K918" s="338" t="str">
        <f>IFERROR(VLOOKUP(I918,'Chart of accounts'!A:H,3,FALSE),"")</f>
        <v>Office Supplies Expenses</v>
      </c>
      <c r="L918" s="338" t="str">
        <f>IFERROR(VLOOKUP(I918,'Chart of accounts'!A:H,4,FALSE),"")</f>
        <v>50203010 00 - Office Supplies Expenses (755)</v>
      </c>
      <c r="M918" s="361">
        <v>1</v>
      </c>
      <c r="N918" s="355" t="s">
        <v>1325</v>
      </c>
      <c r="O918" s="355" t="s">
        <v>1207</v>
      </c>
      <c r="P918" s="355"/>
      <c r="Q918" s="363">
        <v>1560</v>
      </c>
      <c r="R918" s="319">
        <f t="shared" si="23"/>
        <v>-1560</v>
      </c>
      <c r="S918" s="239" t="str">
        <f>VLOOKUP(H918,'Fund Utilization Report'!$A$4:$U$1800,13,FALSE)</f>
        <v>MOOE</v>
      </c>
      <c r="T918" s="239" t="str">
        <f>VLOOKUP(H918,'Fund Utilization Report'!$A$4:$U$1800,2,FALSE)</f>
        <v>GAA</v>
      </c>
      <c r="U918" s="239" t="str">
        <f>VLOOKUP(H918,'Fund Utilization Report'!$A$4:$U$1800,3,FALSE)</f>
        <v>FY2021, RA11518</v>
      </c>
      <c r="V918" s="239" t="str">
        <f>VLOOKUP(H918,'Fund Utilization Report'!$A$4:$U$1800,4,FALSE)</f>
        <v>GAS(GMS)</v>
      </c>
      <c r="W918" s="239" t="str">
        <f>VLOOKUP(H918,'Fund Utilization Report'!$A$4:$U$1800,5,FALSE)</f>
        <v>01101101</v>
      </c>
      <c r="X918" s="239" t="str">
        <f>VLOOKUP(H918,'Fund Utilization Report'!$A$4:$U$1800,6,FALSE)</f>
        <v>GOP</v>
      </c>
      <c r="Y918" s="440" t="str">
        <f>VLOOKUP(H918,'Fund Utilization Report'!$A$4:$U$1800,7,FALSE)</f>
        <v>MOOE</v>
      </c>
      <c r="Z918" s="441">
        <f>VLOOKUP(H918,'Fund Utilization Report'!$A$4:$U$1800,8,FALSE)</f>
        <v>5020000000</v>
      </c>
      <c r="AA918" s="239" t="str">
        <f>VLOOKUP(H918,'Fund Utilization Report'!$A$4:$U$1800,14,FALSE)</f>
        <v>100000100001000</v>
      </c>
      <c r="AB918" s="242" t="str">
        <f>VLOOKUP(H918,'Fund Utilization Report'!$A$4:$U$1800,15,FALSE)</f>
        <v>General Administration and Supervision - General Management and Supervision</v>
      </c>
      <c r="AC918" s="51"/>
      <c r="AD918" s="435"/>
      <c r="AE918" s="51"/>
      <c r="AF918" s="51"/>
      <c r="AG918" s="442"/>
      <c r="AH918" s="442"/>
      <c r="AI918" s="443"/>
    </row>
    <row r="919" spans="1:35" s="32" customFormat="1">
      <c r="A919" s="434" t="s">
        <v>942</v>
      </c>
      <c r="B919" s="457" t="s">
        <v>946</v>
      </c>
      <c r="C919" s="233">
        <v>44257</v>
      </c>
      <c r="D919" s="435" t="s">
        <v>1267</v>
      </c>
      <c r="E919" s="436" t="s">
        <v>1326</v>
      </c>
      <c r="F919" s="338">
        <v>0.70347222222222217</v>
      </c>
      <c r="G919" s="338">
        <v>0.7055555555555556</v>
      </c>
      <c r="H919" s="338" t="s">
        <v>961</v>
      </c>
      <c r="I919" s="353">
        <v>755</v>
      </c>
      <c r="J919" s="338" t="str">
        <f>IFERROR(VLOOKUP(I919,'Chart of accounts'!A:H,2,FALSE),"")</f>
        <v>50203010 00</v>
      </c>
      <c r="K919" s="338" t="str">
        <f>IFERROR(VLOOKUP(I919,'Chart of accounts'!A:H,3,FALSE),"")</f>
        <v>Office Supplies Expenses</v>
      </c>
      <c r="L919" s="338" t="str">
        <f>IFERROR(VLOOKUP(I919,'Chart of accounts'!A:H,4,FALSE),"")</f>
        <v>50203010 00 - Office Supplies Expenses (755)</v>
      </c>
      <c r="M919" s="361">
        <v>1</v>
      </c>
      <c r="N919" s="355" t="s">
        <v>1327</v>
      </c>
      <c r="O919" s="355" t="s">
        <v>1207</v>
      </c>
      <c r="P919" s="355"/>
      <c r="Q919" s="363">
        <v>17820</v>
      </c>
      <c r="R919" s="319">
        <f t="shared" si="23"/>
        <v>-17820</v>
      </c>
      <c r="S919" s="239" t="str">
        <f>VLOOKUP(H919,'Fund Utilization Report'!$A$4:$U$1800,13,FALSE)</f>
        <v>MOOE</v>
      </c>
      <c r="T919" s="239" t="str">
        <f>VLOOKUP(H919,'Fund Utilization Report'!$A$4:$U$1800,2,FALSE)</f>
        <v>GAA</v>
      </c>
      <c r="U919" s="239" t="str">
        <f>VLOOKUP(H919,'Fund Utilization Report'!$A$4:$U$1800,3,FALSE)</f>
        <v>FY2021, RA11518</v>
      </c>
      <c r="V919" s="239" t="str">
        <f>VLOOKUP(H919,'Fund Utilization Report'!$A$4:$U$1800,4,FALSE)</f>
        <v>GAS(GMS)</v>
      </c>
      <c r="W919" s="239" t="str">
        <f>VLOOKUP(H919,'Fund Utilization Report'!$A$4:$U$1800,5,FALSE)</f>
        <v>01101101</v>
      </c>
      <c r="X919" s="239" t="str">
        <f>VLOOKUP(H919,'Fund Utilization Report'!$A$4:$U$1800,6,FALSE)</f>
        <v>GOP</v>
      </c>
      <c r="Y919" s="440" t="str">
        <f>VLOOKUP(H919,'Fund Utilization Report'!$A$4:$U$1800,7,FALSE)</f>
        <v>MOOE</v>
      </c>
      <c r="Z919" s="441">
        <f>VLOOKUP(H919,'Fund Utilization Report'!$A$4:$U$1800,8,FALSE)</f>
        <v>5020000000</v>
      </c>
      <c r="AA919" s="239" t="str">
        <f>VLOOKUP(H919,'Fund Utilization Report'!$A$4:$U$1800,14,FALSE)</f>
        <v>100000100001000</v>
      </c>
      <c r="AB919" s="242" t="str">
        <f>VLOOKUP(H919,'Fund Utilization Report'!$A$4:$U$1800,15,FALSE)</f>
        <v>General Administration and Supervision - General Management and Supervision</v>
      </c>
      <c r="AC919" s="51"/>
      <c r="AD919" s="435"/>
      <c r="AE919" s="51"/>
      <c r="AF919" s="51"/>
      <c r="AG919" s="442"/>
      <c r="AH919" s="442"/>
      <c r="AI919" s="443"/>
    </row>
    <row r="920" spans="1:35" s="32" customFormat="1" ht="27.6">
      <c r="A920" s="434" t="s">
        <v>942</v>
      </c>
      <c r="B920" s="457" t="s">
        <v>946</v>
      </c>
      <c r="C920" s="233">
        <v>44257</v>
      </c>
      <c r="D920" s="435" t="s">
        <v>1267</v>
      </c>
      <c r="E920" s="436" t="s">
        <v>1328</v>
      </c>
      <c r="F920" s="338">
        <v>0.7055555555555556</v>
      </c>
      <c r="G920" s="338">
        <v>0.7090277777777777</v>
      </c>
      <c r="H920" s="338" t="s">
        <v>980</v>
      </c>
      <c r="I920" s="353">
        <v>774</v>
      </c>
      <c r="J920" s="338" t="str">
        <f>IFERROR(VLOOKUP(I920,'Chart of accounts'!A:H,2,FALSE),"")</f>
        <v>50205030 00</v>
      </c>
      <c r="K920" s="338" t="str">
        <f>IFERROR(VLOOKUP(I920,'Chart of accounts'!A:H,3,FALSE),"")</f>
        <v>Internet Subscription Expenses</v>
      </c>
      <c r="L920" s="338" t="str">
        <f>IFERROR(VLOOKUP(I920,'Chart of accounts'!A:H,4,FALSE),"")</f>
        <v>50205030 00 - Internet Subscription Expenses (774)</v>
      </c>
      <c r="M920" s="361">
        <v>1</v>
      </c>
      <c r="N920" s="355" t="s">
        <v>1329</v>
      </c>
      <c r="O920" s="355" t="s">
        <v>1330</v>
      </c>
      <c r="P920" s="355"/>
      <c r="Q920" s="363">
        <v>11547.23</v>
      </c>
      <c r="R920" s="319">
        <f t="shared" si="23"/>
        <v>-11547.23</v>
      </c>
      <c r="S920" s="239" t="str">
        <f>VLOOKUP(H920,'Fund Utilization Report'!$A$4:$U$1800,13,FALSE)</f>
        <v>MOOE</v>
      </c>
      <c r="T920" s="239" t="str">
        <f>VLOOKUP(H920,'Fund Utilization Report'!$A$4:$U$1800,2,FALSE)</f>
        <v>GAA</v>
      </c>
      <c r="U920" s="239" t="str">
        <f>VLOOKUP(H920,'Fund Utilization Report'!$A$4:$U$1800,3,FALSE)</f>
        <v>FY2021, RA11518</v>
      </c>
      <c r="V920" s="239" t="str">
        <f>VLOOKUP(H920,'Fund Utilization Report'!$A$4:$U$1800,4,FALSE)</f>
        <v>NC</v>
      </c>
      <c r="W920" s="239" t="str">
        <f>VLOOKUP(H920,'Fund Utilization Report'!$A$4:$U$1800,5,FALSE)</f>
        <v>01101101</v>
      </c>
      <c r="X920" s="239" t="str">
        <f>VLOOKUP(H920,'Fund Utilization Report'!$A$4:$U$1800,6,FALSE)</f>
        <v>GOP</v>
      </c>
      <c r="Y920" s="440" t="str">
        <f>VLOOKUP(H920,'Fund Utilization Report'!$A$4:$U$1800,7,FALSE)</f>
        <v>MOOE</v>
      </c>
      <c r="Z920" s="441">
        <f>VLOOKUP(H920,'Fund Utilization Report'!$A$4:$U$1800,8,FALSE)</f>
        <v>5020000000</v>
      </c>
      <c r="AA920" s="239" t="str">
        <f>VLOOKUP(H920,'Fund Utilization Report'!$A$4:$U$1800,14,FALSE)</f>
        <v>330100200001000</v>
      </c>
      <c r="AB920" s="242" t="str">
        <f>VLOOKUP(H920,'Fund Utilization Report'!$A$4:$U$1800,15,FALSE)</f>
        <v>Establishment of Negosyo Centers</v>
      </c>
      <c r="AC920" s="51"/>
      <c r="AD920" s="435"/>
      <c r="AE920" s="51"/>
      <c r="AF920" s="51"/>
      <c r="AG920" s="442"/>
      <c r="AH920" s="442"/>
      <c r="AI920" s="443"/>
    </row>
    <row r="921" spans="1:35" s="32" customFormat="1">
      <c r="A921" s="434" t="s">
        <v>942</v>
      </c>
      <c r="B921" s="457" t="s">
        <v>946</v>
      </c>
      <c r="C921" s="233">
        <v>44257</v>
      </c>
      <c r="D921" s="435" t="s">
        <v>1267</v>
      </c>
      <c r="E921" s="436" t="s">
        <v>1331</v>
      </c>
      <c r="F921" s="338">
        <v>0.7090277777777777</v>
      </c>
      <c r="G921" s="338">
        <v>0.7104166666666667</v>
      </c>
      <c r="H921" s="338" t="s">
        <v>961</v>
      </c>
      <c r="I921" s="353">
        <v>755</v>
      </c>
      <c r="J921" s="338" t="str">
        <f>IFERROR(VLOOKUP(I921,'Chart of accounts'!A:H,2,FALSE),"")</f>
        <v>50203010 00</v>
      </c>
      <c r="K921" s="338" t="str">
        <f>IFERROR(VLOOKUP(I921,'Chart of accounts'!A:H,3,FALSE),"")</f>
        <v>Office Supplies Expenses</v>
      </c>
      <c r="L921" s="338" t="str">
        <f>IFERROR(VLOOKUP(I921,'Chart of accounts'!A:H,4,FALSE),"")</f>
        <v>50203010 00 - Office Supplies Expenses (755)</v>
      </c>
      <c r="M921" s="361">
        <v>1</v>
      </c>
      <c r="N921" s="355" t="s">
        <v>859</v>
      </c>
      <c r="O921" s="355" t="s">
        <v>1332</v>
      </c>
      <c r="P921" s="355"/>
      <c r="Q921" s="363">
        <v>1840</v>
      </c>
      <c r="R921" s="319">
        <f t="shared" si="23"/>
        <v>-1840</v>
      </c>
      <c r="S921" s="239" t="str">
        <f>VLOOKUP(H921,'Fund Utilization Report'!$A$4:$U$1800,13,FALSE)</f>
        <v>MOOE</v>
      </c>
      <c r="T921" s="239" t="str">
        <f>VLOOKUP(H921,'Fund Utilization Report'!$A$4:$U$1800,2,FALSE)</f>
        <v>GAA</v>
      </c>
      <c r="U921" s="239" t="str">
        <f>VLOOKUP(H921,'Fund Utilization Report'!$A$4:$U$1800,3,FALSE)</f>
        <v>FY2021, RA11518</v>
      </c>
      <c r="V921" s="239" t="str">
        <f>VLOOKUP(H921,'Fund Utilization Report'!$A$4:$U$1800,4,FALSE)</f>
        <v>GAS(GMS)</v>
      </c>
      <c r="W921" s="239" t="str">
        <f>VLOOKUP(H921,'Fund Utilization Report'!$A$4:$U$1800,5,FALSE)</f>
        <v>01101101</v>
      </c>
      <c r="X921" s="239" t="str">
        <f>VLOOKUP(H921,'Fund Utilization Report'!$A$4:$U$1800,6,FALSE)</f>
        <v>GOP</v>
      </c>
      <c r="Y921" s="440" t="str">
        <f>VLOOKUP(H921,'Fund Utilization Report'!$A$4:$U$1800,7,FALSE)</f>
        <v>MOOE</v>
      </c>
      <c r="Z921" s="441">
        <f>VLOOKUP(H921,'Fund Utilization Report'!$A$4:$U$1800,8,FALSE)</f>
        <v>5020000000</v>
      </c>
      <c r="AA921" s="239" t="str">
        <f>VLOOKUP(H921,'Fund Utilization Report'!$A$4:$U$1800,14,FALSE)</f>
        <v>100000100001000</v>
      </c>
      <c r="AB921" s="242" t="str">
        <f>VLOOKUP(H921,'Fund Utilization Report'!$A$4:$U$1800,15,FALSE)</f>
        <v>General Administration and Supervision - General Management and Supervision</v>
      </c>
      <c r="AC921" s="51"/>
      <c r="AD921" s="435"/>
      <c r="AE921" s="51"/>
      <c r="AF921" s="51"/>
      <c r="AG921" s="442"/>
      <c r="AH921" s="442"/>
      <c r="AI921" s="443"/>
    </row>
    <row r="922" spans="1:35" s="32" customFormat="1" ht="27.6">
      <c r="A922" s="434" t="s">
        <v>942</v>
      </c>
      <c r="B922" s="457" t="s">
        <v>946</v>
      </c>
      <c r="C922" s="233">
        <v>44257</v>
      </c>
      <c r="D922" s="435" t="s">
        <v>1267</v>
      </c>
      <c r="E922" s="436" t="s">
        <v>1333</v>
      </c>
      <c r="F922" s="338">
        <v>0.7104166666666667</v>
      </c>
      <c r="G922" s="338">
        <v>0.71388888888888891</v>
      </c>
      <c r="H922" s="338" t="s">
        <v>971</v>
      </c>
      <c r="I922" s="353">
        <v>841</v>
      </c>
      <c r="J922" s="338" t="str">
        <f>IFERROR(VLOOKUP(I922,'Chart of accounts'!A:H,2,FALSE),"")</f>
        <v>50213060 01</v>
      </c>
      <c r="K922" s="338" t="str">
        <f>IFERROR(VLOOKUP(I922,'Chart of accounts'!A:H,3,FALSE),"")</f>
        <v>Motor Vehicles</v>
      </c>
      <c r="L922" s="338" t="str">
        <f>IFERROR(VLOOKUP(I922,'Chart of accounts'!A:H,4,FALSE),"")</f>
        <v>50213060 01 - Motor Vehicles (841)</v>
      </c>
      <c r="M922" s="361">
        <v>1</v>
      </c>
      <c r="N922" s="355" t="s">
        <v>1334</v>
      </c>
      <c r="O922" s="355" t="s">
        <v>1335</v>
      </c>
      <c r="P922" s="355"/>
      <c r="Q922" s="363">
        <v>17500</v>
      </c>
      <c r="R922" s="319">
        <f t="shared" si="23"/>
        <v>-17500</v>
      </c>
      <c r="S922" s="239" t="str">
        <f>VLOOKUP(H922,'Fund Utilization Report'!$A$4:$U$1800,13,FALSE)</f>
        <v>MOOE</v>
      </c>
      <c r="T922" s="239" t="str">
        <f>VLOOKUP(H922,'Fund Utilization Report'!$A$4:$U$1800,2,FALSE)</f>
        <v>GAA</v>
      </c>
      <c r="U922" s="239" t="str">
        <f>VLOOKUP(H922,'Fund Utilization Report'!$A$4:$U$1800,3,FALSE)</f>
        <v>FY2021, RA11518</v>
      </c>
      <c r="V922" s="239" t="str">
        <f>VLOOKUP(H922,'Fund Utilization Report'!$A$4:$U$1800,4,FALSE)</f>
        <v>OO3</v>
      </c>
      <c r="W922" s="239" t="str">
        <f>VLOOKUP(H922,'Fund Utilization Report'!$A$4:$U$1800,5,FALSE)</f>
        <v>01101101</v>
      </c>
      <c r="X922" s="239" t="str">
        <f>VLOOKUP(H922,'Fund Utilization Report'!$A$4:$U$1800,6,FALSE)</f>
        <v>GOP</v>
      </c>
      <c r="Y922" s="440" t="str">
        <f>VLOOKUP(H922,'Fund Utilization Report'!$A$4:$U$1800,7,FALSE)</f>
        <v>MOOE</v>
      </c>
      <c r="Z922" s="441">
        <f>VLOOKUP(H922,'Fund Utilization Report'!$A$4:$U$1800,8,FALSE)</f>
        <v>5020000000</v>
      </c>
      <c r="AA922" s="239" t="str">
        <f>VLOOKUP(H922,'Fund Utilization Report'!$A$4:$U$1800,14,FALSE)</f>
        <v>330100100002000</v>
      </c>
      <c r="AB922" s="242" t="str">
        <f>VLOOKUP(H922,'Fund Utilization Report'!$A$4:$U$1800,15,FALSE)</f>
        <v>Implementation of the MSME Development Plan and other initiatives to promote the growth of Micro, Small and Medium Enterprises</v>
      </c>
      <c r="AC922" s="51"/>
      <c r="AD922" s="435"/>
      <c r="AE922" s="51"/>
      <c r="AF922" s="51"/>
      <c r="AG922" s="442"/>
      <c r="AH922" s="442"/>
      <c r="AI922" s="443"/>
    </row>
    <row r="923" spans="1:35" s="32" customFormat="1" ht="41.4">
      <c r="A923" s="434" t="s">
        <v>942</v>
      </c>
      <c r="B923" s="457" t="s">
        <v>946</v>
      </c>
      <c r="C923" s="233">
        <v>44257</v>
      </c>
      <c r="D923" s="435" t="s">
        <v>1267</v>
      </c>
      <c r="E923" s="436" t="s">
        <v>1336</v>
      </c>
      <c r="F923" s="338">
        <v>0.71388888888888891</v>
      </c>
      <c r="G923" s="338">
        <v>0.71597222222222223</v>
      </c>
      <c r="H923" s="338" t="s">
        <v>982</v>
      </c>
      <c r="I923" s="353">
        <v>751</v>
      </c>
      <c r="J923" s="338" t="str">
        <f>IFERROR(VLOOKUP(I923,'Chart of accounts'!A:H,2,FALSE),"")</f>
        <v>50201010 00</v>
      </c>
      <c r="K923" s="338" t="str">
        <f>IFERROR(VLOOKUP(I923,'Chart of accounts'!A:H,3,FALSE),"")</f>
        <v>Traveling Expenses - Local</v>
      </c>
      <c r="L923" s="338" t="str">
        <f>IFERROR(VLOOKUP(I923,'Chart of accounts'!A:H,4,FALSE),"")</f>
        <v>50201010 00 - Traveling Expenses - Local (751)</v>
      </c>
      <c r="M923" s="361">
        <v>1</v>
      </c>
      <c r="N923" s="355" t="s">
        <v>1337</v>
      </c>
      <c r="O923" s="355" t="s">
        <v>1276</v>
      </c>
      <c r="P923" s="355"/>
      <c r="Q923" s="363">
        <v>1800</v>
      </c>
      <c r="R923" s="319">
        <f t="shared" si="23"/>
        <v>-1800</v>
      </c>
      <c r="S923" s="239" t="str">
        <f>VLOOKUP(H923,'Fund Utilization Report'!$A$4:$U$1800,13,FALSE)</f>
        <v>MOOE</v>
      </c>
      <c r="T923" s="239" t="str">
        <f>VLOOKUP(H923,'Fund Utilization Report'!$A$4:$U$1800,2,FALSE)</f>
        <v>GAA</v>
      </c>
      <c r="U923" s="239" t="str">
        <f>VLOOKUP(H923,'Fund Utilization Report'!$A$4:$U$1800,3,FALSE)</f>
        <v>FY2021, RA11518</v>
      </c>
      <c r="V923" s="239" t="str">
        <f>VLOOKUP(H923,'Fund Utilization Report'!$A$4:$U$1800,4,FALSE)</f>
        <v>OTOP</v>
      </c>
      <c r="W923" s="239" t="str">
        <f>VLOOKUP(H923,'Fund Utilization Report'!$A$4:$U$1800,5,FALSE)</f>
        <v>01101101</v>
      </c>
      <c r="X923" s="239" t="str">
        <f>VLOOKUP(H923,'Fund Utilization Report'!$A$4:$U$1800,6,FALSE)</f>
        <v>GOP</v>
      </c>
      <c r="Y923" s="440" t="str">
        <f>VLOOKUP(H923,'Fund Utilization Report'!$A$4:$U$1800,7,FALSE)</f>
        <v>MOOE</v>
      </c>
      <c r="Z923" s="441">
        <f>VLOOKUP(H923,'Fund Utilization Report'!$A$4:$U$1800,8,FALSE)</f>
        <v>5020000000</v>
      </c>
      <c r="AA923" s="239" t="str">
        <f>VLOOKUP(H923,'Fund Utilization Report'!$A$4:$U$1800,14,FALSE)</f>
        <v>330100200002000</v>
      </c>
      <c r="AB923" s="242" t="str">
        <f>VLOOKUP(H923,'Fund Utilization Report'!$A$4:$U$1800,15,FALSE)</f>
        <v>OTOP - Next Generation</v>
      </c>
      <c r="AC923" s="51"/>
      <c r="AD923" s="435"/>
      <c r="AE923" s="51"/>
      <c r="AF923" s="51"/>
      <c r="AG923" s="442"/>
      <c r="AH923" s="442"/>
      <c r="AI923" s="443"/>
    </row>
    <row r="924" spans="1:35" s="32" customFormat="1">
      <c r="A924" s="434" t="s">
        <v>942</v>
      </c>
      <c r="B924" s="457" t="s">
        <v>946</v>
      </c>
      <c r="C924" s="233">
        <v>44257</v>
      </c>
      <c r="D924" s="435" t="s">
        <v>1267</v>
      </c>
      <c r="E924" s="436" t="s">
        <v>1338</v>
      </c>
      <c r="F924" s="338">
        <v>0.71597222222222223</v>
      </c>
      <c r="G924" s="338">
        <v>0.71736111111111101</v>
      </c>
      <c r="H924" s="338" t="s">
        <v>971</v>
      </c>
      <c r="I924" s="353">
        <v>795</v>
      </c>
      <c r="J924" s="338" t="str">
        <f>IFERROR(VLOOKUP(I924,'Chart of accounts'!A:H,2,FALSE),"")</f>
        <v>50212990 00</v>
      </c>
      <c r="K924" s="338" t="str">
        <f>IFERROR(VLOOKUP(I924,'Chart of accounts'!A:H,3,FALSE),"")</f>
        <v>Other General Services</v>
      </c>
      <c r="L924" s="338" t="str">
        <f>IFERROR(VLOOKUP(I924,'Chart of accounts'!A:H,4,FALSE),"")</f>
        <v>50212990 00 - Other General Services (795)</v>
      </c>
      <c r="M924" s="361">
        <v>1</v>
      </c>
      <c r="N924" s="355" t="s">
        <v>1339</v>
      </c>
      <c r="O924" s="355" t="s">
        <v>1340</v>
      </c>
      <c r="P924" s="355"/>
      <c r="Q924" s="363">
        <v>20626.73</v>
      </c>
      <c r="R924" s="319">
        <f t="shared" si="23"/>
        <v>-20626.73</v>
      </c>
      <c r="S924" s="239" t="str">
        <f>VLOOKUP(H924,'Fund Utilization Report'!$A$4:$U$1800,13,FALSE)</f>
        <v>MOOE</v>
      </c>
      <c r="T924" s="239" t="str">
        <f>VLOOKUP(H924,'Fund Utilization Report'!$A$4:$U$1800,2,FALSE)</f>
        <v>GAA</v>
      </c>
      <c r="U924" s="239" t="str">
        <f>VLOOKUP(H924,'Fund Utilization Report'!$A$4:$U$1800,3,FALSE)</f>
        <v>FY2021, RA11518</v>
      </c>
      <c r="V924" s="239" t="str">
        <f>VLOOKUP(H924,'Fund Utilization Report'!$A$4:$U$1800,4,FALSE)</f>
        <v>OO3</v>
      </c>
      <c r="W924" s="239" t="str">
        <f>VLOOKUP(H924,'Fund Utilization Report'!$A$4:$U$1800,5,FALSE)</f>
        <v>01101101</v>
      </c>
      <c r="X924" s="239" t="str">
        <f>VLOOKUP(H924,'Fund Utilization Report'!$A$4:$U$1800,6,FALSE)</f>
        <v>GOP</v>
      </c>
      <c r="Y924" s="440" t="str">
        <f>VLOOKUP(H924,'Fund Utilization Report'!$A$4:$U$1800,7,FALSE)</f>
        <v>MOOE</v>
      </c>
      <c r="Z924" s="441">
        <f>VLOOKUP(H924,'Fund Utilization Report'!$A$4:$U$1800,8,FALSE)</f>
        <v>5020000000</v>
      </c>
      <c r="AA924" s="239" t="str">
        <f>VLOOKUP(H924,'Fund Utilization Report'!$A$4:$U$1800,14,FALSE)</f>
        <v>330100100002000</v>
      </c>
      <c r="AB924" s="242" t="str">
        <f>VLOOKUP(H924,'Fund Utilization Report'!$A$4:$U$1800,15,FALSE)</f>
        <v>Implementation of the MSME Development Plan and other initiatives to promote the growth of Micro, Small and Medium Enterprises</v>
      </c>
      <c r="AC924" s="51"/>
      <c r="AD924" s="435"/>
      <c r="AE924" s="51"/>
      <c r="AF924" s="51"/>
      <c r="AG924" s="442"/>
      <c r="AH924" s="442"/>
      <c r="AI924" s="443"/>
    </row>
    <row r="925" spans="1:35" s="32" customFormat="1" ht="27.6">
      <c r="A925" s="434" t="s">
        <v>942</v>
      </c>
      <c r="B925" s="457" t="s">
        <v>946</v>
      </c>
      <c r="C925" s="233">
        <v>44257</v>
      </c>
      <c r="D925" s="435" t="s">
        <v>1267</v>
      </c>
      <c r="E925" s="436" t="s">
        <v>1341</v>
      </c>
      <c r="F925" s="338">
        <v>0.71736111111111101</v>
      </c>
      <c r="G925" s="338">
        <v>0.71805555555555556</v>
      </c>
      <c r="H925" s="338" t="s">
        <v>1221</v>
      </c>
      <c r="I925" s="353">
        <v>799</v>
      </c>
      <c r="J925" s="338" t="str">
        <f>IFERROR(VLOOKUP(I925,'Chart of accounts'!A:H,2,FALSE),"")</f>
        <v>50211990 00</v>
      </c>
      <c r="K925" s="338" t="str">
        <f>IFERROR(VLOOKUP(I925,'Chart of accounts'!A:H,3,FALSE),"")</f>
        <v>Other Professional Services</v>
      </c>
      <c r="L925" s="338" t="str">
        <f>IFERROR(VLOOKUP(I925,'Chart of accounts'!A:H,4,FALSE),"")</f>
        <v>50211990 00 - Other Professional Services (799)</v>
      </c>
      <c r="M925" s="361" t="s">
        <v>1011</v>
      </c>
      <c r="N925" s="355" t="s">
        <v>1342</v>
      </c>
      <c r="O925" s="355" t="s">
        <v>1301</v>
      </c>
      <c r="P925" s="355"/>
      <c r="Q925" s="363">
        <v>16308.47</v>
      </c>
      <c r="R925" s="319">
        <f t="shared" si="23"/>
        <v>-16308.47</v>
      </c>
      <c r="S925" s="239" t="str">
        <f>VLOOKUP(H925,'Fund Utilization Report'!$A$4:$U$1800,13,FALSE)</f>
        <v>MOOE</v>
      </c>
      <c r="T925" s="239" t="str">
        <f>VLOOKUP(H925,'Fund Utilization Report'!$A$4:$U$1800,2,FALSE)</f>
        <v>SAA040</v>
      </c>
      <c r="U925" s="239" t="str">
        <f>VLOOKUP(H925,'Fund Utilization Report'!$A$4:$U$1800,3,FALSE)</f>
        <v>21-02-0040</v>
      </c>
      <c r="V925" s="239" t="str">
        <f>VLOOKUP(H925,'Fund Utilization Report'!$A$4:$U$1800,4,FALSE)</f>
        <v>RAPID GOP</v>
      </c>
      <c r="W925" s="239" t="str">
        <f>VLOOKUP(H925,'Fund Utilization Report'!$A$4:$U$1800,5,FALSE)</f>
        <v>01101101</v>
      </c>
      <c r="X925" s="239" t="str">
        <f>VLOOKUP(H925,'Fund Utilization Report'!$A$4:$U$1800,6,FALSE)</f>
        <v>GOP</v>
      </c>
      <c r="Y925" s="440">
        <f>VLOOKUP(H925,'Fund Utilization Report'!$A$4:$U$1800,7,FALSE)</f>
        <v>799</v>
      </c>
      <c r="Z925" s="441">
        <f>VLOOKUP(H925,'Fund Utilization Report'!$A$4:$U$1800,8,FALSE)</f>
        <v>5021199000</v>
      </c>
      <c r="AA925" s="239" t="str">
        <f>VLOOKUP(H925,'Fund Utilization Report'!$A$4:$U$1800,14,FALSE)</f>
        <v>330100300001000</v>
      </c>
      <c r="AB925" s="242" t="str">
        <f>VLOOKUP(H925,'Fund Utilization Report'!$A$4:$U$1800,15,FALSE)</f>
        <v>Rural Agro Enterprise Partnership for Inclusive Development (RAPID) Growth GOP Continuing</v>
      </c>
      <c r="AC925" s="51"/>
      <c r="AD925" s="435"/>
      <c r="AE925" s="51"/>
      <c r="AF925" s="51"/>
      <c r="AG925" s="442"/>
      <c r="AH925" s="442"/>
      <c r="AI925" s="443"/>
    </row>
    <row r="926" spans="1:35" s="32" customFormat="1" ht="41.4">
      <c r="A926" s="434" t="s">
        <v>942</v>
      </c>
      <c r="B926" s="457" t="s">
        <v>946</v>
      </c>
      <c r="C926" s="233">
        <v>44257</v>
      </c>
      <c r="D926" s="435" t="s">
        <v>1267</v>
      </c>
      <c r="E926" s="436" t="s">
        <v>1343</v>
      </c>
      <c r="F926" s="338">
        <v>0.71805555555555556</v>
      </c>
      <c r="G926" s="338">
        <v>0.71944444444444444</v>
      </c>
      <c r="H926" s="338" t="s">
        <v>961</v>
      </c>
      <c r="I926" s="353">
        <v>753</v>
      </c>
      <c r="J926" s="338" t="str">
        <f>IFERROR(VLOOKUP(I926,'Chart of accounts'!A:H,2,FALSE),"")</f>
        <v>50202010 00</v>
      </c>
      <c r="K926" s="338" t="str">
        <f>IFERROR(VLOOKUP(I926,'Chart of accounts'!A:H,3,FALSE),"")</f>
        <v>Training Expenses</v>
      </c>
      <c r="L926" s="338" t="str">
        <f>IFERROR(VLOOKUP(I926,'Chart of accounts'!A:H,4,FALSE),"")</f>
        <v>50202010 00 - Training Expenses (753)</v>
      </c>
      <c r="M926" s="361">
        <v>1</v>
      </c>
      <c r="N926" s="355" t="s">
        <v>1344</v>
      </c>
      <c r="O926" s="355" t="s">
        <v>1345</v>
      </c>
      <c r="P926" s="355"/>
      <c r="Q926" s="363">
        <v>7200</v>
      </c>
      <c r="R926" s="319">
        <f t="shared" si="23"/>
        <v>-7200</v>
      </c>
      <c r="S926" s="239" t="str">
        <f>VLOOKUP(H926,'Fund Utilization Report'!$A$4:$U$1800,13,FALSE)</f>
        <v>MOOE</v>
      </c>
      <c r="T926" s="239" t="str">
        <f>VLOOKUP(H926,'Fund Utilization Report'!$A$4:$U$1800,2,FALSE)</f>
        <v>GAA</v>
      </c>
      <c r="U926" s="239" t="str">
        <f>VLOOKUP(H926,'Fund Utilization Report'!$A$4:$U$1800,3,FALSE)</f>
        <v>FY2021, RA11518</v>
      </c>
      <c r="V926" s="239" t="str">
        <f>VLOOKUP(H926,'Fund Utilization Report'!$A$4:$U$1800,4,FALSE)</f>
        <v>GAS(GMS)</v>
      </c>
      <c r="W926" s="239" t="str">
        <f>VLOOKUP(H926,'Fund Utilization Report'!$A$4:$U$1800,5,FALSE)</f>
        <v>01101101</v>
      </c>
      <c r="X926" s="239" t="str">
        <f>VLOOKUP(H926,'Fund Utilization Report'!$A$4:$U$1800,6,FALSE)</f>
        <v>GOP</v>
      </c>
      <c r="Y926" s="440" t="str">
        <f>VLOOKUP(H926,'Fund Utilization Report'!$A$4:$U$1800,7,FALSE)</f>
        <v>MOOE</v>
      </c>
      <c r="Z926" s="441">
        <f>VLOOKUP(H926,'Fund Utilization Report'!$A$4:$U$1800,8,FALSE)</f>
        <v>5020000000</v>
      </c>
      <c r="AA926" s="239" t="str">
        <f>VLOOKUP(H926,'Fund Utilization Report'!$A$4:$U$1800,14,FALSE)</f>
        <v>100000100001000</v>
      </c>
      <c r="AB926" s="242" t="str">
        <f>VLOOKUP(H926,'Fund Utilization Report'!$A$4:$U$1800,15,FALSE)</f>
        <v>General Administration and Supervision - General Management and Supervision</v>
      </c>
      <c r="AC926" s="51"/>
      <c r="AD926" s="435"/>
      <c r="AE926" s="51"/>
      <c r="AF926" s="51"/>
      <c r="AG926" s="442"/>
      <c r="AH926" s="442"/>
      <c r="AI926" s="443"/>
    </row>
    <row r="927" spans="1:35" s="32" customFormat="1" ht="27.6">
      <c r="A927" s="434" t="s">
        <v>942</v>
      </c>
      <c r="B927" s="457" t="s">
        <v>946</v>
      </c>
      <c r="C927" s="233">
        <v>44263</v>
      </c>
      <c r="D927" s="435" t="s">
        <v>1267</v>
      </c>
      <c r="E927" s="436" t="s">
        <v>1364</v>
      </c>
      <c r="F927" s="338">
        <v>0.44722222222222219</v>
      </c>
      <c r="G927" s="338">
        <v>0.44791666666666669</v>
      </c>
      <c r="H927" s="338" t="s">
        <v>979</v>
      </c>
      <c r="I927" s="353">
        <v>783</v>
      </c>
      <c r="J927" s="338" t="str">
        <f>IFERROR(VLOOKUP(I927,'Chart of accounts'!A:H,2,FALSE),"")</f>
        <v>50299030 00</v>
      </c>
      <c r="K927" s="338" t="str">
        <f>IFERROR(VLOOKUP(I927,'Chart of accounts'!A:H,3,FALSE),"")</f>
        <v>Representation Expenses</v>
      </c>
      <c r="L927" s="338" t="str">
        <f>IFERROR(VLOOKUP(I927,'Chart of accounts'!A:H,4,FALSE),"")</f>
        <v>50299030 00 - Representation Expenses (783)</v>
      </c>
      <c r="M927" s="361" t="s">
        <v>815</v>
      </c>
      <c r="N927" s="355" t="s">
        <v>1108</v>
      </c>
      <c r="O927" s="355" t="s">
        <v>1346</v>
      </c>
      <c r="P927" s="355"/>
      <c r="Q927" s="355">
        <v>12900</v>
      </c>
      <c r="R927" s="319">
        <f t="shared" si="23"/>
        <v>-12900</v>
      </c>
      <c r="S927" s="239" t="str">
        <f>VLOOKUP(H927,'Fund Utilization Report'!$A$4:$U$1800,13,FALSE)</f>
        <v>MOOE</v>
      </c>
      <c r="T927" s="239" t="str">
        <f>VLOOKUP(H927,'Fund Utilization Report'!$A$4:$U$1800,2,FALSE)</f>
        <v>GAA</v>
      </c>
      <c r="U927" s="239" t="str">
        <f>VLOOKUP(H927,'Fund Utilization Report'!$A$4:$U$1800,3,FALSE)</f>
        <v>FY2021, RA11518</v>
      </c>
      <c r="V927" s="239" t="str">
        <f>VLOOKUP(H927,'Fund Utilization Report'!$A$4:$U$1800,4,FALSE)</f>
        <v>OO 4.2</v>
      </c>
      <c r="W927" s="239" t="str">
        <f>VLOOKUP(H927,'Fund Utilization Report'!$A$4:$U$1800,5,FALSE)</f>
        <v>01101101</v>
      </c>
      <c r="X927" s="239" t="str">
        <f>VLOOKUP(H927,'Fund Utilization Report'!$A$4:$U$1800,6,FALSE)</f>
        <v>GOP</v>
      </c>
      <c r="Y927" s="440" t="str">
        <f>VLOOKUP(H927,'Fund Utilization Report'!$A$4:$U$1800,7,FALSE)</f>
        <v>MOOE</v>
      </c>
      <c r="Z927" s="441">
        <f>VLOOKUP(H927,'Fund Utilization Report'!$A$4:$U$1800,8,FALSE)</f>
        <v>5020000000</v>
      </c>
      <c r="AA927" s="239" t="str">
        <f>VLOOKUP(H927,'Fund Utilization Report'!$A$4:$U$1800,14,FALSE)</f>
        <v>340200100002000</v>
      </c>
      <c r="AB927" s="242" t="str">
        <f>VLOOKUP(H927,'Fund Utilization Report'!$A$4:$U$1800,15,FALSE)</f>
        <v>Implementation of Plans, projects and activities on consumer awareness, education, and advocacy</v>
      </c>
      <c r="AC927" s="51"/>
      <c r="AD927" s="435"/>
      <c r="AE927" s="51"/>
      <c r="AF927" s="51"/>
      <c r="AG927" s="442"/>
      <c r="AH927" s="442"/>
      <c r="AI927" s="443"/>
    </row>
    <row r="928" spans="1:35" s="32" customFormat="1" ht="27.6">
      <c r="A928" s="434" t="s">
        <v>942</v>
      </c>
      <c r="B928" s="457" t="s">
        <v>946</v>
      </c>
      <c r="C928" s="233">
        <v>44263</v>
      </c>
      <c r="D928" s="435" t="s">
        <v>1267</v>
      </c>
      <c r="E928" s="436" t="s">
        <v>1365</v>
      </c>
      <c r="F928" s="338">
        <v>0.44791666666666669</v>
      </c>
      <c r="G928" s="338">
        <v>0.45069444444444445</v>
      </c>
      <c r="H928" s="338" t="s">
        <v>961</v>
      </c>
      <c r="I928" s="353">
        <v>783</v>
      </c>
      <c r="J928" s="338" t="str">
        <f>IFERROR(VLOOKUP(I928,'Chart of accounts'!A:H,2,FALSE),"")</f>
        <v>50299030 00</v>
      </c>
      <c r="K928" s="338" t="str">
        <f>IFERROR(VLOOKUP(I928,'Chart of accounts'!A:H,3,FALSE),"")</f>
        <v>Representation Expenses</v>
      </c>
      <c r="L928" s="338" t="str">
        <f>IFERROR(VLOOKUP(I928,'Chart of accounts'!A:H,4,FALSE),"")</f>
        <v>50299030 00 - Representation Expenses (783)</v>
      </c>
      <c r="M928" s="361" t="s">
        <v>1366</v>
      </c>
      <c r="N928" s="355" t="s">
        <v>1108</v>
      </c>
      <c r="O928" s="355" t="s">
        <v>1347</v>
      </c>
      <c r="P928" s="355"/>
      <c r="Q928" s="355">
        <v>4950</v>
      </c>
      <c r="R928" s="319">
        <f t="shared" si="23"/>
        <v>-4950</v>
      </c>
      <c r="S928" s="239" t="str">
        <f>VLOOKUP(H928,'Fund Utilization Report'!$A$4:$U$1800,13,FALSE)</f>
        <v>MOOE</v>
      </c>
      <c r="T928" s="239" t="str">
        <f>VLOOKUP(H928,'Fund Utilization Report'!$A$4:$U$1800,2,FALSE)</f>
        <v>GAA</v>
      </c>
      <c r="U928" s="239" t="str">
        <f>VLOOKUP(H928,'Fund Utilization Report'!$A$4:$U$1800,3,FALSE)</f>
        <v>FY2021, RA11518</v>
      </c>
      <c r="V928" s="239" t="str">
        <f>VLOOKUP(H928,'Fund Utilization Report'!$A$4:$U$1800,4,FALSE)</f>
        <v>GAS(GMS)</v>
      </c>
      <c r="W928" s="239" t="str">
        <f>VLOOKUP(H928,'Fund Utilization Report'!$A$4:$U$1800,5,FALSE)</f>
        <v>01101101</v>
      </c>
      <c r="X928" s="239" t="str">
        <f>VLOOKUP(H928,'Fund Utilization Report'!$A$4:$U$1800,6,FALSE)</f>
        <v>GOP</v>
      </c>
      <c r="Y928" s="440" t="str">
        <f>VLOOKUP(H928,'Fund Utilization Report'!$A$4:$U$1800,7,FALSE)</f>
        <v>MOOE</v>
      </c>
      <c r="Z928" s="441">
        <f>VLOOKUP(H928,'Fund Utilization Report'!$A$4:$U$1800,8,FALSE)</f>
        <v>5020000000</v>
      </c>
      <c r="AA928" s="239" t="str">
        <f>VLOOKUP(H928,'Fund Utilization Report'!$A$4:$U$1800,14,FALSE)</f>
        <v>100000100001000</v>
      </c>
      <c r="AB928" s="242" t="str">
        <f>VLOOKUP(H928,'Fund Utilization Report'!$A$4:$U$1800,15,FALSE)</f>
        <v>General Administration and Supervision - General Management and Supervision</v>
      </c>
      <c r="AC928" s="51"/>
      <c r="AD928" s="435"/>
      <c r="AE928" s="51"/>
      <c r="AF928" s="51"/>
      <c r="AG928" s="442"/>
      <c r="AH928" s="442"/>
      <c r="AI928" s="443"/>
    </row>
    <row r="929" spans="1:35" s="32" customFormat="1" ht="27.6">
      <c r="A929" s="434" t="s">
        <v>942</v>
      </c>
      <c r="B929" s="457" t="s">
        <v>946</v>
      </c>
      <c r="C929" s="233">
        <v>44263</v>
      </c>
      <c r="D929" s="435" t="s">
        <v>1267</v>
      </c>
      <c r="E929" s="436" t="s">
        <v>1367</v>
      </c>
      <c r="F929" s="338">
        <v>0.45069444444444445</v>
      </c>
      <c r="G929" s="338">
        <v>0.4513888888888889</v>
      </c>
      <c r="H929" s="338" t="s">
        <v>968</v>
      </c>
      <c r="I929" s="353">
        <v>755</v>
      </c>
      <c r="J929" s="338" t="str">
        <f>IFERROR(VLOOKUP(I929,'Chart of accounts'!A:H,2,FALSE),"")</f>
        <v>50203010 00</v>
      </c>
      <c r="K929" s="338" t="str">
        <f>IFERROR(VLOOKUP(I929,'Chart of accounts'!A:H,3,FALSE),"")</f>
        <v>Office Supplies Expenses</v>
      </c>
      <c r="L929" s="338" t="str">
        <f>IFERROR(VLOOKUP(I929,'Chart of accounts'!A:H,4,FALSE),"")</f>
        <v>50203010 00 - Office Supplies Expenses (755)</v>
      </c>
      <c r="M929" s="361" t="s">
        <v>814</v>
      </c>
      <c r="N929" s="355" t="s">
        <v>1327</v>
      </c>
      <c r="O929" s="355" t="s">
        <v>1037</v>
      </c>
      <c r="P929" s="355"/>
      <c r="Q929" s="355">
        <v>7830</v>
      </c>
      <c r="R929" s="319">
        <f t="shared" si="23"/>
        <v>-7830</v>
      </c>
      <c r="S929" s="239" t="str">
        <f>VLOOKUP(H929,'Fund Utilization Report'!$A$4:$U$1800,13,FALSE)</f>
        <v>MOOE</v>
      </c>
      <c r="T929" s="239" t="str">
        <f>VLOOKUP(H929,'Fund Utilization Report'!$A$4:$U$1800,2,FALSE)</f>
        <v>GAA</v>
      </c>
      <c r="U929" s="239" t="str">
        <f>VLOOKUP(H929,'Fund Utilization Report'!$A$4:$U$1800,3,FALSE)</f>
        <v>FY2021, RA11518</v>
      </c>
      <c r="V929" s="239" t="str">
        <f>VLOOKUP(H929,'Fund Utilization Report'!$A$4:$U$1800,4,FALSE)</f>
        <v>OO2</v>
      </c>
      <c r="W929" s="239" t="str">
        <f>VLOOKUP(H929,'Fund Utilization Report'!$A$4:$U$1800,5,FALSE)</f>
        <v>01101101</v>
      </c>
      <c r="X929" s="239" t="str">
        <f>VLOOKUP(H929,'Fund Utilization Report'!$A$4:$U$1800,6,FALSE)</f>
        <v>GOP</v>
      </c>
      <c r="Y929" s="440" t="str">
        <f>VLOOKUP(H929,'Fund Utilization Report'!$A$4:$U$1800,7,FALSE)</f>
        <v>MOOE</v>
      </c>
      <c r="Z929" s="441">
        <f>VLOOKUP(H929,'Fund Utilization Report'!$A$4:$U$1800,8,FALSE)</f>
        <v>5020000000</v>
      </c>
      <c r="AA929" s="239" t="str">
        <f>VLOOKUP(H929,'Fund Utilization Report'!$A$4:$U$1800,14,FALSE)</f>
        <v>320100100001000</v>
      </c>
      <c r="AB929" s="242" t="str">
        <f>VLOOKUP(H929,'Fund Utilization Report'!$A$4:$U$1800,15,FALSE)</f>
        <v>Formulation of Strategic plans,programs, and policies to develop competitve industries</v>
      </c>
      <c r="AC929" s="51"/>
      <c r="AD929" s="435"/>
      <c r="AE929" s="51"/>
      <c r="AF929" s="51"/>
      <c r="AG929" s="442"/>
      <c r="AH929" s="442"/>
      <c r="AI929" s="443"/>
    </row>
    <row r="930" spans="1:35" s="32" customFormat="1">
      <c r="A930" s="434" t="s">
        <v>942</v>
      </c>
      <c r="B930" s="457" t="s">
        <v>946</v>
      </c>
      <c r="C930" s="233">
        <v>44263</v>
      </c>
      <c r="D930" s="435" t="s">
        <v>1267</v>
      </c>
      <c r="E930" s="436" t="s">
        <v>1368</v>
      </c>
      <c r="F930" s="338">
        <v>0.4513888888888889</v>
      </c>
      <c r="G930" s="338">
        <v>0.45277777777777778</v>
      </c>
      <c r="H930" s="338" t="s">
        <v>961</v>
      </c>
      <c r="I930" s="353">
        <v>755</v>
      </c>
      <c r="J930" s="338" t="str">
        <f>IFERROR(VLOOKUP(I930,'Chart of accounts'!A:H,2,FALSE),"")</f>
        <v>50203010 00</v>
      </c>
      <c r="K930" s="338" t="str">
        <f>IFERROR(VLOOKUP(I930,'Chart of accounts'!A:H,3,FALSE),"")</f>
        <v>Office Supplies Expenses</v>
      </c>
      <c r="L930" s="338" t="str">
        <f>IFERROR(VLOOKUP(I930,'Chart of accounts'!A:H,4,FALSE),"")</f>
        <v>50203010 00 - Office Supplies Expenses (755)</v>
      </c>
      <c r="M930" s="361" t="s">
        <v>1369</v>
      </c>
      <c r="N930" s="355" t="s">
        <v>1214</v>
      </c>
      <c r="O930" s="355" t="s">
        <v>1348</v>
      </c>
      <c r="P930" s="355"/>
      <c r="Q930" s="355">
        <v>27000</v>
      </c>
      <c r="R930" s="319">
        <f t="shared" si="23"/>
        <v>-27000</v>
      </c>
      <c r="S930" s="239" t="str">
        <f>VLOOKUP(H930,'Fund Utilization Report'!$A$4:$U$1800,13,FALSE)</f>
        <v>MOOE</v>
      </c>
      <c r="T930" s="239" t="str">
        <f>VLOOKUP(H930,'Fund Utilization Report'!$A$4:$U$1800,2,FALSE)</f>
        <v>GAA</v>
      </c>
      <c r="U930" s="239" t="str">
        <f>VLOOKUP(H930,'Fund Utilization Report'!$A$4:$U$1800,3,FALSE)</f>
        <v>FY2021, RA11518</v>
      </c>
      <c r="V930" s="239" t="str">
        <f>VLOOKUP(H930,'Fund Utilization Report'!$A$4:$U$1800,4,FALSE)</f>
        <v>GAS(GMS)</v>
      </c>
      <c r="W930" s="239" t="str">
        <f>VLOOKUP(H930,'Fund Utilization Report'!$A$4:$U$1800,5,FALSE)</f>
        <v>01101101</v>
      </c>
      <c r="X930" s="239" t="str">
        <f>VLOOKUP(H930,'Fund Utilization Report'!$A$4:$U$1800,6,FALSE)</f>
        <v>GOP</v>
      </c>
      <c r="Y930" s="440" t="str">
        <f>VLOOKUP(H930,'Fund Utilization Report'!$A$4:$U$1800,7,FALSE)</f>
        <v>MOOE</v>
      </c>
      <c r="Z930" s="441">
        <f>VLOOKUP(H930,'Fund Utilization Report'!$A$4:$U$1800,8,FALSE)</f>
        <v>5020000000</v>
      </c>
      <c r="AA930" s="239" t="str">
        <f>VLOOKUP(H930,'Fund Utilization Report'!$A$4:$U$1800,14,FALSE)</f>
        <v>100000100001000</v>
      </c>
      <c r="AB930" s="242" t="str">
        <f>VLOOKUP(H930,'Fund Utilization Report'!$A$4:$U$1800,15,FALSE)</f>
        <v>General Administration and Supervision - General Management and Supervision</v>
      </c>
      <c r="AC930" s="51"/>
      <c r="AD930" s="435"/>
      <c r="AE930" s="51"/>
      <c r="AF930" s="51"/>
      <c r="AG930" s="442"/>
      <c r="AH930" s="442"/>
      <c r="AI930" s="443"/>
    </row>
    <row r="931" spans="1:35" s="32" customFormat="1">
      <c r="A931" s="434" t="s">
        <v>942</v>
      </c>
      <c r="B931" s="457" t="s">
        <v>946</v>
      </c>
      <c r="C931" s="233">
        <v>44263</v>
      </c>
      <c r="D931" s="435" t="s">
        <v>1267</v>
      </c>
      <c r="E931" s="436" t="s">
        <v>1370</v>
      </c>
      <c r="F931" s="338">
        <v>0.45277777777777778</v>
      </c>
      <c r="G931" s="338">
        <v>0.46388888888888885</v>
      </c>
      <c r="H931" s="338" t="s">
        <v>968</v>
      </c>
      <c r="I931" s="353">
        <v>755</v>
      </c>
      <c r="J931" s="338" t="str">
        <f>IFERROR(VLOOKUP(I931,'Chart of accounts'!A:H,2,FALSE),"")</f>
        <v>50203010 00</v>
      </c>
      <c r="K931" s="338" t="str">
        <f>IFERROR(VLOOKUP(I931,'Chart of accounts'!A:H,3,FALSE),"")</f>
        <v>Office Supplies Expenses</v>
      </c>
      <c r="L931" s="338" t="str">
        <f>IFERROR(VLOOKUP(I931,'Chart of accounts'!A:H,4,FALSE),"")</f>
        <v>50203010 00 - Office Supplies Expenses (755)</v>
      </c>
      <c r="M931" s="361" t="s">
        <v>814</v>
      </c>
      <c r="N931" s="355" t="s">
        <v>1349</v>
      </c>
      <c r="O931" s="355" t="s">
        <v>1350</v>
      </c>
      <c r="P931" s="355"/>
      <c r="Q931" s="355">
        <v>3400</v>
      </c>
      <c r="R931" s="319">
        <f t="shared" si="23"/>
        <v>-3400</v>
      </c>
      <c r="S931" s="239" t="str">
        <f>VLOOKUP(H931,'Fund Utilization Report'!$A$4:$U$1800,13,FALSE)</f>
        <v>MOOE</v>
      </c>
      <c r="T931" s="239" t="str">
        <f>VLOOKUP(H931,'Fund Utilization Report'!$A$4:$U$1800,2,FALSE)</f>
        <v>GAA</v>
      </c>
      <c r="U931" s="239" t="str">
        <f>VLOOKUP(H931,'Fund Utilization Report'!$A$4:$U$1800,3,FALSE)</f>
        <v>FY2021, RA11518</v>
      </c>
      <c r="V931" s="239" t="str">
        <f>VLOOKUP(H931,'Fund Utilization Report'!$A$4:$U$1800,4,FALSE)</f>
        <v>OO2</v>
      </c>
      <c r="W931" s="239" t="str">
        <f>VLOOKUP(H931,'Fund Utilization Report'!$A$4:$U$1800,5,FALSE)</f>
        <v>01101101</v>
      </c>
      <c r="X931" s="239" t="str">
        <f>VLOOKUP(H931,'Fund Utilization Report'!$A$4:$U$1800,6,FALSE)</f>
        <v>GOP</v>
      </c>
      <c r="Y931" s="440" t="str">
        <f>VLOOKUP(H931,'Fund Utilization Report'!$A$4:$U$1800,7,FALSE)</f>
        <v>MOOE</v>
      </c>
      <c r="Z931" s="441">
        <f>VLOOKUP(H931,'Fund Utilization Report'!$A$4:$U$1800,8,FALSE)</f>
        <v>5020000000</v>
      </c>
      <c r="AA931" s="239" t="str">
        <f>VLOOKUP(H931,'Fund Utilization Report'!$A$4:$U$1800,14,FALSE)</f>
        <v>320100100001000</v>
      </c>
      <c r="AB931" s="242" t="str">
        <f>VLOOKUP(H931,'Fund Utilization Report'!$A$4:$U$1800,15,FALSE)</f>
        <v>Formulation of Strategic plans,programs, and policies to develop competitve industries</v>
      </c>
      <c r="AC931" s="51"/>
      <c r="AD931" s="435"/>
      <c r="AE931" s="51"/>
      <c r="AF931" s="51"/>
      <c r="AG931" s="442"/>
      <c r="AH931" s="442"/>
      <c r="AI931" s="443"/>
    </row>
    <row r="932" spans="1:35" s="32" customFormat="1" ht="41.4">
      <c r="A932" s="434" t="s">
        <v>942</v>
      </c>
      <c r="B932" s="457" t="s">
        <v>946</v>
      </c>
      <c r="C932" s="233">
        <v>44263</v>
      </c>
      <c r="D932" s="435" t="s">
        <v>1267</v>
      </c>
      <c r="E932" s="436" t="s">
        <v>1371</v>
      </c>
      <c r="F932" s="338">
        <v>0.46388888888888885</v>
      </c>
      <c r="G932" s="338">
        <v>0.46458333333333335</v>
      </c>
      <c r="H932" s="338" t="s">
        <v>968</v>
      </c>
      <c r="I932" s="353">
        <v>783</v>
      </c>
      <c r="J932" s="338" t="str">
        <f>IFERROR(VLOOKUP(I932,'Chart of accounts'!A:H,2,FALSE),"")</f>
        <v>50299030 00</v>
      </c>
      <c r="K932" s="338" t="str">
        <f>IFERROR(VLOOKUP(I932,'Chart of accounts'!A:H,3,FALSE),"")</f>
        <v>Representation Expenses</v>
      </c>
      <c r="L932" s="338" t="str">
        <f>IFERROR(VLOOKUP(I932,'Chart of accounts'!A:H,4,FALSE),"")</f>
        <v>50299030 00 - Representation Expenses (783)</v>
      </c>
      <c r="M932" s="361" t="s">
        <v>814</v>
      </c>
      <c r="N932" s="355" t="s">
        <v>1038</v>
      </c>
      <c r="O932" s="355" t="s">
        <v>1351</v>
      </c>
      <c r="P932" s="355"/>
      <c r="Q932" s="355">
        <v>1800</v>
      </c>
      <c r="R932" s="319">
        <f t="shared" si="23"/>
        <v>-1800</v>
      </c>
      <c r="S932" s="239" t="str">
        <f>VLOOKUP(H932,'Fund Utilization Report'!$A$4:$U$1800,13,FALSE)</f>
        <v>MOOE</v>
      </c>
      <c r="T932" s="239" t="str">
        <f>VLOOKUP(H932,'Fund Utilization Report'!$A$4:$U$1800,2,FALSE)</f>
        <v>GAA</v>
      </c>
      <c r="U932" s="239" t="str">
        <f>VLOOKUP(H932,'Fund Utilization Report'!$A$4:$U$1800,3,FALSE)</f>
        <v>FY2021, RA11518</v>
      </c>
      <c r="V932" s="239" t="str">
        <f>VLOOKUP(H932,'Fund Utilization Report'!$A$4:$U$1800,4,FALSE)</f>
        <v>OO2</v>
      </c>
      <c r="W932" s="239" t="str">
        <f>VLOOKUP(H932,'Fund Utilization Report'!$A$4:$U$1800,5,FALSE)</f>
        <v>01101101</v>
      </c>
      <c r="X932" s="239" t="str">
        <f>VLOOKUP(H932,'Fund Utilization Report'!$A$4:$U$1800,6,FALSE)</f>
        <v>GOP</v>
      </c>
      <c r="Y932" s="440" t="str">
        <f>VLOOKUP(H932,'Fund Utilization Report'!$A$4:$U$1800,7,FALSE)</f>
        <v>MOOE</v>
      </c>
      <c r="Z932" s="441">
        <f>VLOOKUP(H932,'Fund Utilization Report'!$A$4:$U$1800,8,FALSE)</f>
        <v>5020000000</v>
      </c>
      <c r="AA932" s="239" t="str">
        <f>VLOOKUP(H932,'Fund Utilization Report'!$A$4:$U$1800,14,FALSE)</f>
        <v>320100100001000</v>
      </c>
      <c r="AB932" s="242" t="str">
        <f>VLOOKUP(H932,'Fund Utilization Report'!$A$4:$U$1800,15,FALSE)</f>
        <v>Formulation of Strategic plans,programs, and policies to develop competitve industries</v>
      </c>
      <c r="AC932" s="51"/>
      <c r="AD932" s="435"/>
      <c r="AE932" s="51"/>
      <c r="AF932" s="51"/>
      <c r="AG932" s="442"/>
      <c r="AH932" s="442"/>
      <c r="AI932" s="443"/>
    </row>
    <row r="933" spans="1:35" s="32" customFormat="1">
      <c r="A933" s="434" t="s">
        <v>942</v>
      </c>
      <c r="B933" s="457" t="s">
        <v>946</v>
      </c>
      <c r="C933" s="233">
        <v>44263</v>
      </c>
      <c r="D933" s="435" t="s">
        <v>1267</v>
      </c>
      <c r="E933" s="436" t="s">
        <v>1372</v>
      </c>
      <c r="F933" s="338">
        <v>0.46458333333333335</v>
      </c>
      <c r="G933" s="338">
        <v>0.46527777777777773</v>
      </c>
      <c r="H933" s="338" t="s">
        <v>971</v>
      </c>
      <c r="I933" s="353">
        <v>755</v>
      </c>
      <c r="J933" s="338" t="str">
        <f>IFERROR(VLOOKUP(I933,'Chart of accounts'!A:H,2,FALSE),"")</f>
        <v>50203010 00</v>
      </c>
      <c r="K933" s="338" t="str">
        <f>IFERROR(VLOOKUP(I933,'Chart of accounts'!A:H,3,FALSE),"")</f>
        <v>Office Supplies Expenses</v>
      </c>
      <c r="L933" s="338" t="str">
        <f>IFERROR(VLOOKUP(I933,'Chart of accounts'!A:H,4,FALSE),"")</f>
        <v>50203010 00 - Office Supplies Expenses (755)</v>
      </c>
      <c r="M933" s="361" t="s">
        <v>813</v>
      </c>
      <c r="N933" s="355" t="s">
        <v>1352</v>
      </c>
      <c r="O933" s="355" t="s">
        <v>1353</v>
      </c>
      <c r="P933" s="355"/>
      <c r="Q933" s="355">
        <v>39600</v>
      </c>
      <c r="R933" s="319">
        <f t="shared" si="23"/>
        <v>-39600</v>
      </c>
      <c r="S933" s="239" t="str">
        <f>VLOOKUP(H933,'Fund Utilization Report'!$A$4:$U$1800,13,FALSE)</f>
        <v>MOOE</v>
      </c>
      <c r="T933" s="239" t="str">
        <f>VLOOKUP(H933,'Fund Utilization Report'!$A$4:$U$1800,2,FALSE)</f>
        <v>GAA</v>
      </c>
      <c r="U933" s="239" t="str">
        <f>VLOOKUP(H933,'Fund Utilization Report'!$A$4:$U$1800,3,FALSE)</f>
        <v>FY2021, RA11518</v>
      </c>
      <c r="V933" s="239" t="str">
        <f>VLOOKUP(H933,'Fund Utilization Report'!$A$4:$U$1800,4,FALSE)</f>
        <v>OO3</v>
      </c>
      <c r="W933" s="239" t="str">
        <f>VLOOKUP(H933,'Fund Utilization Report'!$A$4:$U$1800,5,FALSE)</f>
        <v>01101101</v>
      </c>
      <c r="X933" s="239" t="str">
        <f>VLOOKUP(H933,'Fund Utilization Report'!$A$4:$U$1800,6,FALSE)</f>
        <v>GOP</v>
      </c>
      <c r="Y933" s="440" t="str">
        <f>VLOOKUP(H933,'Fund Utilization Report'!$A$4:$U$1800,7,FALSE)</f>
        <v>MOOE</v>
      </c>
      <c r="Z933" s="441">
        <f>VLOOKUP(H933,'Fund Utilization Report'!$A$4:$U$1800,8,FALSE)</f>
        <v>5020000000</v>
      </c>
      <c r="AA933" s="239" t="str">
        <f>VLOOKUP(H933,'Fund Utilization Report'!$A$4:$U$1800,14,FALSE)</f>
        <v>330100100002000</v>
      </c>
      <c r="AB933" s="242" t="str">
        <f>VLOOKUP(H933,'Fund Utilization Report'!$A$4:$U$1800,15,FALSE)</f>
        <v>Implementation of the MSME Development Plan and other initiatives to promote the growth of Micro, Small and Medium Enterprises</v>
      </c>
      <c r="AC933" s="51"/>
      <c r="AD933" s="435"/>
      <c r="AE933" s="51"/>
      <c r="AF933" s="51"/>
      <c r="AG933" s="442"/>
      <c r="AH933" s="442"/>
      <c r="AI933" s="443"/>
    </row>
    <row r="934" spans="1:35" s="32" customFormat="1" ht="27.6">
      <c r="A934" s="434" t="s">
        <v>942</v>
      </c>
      <c r="B934" s="457" t="s">
        <v>946</v>
      </c>
      <c r="C934" s="233">
        <v>44263</v>
      </c>
      <c r="D934" s="435" t="s">
        <v>1267</v>
      </c>
      <c r="E934" s="436" t="s">
        <v>1373</v>
      </c>
      <c r="F934" s="338">
        <v>0.46527777777777773</v>
      </c>
      <c r="G934" s="338">
        <v>0.46597222222222223</v>
      </c>
      <c r="H934" s="338" t="s">
        <v>961</v>
      </c>
      <c r="I934" s="353">
        <v>755</v>
      </c>
      <c r="J934" s="338" t="str">
        <f>IFERROR(VLOOKUP(I934,'Chart of accounts'!A:H,2,FALSE),"")</f>
        <v>50203010 00</v>
      </c>
      <c r="K934" s="338" t="str">
        <f>IFERROR(VLOOKUP(I934,'Chart of accounts'!A:H,3,FALSE),"")</f>
        <v>Office Supplies Expenses</v>
      </c>
      <c r="L934" s="338" t="str">
        <f>IFERROR(VLOOKUP(I934,'Chart of accounts'!A:H,4,FALSE),"")</f>
        <v>50203010 00 - Office Supplies Expenses (755)</v>
      </c>
      <c r="M934" s="361" t="s">
        <v>816</v>
      </c>
      <c r="N934" s="355" t="s">
        <v>1354</v>
      </c>
      <c r="O934" s="355" t="s">
        <v>1355</v>
      </c>
      <c r="P934" s="355"/>
      <c r="Q934" s="355">
        <v>5600</v>
      </c>
      <c r="R934" s="319">
        <f t="shared" si="23"/>
        <v>-5600</v>
      </c>
      <c r="S934" s="239" t="str">
        <f>VLOOKUP(H934,'Fund Utilization Report'!$A$4:$U$1800,13,FALSE)</f>
        <v>MOOE</v>
      </c>
      <c r="T934" s="239" t="str">
        <f>VLOOKUP(H934,'Fund Utilization Report'!$A$4:$U$1800,2,FALSE)</f>
        <v>GAA</v>
      </c>
      <c r="U934" s="239" t="str">
        <f>VLOOKUP(H934,'Fund Utilization Report'!$A$4:$U$1800,3,FALSE)</f>
        <v>FY2021, RA11518</v>
      </c>
      <c r="V934" s="239" t="str">
        <f>VLOOKUP(H934,'Fund Utilization Report'!$A$4:$U$1800,4,FALSE)</f>
        <v>GAS(GMS)</v>
      </c>
      <c r="W934" s="239" t="str">
        <f>VLOOKUP(H934,'Fund Utilization Report'!$A$4:$U$1800,5,FALSE)</f>
        <v>01101101</v>
      </c>
      <c r="X934" s="239" t="str">
        <f>VLOOKUP(H934,'Fund Utilization Report'!$A$4:$U$1800,6,FALSE)</f>
        <v>GOP</v>
      </c>
      <c r="Y934" s="440" t="str">
        <f>VLOOKUP(H934,'Fund Utilization Report'!$A$4:$U$1800,7,FALSE)</f>
        <v>MOOE</v>
      </c>
      <c r="Z934" s="441">
        <f>VLOOKUP(H934,'Fund Utilization Report'!$A$4:$U$1800,8,FALSE)</f>
        <v>5020000000</v>
      </c>
      <c r="AA934" s="239" t="str">
        <f>VLOOKUP(H934,'Fund Utilization Report'!$A$4:$U$1800,14,FALSE)</f>
        <v>100000100001000</v>
      </c>
      <c r="AB934" s="242" t="str">
        <f>VLOOKUP(H934,'Fund Utilization Report'!$A$4:$U$1800,15,FALSE)</f>
        <v>General Administration and Supervision - General Management and Supervision</v>
      </c>
      <c r="AC934" s="51"/>
      <c r="AD934" s="435"/>
      <c r="AE934" s="51"/>
      <c r="AF934" s="51"/>
      <c r="AG934" s="442"/>
      <c r="AH934" s="442"/>
      <c r="AI934" s="443"/>
    </row>
    <row r="935" spans="1:35" s="32" customFormat="1" ht="27.6">
      <c r="A935" s="434" t="s">
        <v>942</v>
      </c>
      <c r="B935" s="457" t="s">
        <v>946</v>
      </c>
      <c r="C935" s="233">
        <v>44263</v>
      </c>
      <c r="D935" s="435" t="s">
        <v>1267</v>
      </c>
      <c r="E935" s="436" t="s">
        <v>1374</v>
      </c>
      <c r="F935" s="338">
        <v>0.46597222222222223</v>
      </c>
      <c r="G935" s="338">
        <v>0.46736111111111112</v>
      </c>
      <c r="H935" s="338" t="s">
        <v>961</v>
      </c>
      <c r="I935" s="353">
        <v>773</v>
      </c>
      <c r="J935" s="338" t="str">
        <f>IFERROR(VLOOKUP(I935,'Chart of accounts'!A:H,2,FALSE),"")</f>
        <v>50205020 01</v>
      </c>
      <c r="K935" s="338" t="str">
        <f>IFERROR(VLOOKUP(I935,'Chart of accounts'!A:H,3,FALSE),"")</f>
        <v xml:space="preserve">Telephone Expenses - Mobile </v>
      </c>
      <c r="L935" s="338" t="str">
        <f>IFERROR(VLOOKUP(I935,'Chart of accounts'!A:H,4,FALSE),"")</f>
        <v>50205020 01 - Telephone Expenses - Mobile  (773)</v>
      </c>
      <c r="M935" s="361" t="s">
        <v>816</v>
      </c>
      <c r="N935" s="355" t="s">
        <v>1245</v>
      </c>
      <c r="O935" s="355" t="s">
        <v>1356</v>
      </c>
      <c r="P935" s="355"/>
      <c r="Q935" s="355">
        <v>4032</v>
      </c>
      <c r="R935" s="319">
        <f t="shared" si="23"/>
        <v>-4032</v>
      </c>
      <c r="S935" s="239" t="str">
        <f>VLOOKUP(H935,'Fund Utilization Report'!$A$4:$U$1800,13,FALSE)</f>
        <v>MOOE</v>
      </c>
      <c r="T935" s="239" t="str">
        <f>VLOOKUP(H935,'Fund Utilization Report'!$A$4:$U$1800,2,FALSE)</f>
        <v>GAA</v>
      </c>
      <c r="U935" s="239" t="str">
        <f>VLOOKUP(H935,'Fund Utilization Report'!$A$4:$U$1800,3,FALSE)</f>
        <v>FY2021, RA11518</v>
      </c>
      <c r="V935" s="239" t="str">
        <f>VLOOKUP(H935,'Fund Utilization Report'!$A$4:$U$1800,4,FALSE)</f>
        <v>GAS(GMS)</v>
      </c>
      <c r="W935" s="239" t="str">
        <f>VLOOKUP(H935,'Fund Utilization Report'!$A$4:$U$1800,5,FALSE)</f>
        <v>01101101</v>
      </c>
      <c r="X935" s="239" t="str">
        <f>VLOOKUP(H935,'Fund Utilization Report'!$A$4:$U$1800,6,FALSE)</f>
        <v>GOP</v>
      </c>
      <c r="Y935" s="440" t="str">
        <f>VLOOKUP(H935,'Fund Utilization Report'!$A$4:$U$1800,7,FALSE)</f>
        <v>MOOE</v>
      </c>
      <c r="Z935" s="441">
        <f>VLOOKUP(H935,'Fund Utilization Report'!$A$4:$U$1800,8,FALSE)</f>
        <v>5020000000</v>
      </c>
      <c r="AA935" s="239" t="str">
        <f>VLOOKUP(H935,'Fund Utilization Report'!$A$4:$U$1800,14,FALSE)</f>
        <v>100000100001000</v>
      </c>
      <c r="AB935" s="242" t="str">
        <f>VLOOKUP(H935,'Fund Utilization Report'!$A$4:$U$1800,15,FALSE)</f>
        <v>General Administration and Supervision - General Management and Supervision</v>
      </c>
      <c r="AC935" s="51"/>
      <c r="AD935" s="435"/>
      <c r="AE935" s="51"/>
      <c r="AF935" s="51"/>
      <c r="AG935" s="442"/>
      <c r="AH935" s="442"/>
      <c r="AI935" s="443"/>
    </row>
    <row r="936" spans="1:35" s="32" customFormat="1" ht="27.6">
      <c r="A936" s="434" t="s">
        <v>942</v>
      </c>
      <c r="B936" s="457" t="s">
        <v>946</v>
      </c>
      <c r="C936" s="233">
        <v>44263</v>
      </c>
      <c r="D936" s="435" t="s">
        <v>1267</v>
      </c>
      <c r="E936" s="436" t="s">
        <v>1375</v>
      </c>
      <c r="F936" s="338">
        <v>0.46736111111111112</v>
      </c>
      <c r="G936" s="338">
        <v>0.4680555555555555</v>
      </c>
      <c r="H936" s="338" t="s">
        <v>961</v>
      </c>
      <c r="I936" s="353">
        <v>761</v>
      </c>
      <c r="J936" s="338" t="str">
        <f>IFERROR(VLOOKUP(I936,'Chart of accounts'!A:H,2,FALSE),"")</f>
        <v>50203090 00</v>
      </c>
      <c r="K936" s="338" t="str">
        <f>IFERROR(VLOOKUP(I936,'Chart of accounts'!A:H,3,FALSE),"")</f>
        <v>Fuel, Oil and Lubricants Expenses</v>
      </c>
      <c r="L936" s="338" t="str">
        <f>IFERROR(VLOOKUP(I936,'Chart of accounts'!A:H,4,FALSE),"")</f>
        <v>50203090 00 - Fuel, Oil and Lubricants Expenses (761)</v>
      </c>
      <c r="M936" s="361" t="s">
        <v>812</v>
      </c>
      <c r="N936" s="355" t="s">
        <v>810</v>
      </c>
      <c r="O936" s="355" t="s">
        <v>1357</v>
      </c>
      <c r="P936" s="355"/>
      <c r="Q936" s="355">
        <v>9401.9699999999993</v>
      </c>
      <c r="R936" s="319">
        <f t="shared" si="23"/>
        <v>-9401.9699999999993</v>
      </c>
      <c r="S936" s="239" t="str">
        <f>VLOOKUP(H936,'Fund Utilization Report'!$A$4:$U$1800,13,FALSE)</f>
        <v>MOOE</v>
      </c>
      <c r="T936" s="239" t="str">
        <f>VLOOKUP(H936,'Fund Utilization Report'!$A$4:$U$1800,2,FALSE)</f>
        <v>GAA</v>
      </c>
      <c r="U936" s="239" t="str">
        <f>VLOOKUP(H936,'Fund Utilization Report'!$A$4:$U$1800,3,FALSE)</f>
        <v>FY2021, RA11518</v>
      </c>
      <c r="V936" s="239" t="str">
        <f>VLOOKUP(H936,'Fund Utilization Report'!$A$4:$U$1800,4,FALSE)</f>
        <v>GAS(GMS)</v>
      </c>
      <c r="W936" s="239" t="str">
        <f>VLOOKUP(H936,'Fund Utilization Report'!$A$4:$U$1800,5,FALSE)</f>
        <v>01101101</v>
      </c>
      <c r="X936" s="239" t="str">
        <f>VLOOKUP(H936,'Fund Utilization Report'!$A$4:$U$1800,6,FALSE)</f>
        <v>GOP</v>
      </c>
      <c r="Y936" s="440" t="str">
        <f>VLOOKUP(H936,'Fund Utilization Report'!$A$4:$U$1800,7,FALSE)</f>
        <v>MOOE</v>
      </c>
      <c r="Z936" s="441">
        <f>VLOOKUP(H936,'Fund Utilization Report'!$A$4:$U$1800,8,FALSE)</f>
        <v>5020000000</v>
      </c>
      <c r="AA936" s="239" t="str">
        <f>VLOOKUP(H936,'Fund Utilization Report'!$A$4:$U$1800,14,FALSE)</f>
        <v>100000100001000</v>
      </c>
      <c r="AB936" s="242" t="str">
        <f>VLOOKUP(H936,'Fund Utilization Report'!$A$4:$U$1800,15,FALSE)</f>
        <v>General Administration and Supervision - General Management and Supervision</v>
      </c>
      <c r="AC936" s="51"/>
      <c r="AD936" s="435"/>
      <c r="AE936" s="51"/>
      <c r="AF936" s="51"/>
      <c r="AG936" s="442"/>
      <c r="AH936" s="442"/>
      <c r="AI936" s="443"/>
    </row>
    <row r="937" spans="1:35" s="32" customFormat="1" ht="27.6">
      <c r="A937" s="434" t="s">
        <v>942</v>
      </c>
      <c r="B937" s="457" t="s">
        <v>946</v>
      </c>
      <c r="C937" s="233">
        <v>44263</v>
      </c>
      <c r="D937" s="435" t="s">
        <v>1267</v>
      </c>
      <c r="E937" s="436" t="s">
        <v>1375</v>
      </c>
      <c r="F937" s="338">
        <v>0.46736111111111112</v>
      </c>
      <c r="G937" s="338">
        <v>0.4680555555555555</v>
      </c>
      <c r="H937" s="338" t="s">
        <v>971</v>
      </c>
      <c r="I937" s="353">
        <v>761</v>
      </c>
      <c r="J937" s="338" t="str">
        <f>IFERROR(VLOOKUP(I937,'Chart of accounts'!A:H,2,FALSE),"")</f>
        <v>50203090 00</v>
      </c>
      <c r="K937" s="338" t="str">
        <f>IFERROR(VLOOKUP(I937,'Chart of accounts'!A:H,3,FALSE),"")</f>
        <v>Fuel, Oil and Lubricants Expenses</v>
      </c>
      <c r="L937" s="338" t="str">
        <f>IFERROR(VLOOKUP(I937,'Chart of accounts'!A:H,4,FALSE),"")</f>
        <v>50203090 00 - Fuel, Oil and Lubricants Expenses (761)</v>
      </c>
      <c r="M937" s="361" t="s">
        <v>813</v>
      </c>
      <c r="N937" s="355" t="s">
        <v>810</v>
      </c>
      <c r="O937" s="355" t="s">
        <v>1357</v>
      </c>
      <c r="P937" s="355"/>
      <c r="Q937" s="355">
        <v>5475.35</v>
      </c>
      <c r="R937" s="319">
        <f t="shared" si="23"/>
        <v>-5475.35</v>
      </c>
      <c r="S937" s="239" t="str">
        <f>VLOOKUP(H937,'Fund Utilization Report'!$A$4:$U$1800,13,FALSE)</f>
        <v>MOOE</v>
      </c>
      <c r="T937" s="239" t="str">
        <f>VLOOKUP(H937,'Fund Utilization Report'!$A$4:$U$1800,2,FALSE)</f>
        <v>GAA</v>
      </c>
      <c r="U937" s="239" t="str">
        <f>VLOOKUP(H937,'Fund Utilization Report'!$A$4:$U$1800,3,FALSE)</f>
        <v>FY2021, RA11518</v>
      </c>
      <c r="V937" s="239" t="str">
        <f>VLOOKUP(H937,'Fund Utilization Report'!$A$4:$U$1800,4,FALSE)</f>
        <v>OO3</v>
      </c>
      <c r="W937" s="239" t="str">
        <f>VLOOKUP(H937,'Fund Utilization Report'!$A$4:$U$1800,5,FALSE)</f>
        <v>01101101</v>
      </c>
      <c r="X937" s="239" t="str">
        <f>VLOOKUP(H937,'Fund Utilization Report'!$A$4:$U$1800,6,FALSE)</f>
        <v>GOP</v>
      </c>
      <c r="Y937" s="440" t="str">
        <f>VLOOKUP(H937,'Fund Utilization Report'!$A$4:$U$1800,7,FALSE)</f>
        <v>MOOE</v>
      </c>
      <c r="Z937" s="441">
        <f>VLOOKUP(H937,'Fund Utilization Report'!$A$4:$U$1800,8,FALSE)</f>
        <v>5020000000</v>
      </c>
      <c r="AA937" s="239" t="str">
        <f>VLOOKUP(H937,'Fund Utilization Report'!$A$4:$U$1800,14,FALSE)</f>
        <v>330100100002000</v>
      </c>
      <c r="AB937" s="242" t="str">
        <f>VLOOKUP(H937,'Fund Utilization Report'!$A$4:$U$1800,15,FALSE)</f>
        <v>Implementation of the MSME Development Plan and other initiatives to promote the growth of Micro, Small and Medium Enterprises</v>
      </c>
      <c r="AC937" s="51"/>
      <c r="AD937" s="435"/>
      <c r="AE937" s="51"/>
      <c r="AF937" s="51"/>
      <c r="AG937" s="442"/>
      <c r="AH937" s="442"/>
      <c r="AI937" s="443"/>
    </row>
    <row r="938" spans="1:35" s="32" customFormat="1" ht="27.6">
      <c r="A938" s="434" t="s">
        <v>942</v>
      </c>
      <c r="B938" s="457" t="s">
        <v>946</v>
      </c>
      <c r="C938" s="233">
        <v>44263</v>
      </c>
      <c r="D938" s="435" t="s">
        <v>1267</v>
      </c>
      <c r="E938" s="436" t="s">
        <v>1375</v>
      </c>
      <c r="F938" s="338">
        <v>0.46736111111111112</v>
      </c>
      <c r="G938" s="338">
        <v>0.4680555555555555</v>
      </c>
      <c r="H938" s="338" t="s">
        <v>968</v>
      </c>
      <c r="I938" s="353">
        <v>761</v>
      </c>
      <c r="J938" s="338" t="str">
        <f>IFERROR(VLOOKUP(I938,'Chart of accounts'!A:H,2,FALSE),"")</f>
        <v>50203090 00</v>
      </c>
      <c r="K938" s="338" t="str">
        <f>IFERROR(VLOOKUP(I938,'Chart of accounts'!A:H,3,FALSE),"")</f>
        <v>Fuel, Oil and Lubricants Expenses</v>
      </c>
      <c r="L938" s="338" t="str">
        <f>IFERROR(VLOOKUP(I938,'Chart of accounts'!A:H,4,FALSE),"")</f>
        <v>50203090 00 - Fuel, Oil and Lubricants Expenses (761)</v>
      </c>
      <c r="M938" s="361" t="s">
        <v>814</v>
      </c>
      <c r="N938" s="355" t="s">
        <v>810</v>
      </c>
      <c r="O938" s="355" t="s">
        <v>1357</v>
      </c>
      <c r="P938" s="355"/>
      <c r="Q938" s="355">
        <v>1369.22</v>
      </c>
      <c r="R938" s="319">
        <f t="shared" si="23"/>
        <v>-1369.22</v>
      </c>
      <c r="S938" s="239" t="str">
        <f>VLOOKUP(H938,'Fund Utilization Report'!$A$4:$U$1800,13,FALSE)</f>
        <v>MOOE</v>
      </c>
      <c r="T938" s="239" t="str">
        <f>VLOOKUP(H938,'Fund Utilization Report'!$A$4:$U$1800,2,FALSE)</f>
        <v>GAA</v>
      </c>
      <c r="U938" s="239" t="str">
        <f>VLOOKUP(H938,'Fund Utilization Report'!$A$4:$U$1800,3,FALSE)</f>
        <v>FY2021, RA11518</v>
      </c>
      <c r="V938" s="239" t="str">
        <f>VLOOKUP(H938,'Fund Utilization Report'!$A$4:$U$1800,4,FALSE)</f>
        <v>OO2</v>
      </c>
      <c r="W938" s="239" t="str">
        <f>VLOOKUP(H938,'Fund Utilization Report'!$A$4:$U$1800,5,FALSE)</f>
        <v>01101101</v>
      </c>
      <c r="X938" s="239" t="str">
        <f>VLOOKUP(H938,'Fund Utilization Report'!$A$4:$U$1800,6,FALSE)</f>
        <v>GOP</v>
      </c>
      <c r="Y938" s="440" t="str">
        <f>VLOOKUP(H938,'Fund Utilization Report'!$A$4:$U$1800,7,FALSE)</f>
        <v>MOOE</v>
      </c>
      <c r="Z938" s="441">
        <f>VLOOKUP(H938,'Fund Utilization Report'!$A$4:$U$1800,8,FALSE)</f>
        <v>5020000000</v>
      </c>
      <c r="AA938" s="239" t="str">
        <f>VLOOKUP(H938,'Fund Utilization Report'!$A$4:$U$1800,14,FALSE)</f>
        <v>320100100001000</v>
      </c>
      <c r="AB938" s="242" t="str">
        <f>VLOOKUP(H938,'Fund Utilization Report'!$A$4:$U$1800,15,FALSE)</f>
        <v>Formulation of Strategic plans,programs, and policies to develop competitve industries</v>
      </c>
      <c r="AC938" s="51"/>
      <c r="AD938" s="435"/>
      <c r="AE938" s="51"/>
      <c r="AF938" s="51"/>
      <c r="AG938" s="442"/>
      <c r="AH938" s="442"/>
      <c r="AI938" s="443"/>
    </row>
    <row r="939" spans="1:35" s="32" customFormat="1" ht="27.6">
      <c r="A939" s="434" t="s">
        <v>942</v>
      </c>
      <c r="B939" s="457" t="s">
        <v>946</v>
      </c>
      <c r="C939" s="233">
        <v>44263</v>
      </c>
      <c r="D939" s="435" t="s">
        <v>1267</v>
      </c>
      <c r="E939" s="436" t="s">
        <v>1375</v>
      </c>
      <c r="F939" s="338">
        <v>0.46736111111111112</v>
      </c>
      <c r="G939" s="338">
        <v>0.4680555555555555</v>
      </c>
      <c r="H939" s="338" t="s">
        <v>979</v>
      </c>
      <c r="I939" s="353">
        <v>761</v>
      </c>
      <c r="J939" s="338" t="str">
        <f>IFERROR(VLOOKUP(I939,'Chart of accounts'!A:H,2,FALSE),"")</f>
        <v>50203090 00</v>
      </c>
      <c r="K939" s="338" t="str">
        <f>IFERROR(VLOOKUP(I939,'Chart of accounts'!A:H,3,FALSE),"")</f>
        <v>Fuel, Oil and Lubricants Expenses</v>
      </c>
      <c r="L939" s="338" t="str">
        <f>IFERROR(VLOOKUP(I939,'Chart of accounts'!A:H,4,FALSE),"")</f>
        <v>50203090 00 - Fuel, Oil and Lubricants Expenses (761)</v>
      </c>
      <c r="M939" s="361" t="s">
        <v>815</v>
      </c>
      <c r="N939" s="355" t="s">
        <v>810</v>
      </c>
      <c r="O939" s="355" t="s">
        <v>1357</v>
      </c>
      <c r="P939" s="355"/>
      <c r="Q939" s="355">
        <v>511.18</v>
      </c>
      <c r="R939" s="319">
        <f t="shared" si="23"/>
        <v>-511.18</v>
      </c>
      <c r="S939" s="239" t="str">
        <f>VLOOKUP(H939,'Fund Utilization Report'!$A$4:$U$1800,13,FALSE)</f>
        <v>MOOE</v>
      </c>
      <c r="T939" s="239" t="str">
        <f>VLOOKUP(H939,'Fund Utilization Report'!$A$4:$U$1800,2,FALSE)</f>
        <v>GAA</v>
      </c>
      <c r="U939" s="239" t="str">
        <f>VLOOKUP(H939,'Fund Utilization Report'!$A$4:$U$1800,3,FALSE)</f>
        <v>FY2021, RA11518</v>
      </c>
      <c r="V939" s="239" t="str">
        <f>VLOOKUP(H939,'Fund Utilization Report'!$A$4:$U$1800,4,FALSE)</f>
        <v>OO 4.2</v>
      </c>
      <c r="W939" s="239" t="str">
        <f>VLOOKUP(H939,'Fund Utilization Report'!$A$4:$U$1800,5,FALSE)</f>
        <v>01101101</v>
      </c>
      <c r="X939" s="239" t="str">
        <f>VLOOKUP(H939,'Fund Utilization Report'!$A$4:$U$1800,6,FALSE)</f>
        <v>GOP</v>
      </c>
      <c r="Y939" s="440" t="str">
        <f>VLOOKUP(H939,'Fund Utilization Report'!$A$4:$U$1800,7,FALSE)</f>
        <v>MOOE</v>
      </c>
      <c r="Z939" s="441">
        <f>VLOOKUP(H939,'Fund Utilization Report'!$A$4:$U$1800,8,FALSE)</f>
        <v>5020000000</v>
      </c>
      <c r="AA939" s="239" t="str">
        <f>VLOOKUP(H939,'Fund Utilization Report'!$A$4:$U$1800,14,FALSE)</f>
        <v>340200100002000</v>
      </c>
      <c r="AB939" s="242" t="str">
        <f>VLOOKUP(H939,'Fund Utilization Report'!$A$4:$U$1800,15,FALSE)</f>
        <v>Implementation of Plans, projects and activities on consumer awareness, education, and advocacy</v>
      </c>
      <c r="AC939" s="51"/>
      <c r="AD939" s="435"/>
      <c r="AE939" s="51"/>
      <c r="AF939" s="51"/>
      <c r="AG939" s="442"/>
      <c r="AH939" s="442"/>
      <c r="AI939" s="443"/>
    </row>
    <row r="940" spans="1:35" s="32" customFormat="1" ht="27.6">
      <c r="A940" s="434" t="s">
        <v>942</v>
      </c>
      <c r="B940" s="457" t="s">
        <v>946</v>
      </c>
      <c r="C940" s="233">
        <v>44263</v>
      </c>
      <c r="D940" s="435" t="s">
        <v>1267</v>
      </c>
      <c r="E940" s="436" t="s">
        <v>1375</v>
      </c>
      <c r="F940" s="338">
        <v>0.46736111111111112</v>
      </c>
      <c r="G940" s="338">
        <v>0.4680555555555555</v>
      </c>
      <c r="H940" s="338" t="s">
        <v>961</v>
      </c>
      <c r="I940" s="353">
        <v>761</v>
      </c>
      <c r="J940" s="338" t="str">
        <f>IFERROR(VLOOKUP(I940,'Chart of accounts'!A:H,2,FALSE),"")</f>
        <v>50203090 00</v>
      </c>
      <c r="K940" s="338" t="str">
        <f>IFERROR(VLOOKUP(I940,'Chart of accounts'!A:H,3,FALSE),"")</f>
        <v>Fuel, Oil and Lubricants Expenses</v>
      </c>
      <c r="L940" s="338" t="str">
        <f>IFERROR(VLOOKUP(I940,'Chart of accounts'!A:H,4,FALSE),"")</f>
        <v>50203090 00 - Fuel, Oil and Lubricants Expenses (761)</v>
      </c>
      <c r="M940" s="361" t="s">
        <v>816</v>
      </c>
      <c r="N940" s="355" t="s">
        <v>810</v>
      </c>
      <c r="O940" s="355" t="s">
        <v>1357</v>
      </c>
      <c r="P940" s="355"/>
      <c r="Q940" s="355">
        <v>6124.51</v>
      </c>
      <c r="R940" s="319">
        <f t="shared" si="23"/>
        <v>-6124.51</v>
      </c>
      <c r="S940" s="239" t="str">
        <f>VLOOKUP(H940,'Fund Utilization Report'!$A$4:$U$1800,13,FALSE)</f>
        <v>MOOE</v>
      </c>
      <c r="T940" s="239" t="str">
        <f>VLOOKUP(H940,'Fund Utilization Report'!$A$4:$U$1800,2,FALSE)</f>
        <v>GAA</v>
      </c>
      <c r="U940" s="239" t="str">
        <f>VLOOKUP(H940,'Fund Utilization Report'!$A$4:$U$1800,3,FALSE)</f>
        <v>FY2021, RA11518</v>
      </c>
      <c r="V940" s="239" t="str">
        <f>VLOOKUP(H940,'Fund Utilization Report'!$A$4:$U$1800,4,FALSE)</f>
        <v>GAS(GMS)</v>
      </c>
      <c r="W940" s="239" t="str">
        <f>VLOOKUP(H940,'Fund Utilization Report'!$A$4:$U$1800,5,FALSE)</f>
        <v>01101101</v>
      </c>
      <c r="X940" s="239" t="str">
        <f>VLOOKUP(H940,'Fund Utilization Report'!$A$4:$U$1800,6,FALSE)</f>
        <v>GOP</v>
      </c>
      <c r="Y940" s="440" t="str">
        <f>VLOOKUP(H940,'Fund Utilization Report'!$A$4:$U$1800,7,FALSE)</f>
        <v>MOOE</v>
      </c>
      <c r="Z940" s="441">
        <f>VLOOKUP(H940,'Fund Utilization Report'!$A$4:$U$1800,8,FALSE)</f>
        <v>5020000000</v>
      </c>
      <c r="AA940" s="239" t="str">
        <f>VLOOKUP(H940,'Fund Utilization Report'!$A$4:$U$1800,14,FALSE)</f>
        <v>100000100001000</v>
      </c>
      <c r="AB940" s="242" t="str">
        <f>VLOOKUP(H940,'Fund Utilization Report'!$A$4:$U$1800,15,FALSE)</f>
        <v>General Administration and Supervision - General Management and Supervision</v>
      </c>
      <c r="AC940" s="51"/>
      <c r="AD940" s="435"/>
      <c r="AE940" s="51"/>
      <c r="AF940" s="51"/>
      <c r="AG940" s="442"/>
      <c r="AH940" s="442"/>
      <c r="AI940" s="443"/>
    </row>
    <row r="941" spans="1:35" s="32" customFormat="1">
      <c r="A941" s="434" t="s">
        <v>942</v>
      </c>
      <c r="B941" s="457" t="s">
        <v>946</v>
      </c>
      <c r="C941" s="233">
        <v>44263</v>
      </c>
      <c r="D941" s="435" t="s">
        <v>1267</v>
      </c>
      <c r="E941" s="436" t="s">
        <v>1376</v>
      </c>
      <c r="F941" s="338">
        <v>0.48541666666666666</v>
      </c>
      <c r="G941" s="338">
        <v>0.4861111111111111</v>
      </c>
      <c r="H941" s="338" t="s">
        <v>961</v>
      </c>
      <c r="I941" s="353">
        <v>766</v>
      </c>
      <c r="J941" s="338" t="str">
        <f>IFERROR(VLOOKUP(I941,'Chart of accounts'!A:H,2,FALSE),"")</f>
        <v>50204010 00</v>
      </c>
      <c r="K941" s="338" t="str">
        <f>IFERROR(VLOOKUP(I941,'Chart of accounts'!A:H,3,FALSE),"")</f>
        <v>Water Expenses</v>
      </c>
      <c r="L941" s="338" t="str">
        <f>IFERROR(VLOOKUP(I941,'Chart of accounts'!A:H,4,FALSE),"")</f>
        <v>50204010 00 - Water Expenses (766)</v>
      </c>
      <c r="M941" s="361">
        <v>1</v>
      </c>
      <c r="N941" s="355" t="s">
        <v>836</v>
      </c>
      <c r="O941" s="355" t="s">
        <v>1358</v>
      </c>
      <c r="P941" s="355"/>
      <c r="Q941" s="355">
        <v>2275</v>
      </c>
      <c r="R941" s="319">
        <f t="shared" si="23"/>
        <v>-2275</v>
      </c>
      <c r="S941" s="239" t="str">
        <f>VLOOKUP(H941,'Fund Utilization Report'!$A$4:$U$1800,13,FALSE)</f>
        <v>MOOE</v>
      </c>
      <c r="T941" s="239" t="str">
        <f>VLOOKUP(H941,'Fund Utilization Report'!$A$4:$U$1800,2,FALSE)</f>
        <v>GAA</v>
      </c>
      <c r="U941" s="239" t="str">
        <f>VLOOKUP(H941,'Fund Utilization Report'!$A$4:$U$1800,3,FALSE)</f>
        <v>FY2021, RA11518</v>
      </c>
      <c r="V941" s="239" t="str">
        <f>VLOOKUP(H941,'Fund Utilization Report'!$A$4:$U$1800,4,FALSE)</f>
        <v>GAS(GMS)</v>
      </c>
      <c r="W941" s="239" t="str">
        <f>VLOOKUP(H941,'Fund Utilization Report'!$A$4:$U$1800,5,FALSE)</f>
        <v>01101101</v>
      </c>
      <c r="X941" s="239" t="str">
        <f>VLOOKUP(H941,'Fund Utilization Report'!$A$4:$U$1800,6,FALSE)</f>
        <v>GOP</v>
      </c>
      <c r="Y941" s="440" t="str">
        <f>VLOOKUP(H941,'Fund Utilization Report'!$A$4:$U$1800,7,FALSE)</f>
        <v>MOOE</v>
      </c>
      <c r="Z941" s="441">
        <f>VLOOKUP(H941,'Fund Utilization Report'!$A$4:$U$1800,8,FALSE)</f>
        <v>5020000000</v>
      </c>
      <c r="AA941" s="239" t="str">
        <f>VLOOKUP(H941,'Fund Utilization Report'!$A$4:$U$1800,14,FALSE)</f>
        <v>100000100001000</v>
      </c>
      <c r="AB941" s="242" t="str">
        <f>VLOOKUP(H941,'Fund Utilization Report'!$A$4:$U$1800,15,FALSE)</f>
        <v>General Administration and Supervision - General Management and Supervision</v>
      </c>
      <c r="AC941" s="51"/>
      <c r="AD941" s="435"/>
      <c r="AE941" s="51"/>
      <c r="AF941" s="51"/>
      <c r="AG941" s="442"/>
      <c r="AH941" s="442"/>
      <c r="AI941" s="443"/>
    </row>
    <row r="942" spans="1:35" s="32" customFormat="1" ht="27.6">
      <c r="A942" s="434" t="s">
        <v>942</v>
      </c>
      <c r="B942" s="457" t="s">
        <v>946</v>
      </c>
      <c r="C942" s="233">
        <v>44263</v>
      </c>
      <c r="D942" s="435" t="s">
        <v>1267</v>
      </c>
      <c r="E942" s="436" t="s">
        <v>1377</v>
      </c>
      <c r="F942" s="338">
        <v>0.4861111111111111</v>
      </c>
      <c r="G942" s="338">
        <v>0.48680555555555555</v>
      </c>
      <c r="H942" s="338" t="s">
        <v>961</v>
      </c>
      <c r="I942" s="353">
        <v>771</v>
      </c>
      <c r="J942" s="338" t="str">
        <f>IFERROR(VLOOKUP(I942,'Chart of accounts'!A:H,2,FALSE),"")</f>
        <v>50205010 00</v>
      </c>
      <c r="K942" s="338" t="str">
        <f>IFERROR(VLOOKUP(I942,'Chart of accounts'!A:H,3,FALSE),"")</f>
        <v>Postage and Courier Services</v>
      </c>
      <c r="L942" s="338" t="str">
        <f>IFERROR(VLOOKUP(I942,'Chart of accounts'!A:H,4,FALSE),"")</f>
        <v>50205010 00 - Postage and Courier Services (771)</v>
      </c>
      <c r="M942" s="361">
        <v>1</v>
      </c>
      <c r="N942" s="355" t="s">
        <v>1359</v>
      </c>
      <c r="O942" s="355" t="s">
        <v>1360</v>
      </c>
      <c r="P942" s="355"/>
      <c r="Q942" s="355">
        <v>6323</v>
      </c>
      <c r="R942" s="319">
        <f t="shared" si="23"/>
        <v>-6323</v>
      </c>
      <c r="S942" s="239" t="str">
        <f>VLOOKUP(H942,'Fund Utilization Report'!$A$4:$U$1800,13,FALSE)</f>
        <v>MOOE</v>
      </c>
      <c r="T942" s="239" t="str">
        <f>VLOOKUP(H942,'Fund Utilization Report'!$A$4:$U$1800,2,FALSE)</f>
        <v>GAA</v>
      </c>
      <c r="U942" s="239" t="str">
        <f>VLOOKUP(H942,'Fund Utilization Report'!$A$4:$U$1800,3,FALSE)</f>
        <v>FY2021, RA11518</v>
      </c>
      <c r="V942" s="239" t="str">
        <f>VLOOKUP(H942,'Fund Utilization Report'!$A$4:$U$1800,4,FALSE)</f>
        <v>GAS(GMS)</v>
      </c>
      <c r="W942" s="239" t="str">
        <f>VLOOKUP(H942,'Fund Utilization Report'!$A$4:$U$1800,5,FALSE)</f>
        <v>01101101</v>
      </c>
      <c r="X942" s="239" t="str">
        <f>VLOOKUP(H942,'Fund Utilization Report'!$A$4:$U$1800,6,FALSE)</f>
        <v>GOP</v>
      </c>
      <c r="Y942" s="440" t="str">
        <f>VLOOKUP(H942,'Fund Utilization Report'!$A$4:$U$1800,7,FALSE)</f>
        <v>MOOE</v>
      </c>
      <c r="Z942" s="441">
        <f>VLOOKUP(H942,'Fund Utilization Report'!$A$4:$U$1800,8,FALSE)</f>
        <v>5020000000</v>
      </c>
      <c r="AA942" s="239" t="str">
        <f>VLOOKUP(H942,'Fund Utilization Report'!$A$4:$U$1800,14,FALSE)</f>
        <v>100000100001000</v>
      </c>
      <c r="AB942" s="242" t="str">
        <f>VLOOKUP(H942,'Fund Utilization Report'!$A$4:$U$1800,15,FALSE)</f>
        <v>General Administration and Supervision - General Management and Supervision</v>
      </c>
      <c r="AC942" s="51"/>
      <c r="AD942" s="435"/>
      <c r="AE942" s="51"/>
      <c r="AF942" s="51"/>
      <c r="AG942" s="442"/>
      <c r="AH942" s="442"/>
      <c r="AI942" s="443"/>
    </row>
    <row r="943" spans="1:35" s="32" customFormat="1" ht="27.6">
      <c r="A943" s="434" t="s">
        <v>942</v>
      </c>
      <c r="B943" s="457" t="s">
        <v>946</v>
      </c>
      <c r="C943" s="233">
        <v>44263</v>
      </c>
      <c r="D943" s="435" t="s">
        <v>1267</v>
      </c>
      <c r="E943" s="436" t="s">
        <v>1378</v>
      </c>
      <c r="F943" s="338">
        <v>0.48680555555555555</v>
      </c>
      <c r="G943" s="338">
        <v>0.48749999999999999</v>
      </c>
      <c r="H943" s="338" t="s">
        <v>961</v>
      </c>
      <c r="I943" s="353">
        <v>786</v>
      </c>
      <c r="J943" s="338" t="str">
        <f>IFERROR(VLOOKUP(I943,'Chart of accounts'!A:H,2,FALSE),"")</f>
        <v>50299070 00</v>
      </c>
      <c r="K943" s="338" t="str">
        <f>IFERROR(VLOOKUP(I943,'Chart of accounts'!A:H,3,FALSE),"")</f>
        <v>Subscriptions Expenses</v>
      </c>
      <c r="L943" s="338" t="str">
        <f>IFERROR(VLOOKUP(I943,'Chart of accounts'!A:H,4,FALSE),"")</f>
        <v>50299070 00 - Subscriptions Expenses (786)</v>
      </c>
      <c r="M943" s="361">
        <v>1</v>
      </c>
      <c r="N943" s="355" t="s">
        <v>1072</v>
      </c>
      <c r="O943" s="355" t="s">
        <v>1361</v>
      </c>
      <c r="P943" s="355"/>
      <c r="Q943" s="355">
        <v>1242</v>
      </c>
      <c r="R943" s="319">
        <f t="shared" si="23"/>
        <v>-1242</v>
      </c>
      <c r="S943" s="239" t="str">
        <f>VLOOKUP(H943,'Fund Utilization Report'!$A$4:$U$1800,13,FALSE)</f>
        <v>MOOE</v>
      </c>
      <c r="T943" s="239" t="str">
        <f>VLOOKUP(H943,'Fund Utilization Report'!$A$4:$U$1800,2,FALSE)</f>
        <v>GAA</v>
      </c>
      <c r="U943" s="239" t="str">
        <f>VLOOKUP(H943,'Fund Utilization Report'!$A$4:$U$1800,3,FALSE)</f>
        <v>FY2021, RA11518</v>
      </c>
      <c r="V943" s="239" t="str">
        <f>VLOOKUP(H943,'Fund Utilization Report'!$A$4:$U$1800,4,FALSE)</f>
        <v>GAS(GMS)</v>
      </c>
      <c r="W943" s="239" t="str">
        <f>VLOOKUP(H943,'Fund Utilization Report'!$A$4:$U$1800,5,FALSE)</f>
        <v>01101101</v>
      </c>
      <c r="X943" s="239" t="str">
        <f>VLOOKUP(H943,'Fund Utilization Report'!$A$4:$U$1800,6,FALSE)</f>
        <v>GOP</v>
      </c>
      <c r="Y943" s="440" t="str">
        <f>VLOOKUP(H943,'Fund Utilization Report'!$A$4:$U$1800,7,FALSE)</f>
        <v>MOOE</v>
      </c>
      <c r="Z943" s="441">
        <f>VLOOKUP(H943,'Fund Utilization Report'!$A$4:$U$1800,8,FALSE)</f>
        <v>5020000000</v>
      </c>
      <c r="AA943" s="239" t="str">
        <f>VLOOKUP(H943,'Fund Utilization Report'!$A$4:$U$1800,14,FALSE)</f>
        <v>100000100001000</v>
      </c>
      <c r="AB943" s="242" t="str">
        <f>VLOOKUP(H943,'Fund Utilization Report'!$A$4:$U$1800,15,FALSE)</f>
        <v>General Administration and Supervision - General Management and Supervision</v>
      </c>
      <c r="AC943" s="51"/>
      <c r="AD943" s="435"/>
      <c r="AE943" s="51"/>
      <c r="AF943" s="51"/>
      <c r="AG943" s="442"/>
      <c r="AH943" s="442"/>
      <c r="AI943" s="443"/>
    </row>
    <row r="944" spans="1:35" s="32" customFormat="1" ht="27.6">
      <c r="A944" s="434" t="s">
        <v>942</v>
      </c>
      <c r="B944" s="457" t="s">
        <v>946</v>
      </c>
      <c r="C944" s="233">
        <v>44263</v>
      </c>
      <c r="D944" s="435" t="s">
        <v>1267</v>
      </c>
      <c r="E944" s="436" t="s">
        <v>1379</v>
      </c>
      <c r="F944" s="338">
        <v>0.48749999999999999</v>
      </c>
      <c r="G944" s="338">
        <v>0.48888888888888887</v>
      </c>
      <c r="H944" s="338" t="s">
        <v>968</v>
      </c>
      <c r="I944" s="353">
        <v>782</v>
      </c>
      <c r="J944" s="338" t="str">
        <f>IFERROR(VLOOKUP(I944,'Chart of accounts'!A:H,2,FALSE),"")</f>
        <v>50299050 01</v>
      </c>
      <c r="K944" s="338" t="str">
        <f>IFERROR(VLOOKUP(I944,'Chart of accounts'!A:H,3,FALSE),"")</f>
        <v>Rent - Buildings and Structures</v>
      </c>
      <c r="L944" s="338" t="str">
        <f>IFERROR(VLOOKUP(I944,'Chart of accounts'!A:H,4,FALSE),"")</f>
        <v>50299050 01 - Rent - Buildings and Structures (782)</v>
      </c>
      <c r="M944" s="361">
        <v>1</v>
      </c>
      <c r="N944" s="355" t="s">
        <v>1362</v>
      </c>
      <c r="O944" s="355" t="s">
        <v>1363</v>
      </c>
      <c r="P944" s="355"/>
      <c r="Q944" s="355">
        <f>170501.47-20000</f>
        <v>150501.47</v>
      </c>
      <c r="R944" s="319">
        <f t="shared" ref="R944:R970" si="24">P944-Q944</f>
        <v>-150501.47</v>
      </c>
      <c r="S944" s="239" t="str">
        <f>VLOOKUP(H944,'Fund Utilization Report'!$A$4:$U$1800,13,FALSE)</f>
        <v>MOOE</v>
      </c>
      <c r="T944" s="239" t="str">
        <f>VLOOKUP(H944,'Fund Utilization Report'!$A$4:$U$1800,2,FALSE)</f>
        <v>GAA</v>
      </c>
      <c r="U944" s="239" t="str">
        <f>VLOOKUP(H944,'Fund Utilization Report'!$A$4:$U$1800,3,FALSE)</f>
        <v>FY2021, RA11518</v>
      </c>
      <c r="V944" s="239" t="str">
        <f>VLOOKUP(H944,'Fund Utilization Report'!$A$4:$U$1800,4,FALSE)</f>
        <v>OO2</v>
      </c>
      <c r="W944" s="239" t="str">
        <f>VLOOKUP(H944,'Fund Utilization Report'!$A$4:$U$1800,5,FALSE)</f>
        <v>01101101</v>
      </c>
      <c r="X944" s="239" t="str">
        <f>VLOOKUP(H944,'Fund Utilization Report'!$A$4:$U$1800,6,FALSE)</f>
        <v>GOP</v>
      </c>
      <c r="Y944" s="440" t="str">
        <f>VLOOKUP(H944,'Fund Utilization Report'!$A$4:$U$1800,7,FALSE)</f>
        <v>MOOE</v>
      </c>
      <c r="Z944" s="441">
        <f>VLOOKUP(H944,'Fund Utilization Report'!$A$4:$U$1800,8,FALSE)</f>
        <v>5020000000</v>
      </c>
      <c r="AA944" s="239" t="str">
        <f>VLOOKUP(H944,'Fund Utilization Report'!$A$4:$U$1800,14,FALSE)</f>
        <v>320100100001000</v>
      </c>
      <c r="AB944" s="242" t="str">
        <f>VLOOKUP(H944,'Fund Utilization Report'!$A$4:$U$1800,15,FALSE)</f>
        <v>Formulation of Strategic plans,programs, and policies to develop competitve industries</v>
      </c>
      <c r="AC944" s="51"/>
      <c r="AD944" s="435"/>
      <c r="AE944" s="51"/>
      <c r="AF944" s="51"/>
      <c r="AG944" s="442"/>
      <c r="AH944" s="442"/>
      <c r="AI944" s="443"/>
    </row>
    <row r="945" spans="1:35" s="32" customFormat="1" ht="27.6">
      <c r="A945" s="434" t="s">
        <v>942</v>
      </c>
      <c r="B945" s="457" t="s">
        <v>946</v>
      </c>
      <c r="C945" s="233">
        <v>44263</v>
      </c>
      <c r="D945" s="435" t="s">
        <v>1267</v>
      </c>
      <c r="E945" s="436" t="s">
        <v>1379</v>
      </c>
      <c r="F945" s="338">
        <v>0.48749999999999999</v>
      </c>
      <c r="G945" s="338">
        <v>0.48888888888888887</v>
      </c>
      <c r="H945" s="338" t="s">
        <v>980</v>
      </c>
      <c r="I945" s="353">
        <v>782</v>
      </c>
      <c r="J945" s="338" t="str">
        <f>IFERROR(VLOOKUP(I945,'Chart of accounts'!A:H,2,FALSE),"")</f>
        <v>50299050 01</v>
      </c>
      <c r="K945" s="338" t="str">
        <f>IFERROR(VLOOKUP(I945,'Chart of accounts'!A:H,3,FALSE),"")</f>
        <v>Rent - Buildings and Structures</v>
      </c>
      <c r="L945" s="338" t="str">
        <f>IFERROR(VLOOKUP(I945,'Chart of accounts'!A:H,4,FALSE),"")</f>
        <v>50299050 01 - Rent - Buildings and Structures (782)</v>
      </c>
      <c r="M945" s="361">
        <v>1</v>
      </c>
      <c r="N945" s="355" t="s">
        <v>1362</v>
      </c>
      <c r="O945" s="355" t="s">
        <v>1363</v>
      </c>
      <c r="P945" s="355"/>
      <c r="Q945" s="363">
        <v>20000</v>
      </c>
      <c r="R945" s="319">
        <f t="shared" si="24"/>
        <v>-20000</v>
      </c>
      <c r="S945" s="239" t="str">
        <f>VLOOKUP(H945,'Fund Utilization Report'!$A$4:$U$1800,13,FALSE)</f>
        <v>MOOE</v>
      </c>
      <c r="T945" s="239" t="str">
        <f>VLOOKUP(H945,'Fund Utilization Report'!$A$4:$U$1800,2,FALSE)</f>
        <v>GAA</v>
      </c>
      <c r="U945" s="239" t="str">
        <f>VLOOKUP(H945,'Fund Utilization Report'!$A$4:$U$1800,3,FALSE)</f>
        <v>FY2021, RA11518</v>
      </c>
      <c r="V945" s="239" t="str">
        <f>VLOOKUP(H945,'Fund Utilization Report'!$A$4:$U$1800,4,FALSE)</f>
        <v>NC</v>
      </c>
      <c r="W945" s="239" t="str">
        <f>VLOOKUP(H945,'Fund Utilization Report'!$A$4:$U$1800,5,FALSE)</f>
        <v>01101101</v>
      </c>
      <c r="X945" s="239" t="str">
        <f>VLOOKUP(H945,'Fund Utilization Report'!$A$4:$U$1800,6,FALSE)</f>
        <v>GOP</v>
      </c>
      <c r="Y945" s="440" t="str">
        <f>VLOOKUP(H945,'Fund Utilization Report'!$A$4:$U$1800,7,FALSE)</f>
        <v>MOOE</v>
      </c>
      <c r="Z945" s="441">
        <f>VLOOKUP(H945,'Fund Utilization Report'!$A$4:$U$1800,8,FALSE)</f>
        <v>5020000000</v>
      </c>
      <c r="AA945" s="239" t="str">
        <f>VLOOKUP(H945,'Fund Utilization Report'!$A$4:$U$1800,14,FALSE)</f>
        <v>330100200001000</v>
      </c>
      <c r="AB945" s="242" t="str">
        <f>VLOOKUP(H945,'Fund Utilization Report'!$A$4:$U$1800,15,FALSE)</f>
        <v>Establishment of Negosyo Centers</v>
      </c>
      <c r="AC945" s="51"/>
      <c r="AD945" s="435"/>
      <c r="AE945" s="51"/>
      <c r="AF945" s="51"/>
      <c r="AG945" s="442"/>
      <c r="AH945" s="442"/>
      <c r="AI945" s="443"/>
    </row>
    <row r="946" spans="1:35" s="32" customFormat="1" ht="27.6">
      <c r="A946" s="434" t="s">
        <v>942</v>
      </c>
      <c r="B946" s="457" t="s">
        <v>946</v>
      </c>
      <c r="C946" s="233">
        <v>44265</v>
      </c>
      <c r="D946" s="435" t="s">
        <v>1267</v>
      </c>
      <c r="E946" s="436" t="s">
        <v>1383</v>
      </c>
      <c r="F946" s="338">
        <v>0.39861111111111108</v>
      </c>
      <c r="G946" s="338">
        <v>0.39861111111111108</v>
      </c>
      <c r="H946" s="338" t="s">
        <v>961</v>
      </c>
      <c r="I946" s="353">
        <v>783</v>
      </c>
      <c r="J946" s="338" t="str">
        <f>IFERROR(VLOOKUP(I946,'Chart of accounts'!A:H,2,FALSE),"")</f>
        <v>50299030 00</v>
      </c>
      <c r="K946" s="338" t="str">
        <f>IFERROR(VLOOKUP(I946,'Chart of accounts'!A:H,3,FALSE),"")</f>
        <v>Representation Expenses</v>
      </c>
      <c r="L946" s="338" t="str">
        <f>IFERROR(VLOOKUP(I946,'Chart of accounts'!A:H,4,FALSE),"")</f>
        <v>50299030 00 - Representation Expenses (783)</v>
      </c>
      <c r="M946" s="361" t="s">
        <v>812</v>
      </c>
      <c r="N946" s="355" t="s">
        <v>1380</v>
      </c>
      <c r="O946" s="355" t="s">
        <v>1381</v>
      </c>
      <c r="P946" s="355"/>
      <c r="Q946" s="355">
        <v>7635</v>
      </c>
      <c r="R946" s="319">
        <f t="shared" si="24"/>
        <v>-7635</v>
      </c>
      <c r="S946" s="239" t="str">
        <f>VLOOKUP(H946,'Fund Utilization Report'!$A$4:$U$1800,13,FALSE)</f>
        <v>MOOE</v>
      </c>
      <c r="T946" s="239" t="str">
        <f>VLOOKUP(H946,'Fund Utilization Report'!$A$4:$U$1800,2,FALSE)</f>
        <v>GAA</v>
      </c>
      <c r="U946" s="239" t="str">
        <f>VLOOKUP(H946,'Fund Utilization Report'!$A$4:$U$1800,3,FALSE)</f>
        <v>FY2021, RA11518</v>
      </c>
      <c r="V946" s="239" t="str">
        <f>VLOOKUP(H946,'Fund Utilization Report'!$A$4:$U$1800,4,FALSE)</f>
        <v>GAS(GMS)</v>
      </c>
      <c r="W946" s="239" t="str">
        <f>VLOOKUP(H946,'Fund Utilization Report'!$A$4:$U$1800,5,FALSE)</f>
        <v>01101101</v>
      </c>
      <c r="X946" s="239" t="str">
        <f>VLOOKUP(H946,'Fund Utilization Report'!$A$4:$U$1800,6,FALSE)</f>
        <v>GOP</v>
      </c>
      <c r="Y946" s="440" t="str">
        <f>VLOOKUP(H946,'Fund Utilization Report'!$A$4:$U$1800,7,FALSE)</f>
        <v>MOOE</v>
      </c>
      <c r="Z946" s="441">
        <f>VLOOKUP(H946,'Fund Utilization Report'!$A$4:$U$1800,8,FALSE)</f>
        <v>5020000000</v>
      </c>
      <c r="AA946" s="239" t="str">
        <f>VLOOKUP(H946,'Fund Utilization Report'!$A$4:$U$1800,14,FALSE)</f>
        <v>100000100001000</v>
      </c>
      <c r="AB946" s="242" t="str">
        <f>VLOOKUP(H946,'Fund Utilization Report'!$A$4:$U$1800,15,FALSE)</f>
        <v>General Administration and Supervision - General Management and Supervision</v>
      </c>
      <c r="AC946" s="51"/>
      <c r="AD946" s="435"/>
      <c r="AE946" s="51"/>
      <c r="AF946" s="51"/>
      <c r="AG946" s="442"/>
      <c r="AH946" s="442"/>
      <c r="AI946" s="443"/>
    </row>
    <row r="947" spans="1:35" s="32" customFormat="1" ht="27.6">
      <c r="A947" s="434" t="s">
        <v>942</v>
      </c>
      <c r="B947" s="457" t="s">
        <v>946</v>
      </c>
      <c r="C947" s="233">
        <v>44265</v>
      </c>
      <c r="D947" s="435" t="s">
        <v>1267</v>
      </c>
      <c r="E947" s="436" t="s">
        <v>1385</v>
      </c>
      <c r="F947" s="338">
        <v>0.39861111111111108</v>
      </c>
      <c r="G947" s="338">
        <v>0.40486111111111112</v>
      </c>
      <c r="H947" s="338" t="s">
        <v>960</v>
      </c>
      <c r="I947" s="353">
        <v>701</v>
      </c>
      <c r="J947" s="338" t="str">
        <f>IFERROR(VLOOKUP(I947,'Chart of accounts'!A:H,2,FALSE),"")</f>
        <v>50101010 01</v>
      </c>
      <c r="K947" s="338" t="str">
        <f>IFERROR(VLOOKUP(I947,'Chart of accounts'!A:H,3,FALSE),"")</f>
        <v>Basic Salary - Civilian</v>
      </c>
      <c r="L947" s="338" t="str">
        <f>IFERROR(VLOOKUP(I947,'Chart of accounts'!A:H,4,FALSE),"")</f>
        <v>50101010 01 - Basic Salary - Civilian (701)</v>
      </c>
      <c r="M947" s="361">
        <v>3</v>
      </c>
      <c r="N947" s="355" t="s">
        <v>777</v>
      </c>
      <c r="O947" s="355" t="s">
        <v>1384</v>
      </c>
      <c r="P947" s="355"/>
      <c r="Q947" s="363">
        <v>97270</v>
      </c>
      <c r="R947" s="319">
        <f t="shared" si="24"/>
        <v>-97270</v>
      </c>
      <c r="S947" s="239" t="str">
        <f>VLOOKUP(H947,'Fund Utilization Report'!$A$4:$U$1800,13,FALSE)</f>
        <v>PS</v>
      </c>
      <c r="T947" s="239" t="str">
        <f>VLOOKUP(H947,'Fund Utilization Report'!$A$4:$U$1800,2,FALSE)</f>
        <v>GAA</v>
      </c>
      <c r="U947" s="239" t="str">
        <f>VLOOKUP(H947,'Fund Utilization Report'!$A$4:$U$1800,3,FALSE)</f>
        <v>FY2021, RA11518</v>
      </c>
      <c r="V947" s="239" t="str">
        <f>VLOOKUP(H947,'Fund Utilization Report'!$A$4:$U$1800,4,FALSE)</f>
        <v>GAS(GMS)</v>
      </c>
      <c r="W947" s="239" t="str">
        <f>VLOOKUP(H947,'Fund Utilization Report'!$A$4:$U$1800,5,FALSE)</f>
        <v>01101101</v>
      </c>
      <c r="X947" s="239" t="str">
        <f>VLOOKUP(H947,'Fund Utilization Report'!$A$4:$U$1800,6,FALSE)</f>
        <v>GOP</v>
      </c>
      <c r="Y947" s="440" t="str">
        <f>VLOOKUP(H947,'Fund Utilization Report'!$A$4:$U$1800,7,FALSE)</f>
        <v>PS</v>
      </c>
      <c r="Z947" s="441">
        <f>VLOOKUP(H947,'Fund Utilization Report'!$A$4:$U$1800,8,FALSE)</f>
        <v>5010000000</v>
      </c>
      <c r="AA947" s="239" t="str">
        <f>VLOOKUP(H947,'Fund Utilization Report'!$A$4:$U$1800,14,FALSE)</f>
        <v>100000100001000</v>
      </c>
      <c r="AB947" s="242" t="str">
        <f>VLOOKUP(H947,'Fund Utilization Report'!$A$4:$U$1800,15,FALSE)</f>
        <v>General Administration and Supervision - General Management and Supervision</v>
      </c>
      <c r="AC947" s="51"/>
      <c r="AD947" s="435"/>
      <c r="AE947" s="51"/>
      <c r="AF947" s="51"/>
      <c r="AG947" s="442"/>
      <c r="AH947" s="442"/>
      <c r="AI947" s="443"/>
    </row>
    <row r="948" spans="1:35" s="32" customFormat="1" ht="27.6">
      <c r="A948" s="434" t="s">
        <v>942</v>
      </c>
      <c r="B948" s="457" t="s">
        <v>946</v>
      </c>
      <c r="C948" s="233">
        <v>44265</v>
      </c>
      <c r="D948" s="435" t="s">
        <v>1267</v>
      </c>
      <c r="E948" s="436" t="s">
        <v>1385</v>
      </c>
      <c r="F948" s="338">
        <v>0.39861111111111108</v>
      </c>
      <c r="G948" s="338">
        <v>0.40486111111111112</v>
      </c>
      <c r="H948" s="338" t="s">
        <v>960</v>
      </c>
      <c r="I948" s="353">
        <v>711</v>
      </c>
      <c r="J948" s="338" t="str">
        <f>IFERROR(VLOOKUP(I948,'Chart of accounts'!A:H,2,FALSE),"")</f>
        <v>50102010 01</v>
      </c>
      <c r="K948" s="338" t="str">
        <f>IFERROR(VLOOKUP(I948,'Chart of accounts'!A:H,3,FALSE),"")</f>
        <v>PERA - Civilian</v>
      </c>
      <c r="L948" s="338" t="str">
        <f>IFERROR(VLOOKUP(I948,'Chart of accounts'!A:H,4,FALSE),"")</f>
        <v>50102010 01 - PERA - Civilian (711)</v>
      </c>
      <c r="M948" s="361">
        <v>3</v>
      </c>
      <c r="N948" s="355" t="s">
        <v>777</v>
      </c>
      <c r="O948" s="355" t="s">
        <v>1384</v>
      </c>
      <c r="P948" s="355"/>
      <c r="Q948" s="363">
        <v>8000</v>
      </c>
      <c r="R948" s="428">
        <f t="shared" si="24"/>
        <v>-8000</v>
      </c>
      <c r="S948" s="239" t="str">
        <f>VLOOKUP(H948,'Fund Utilization Report'!$A$4:$U$1800,13,FALSE)</f>
        <v>PS</v>
      </c>
      <c r="T948" s="239" t="str">
        <f>VLOOKUP(H948,'Fund Utilization Report'!$A$4:$U$1800,2,FALSE)</f>
        <v>GAA</v>
      </c>
      <c r="U948" s="239" t="str">
        <f>VLOOKUP(H948,'Fund Utilization Report'!$A$4:$U$1800,3,FALSE)</f>
        <v>FY2021, RA11518</v>
      </c>
      <c r="V948" s="239" t="str">
        <f>VLOOKUP(H948,'Fund Utilization Report'!$A$4:$U$1800,4,FALSE)</f>
        <v>GAS(GMS)</v>
      </c>
      <c r="W948" s="239" t="str">
        <f>VLOOKUP(H948,'Fund Utilization Report'!$A$4:$U$1800,5,FALSE)</f>
        <v>01101101</v>
      </c>
      <c r="X948" s="239" t="str">
        <f>VLOOKUP(H948,'Fund Utilization Report'!$A$4:$U$1800,6,FALSE)</f>
        <v>GOP</v>
      </c>
      <c r="Y948" s="440" t="str">
        <f>VLOOKUP(H948,'Fund Utilization Report'!$A$4:$U$1800,7,FALSE)</f>
        <v>PS</v>
      </c>
      <c r="Z948" s="441">
        <f>VLOOKUP(H948,'Fund Utilization Report'!$A$4:$U$1800,8,FALSE)</f>
        <v>5010000000</v>
      </c>
      <c r="AA948" s="239" t="str">
        <f>VLOOKUP(H948,'Fund Utilization Report'!$A$4:$U$1800,14,FALSE)</f>
        <v>100000100001000</v>
      </c>
      <c r="AB948" s="242" t="str">
        <f>VLOOKUP(H948,'Fund Utilization Report'!$A$4:$U$1800,15,FALSE)</f>
        <v>General Administration and Supervision - General Management and Supervision</v>
      </c>
      <c r="AC948" s="51"/>
      <c r="AD948" s="435"/>
      <c r="AE948" s="51"/>
      <c r="AF948" s="51"/>
      <c r="AG948" s="442"/>
      <c r="AH948" s="442"/>
      <c r="AI948" s="443"/>
    </row>
    <row r="949" spans="1:35" s="32" customFormat="1" ht="27.6">
      <c r="A949" s="434" t="s">
        <v>942</v>
      </c>
      <c r="B949" s="457" t="s">
        <v>946</v>
      </c>
      <c r="C949" s="233">
        <v>44265</v>
      </c>
      <c r="D949" s="435" t="s">
        <v>1267</v>
      </c>
      <c r="E949" s="436" t="s">
        <v>1385</v>
      </c>
      <c r="F949" s="338">
        <v>0.39861111111111108</v>
      </c>
      <c r="G949" s="338">
        <v>0.40486111111111112</v>
      </c>
      <c r="H949" s="338" t="s">
        <v>962</v>
      </c>
      <c r="I949" s="353">
        <v>731</v>
      </c>
      <c r="J949" s="338" t="str">
        <f>IFERROR(VLOOKUP(I949,'Chart of accounts'!A:H,2,FALSE),"")</f>
        <v>50103010 00</v>
      </c>
      <c r="K949" s="338" t="str">
        <f>IFERROR(VLOOKUP(I949,'Chart of accounts'!A:H,3,FALSE),"")</f>
        <v>Retirement and Life Insurance Premiums</v>
      </c>
      <c r="L949" s="338" t="str">
        <f>IFERROR(VLOOKUP(I949,'Chart of accounts'!A:H,4,FALSE),"")</f>
        <v>50103010 00 - Retirement and Life Insurance Premiums (731)</v>
      </c>
      <c r="M949" s="361">
        <v>3</v>
      </c>
      <c r="N949" s="355" t="s">
        <v>777</v>
      </c>
      <c r="O949" s="355" t="s">
        <v>1384</v>
      </c>
      <c r="P949" s="355"/>
      <c r="Q949" s="363">
        <v>11672.4</v>
      </c>
      <c r="R949" s="428">
        <f t="shared" si="24"/>
        <v>-11672.4</v>
      </c>
      <c r="S949" s="239" t="str">
        <f>VLOOKUP(H949,'Fund Utilization Report'!$A$4:$U$1800,13,FALSE)</f>
        <v>PS</v>
      </c>
      <c r="T949" s="239" t="str">
        <f>VLOOKUP(H949,'Fund Utilization Report'!$A$4:$U$1800,2,FALSE)</f>
        <v>GAA</v>
      </c>
      <c r="U949" s="239" t="str">
        <f>VLOOKUP(H949,'Fund Utilization Report'!$A$4:$U$1800,3,FALSE)</f>
        <v>FY2021, RA11518</v>
      </c>
      <c r="V949" s="239" t="str">
        <f>VLOOKUP(H949,'Fund Utilization Report'!$A$4:$U$1800,4,FALSE)</f>
        <v>GAS(GMS)</v>
      </c>
      <c r="W949" s="239" t="str">
        <f>VLOOKUP(H949,'Fund Utilization Report'!$A$4:$U$1800,5,FALSE)</f>
        <v>01101101</v>
      </c>
      <c r="X949" s="239" t="str">
        <f>VLOOKUP(H949,'Fund Utilization Report'!$A$4:$U$1800,6,FALSE)</f>
        <v>GOP</v>
      </c>
      <c r="Y949" s="440" t="str">
        <f>VLOOKUP(H949,'Fund Utilization Report'!$A$4:$U$1800,7,FALSE)</f>
        <v>RLIP</v>
      </c>
      <c r="Z949" s="441" t="str">
        <f>VLOOKUP(H949,'Fund Utilization Report'!$A$4:$U$1800,8,FALSE)</f>
        <v>50103010-00</v>
      </c>
      <c r="AA949" s="239" t="str">
        <f>VLOOKUP(H949,'Fund Utilization Report'!$A$4:$U$1800,14,FALSE)</f>
        <v>100000100001000</v>
      </c>
      <c r="AB949" s="242" t="str">
        <f>VLOOKUP(H949,'Fund Utilization Report'!$A$4:$U$1800,15,FALSE)</f>
        <v>General Administration and Supervision - General Management and Supervision</v>
      </c>
      <c r="AC949" s="51"/>
      <c r="AD949" s="435"/>
      <c r="AE949" s="51"/>
      <c r="AF949" s="51"/>
      <c r="AG949" s="442"/>
      <c r="AH949" s="442"/>
      <c r="AI949" s="443"/>
    </row>
    <row r="950" spans="1:35" s="32" customFormat="1" ht="27.6">
      <c r="A950" s="434" t="s">
        <v>942</v>
      </c>
      <c r="B950" s="457" t="s">
        <v>946</v>
      </c>
      <c r="C950" s="233">
        <v>44265</v>
      </c>
      <c r="D950" s="435" t="s">
        <v>1267</v>
      </c>
      <c r="E950" s="436" t="s">
        <v>1385</v>
      </c>
      <c r="F950" s="338">
        <v>0.39861111111111108</v>
      </c>
      <c r="G950" s="338">
        <v>0.40486111111111112</v>
      </c>
      <c r="H950" s="338" t="s">
        <v>960</v>
      </c>
      <c r="I950" s="353">
        <v>732</v>
      </c>
      <c r="J950" s="338" t="str">
        <f>IFERROR(VLOOKUP(I950,'Chart of accounts'!A:H,2,FALSE),"")</f>
        <v>50103020 01</v>
      </c>
      <c r="K950" s="338" t="str">
        <f>IFERROR(VLOOKUP(I950,'Chart of accounts'!A:H,3,FALSE),"")</f>
        <v>Pag-IBIG - Civilian</v>
      </c>
      <c r="L950" s="338" t="str">
        <f>IFERROR(VLOOKUP(I950,'Chart of accounts'!A:H,4,FALSE),"")</f>
        <v>50103020 01 - Pag-IBIG - Civilian (732)</v>
      </c>
      <c r="M950" s="361">
        <v>3</v>
      </c>
      <c r="N950" s="355" t="s">
        <v>777</v>
      </c>
      <c r="O950" s="355" t="s">
        <v>1384</v>
      </c>
      <c r="P950" s="355"/>
      <c r="Q950" s="363">
        <v>400</v>
      </c>
      <c r="R950" s="428">
        <f t="shared" si="24"/>
        <v>-400</v>
      </c>
      <c r="S950" s="239" t="str">
        <f>VLOOKUP(H950,'Fund Utilization Report'!$A$4:$U$1800,13,FALSE)</f>
        <v>PS</v>
      </c>
      <c r="T950" s="239" t="str">
        <f>VLOOKUP(H950,'Fund Utilization Report'!$A$4:$U$1800,2,FALSE)</f>
        <v>GAA</v>
      </c>
      <c r="U950" s="239" t="str">
        <f>VLOOKUP(H950,'Fund Utilization Report'!$A$4:$U$1800,3,FALSE)</f>
        <v>FY2021, RA11518</v>
      </c>
      <c r="V950" s="239" t="str">
        <f>VLOOKUP(H950,'Fund Utilization Report'!$A$4:$U$1800,4,FALSE)</f>
        <v>GAS(GMS)</v>
      </c>
      <c r="W950" s="239" t="str">
        <f>VLOOKUP(H950,'Fund Utilization Report'!$A$4:$U$1800,5,FALSE)</f>
        <v>01101101</v>
      </c>
      <c r="X950" s="239" t="str">
        <f>VLOOKUP(H950,'Fund Utilization Report'!$A$4:$U$1800,6,FALSE)</f>
        <v>GOP</v>
      </c>
      <c r="Y950" s="440" t="str">
        <f>VLOOKUP(H950,'Fund Utilization Report'!$A$4:$U$1800,7,FALSE)</f>
        <v>PS</v>
      </c>
      <c r="Z950" s="441">
        <f>VLOOKUP(H950,'Fund Utilization Report'!$A$4:$U$1800,8,FALSE)</f>
        <v>5010000000</v>
      </c>
      <c r="AA950" s="239" t="str">
        <f>VLOOKUP(H950,'Fund Utilization Report'!$A$4:$U$1800,14,FALSE)</f>
        <v>100000100001000</v>
      </c>
      <c r="AB950" s="242" t="str">
        <f>VLOOKUP(H950,'Fund Utilization Report'!$A$4:$U$1800,15,FALSE)</f>
        <v>General Administration and Supervision - General Management and Supervision</v>
      </c>
      <c r="AC950" s="51"/>
      <c r="AD950" s="435"/>
      <c r="AE950" s="51"/>
      <c r="AF950" s="51"/>
      <c r="AG950" s="442"/>
      <c r="AH950" s="442"/>
      <c r="AI950" s="443"/>
    </row>
    <row r="951" spans="1:35" s="32" customFormat="1" ht="27.6">
      <c r="A951" s="434" t="s">
        <v>942</v>
      </c>
      <c r="B951" s="457" t="s">
        <v>946</v>
      </c>
      <c r="C951" s="233">
        <v>44265</v>
      </c>
      <c r="D951" s="435" t="s">
        <v>1267</v>
      </c>
      <c r="E951" s="436" t="s">
        <v>1385</v>
      </c>
      <c r="F951" s="338">
        <v>0.39861111111111108</v>
      </c>
      <c r="G951" s="338">
        <v>0.40486111111111112</v>
      </c>
      <c r="H951" s="338" t="s">
        <v>960</v>
      </c>
      <c r="I951" s="353">
        <v>733</v>
      </c>
      <c r="J951" s="338" t="str">
        <f>IFERROR(VLOOKUP(I951,'Chart of accounts'!A:H,2,FALSE),"")</f>
        <v>50103030 01</v>
      </c>
      <c r="K951" s="338" t="str">
        <f>IFERROR(VLOOKUP(I951,'Chart of accounts'!A:H,3,FALSE),"")</f>
        <v>PhilHealth - Civilian</v>
      </c>
      <c r="L951" s="338" t="str">
        <f>IFERROR(VLOOKUP(I951,'Chart of accounts'!A:H,4,FALSE),"")</f>
        <v>50103030 01 - PhilHealth - Civilian (733)</v>
      </c>
      <c r="M951" s="361">
        <v>3</v>
      </c>
      <c r="N951" s="355" t="s">
        <v>777</v>
      </c>
      <c r="O951" s="355" t="s">
        <v>1384</v>
      </c>
      <c r="P951" s="355"/>
      <c r="Q951" s="363">
        <v>1450.46</v>
      </c>
      <c r="R951" s="428">
        <f t="shared" si="24"/>
        <v>-1450.46</v>
      </c>
      <c r="S951" s="239" t="str">
        <f>VLOOKUP(H951,'Fund Utilization Report'!$A$4:$U$1800,13,FALSE)</f>
        <v>PS</v>
      </c>
      <c r="T951" s="239" t="str">
        <f>VLOOKUP(H951,'Fund Utilization Report'!$A$4:$U$1800,2,FALSE)</f>
        <v>GAA</v>
      </c>
      <c r="U951" s="239" t="str">
        <f>VLOOKUP(H951,'Fund Utilization Report'!$A$4:$U$1800,3,FALSE)</f>
        <v>FY2021, RA11518</v>
      </c>
      <c r="V951" s="239" t="str">
        <f>VLOOKUP(H951,'Fund Utilization Report'!$A$4:$U$1800,4,FALSE)</f>
        <v>GAS(GMS)</v>
      </c>
      <c r="W951" s="239" t="str">
        <f>VLOOKUP(H951,'Fund Utilization Report'!$A$4:$U$1800,5,FALSE)</f>
        <v>01101101</v>
      </c>
      <c r="X951" s="239" t="str">
        <f>VLOOKUP(H951,'Fund Utilization Report'!$A$4:$U$1800,6,FALSE)</f>
        <v>GOP</v>
      </c>
      <c r="Y951" s="440" t="str">
        <f>VLOOKUP(H951,'Fund Utilization Report'!$A$4:$U$1800,7,FALSE)</f>
        <v>PS</v>
      </c>
      <c r="Z951" s="441">
        <f>VLOOKUP(H951,'Fund Utilization Report'!$A$4:$U$1800,8,FALSE)</f>
        <v>5010000000</v>
      </c>
      <c r="AA951" s="239" t="str">
        <f>VLOOKUP(H951,'Fund Utilization Report'!$A$4:$U$1800,14,FALSE)</f>
        <v>100000100001000</v>
      </c>
      <c r="AB951" s="242" t="str">
        <f>VLOOKUP(H951,'Fund Utilization Report'!$A$4:$U$1800,15,FALSE)</f>
        <v>General Administration and Supervision - General Management and Supervision</v>
      </c>
      <c r="AC951" s="51"/>
      <c r="AD951" s="435"/>
      <c r="AE951" s="51"/>
      <c r="AF951" s="51"/>
      <c r="AG951" s="442"/>
      <c r="AH951" s="442"/>
      <c r="AI951" s="443"/>
    </row>
    <row r="952" spans="1:35" s="32" customFormat="1" ht="27.6">
      <c r="A952" s="434" t="s">
        <v>942</v>
      </c>
      <c r="B952" s="457" t="s">
        <v>946</v>
      </c>
      <c r="C952" s="233">
        <v>44265</v>
      </c>
      <c r="D952" s="435" t="s">
        <v>1267</v>
      </c>
      <c r="E952" s="436" t="s">
        <v>1385</v>
      </c>
      <c r="F952" s="338">
        <v>0.39861111111111108</v>
      </c>
      <c r="G952" s="338">
        <v>0.40486111111111112</v>
      </c>
      <c r="H952" s="338" t="s">
        <v>960</v>
      </c>
      <c r="I952" s="353">
        <v>734</v>
      </c>
      <c r="J952" s="338" t="str">
        <f>IFERROR(VLOOKUP(I952,'Chart of accounts'!A:H,2,FALSE),"")</f>
        <v>50103040 01</v>
      </c>
      <c r="K952" s="338" t="str">
        <f>IFERROR(VLOOKUP(I952,'Chart of accounts'!A:H,3,FALSE),"")</f>
        <v>ECIP - Civilian</v>
      </c>
      <c r="L952" s="338" t="str">
        <f>IFERROR(VLOOKUP(I952,'Chart of accounts'!A:H,4,FALSE),"")</f>
        <v>50103040 01 - ECIP - Civilian (734)</v>
      </c>
      <c r="M952" s="361">
        <v>3</v>
      </c>
      <c r="N952" s="355" t="s">
        <v>777</v>
      </c>
      <c r="O952" s="355" t="s">
        <v>1384</v>
      </c>
      <c r="P952" s="355"/>
      <c r="Q952" s="363">
        <v>400</v>
      </c>
      <c r="R952" s="428">
        <f t="shared" si="24"/>
        <v>-400</v>
      </c>
      <c r="S952" s="239" t="str">
        <f>VLOOKUP(H952,'Fund Utilization Report'!$A$4:$U$1800,13,FALSE)</f>
        <v>PS</v>
      </c>
      <c r="T952" s="239" t="str">
        <f>VLOOKUP(H952,'Fund Utilization Report'!$A$4:$U$1800,2,FALSE)</f>
        <v>GAA</v>
      </c>
      <c r="U952" s="239" t="str">
        <f>VLOOKUP(H952,'Fund Utilization Report'!$A$4:$U$1800,3,FALSE)</f>
        <v>FY2021, RA11518</v>
      </c>
      <c r="V952" s="239" t="str">
        <f>VLOOKUP(H952,'Fund Utilization Report'!$A$4:$U$1800,4,FALSE)</f>
        <v>GAS(GMS)</v>
      </c>
      <c r="W952" s="239" t="str">
        <f>VLOOKUP(H952,'Fund Utilization Report'!$A$4:$U$1800,5,FALSE)</f>
        <v>01101101</v>
      </c>
      <c r="X952" s="239" t="str">
        <f>VLOOKUP(H952,'Fund Utilization Report'!$A$4:$U$1800,6,FALSE)</f>
        <v>GOP</v>
      </c>
      <c r="Y952" s="440" t="str">
        <f>VLOOKUP(H952,'Fund Utilization Report'!$A$4:$U$1800,7,FALSE)</f>
        <v>PS</v>
      </c>
      <c r="Z952" s="441">
        <f>VLOOKUP(H952,'Fund Utilization Report'!$A$4:$U$1800,8,FALSE)</f>
        <v>5010000000</v>
      </c>
      <c r="AA952" s="239" t="str">
        <f>VLOOKUP(H952,'Fund Utilization Report'!$A$4:$U$1800,14,FALSE)</f>
        <v>100000100001000</v>
      </c>
      <c r="AB952" s="242" t="str">
        <f>VLOOKUP(H952,'Fund Utilization Report'!$A$4:$U$1800,15,FALSE)</f>
        <v>General Administration and Supervision - General Management and Supervision</v>
      </c>
      <c r="AC952" s="51"/>
      <c r="AD952" s="435"/>
      <c r="AE952" s="51"/>
      <c r="AF952" s="51"/>
      <c r="AG952" s="442"/>
      <c r="AH952" s="442"/>
      <c r="AI952" s="443"/>
    </row>
    <row r="953" spans="1:35" s="32" customFormat="1" ht="27.6">
      <c r="A953" s="434" t="s">
        <v>942</v>
      </c>
      <c r="B953" s="457" t="s">
        <v>946</v>
      </c>
      <c r="C953" s="233">
        <v>44265</v>
      </c>
      <c r="D953" s="435" t="s">
        <v>1267</v>
      </c>
      <c r="E953" s="436" t="s">
        <v>1385</v>
      </c>
      <c r="F953" s="338">
        <v>0.39861111111111108</v>
      </c>
      <c r="G953" s="338">
        <v>0.40486111111111112</v>
      </c>
      <c r="H953" s="338" t="s">
        <v>964</v>
      </c>
      <c r="I953" s="353">
        <v>701</v>
      </c>
      <c r="J953" s="338" t="str">
        <f>IFERROR(VLOOKUP(I953,'Chart of accounts'!A:H,2,FALSE),"")</f>
        <v>50101010 01</v>
      </c>
      <c r="K953" s="338" t="str">
        <f>IFERROR(VLOOKUP(I953,'Chart of accounts'!A:H,3,FALSE),"")</f>
        <v>Basic Salary - Civilian</v>
      </c>
      <c r="L953" s="338" t="str">
        <f>IFERROR(VLOOKUP(I953,'Chart of accounts'!A:H,4,FALSE),"")</f>
        <v>50101010 01 - Basic Salary - Civilian (701)</v>
      </c>
      <c r="M953" s="361">
        <v>3</v>
      </c>
      <c r="N953" s="355" t="s">
        <v>777</v>
      </c>
      <c r="O953" s="355" t="s">
        <v>1384</v>
      </c>
      <c r="P953" s="355"/>
      <c r="Q953" s="363">
        <v>44184</v>
      </c>
      <c r="R953" s="428">
        <f t="shared" si="24"/>
        <v>-44184</v>
      </c>
      <c r="S953" s="239" t="str">
        <f>VLOOKUP(H953,'Fund Utilization Report'!$A$4:$U$1800,13,FALSE)</f>
        <v>PS</v>
      </c>
      <c r="T953" s="239" t="str">
        <f>VLOOKUP(H953,'Fund Utilization Report'!$A$4:$U$1800,2,FALSE)</f>
        <v>GAA</v>
      </c>
      <c r="U953" s="239" t="str">
        <f>VLOOKUP(H953,'Fund Utilization Report'!$A$4:$U$1800,3,FALSE)</f>
        <v>FY2021, RA11518</v>
      </c>
      <c r="V953" s="239" t="str">
        <f>VLOOKUP(H953,'Fund Utilization Report'!$A$4:$U$1800,4,FALSE)</f>
        <v>OO1</v>
      </c>
      <c r="W953" s="239" t="str">
        <f>VLOOKUP(H953,'Fund Utilization Report'!$A$4:$U$1800,5,FALSE)</f>
        <v>01101101</v>
      </c>
      <c r="X953" s="239" t="str">
        <f>VLOOKUP(H953,'Fund Utilization Report'!$A$4:$U$1800,6,FALSE)</f>
        <v>GOP</v>
      </c>
      <c r="Y953" s="440" t="str">
        <f>VLOOKUP(H953,'Fund Utilization Report'!$A$4:$U$1800,7,FALSE)</f>
        <v>PS</v>
      </c>
      <c r="Z953" s="441">
        <f>VLOOKUP(H953,'Fund Utilization Report'!$A$4:$U$1800,8,FALSE)</f>
        <v>5010000000</v>
      </c>
      <c r="AA953" s="239" t="str">
        <f>VLOOKUP(H953,'Fund Utilization Report'!$A$4:$U$1800,14,FALSE)</f>
        <v>310100100002000</v>
      </c>
      <c r="AB953" s="242" t="str">
        <f>VLOOKUP(H953,'Fund Utilization Report'!$A$4:$U$1800,15,FALSE)</f>
        <v>Development,Facilitation, and promotion of exports and investment, domestic and foreign</v>
      </c>
      <c r="AC953" s="51"/>
      <c r="AD953" s="435"/>
      <c r="AE953" s="51"/>
      <c r="AF953" s="51"/>
      <c r="AG953" s="442"/>
      <c r="AH953" s="442"/>
      <c r="AI953" s="443"/>
    </row>
    <row r="954" spans="1:35" s="32" customFormat="1" ht="27.6">
      <c r="A954" s="434" t="s">
        <v>942</v>
      </c>
      <c r="B954" s="457" t="s">
        <v>946</v>
      </c>
      <c r="C954" s="233">
        <v>44265</v>
      </c>
      <c r="D954" s="435" t="s">
        <v>1267</v>
      </c>
      <c r="E954" s="436" t="s">
        <v>1385</v>
      </c>
      <c r="F954" s="338">
        <v>0.39861111111111108</v>
      </c>
      <c r="G954" s="338">
        <v>0.40486111111111112</v>
      </c>
      <c r="H954" s="338" t="s">
        <v>964</v>
      </c>
      <c r="I954" s="353">
        <v>711</v>
      </c>
      <c r="J954" s="338" t="str">
        <f>IFERROR(VLOOKUP(I954,'Chart of accounts'!A:H,2,FALSE),"")</f>
        <v>50102010 01</v>
      </c>
      <c r="K954" s="338" t="str">
        <f>IFERROR(VLOOKUP(I954,'Chart of accounts'!A:H,3,FALSE),"")</f>
        <v>PERA - Civilian</v>
      </c>
      <c r="L954" s="338" t="str">
        <f>IFERROR(VLOOKUP(I954,'Chart of accounts'!A:H,4,FALSE),"")</f>
        <v>50102010 01 - PERA - Civilian (711)</v>
      </c>
      <c r="M954" s="361">
        <v>3</v>
      </c>
      <c r="N954" s="355" t="s">
        <v>777</v>
      </c>
      <c r="O954" s="355" t="s">
        <v>1384</v>
      </c>
      <c r="P954" s="355"/>
      <c r="Q954" s="363">
        <v>2000</v>
      </c>
      <c r="R954" s="428">
        <f t="shared" si="24"/>
        <v>-2000</v>
      </c>
      <c r="S954" s="239" t="str">
        <f>VLOOKUP(H954,'Fund Utilization Report'!$A$4:$U$1800,13,FALSE)</f>
        <v>PS</v>
      </c>
      <c r="T954" s="239" t="str">
        <f>VLOOKUP(H954,'Fund Utilization Report'!$A$4:$U$1800,2,FALSE)</f>
        <v>GAA</v>
      </c>
      <c r="U954" s="239" t="str">
        <f>VLOOKUP(H954,'Fund Utilization Report'!$A$4:$U$1800,3,FALSE)</f>
        <v>FY2021, RA11518</v>
      </c>
      <c r="V954" s="239" t="str">
        <f>VLOOKUP(H954,'Fund Utilization Report'!$A$4:$U$1800,4,FALSE)</f>
        <v>OO1</v>
      </c>
      <c r="W954" s="239" t="str">
        <f>VLOOKUP(H954,'Fund Utilization Report'!$A$4:$U$1800,5,FALSE)</f>
        <v>01101101</v>
      </c>
      <c r="X954" s="239" t="str">
        <f>VLOOKUP(H954,'Fund Utilization Report'!$A$4:$U$1800,6,FALSE)</f>
        <v>GOP</v>
      </c>
      <c r="Y954" s="440" t="str">
        <f>VLOOKUP(H954,'Fund Utilization Report'!$A$4:$U$1800,7,FALSE)</f>
        <v>PS</v>
      </c>
      <c r="Z954" s="441">
        <f>VLOOKUP(H954,'Fund Utilization Report'!$A$4:$U$1800,8,FALSE)</f>
        <v>5010000000</v>
      </c>
      <c r="AA954" s="239" t="str">
        <f>VLOOKUP(H954,'Fund Utilization Report'!$A$4:$U$1800,14,FALSE)</f>
        <v>310100100002000</v>
      </c>
      <c r="AB954" s="242" t="str">
        <f>VLOOKUP(H954,'Fund Utilization Report'!$A$4:$U$1800,15,FALSE)</f>
        <v>Development,Facilitation, and promotion of exports and investment, domestic and foreign</v>
      </c>
      <c r="AC954" s="51"/>
      <c r="AD954" s="435"/>
      <c r="AE954" s="51"/>
      <c r="AF954" s="51"/>
      <c r="AG954" s="442"/>
      <c r="AH954" s="442"/>
      <c r="AI954" s="443"/>
    </row>
    <row r="955" spans="1:35" s="32" customFormat="1" ht="27.6">
      <c r="A955" s="434" t="s">
        <v>942</v>
      </c>
      <c r="B955" s="457" t="s">
        <v>946</v>
      </c>
      <c r="C955" s="233">
        <v>44265</v>
      </c>
      <c r="D955" s="435" t="s">
        <v>1267</v>
      </c>
      <c r="E955" s="436" t="s">
        <v>1385</v>
      </c>
      <c r="F955" s="338">
        <v>0.39861111111111108</v>
      </c>
      <c r="G955" s="338">
        <v>0.40486111111111112</v>
      </c>
      <c r="H955" s="338" t="s">
        <v>966</v>
      </c>
      <c r="I955" s="353">
        <v>731</v>
      </c>
      <c r="J955" s="338" t="str">
        <f>IFERROR(VLOOKUP(I955,'Chart of accounts'!A:H,2,FALSE),"")</f>
        <v>50103010 00</v>
      </c>
      <c r="K955" s="338" t="str">
        <f>IFERROR(VLOOKUP(I955,'Chart of accounts'!A:H,3,FALSE),"")</f>
        <v>Retirement and Life Insurance Premiums</v>
      </c>
      <c r="L955" s="338" t="str">
        <f>IFERROR(VLOOKUP(I955,'Chart of accounts'!A:H,4,FALSE),"")</f>
        <v>50103010 00 - Retirement and Life Insurance Premiums (731)</v>
      </c>
      <c r="M955" s="361">
        <v>3</v>
      </c>
      <c r="N955" s="355" t="s">
        <v>777</v>
      </c>
      <c r="O955" s="355" t="s">
        <v>1384</v>
      </c>
      <c r="P955" s="355"/>
      <c r="Q955" s="363">
        <v>5302.08</v>
      </c>
      <c r="R955" s="428">
        <f t="shared" si="24"/>
        <v>-5302.08</v>
      </c>
      <c r="S955" s="239" t="str">
        <f>VLOOKUP(H955,'Fund Utilization Report'!$A$4:$U$1800,13,FALSE)</f>
        <v>PS</v>
      </c>
      <c r="T955" s="239" t="str">
        <f>VLOOKUP(H955,'Fund Utilization Report'!$A$4:$U$1800,2,FALSE)</f>
        <v>GAA</v>
      </c>
      <c r="U955" s="239" t="str">
        <f>VLOOKUP(H955,'Fund Utilization Report'!$A$4:$U$1800,3,FALSE)</f>
        <v>FY2021, RA11518</v>
      </c>
      <c r="V955" s="239" t="str">
        <f>VLOOKUP(H955,'Fund Utilization Report'!$A$4:$U$1800,4,FALSE)</f>
        <v>OO1</v>
      </c>
      <c r="W955" s="239" t="str">
        <f>VLOOKUP(H955,'Fund Utilization Report'!$A$4:$U$1800,5,FALSE)</f>
        <v>01101101</v>
      </c>
      <c r="X955" s="239" t="str">
        <f>VLOOKUP(H955,'Fund Utilization Report'!$A$4:$U$1800,6,FALSE)</f>
        <v>GOP</v>
      </c>
      <c r="Y955" s="440" t="str">
        <f>VLOOKUP(H955,'Fund Utilization Report'!$A$4:$U$1800,7,FALSE)</f>
        <v>RLIP</v>
      </c>
      <c r="Z955" s="441" t="str">
        <f>VLOOKUP(H955,'Fund Utilization Report'!$A$4:$U$1800,8,FALSE)</f>
        <v>50103010-00</v>
      </c>
      <c r="AA955" s="239" t="str">
        <f>VLOOKUP(H955,'Fund Utilization Report'!$A$4:$U$1800,14,FALSE)</f>
        <v>310100100002000</v>
      </c>
      <c r="AB955" s="242" t="str">
        <f>VLOOKUP(H955,'Fund Utilization Report'!$A$4:$U$1800,15,FALSE)</f>
        <v>Development,Facilitation, and promotion of exports and investment, domestic and foreign</v>
      </c>
      <c r="AC955" s="51"/>
      <c r="AD955" s="435"/>
      <c r="AE955" s="51"/>
      <c r="AF955" s="51"/>
      <c r="AG955" s="442"/>
      <c r="AH955" s="442"/>
      <c r="AI955" s="443"/>
    </row>
    <row r="956" spans="1:35" s="32" customFormat="1" ht="27.6">
      <c r="A956" s="434" t="s">
        <v>942</v>
      </c>
      <c r="B956" s="457" t="s">
        <v>946</v>
      </c>
      <c r="C956" s="233">
        <v>44265</v>
      </c>
      <c r="D956" s="435" t="s">
        <v>1267</v>
      </c>
      <c r="E956" s="436" t="s">
        <v>1385</v>
      </c>
      <c r="F956" s="338">
        <v>0.39861111111111108</v>
      </c>
      <c r="G956" s="338">
        <v>0.40486111111111112</v>
      </c>
      <c r="H956" s="338" t="s">
        <v>964</v>
      </c>
      <c r="I956" s="353">
        <v>732</v>
      </c>
      <c r="J956" s="338" t="str">
        <f>IFERROR(VLOOKUP(I956,'Chart of accounts'!A:H,2,FALSE),"")</f>
        <v>50103020 01</v>
      </c>
      <c r="K956" s="338" t="str">
        <f>IFERROR(VLOOKUP(I956,'Chart of accounts'!A:H,3,FALSE),"")</f>
        <v>Pag-IBIG - Civilian</v>
      </c>
      <c r="L956" s="338" t="str">
        <f>IFERROR(VLOOKUP(I956,'Chart of accounts'!A:H,4,FALSE),"")</f>
        <v>50103020 01 - Pag-IBIG - Civilian (732)</v>
      </c>
      <c r="M956" s="361">
        <v>3</v>
      </c>
      <c r="N956" s="355" t="s">
        <v>777</v>
      </c>
      <c r="O956" s="355" t="s">
        <v>1384</v>
      </c>
      <c r="P956" s="355"/>
      <c r="Q956" s="363">
        <v>100</v>
      </c>
      <c r="R956" s="428">
        <f t="shared" si="24"/>
        <v>-100</v>
      </c>
      <c r="S956" s="239" t="str">
        <f>VLOOKUP(H956,'Fund Utilization Report'!$A$4:$U$1800,13,FALSE)</f>
        <v>PS</v>
      </c>
      <c r="T956" s="239" t="str">
        <f>VLOOKUP(H956,'Fund Utilization Report'!$A$4:$U$1800,2,FALSE)</f>
        <v>GAA</v>
      </c>
      <c r="U956" s="239" t="str">
        <f>VLOOKUP(H956,'Fund Utilization Report'!$A$4:$U$1800,3,FALSE)</f>
        <v>FY2021, RA11518</v>
      </c>
      <c r="V956" s="239" t="str">
        <f>VLOOKUP(H956,'Fund Utilization Report'!$A$4:$U$1800,4,FALSE)</f>
        <v>OO1</v>
      </c>
      <c r="W956" s="239" t="str">
        <f>VLOOKUP(H956,'Fund Utilization Report'!$A$4:$U$1800,5,FALSE)</f>
        <v>01101101</v>
      </c>
      <c r="X956" s="239" t="str">
        <f>VLOOKUP(H956,'Fund Utilization Report'!$A$4:$U$1800,6,FALSE)</f>
        <v>GOP</v>
      </c>
      <c r="Y956" s="440" t="str">
        <f>VLOOKUP(H956,'Fund Utilization Report'!$A$4:$U$1800,7,FALSE)</f>
        <v>PS</v>
      </c>
      <c r="Z956" s="441">
        <f>VLOOKUP(H956,'Fund Utilization Report'!$A$4:$U$1800,8,FALSE)</f>
        <v>5010000000</v>
      </c>
      <c r="AA956" s="239" t="str">
        <f>VLOOKUP(H956,'Fund Utilization Report'!$A$4:$U$1800,14,FALSE)</f>
        <v>310100100002000</v>
      </c>
      <c r="AB956" s="242" t="str">
        <f>VLOOKUP(H956,'Fund Utilization Report'!$A$4:$U$1800,15,FALSE)</f>
        <v>Development,Facilitation, and promotion of exports and investment, domestic and foreign</v>
      </c>
      <c r="AC956" s="51"/>
      <c r="AD956" s="435"/>
      <c r="AE956" s="51"/>
      <c r="AF956" s="51"/>
      <c r="AG956" s="442"/>
      <c r="AH956" s="442"/>
      <c r="AI956" s="443"/>
    </row>
    <row r="957" spans="1:35" s="32" customFormat="1" ht="27.6">
      <c r="A957" s="434" t="s">
        <v>942</v>
      </c>
      <c r="B957" s="457" t="s">
        <v>946</v>
      </c>
      <c r="C957" s="233">
        <v>44265</v>
      </c>
      <c r="D957" s="435" t="s">
        <v>1267</v>
      </c>
      <c r="E957" s="436" t="s">
        <v>1385</v>
      </c>
      <c r="F957" s="338">
        <v>0.39861111111111108</v>
      </c>
      <c r="G957" s="338">
        <v>0.40486111111111112</v>
      </c>
      <c r="H957" s="338" t="s">
        <v>964</v>
      </c>
      <c r="I957" s="353">
        <v>733</v>
      </c>
      <c r="J957" s="338" t="str">
        <f>IFERROR(VLOOKUP(I957,'Chart of accounts'!A:H,2,FALSE),"")</f>
        <v>50103030 01</v>
      </c>
      <c r="K957" s="338" t="str">
        <f>IFERROR(VLOOKUP(I957,'Chart of accounts'!A:H,3,FALSE),"")</f>
        <v>PhilHealth - Civilian</v>
      </c>
      <c r="L957" s="338" t="str">
        <f>IFERROR(VLOOKUP(I957,'Chart of accounts'!A:H,4,FALSE),"")</f>
        <v>50103030 01 - PhilHealth - Civilian (733)</v>
      </c>
      <c r="M957" s="361">
        <v>3</v>
      </c>
      <c r="N957" s="355" t="s">
        <v>777</v>
      </c>
      <c r="O957" s="355" t="s">
        <v>1384</v>
      </c>
      <c r="P957" s="355"/>
      <c r="Q957" s="363">
        <v>662.76</v>
      </c>
      <c r="R957" s="428">
        <f t="shared" si="24"/>
        <v>-662.76</v>
      </c>
      <c r="S957" s="239" t="str">
        <f>VLOOKUP(H957,'Fund Utilization Report'!$A$4:$U$1800,13,FALSE)</f>
        <v>PS</v>
      </c>
      <c r="T957" s="239" t="str">
        <f>VLOOKUP(H957,'Fund Utilization Report'!$A$4:$U$1800,2,FALSE)</f>
        <v>GAA</v>
      </c>
      <c r="U957" s="239" t="str">
        <f>VLOOKUP(H957,'Fund Utilization Report'!$A$4:$U$1800,3,FALSE)</f>
        <v>FY2021, RA11518</v>
      </c>
      <c r="V957" s="239" t="str">
        <f>VLOOKUP(H957,'Fund Utilization Report'!$A$4:$U$1800,4,FALSE)</f>
        <v>OO1</v>
      </c>
      <c r="W957" s="239" t="str">
        <f>VLOOKUP(H957,'Fund Utilization Report'!$A$4:$U$1800,5,FALSE)</f>
        <v>01101101</v>
      </c>
      <c r="X957" s="239" t="str">
        <f>VLOOKUP(H957,'Fund Utilization Report'!$A$4:$U$1800,6,FALSE)</f>
        <v>GOP</v>
      </c>
      <c r="Y957" s="440" t="str">
        <f>VLOOKUP(H957,'Fund Utilization Report'!$A$4:$U$1800,7,FALSE)</f>
        <v>PS</v>
      </c>
      <c r="Z957" s="441">
        <f>VLOOKUP(H957,'Fund Utilization Report'!$A$4:$U$1800,8,FALSE)</f>
        <v>5010000000</v>
      </c>
      <c r="AA957" s="239" t="str">
        <f>VLOOKUP(H957,'Fund Utilization Report'!$A$4:$U$1800,14,FALSE)</f>
        <v>310100100002000</v>
      </c>
      <c r="AB957" s="242" t="str">
        <f>VLOOKUP(H957,'Fund Utilization Report'!$A$4:$U$1800,15,FALSE)</f>
        <v>Development,Facilitation, and promotion of exports and investment, domestic and foreign</v>
      </c>
      <c r="AC957" s="51"/>
      <c r="AD957" s="435"/>
      <c r="AE957" s="51"/>
      <c r="AF957" s="51"/>
      <c r="AG957" s="442"/>
      <c r="AH957" s="442"/>
      <c r="AI957" s="443"/>
    </row>
    <row r="958" spans="1:35" s="32" customFormat="1" ht="27.6">
      <c r="A958" s="434" t="s">
        <v>942</v>
      </c>
      <c r="B958" s="457" t="s">
        <v>946</v>
      </c>
      <c r="C958" s="233">
        <v>44265</v>
      </c>
      <c r="D958" s="435" t="s">
        <v>1267</v>
      </c>
      <c r="E958" s="436" t="s">
        <v>1385</v>
      </c>
      <c r="F958" s="338">
        <v>0.39861111111111108</v>
      </c>
      <c r="G958" s="338">
        <v>0.40486111111111112</v>
      </c>
      <c r="H958" s="338" t="s">
        <v>964</v>
      </c>
      <c r="I958" s="353">
        <v>734</v>
      </c>
      <c r="J958" s="338" t="str">
        <f>IFERROR(VLOOKUP(I958,'Chart of accounts'!A:H,2,FALSE),"")</f>
        <v>50103040 01</v>
      </c>
      <c r="K958" s="338" t="str">
        <f>IFERROR(VLOOKUP(I958,'Chart of accounts'!A:H,3,FALSE),"")</f>
        <v>ECIP - Civilian</v>
      </c>
      <c r="L958" s="338" t="str">
        <f>IFERROR(VLOOKUP(I958,'Chart of accounts'!A:H,4,FALSE),"")</f>
        <v>50103040 01 - ECIP - Civilian (734)</v>
      </c>
      <c r="M958" s="361">
        <v>3</v>
      </c>
      <c r="N958" s="355" t="s">
        <v>777</v>
      </c>
      <c r="O958" s="355" t="s">
        <v>1384</v>
      </c>
      <c r="P958" s="355"/>
      <c r="Q958" s="363">
        <v>100</v>
      </c>
      <c r="R958" s="428">
        <f t="shared" si="24"/>
        <v>-100</v>
      </c>
      <c r="S958" s="239" t="str">
        <f>VLOOKUP(H958,'Fund Utilization Report'!$A$4:$U$1800,13,FALSE)</f>
        <v>PS</v>
      </c>
      <c r="T958" s="239" t="str">
        <f>VLOOKUP(H958,'Fund Utilization Report'!$A$4:$U$1800,2,FALSE)</f>
        <v>GAA</v>
      </c>
      <c r="U958" s="239" t="str">
        <f>VLOOKUP(H958,'Fund Utilization Report'!$A$4:$U$1800,3,FALSE)</f>
        <v>FY2021, RA11518</v>
      </c>
      <c r="V958" s="239" t="str">
        <f>VLOOKUP(H958,'Fund Utilization Report'!$A$4:$U$1800,4,FALSE)</f>
        <v>OO1</v>
      </c>
      <c r="W958" s="239" t="str">
        <f>VLOOKUP(H958,'Fund Utilization Report'!$A$4:$U$1800,5,FALSE)</f>
        <v>01101101</v>
      </c>
      <c r="X958" s="239" t="str">
        <f>VLOOKUP(H958,'Fund Utilization Report'!$A$4:$U$1800,6,FALSE)</f>
        <v>GOP</v>
      </c>
      <c r="Y958" s="440" t="str">
        <f>VLOOKUP(H958,'Fund Utilization Report'!$A$4:$U$1800,7,FALSE)</f>
        <v>PS</v>
      </c>
      <c r="Z958" s="441">
        <f>VLOOKUP(H958,'Fund Utilization Report'!$A$4:$U$1800,8,FALSE)</f>
        <v>5010000000</v>
      </c>
      <c r="AA958" s="239" t="str">
        <f>VLOOKUP(H958,'Fund Utilization Report'!$A$4:$U$1800,14,FALSE)</f>
        <v>310100100002000</v>
      </c>
      <c r="AB958" s="242" t="str">
        <f>VLOOKUP(H958,'Fund Utilization Report'!$A$4:$U$1800,15,FALSE)</f>
        <v>Development,Facilitation, and promotion of exports and investment, domestic and foreign</v>
      </c>
      <c r="AC958" s="51"/>
      <c r="AD958" s="435"/>
      <c r="AE958" s="51"/>
      <c r="AF958" s="51"/>
      <c r="AG958" s="442"/>
      <c r="AH958" s="442"/>
      <c r="AI958" s="443"/>
    </row>
    <row r="959" spans="1:35" s="32" customFormat="1" ht="27.6">
      <c r="A959" s="434" t="s">
        <v>942</v>
      </c>
      <c r="B959" s="457" t="s">
        <v>946</v>
      </c>
      <c r="C959" s="233">
        <v>44265</v>
      </c>
      <c r="D959" s="435" t="s">
        <v>1267</v>
      </c>
      <c r="E959" s="436" t="s">
        <v>1385</v>
      </c>
      <c r="F959" s="338">
        <v>0.39861111111111108</v>
      </c>
      <c r="G959" s="338">
        <v>0.40486111111111112</v>
      </c>
      <c r="H959" s="338" t="s">
        <v>970</v>
      </c>
      <c r="I959" s="353">
        <v>701</v>
      </c>
      <c r="J959" s="338" t="str">
        <f>IFERROR(VLOOKUP(I959,'Chart of accounts'!A:H,2,FALSE),"")</f>
        <v>50101010 01</v>
      </c>
      <c r="K959" s="338" t="str">
        <f>IFERROR(VLOOKUP(I959,'Chart of accounts'!A:H,3,FALSE),"")</f>
        <v>Basic Salary - Civilian</v>
      </c>
      <c r="L959" s="338" t="str">
        <f>IFERROR(VLOOKUP(I959,'Chart of accounts'!A:H,4,FALSE),"")</f>
        <v>50101010 01 - Basic Salary - Civilian (701)</v>
      </c>
      <c r="M959" s="361">
        <v>3</v>
      </c>
      <c r="N959" s="355" t="s">
        <v>777</v>
      </c>
      <c r="O959" s="355" t="s">
        <v>1384</v>
      </c>
      <c r="P959" s="355"/>
      <c r="Q959" s="363">
        <v>67911</v>
      </c>
      <c r="R959" s="428">
        <f t="shared" si="24"/>
        <v>-67911</v>
      </c>
      <c r="S959" s="239" t="str">
        <f>VLOOKUP(H959,'Fund Utilization Report'!$A$4:$U$1800,13,FALSE)</f>
        <v>PS</v>
      </c>
      <c r="T959" s="239" t="str">
        <f>VLOOKUP(H959,'Fund Utilization Report'!$A$4:$U$1800,2,FALSE)</f>
        <v>GAA</v>
      </c>
      <c r="U959" s="239" t="str">
        <f>VLOOKUP(H959,'Fund Utilization Report'!$A$4:$U$1800,3,FALSE)</f>
        <v>FY2021, RA11518</v>
      </c>
      <c r="V959" s="239" t="str">
        <f>VLOOKUP(H959,'Fund Utilization Report'!$A$4:$U$1800,4,FALSE)</f>
        <v>OO3</v>
      </c>
      <c r="W959" s="239" t="str">
        <f>VLOOKUP(H959,'Fund Utilization Report'!$A$4:$U$1800,5,FALSE)</f>
        <v>01101101</v>
      </c>
      <c r="X959" s="239" t="str">
        <f>VLOOKUP(H959,'Fund Utilization Report'!$A$4:$U$1800,6,FALSE)</f>
        <v>GOP</v>
      </c>
      <c r="Y959" s="440" t="str">
        <f>VLOOKUP(H959,'Fund Utilization Report'!$A$4:$U$1800,7,FALSE)</f>
        <v>PS</v>
      </c>
      <c r="Z959" s="441">
        <f>VLOOKUP(H959,'Fund Utilization Report'!$A$4:$U$1800,8,FALSE)</f>
        <v>5010000000</v>
      </c>
      <c r="AA959" s="239" t="str">
        <f>VLOOKUP(H959,'Fund Utilization Report'!$A$4:$U$1800,14,FALSE)</f>
        <v>330100100002000</v>
      </c>
      <c r="AB959" s="242" t="str">
        <f>VLOOKUP(H959,'Fund Utilization Report'!$A$4:$U$1800,15,FALSE)</f>
        <v>Implementation of the MSME Development Plan and other initiatives to promote the growth of Micro, Small and Medium Enterprises</v>
      </c>
      <c r="AC959" s="51"/>
      <c r="AD959" s="435"/>
      <c r="AE959" s="51"/>
      <c r="AF959" s="51"/>
      <c r="AG959" s="442"/>
      <c r="AH959" s="442"/>
      <c r="AI959" s="443"/>
    </row>
    <row r="960" spans="1:35" s="32" customFormat="1" ht="27.6">
      <c r="A960" s="434" t="s">
        <v>942</v>
      </c>
      <c r="B960" s="457" t="s">
        <v>946</v>
      </c>
      <c r="C960" s="233">
        <v>44265</v>
      </c>
      <c r="D960" s="435" t="s">
        <v>1267</v>
      </c>
      <c r="E960" s="436" t="s">
        <v>1385</v>
      </c>
      <c r="F960" s="338">
        <v>0.39861111111111108</v>
      </c>
      <c r="G960" s="338">
        <v>0.40486111111111112</v>
      </c>
      <c r="H960" s="338" t="s">
        <v>970</v>
      </c>
      <c r="I960" s="353">
        <v>711</v>
      </c>
      <c r="J960" s="338" t="str">
        <f>IFERROR(VLOOKUP(I960,'Chart of accounts'!A:H,2,FALSE),"")</f>
        <v>50102010 01</v>
      </c>
      <c r="K960" s="338" t="str">
        <f>IFERROR(VLOOKUP(I960,'Chart of accounts'!A:H,3,FALSE),"")</f>
        <v>PERA - Civilian</v>
      </c>
      <c r="L960" s="338" t="str">
        <f>IFERROR(VLOOKUP(I960,'Chart of accounts'!A:H,4,FALSE),"")</f>
        <v>50102010 01 - PERA - Civilian (711)</v>
      </c>
      <c r="M960" s="361">
        <v>3</v>
      </c>
      <c r="N960" s="355" t="s">
        <v>777</v>
      </c>
      <c r="O960" s="355" t="s">
        <v>1384</v>
      </c>
      <c r="P960" s="355"/>
      <c r="Q960" s="363">
        <v>4000</v>
      </c>
      <c r="R960" s="428">
        <f t="shared" si="24"/>
        <v>-4000</v>
      </c>
      <c r="S960" s="239" t="str">
        <f>VLOOKUP(H960,'Fund Utilization Report'!$A$4:$U$1800,13,FALSE)</f>
        <v>PS</v>
      </c>
      <c r="T960" s="239" t="str">
        <f>VLOOKUP(H960,'Fund Utilization Report'!$A$4:$U$1800,2,FALSE)</f>
        <v>GAA</v>
      </c>
      <c r="U960" s="239" t="str">
        <f>VLOOKUP(H960,'Fund Utilization Report'!$A$4:$U$1800,3,FALSE)</f>
        <v>FY2021, RA11518</v>
      </c>
      <c r="V960" s="239" t="str">
        <f>VLOOKUP(H960,'Fund Utilization Report'!$A$4:$U$1800,4,FALSE)</f>
        <v>OO3</v>
      </c>
      <c r="W960" s="239" t="str">
        <f>VLOOKUP(H960,'Fund Utilization Report'!$A$4:$U$1800,5,FALSE)</f>
        <v>01101101</v>
      </c>
      <c r="X960" s="239" t="str">
        <f>VLOOKUP(H960,'Fund Utilization Report'!$A$4:$U$1800,6,FALSE)</f>
        <v>GOP</v>
      </c>
      <c r="Y960" s="440" t="str">
        <f>VLOOKUP(H960,'Fund Utilization Report'!$A$4:$U$1800,7,FALSE)</f>
        <v>PS</v>
      </c>
      <c r="Z960" s="441">
        <f>VLOOKUP(H960,'Fund Utilization Report'!$A$4:$U$1800,8,FALSE)</f>
        <v>5010000000</v>
      </c>
      <c r="AA960" s="239" t="str">
        <f>VLOOKUP(H960,'Fund Utilization Report'!$A$4:$U$1800,14,FALSE)</f>
        <v>330100100002000</v>
      </c>
      <c r="AB960" s="242" t="str">
        <f>VLOOKUP(H960,'Fund Utilization Report'!$A$4:$U$1800,15,FALSE)</f>
        <v>Implementation of the MSME Development Plan and other initiatives to promote the growth of Micro, Small and Medium Enterprises</v>
      </c>
      <c r="AC960" s="51"/>
      <c r="AD960" s="435"/>
      <c r="AE960" s="51"/>
      <c r="AF960" s="51"/>
      <c r="AG960" s="442"/>
      <c r="AH960" s="442"/>
      <c r="AI960" s="443"/>
    </row>
    <row r="961" spans="1:35" s="32" customFormat="1" ht="27.6">
      <c r="A961" s="434" t="s">
        <v>942</v>
      </c>
      <c r="B961" s="457" t="s">
        <v>946</v>
      </c>
      <c r="C961" s="233">
        <v>44265</v>
      </c>
      <c r="D961" s="435" t="s">
        <v>1267</v>
      </c>
      <c r="E961" s="436" t="s">
        <v>1385</v>
      </c>
      <c r="F961" s="338">
        <v>0.39861111111111108</v>
      </c>
      <c r="G961" s="338">
        <v>0.40486111111111112</v>
      </c>
      <c r="H961" s="338" t="s">
        <v>972</v>
      </c>
      <c r="I961" s="353">
        <v>731</v>
      </c>
      <c r="J961" s="338" t="str">
        <f>IFERROR(VLOOKUP(I961,'Chart of accounts'!A:H,2,FALSE),"")</f>
        <v>50103010 00</v>
      </c>
      <c r="K961" s="338" t="str">
        <f>IFERROR(VLOOKUP(I961,'Chart of accounts'!A:H,3,FALSE),"")</f>
        <v>Retirement and Life Insurance Premiums</v>
      </c>
      <c r="L961" s="338" t="str">
        <f>IFERROR(VLOOKUP(I961,'Chart of accounts'!A:H,4,FALSE),"")</f>
        <v>50103010 00 - Retirement and Life Insurance Premiums (731)</v>
      </c>
      <c r="M961" s="361">
        <v>3</v>
      </c>
      <c r="N961" s="355" t="s">
        <v>777</v>
      </c>
      <c r="O961" s="355" t="s">
        <v>1384</v>
      </c>
      <c r="P961" s="355"/>
      <c r="Q961" s="363">
        <v>8149.32</v>
      </c>
      <c r="R961" s="428">
        <f t="shared" si="24"/>
        <v>-8149.32</v>
      </c>
      <c r="S961" s="239" t="str">
        <f>VLOOKUP(H961,'Fund Utilization Report'!$A$4:$U$1800,13,FALSE)</f>
        <v>PS</v>
      </c>
      <c r="T961" s="239" t="str">
        <f>VLOOKUP(H961,'Fund Utilization Report'!$A$4:$U$1800,2,FALSE)</f>
        <v>GAA</v>
      </c>
      <c r="U961" s="239" t="str">
        <f>VLOOKUP(H961,'Fund Utilization Report'!$A$4:$U$1800,3,FALSE)</f>
        <v>FY2021, RA11518</v>
      </c>
      <c r="V961" s="239" t="str">
        <f>VLOOKUP(H961,'Fund Utilization Report'!$A$4:$U$1800,4,FALSE)</f>
        <v>OO3</v>
      </c>
      <c r="W961" s="239" t="str">
        <f>VLOOKUP(H961,'Fund Utilization Report'!$A$4:$U$1800,5,FALSE)</f>
        <v>01101101</v>
      </c>
      <c r="X961" s="239" t="str">
        <f>VLOOKUP(H961,'Fund Utilization Report'!$A$4:$U$1800,6,FALSE)</f>
        <v>GOP</v>
      </c>
      <c r="Y961" s="440" t="str">
        <f>VLOOKUP(H961,'Fund Utilization Report'!$A$4:$U$1800,7,FALSE)</f>
        <v>RLIP</v>
      </c>
      <c r="Z961" s="441" t="str">
        <f>VLOOKUP(H961,'Fund Utilization Report'!$A$4:$U$1800,8,FALSE)</f>
        <v>50103010-00</v>
      </c>
      <c r="AA961" s="239" t="str">
        <f>VLOOKUP(H961,'Fund Utilization Report'!$A$4:$U$1800,14,FALSE)</f>
        <v>330100100002000</v>
      </c>
      <c r="AB961" s="242" t="str">
        <f>VLOOKUP(H961,'Fund Utilization Report'!$A$4:$U$1800,15,FALSE)</f>
        <v>Implementation of the MSME Development Plan and other initiatives to promote the growth of Micro, Small and Medium Enterprises</v>
      </c>
      <c r="AC961" s="51"/>
      <c r="AD961" s="435"/>
      <c r="AE961" s="51"/>
      <c r="AF961" s="51"/>
      <c r="AG961" s="442"/>
      <c r="AH961" s="442"/>
      <c r="AI961" s="443"/>
    </row>
    <row r="962" spans="1:35" s="32" customFormat="1" ht="27.6">
      <c r="A962" s="434" t="s">
        <v>942</v>
      </c>
      <c r="B962" s="457" t="s">
        <v>946</v>
      </c>
      <c r="C962" s="233">
        <v>44265</v>
      </c>
      <c r="D962" s="435" t="s">
        <v>1267</v>
      </c>
      <c r="E962" s="436" t="s">
        <v>1385</v>
      </c>
      <c r="F962" s="338">
        <v>0.39861111111111108</v>
      </c>
      <c r="G962" s="338">
        <v>0.40486111111111112</v>
      </c>
      <c r="H962" s="338" t="s">
        <v>970</v>
      </c>
      <c r="I962" s="353">
        <v>732</v>
      </c>
      <c r="J962" s="338" t="str">
        <f>IFERROR(VLOOKUP(I962,'Chart of accounts'!A:H,2,FALSE),"")</f>
        <v>50103020 01</v>
      </c>
      <c r="K962" s="338" t="str">
        <f>IFERROR(VLOOKUP(I962,'Chart of accounts'!A:H,3,FALSE),"")</f>
        <v>Pag-IBIG - Civilian</v>
      </c>
      <c r="L962" s="338" t="str">
        <f>IFERROR(VLOOKUP(I962,'Chart of accounts'!A:H,4,FALSE),"")</f>
        <v>50103020 01 - Pag-IBIG - Civilian (732)</v>
      </c>
      <c r="M962" s="361">
        <v>3</v>
      </c>
      <c r="N962" s="355" t="s">
        <v>777</v>
      </c>
      <c r="O962" s="355" t="s">
        <v>1384</v>
      </c>
      <c r="P962" s="355"/>
      <c r="Q962" s="363">
        <v>200</v>
      </c>
      <c r="R962" s="428">
        <f t="shared" si="24"/>
        <v>-200</v>
      </c>
      <c r="S962" s="239" t="str">
        <f>VLOOKUP(H962,'Fund Utilization Report'!$A$4:$U$1800,13,FALSE)</f>
        <v>PS</v>
      </c>
      <c r="T962" s="239" t="str">
        <f>VLOOKUP(H962,'Fund Utilization Report'!$A$4:$U$1800,2,FALSE)</f>
        <v>GAA</v>
      </c>
      <c r="U962" s="239" t="str">
        <f>VLOOKUP(H962,'Fund Utilization Report'!$A$4:$U$1800,3,FALSE)</f>
        <v>FY2021, RA11518</v>
      </c>
      <c r="V962" s="239" t="str">
        <f>VLOOKUP(H962,'Fund Utilization Report'!$A$4:$U$1800,4,FALSE)</f>
        <v>OO3</v>
      </c>
      <c r="W962" s="239" t="str">
        <f>VLOOKUP(H962,'Fund Utilization Report'!$A$4:$U$1800,5,FALSE)</f>
        <v>01101101</v>
      </c>
      <c r="X962" s="239" t="str">
        <f>VLOOKUP(H962,'Fund Utilization Report'!$A$4:$U$1800,6,FALSE)</f>
        <v>GOP</v>
      </c>
      <c r="Y962" s="440" t="str">
        <f>VLOOKUP(H962,'Fund Utilization Report'!$A$4:$U$1800,7,FALSE)</f>
        <v>PS</v>
      </c>
      <c r="Z962" s="441">
        <f>VLOOKUP(H962,'Fund Utilization Report'!$A$4:$U$1800,8,FALSE)</f>
        <v>5010000000</v>
      </c>
      <c r="AA962" s="239" t="str">
        <f>VLOOKUP(H962,'Fund Utilization Report'!$A$4:$U$1800,14,FALSE)</f>
        <v>330100100002000</v>
      </c>
      <c r="AB962" s="242" t="str">
        <f>VLOOKUP(H962,'Fund Utilization Report'!$A$4:$U$1800,15,FALSE)</f>
        <v>Implementation of the MSME Development Plan and other initiatives to promote the growth of Micro, Small and Medium Enterprises</v>
      </c>
      <c r="AC962" s="51"/>
      <c r="AD962" s="435"/>
      <c r="AE962" s="51"/>
      <c r="AF962" s="51"/>
      <c r="AG962" s="442"/>
      <c r="AH962" s="442"/>
      <c r="AI962" s="443"/>
    </row>
    <row r="963" spans="1:35" s="32" customFormat="1" ht="27.6">
      <c r="A963" s="434" t="s">
        <v>942</v>
      </c>
      <c r="B963" s="457" t="s">
        <v>946</v>
      </c>
      <c r="C963" s="233">
        <v>44265</v>
      </c>
      <c r="D963" s="435" t="s">
        <v>1267</v>
      </c>
      <c r="E963" s="436" t="s">
        <v>1385</v>
      </c>
      <c r="F963" s="338">
        <v>0.39861111111111108</v>
      </c>
      <c r="G963" s="338">
        <v>0.40486111111111112</v>
      </c>
      <c r="H963" s="338" t="s">
        <v>970</v>
      </c>
      <c r="I963" s="353">
        <v>733</v>
      </c>
      <c r="J963" s="338" t="str">
        <f>IFERROR(VLOOKUP(I963,'Chart of accounts'!A:H,2,FALSE),"")</f>
        <v>50103030 01</v>
      </c>
      <c r="K963" s="338" t="str">
        <f>IFERROR(VLOOKUP(I963,'Chart of accounts'!A:H,3,FALSE),"")</f>
        <v>PhilHealth - Civilian</v>
      </c>
      <c r="L963" s="338" t="str">
        <f>IFERROR(VLOOKUP(I963,'Chart of accounts'!A:H,4,FALSE),"")</f>
        <v>50103030 01 - PhilHealth - Civilian (733)</v>
      </c>
      <c r="M963" s="361">
        <v>3</v>
      </c>
      <c r="N963" s="355" t="s">
        <v>777</v>
      </c>
      <c r="O963" s="355" t="s">
        <v>1384</v>
      </c>
      <c r="P963" s="355"/>
      <c r="Q963" s="363">
        <v>1018.67</v>
      </c>
      <c r="R963" s="428">
        <f t="shared" si="24"/>
        <v>-1018.67</v>
      </c>
      <c r="S963" s="239" t="str">
        <f>VLOOKUP(H963,'Fund Utilization Report'!$A$4:$U$1800,13,FALSE)</f>
        <v>PS</v>
      </c>
      <c r="T963" s="239" t="str">
        <f>VLOOKUP(H963,'Fund Utilization Report'!$A$4:$U$1800,2,FALSE)</f>
        <v>GAA</v>
      </c>
      <c r="U963" s="239" t="str">
        <f>VLOOKUP(H963,'Fund Utilization Report'!$A$4:$U$1800,3,FALSE)</f>
        <v>FY2021, RA11518</v>
      </c>
      <c r="V963" s="239" t="str">
        <f>VLOOKUP(H963,'Fund Utilization Report'!$A$4:$U$1800,4,FALSE)</f>
        <v>OO3</v>
      </c>
      <c r="W963" s="239" t="str">
        <f>VLOOKUP(H963,'Fund Utilization Report'!$A$4:$U$1800,5,FALSE)</f>
        <v>01101101</v>
      </c>
      <c r="X963" s="239" t="str">
        <f>VLOOKUP(H963,'Fund Utilization Report'!$A$4:$U$1800,6,FALSE)</f>
        <v>GOP</v>
      </c>
      <c r="Y963" s="440" t="str">
        <f>VLOOKUP(H963,'Fund Utilization Report'!$A$4:$U$1800,7,FALSE)</f>
        <v>PS</v>
      </c>
      <c r="Z963" s="441">
        <f>VLOOKUP(H963,'Fund Utilization Report'!$A$4:$U$1800,8,FALSE)</f>
        <v>5010000000</v>
      </c>
      <c r="AA963" s="239" t="str">
        <f>VLOOKUP(H963,'Fund Utilization Report'!$A$4:$U$1800,14,FALSE)</f>
        <v>330100100002000</v>
      </c>
      <c r="AB963" s="242" t="str">
        <f>VLOOKUP(H963,'Fund Utilization Report'!$A$4:$U$1800,15,FALSE)</f>
        <v>Implementation of the MSME Development Plan and other initiatives to promote the growth of Micro, Small and Medium Enterprises</v>
      </c>
      <c r="AC963" s="51"/>
      <c r="AD963" s="435"/>
      <c r="AE963" s="51"/>
      <c r="AF963" s="51"/>
      <c r="AG963" s="442"/>
      <c r="AH963" s="442"/>
      <c r="AI963" s="443"/>
    </row>
    <row r="964" spans="1:35" s="32" customFormat="1" ht="27.6">
      <c r="A964" s="434" t="s">
        <v>942</v>
      </c>
      <c r="B964" s="457" t="s">
        <v>946</v>
      </c>
      <c r="C964" s="233">
        <v>44265</v>
      </c>
      <c r="D964" s="435" t="s">
        <v>1267</v>
      </c>
      <c r="E964" s="436" t="s">
        <v>1385</v>
      </c>
      <c r="F964" s="338">
        <v>0.39861111111111108</v>
      </c>
      <c r="G964" s="338">
        <v>0.40486111111111112</v>
      </c>
      <c r="H964" s="338" t="s">
        <v>970</v>
      </c>
      <c r="I964" s="353">
        <v>734</v>
      </c>
      <c r="J964" s="338" t="str">
        <f>IFERROR(VLOOKUP(I964,'Chart of accounts'!A:H,2,FALSE),"")</f>
        <v>50103040 01</v>
      </c>
      <c r="K964" s="338" t="str">
        <f>IFERROR(VLOOKUP(I964,'Chart of accounts'!A:H,3,FALSE),"")</f>
        <v>ECIP - Civilian</v>
      </c>
      <c r="L964" s="338" t="str">
        <f>IFERROR(VLOOKUP(I964,'Chart of accounts'!A:H,4,FALSE),"")</f>
        <v>50103040 01 - ECIP - Civilian (734)</v>
      </c>
      <c r="M964" s="361">
        <v>3</v>
      </c>
      <c r="N964" s="355" t="s">
        <v>777</v>
      </c>
      <c r="O964" s="355" t="s">
        <v>1384</v>
      </c>
      <c r="P964" s="355"/>
      <c r="Q964" s="363">
        <v>200</v>
      </c>
      <c r="R964" s="428">
        <f t="shared" si="24"/>
        <v>-200</v>
      </c>
      <c r="S964" s="239" t="str">
        <f>VLOOKUP(H964,'Fund Utilization Report'!$A$4:$U$1800,13,FALSE)</f>
        <v>PS</v>
      </c>
      <c r="T964" s="239" t="str">
        <f>VLOOKUP(H964,'Fund Utilization Report'!$A$4:$U$1800,2,FALSE)</f>
        <v>GAA</v>
      </c>
      <c r="U964" s="239" t="str">
        <f>VLOOKUP(H964,'Fund Utilization Report'!$A$4:$U$1800,3,FALSE)</f>
        <v>FY2021, RA11518</v>
      </c>
      <c r="V964" s="239" t="str">
        <f>VLOOKUP(H964,'Fund Utilization Report'!$A$4:$U$1800,4,FALSE)</f>
        <v>OO3</v>
      </c>
      <c r="W964" s="239" t="str">
        <f>VLOOKUP(H964,'Fund Utilization Report'!$A$4:$U$1800,5,FALSE)</f>
        <v>01101101</v>
      </c>
      <c r="X964" s="239" t="str">
        <f>VLOOKUP(H964,'Fund Utilization Report'!$A$4:$U$1800,6,FALSE)</f>
        <v>GOP</v>
      </c>
      <c r="Y964" s="440" t="str">
        <f>VLOOKUP(H964,'Fund Utilization Report'!$A$4:$U$1800,7,FALSE)</f>
        <v>PS</v>
      </c>
      <c r="Z964" s="441">
        <f>VLOOKUP(H964,'Fund Utilization Report'!$A$4:$U$1800,8,FALSE)</f>
        <v>5010000000</v>
      </c>
      <c r="AA964" s="239" t="str">
        <f>VLOOKUP(H964,'Fund Utilization Report'!$A$4:$U$1800,14,FALSE)</f>
        <v>330100100002000</v>
      </c>
      <c r="AB964" s="242" t="str">
        <f>VLOOKUP(H964,'Fund Utilization Report'!$A$4:$U$1800,15,FALSE)</f>
        <v>Implementation of the MSME Development Plan and other initiatives to promote the growth of Micro, Small and Medium Enterprises</v>
      </c>
      <c r="AC964" s="51"/>
      <c r="AD964" s="435"/>
      <c r="AE964" s="51"/>
      <c r="AF964" s="51"/>
      <c r="AG964" s="442"/>
      <c r="AH964" s="442"/>
      <c r="AI964" s="443"/>
    </row>
    <row r="965" spans="1:35" s="32" customFormat="1" ht="27.6">
      <c r="A965" s="434" t="s">
        <v>942</v>
      </c>
      <c r="B965" s="457" t="s">
        <v>946</v>
      </c>
      <c r="C965" s="233">
        <v>44265</v>
      </c>
      <c r="D965" s="435" t="s">
        <v>1267</v>
      </c>
      <c r="E965" s="436" t="s">
        <v>1385</v>
      </c>
      <c r="F965" s="338">
        <v>0.39861111111111108</v>
      </c>
      <c r="G965" s="338">
        <v>0.40486111111111112</v>
      </c>
      <c r="H965" s="338" t="s">
        <v>973</v>
      </c>
      <c r="I965" s="353">
        <v>701</v>
      </c>
      <c r="J965" s="338" t="str">
        <f>IFERROR(VLOOKUP(I965,'Chart of accounts'!A:H,2,FALSE),"")</f>
        <v>50101010 01</v>
      </c>
      <c r="K965" s="338" t="str">
        <f>IFERROR(VLOOKUP(I965,'Chart of accounts'!A:H,3,FALSE),"")</f>
        <v>Basic Salary - Civilian</v>
      </c>
      <c r="L965" s="338" t="str">
        <f>IFERROR(VLOOKUP(I965,'Chart of accounts'!A:H,4,FALSE),"")</f>
        <v>50101010 01 - Basic Salary - Civilian (701)</v>
      </c>
      <c r="M965" s="361">
        <v>3</v>
      </c>
      <c r="N965" s="355" t="s">
        <v>777</v>
      </c>
      <c r="O965" s="355" t="s">
        <v>1384</v>
      </c>
      <c r="P965" s="355"/>
      <c r="Q965" s="363">
        <v>149727</v>
      </c>
      <c r="R965" s="428">
        <f t="shared" si="24"/>
        <v>-149727</v>
      </c>
      <c r="S965" s="239" t="str">
        <f>VLOOKUP(H965,'Fund Utilization Report'!$A$4:$U$1800,13,FALSE)</f>
        <v>PS</v>
      </c>
      <c r="T965" s="239" t="str">
        <f>VLOOKUP(H965,'Fund Utilization Report'!$A$4:$U$1800,2,FALSE)</f>
        <v>GAA</v>
      </c>
      <c r="U965" s="239" t="str">
        <f>VLOOKUP(H965,'Fund Utilization Report'!$A$4:$U$1800,3,FALSE)</f>
        <v>FY2021, RA11518</v>
      </c>
      <c r="V965" s="239" t="str">
        <f>VLOOKUP(H965,'Fund Utilization Report'!$A$4:$U$1800,4,FALSE)</f>
        <v>OO4.1(FTL)</v>
      </c>
      <c r="W965" s="239" t="str">
        <f>VLOOKUP(H965,'Fund Utilization Report'!$A$4:$U$1800,5,FALSE)</f>
        <v>01101101</v>
      </c>
      <c r="X965" s="239" t="str">
        <f>VLOOKUP(H965,'Fund Utilization Report'!$A$4:$U$1800,6,FALSE)</f>
        <v>GOP</v>
      </c>
      <c r="Y965" s="440" t="str">
        <f>VLOOKUP(H965,'Fund Utilization Report'!$A$4:$U$1800,7,FALSE)</f>
        <v>PS</v>
      </c>
      <c r="Z965" s="441">
        <f>VLOOKUP(H965,'Fund Utilization Report'!$A$4:$U$1800,8,FALSE)</f>
        <v>5010000000</v>
      </c>
      <c r="AA965" s="239" t="str">
        <f>VLOOKUP(H965,'Fund Utilization Report'!$A$4:$U$1800,14,FALSE)</f>
        <v>340100100002000</v>
      </c>
      <c r="AB965" s="242" t="str">
        <f>VLOOKUP(H965,'Fund Utilization Report'!$A$4:$U$1800,15,FALSE)</f>
        <v>Monitoring and Enforcement of FTL including consumer complaints handling</v>
      </c>
      <c r="AC965" s="51"/>
      <c r="AD965" s="435"/>
      <c r="AE965" s="51"/>
      <c r="AF965" s="51"/>
      <c r="AG965" s="442"/>
      <c r="AH965" s="442"/>
      <c r="AI965" s="443"/>
    </row>
    <row r="966" spans="1:35" s="32" customFormat="1" ht="27.6">
      <c r="A966" s="434" t="s">
        <v>942</v>
      </c>
      <c r="B966" s="457" t="s">
        <v>946</v>
      </c>
      <c r="C966" s="233">
        <v>44265</v>
      </c>
      <c r="D966" s="435" t="s">
        <v>1267</v>
      </c>
      <c r="E966" s="436" t="s">
        <v>1385</v>
      </c>
      <c r="F966" s="338">
        <v>0.39861111111111108</v>
      </c>
      <c r="G966" s="338">
        <v>0.40486111111111112</v>
      </c>
      <c r="H966" s="338" t="s">
        <v>973</v>
      </c>
      <c r="I966" s="353">
        <v>711</v>
      </c>
      <c r="J966" s="338" t="str">
        <f>IFERROR(VLOOKUP(I966,'Chart of accounts'!A:H,2,FALSE),"")</f>
        <v>50102010 01</v>
      </c>
      <c r="K966" s="338" t="str">
        <f>IFERROR(VLOOKUP(I966,'Chart of accounts'!A:H,3,FALSE),"")</f>
        <v>PERA - Civilian</v>
      </c>
      <c r="L966" s="338" t="str">
        <f>IFERROR(VLOOKUP(I966,'Chart of accounts'!A:H,4,FALSE),"")</f>
        <v>50102010 01 - PERA - Civilian (711)</v>
      </c>
      <c r="M966" s="361">
        <v>3</v>
      </c>
      <c r="N966" s="355" t="s">
        <v>777</v>
      </c>
      <c r="O966" s="355" t="s">
        <v>1384</v>
      </c>
      <c r="P966" s="355"/>
      <c r="Q966" s="363">
        <v>6000</v>
      </c>
      <c r="R966" s="428">
        <f t="shared" si="24"/>
        <v>-6000</v>
      </c>
      <c r="S966" s="239" t="str">
        <f>VLOOKUP(H966,'Fund Utilization Report'!$A$4:$U$1800,13,FALSE)</f>
        <v>PS</v>
      </c>
      <c r="T966" s="239" t="str">
        <f>VLOOKUP(H966,'Fund Utilization Report'!$A$4:$U$1800,2,FALSE)</f>
        <v>GAA</v>
      </c>
      <c r="U966" s="239" t="str">
        <f>VLOOKUP(H966,'Fund Utilization Report'!$A$4:$U$1800,3,FALSE)</f>
        <v>FY2021, RA11518</v>
      </c>
      <c r="V966" s="239" t="str">
        <f>VLOOKUP(H966,'Fund Utilization Report'!$A$4:$U$1800,4,FALSE)</f>
        <v>OO4.1(FTL)</v>
      </c>
      <c r="W966" s="239" t="str">
        <f>VLOOKUP(H966,'Fund Utilization Report'!$A$4:$U$1800,5,FALSE)</f>
        <v>01101101</v>
      </c>
      <c r="X966" s="239" t="str">
        <f>VLOOKUP(H966,'Fund Utilization Report'!$A$4:$U$1800,6,FALSE)</f>
        <v>GOP</v>
      </c>
      <c r="Y966" s="440" t="str">
        <f>VLOOKUP(H966,'Fund Utilization Report'!$A$4:$U$1800,7,FALSE)</f>
        <v>PS</v>
      </c>
      <c r="Z966" s="441">
        <f>VLOOKUP(H966,'Fund Utilization Report'!$A$4:$U$1800,8,FALSE)</f>
        <v>5010000000</v>
      </c>
      <c r="AA966" s="239" t="str">
        <f>VLOOKUP(H966,'Fund Utilization Report'!$A$4:$U$1800,14,FALSE)</f>
        <v>340100100002000</v>
      </c>
      <c r="AB966" s="242" t="str">
        <f>VLOOKUP(H966,'Fund Utilization Report'!$A$4:$U$1800,15,FALSE)</f>
        <v>Monitoring and Enforcement of FTL including consumer complaints handling</v>
      </c>
      <c r="AC966" s="51"/>
      <c r="AD966" s="435"/>
      <c r="AE966" s="51"/>
      <c r="AF966" s="51"/>
      <c r="AG966" s="442"/>
      <c r="AH966" s="442"/>
      <c r="AI966" s="443"/>
    </row>
    <row r="967" spans="1:35" s="32" customFormat="1" ht="27.6">
      <c r="A967" s="434" t="s">
        <v>942</v>
      </c>
      <c r="B967" s="457" t="s">
        <v>946</v>
      </c>
      <c r="C967" s="233">
        <v>44265</v>
      </c>
      <c r="D967" s="435" t="s">
        <v>1267</v>
      </c>
      <c r="E967" s="436" t="s">
        <v>1385</v>
      </c>
      <c r="F967" s="338">
        <v>0.39861111111111108</v>
      </c>
      <c r="G967" s="338">
        <v>0.40486111111111112</v>
      </c>
      <c r="H967" s="338" t="s">
        <v>975</v>
      </c>
      <c r="I967" s="353">
        <v>731</v>
      </c>
      <c r="J967" s="338" t="str">
        <f>IFERROR(VLOOKUP(I967,'Chart of accounts'!A:H,2,FALSE),"")</f>
        <v>50103010 00</v>
      </c>
      <c r="K967" s="338" t="str">
        <f>IFERROR(VLOOKUP(I967,'Chart of accounts'!A:H,3,FALSE),"")</f>
        <v>Retirement and Life Insurance Premiums</v>
      </c>
      <c r="L967" s="338" t="str">
        <f>IFERROR(VLOOKUP(I967,'Chart of accounts'!A:H,4,FALSE),"")</f>
        <v>50103010 00 - Retirement and Life Insurance Premiums (731)</v>
      </c>
      <c r="M967" s="361">
        <v>3</v>
      </c>
      <c r="N967" s="355" t="s">
        <v>777</v>
      </c>
      <c r="O967" s="355" t="s">
        <v>1384</v>
      </c>
      <c r="P967" s="355"/>
      <c r="Q967" s="363">
        <v>17967.240000000002</v>
      </c>
      <c r="R967" s="428">
        <f t="shared" si="24"/>
        <v>-17967.240000000002</v>
      </c>
      <c r="S967" s="239" t="str">
        <f>VLOOKUP(H967,'Fund Utilization Report'!$A$4:$U$1800,13,FALSE)</f>
        <v>PS</v>
      </c>
      <c r="T967" s="239" t="str">
        <f>VLOOKUP(H967,'Fund Utilization Report'!$A$4:$U$1800,2,FALSE)</f>
        <v>GAA</v>
      </c>
      <c r="U967" s="239" t="str">
        <f>VLOOKUP(H967,'Fund Utilization Report'!$A$4:$U$1800,3,FALSE)</f>
        <v>FY2021, RA11518</v>
      </c>
      <c r="V967" s="239" t="str">
        <f>VLOOKUP(H967,'Fund Utilization Report'!$A$4:$U$1800,4,FALSE)</f>
        <v>OO4.1(FTL)</v>
      </c>
      <c r="W967" s="239" t="str">
        <f>VLOOKUP(H967,'Fund Utilization Report'!$A$4:$U$1800,5,FALSE)</f>
        <v>01101101</v>
      </c>
      <c r="X967" s="239" t="str">
        <f>VLOOKUP(H967,'Fund Utilization Report'!$A$4:$U$1800,6,FALSE)</f>
        <v>GOP</v>
      </c>
      <c r="Y967" s="440" t="str">
        <f>VLOOKUP(H967,'Fund Utilization Report'!$A$4:$U$1800,7,FALSE)</f>
        <v>RLIP</v>
      </c>
      <c r="Z967" s="441" t="str">
        <f>VLOOKUP(H967,'Fund Utilization Report'!$A$4:$U$1800,8,FALSE)</f>
        <v>50103010-00</v>
      </c>
      <c r="AA967" s="239" t="str">
        <f>VLOOKUP(H967,'Fund Utilization Report'!$A$4:$U$1800,14,FALSE)</f>
        <v>340100100002000</v>
      </c>
      <c r="AB967" s="242" t="str">
        <f>VLOOKUP(H967,'Fund Utilization Report'!$A$4:$U$1800,15,FALSE)</f>
        <v>Monitoring and Enforcement of FTL including consumer complaints handling</v>
      </c>
      <c r="AC967" s="51"/>
      <c r="AD967" s="435"/>
      <c r="AE967" s="51"/>
      <c r="AF967" s="51"/>
      <c r="AG967" s="442"/>
      <c r="AH967" s="442"/>
      <c r="AI967" s="443"/>
    </row>
    <row r="968" spans="1:35" s="32" customFormat="1" ht="27.6">
      <c r="A968" s="434" t="s">
        <v>942</v>
      </c>
      <c r="B968" s="457" t="s">
        <v>946</v>
      </c>
      <c r="C968" s="233">
        <v>44265</v>
      </c>
      <c r="D968" s="435" t="s">
        <v>1267</v>
      </c>
      <c r="E968" s="436" t="s">
        <v>1385</v>
      </c>
      <c r="F968" s="338">
        <v>0.39861111111111108</v>
      </c>
      <c r="G968" s="338">
        <v>0.40486111111111112</v>
      </c>
      <c r="H968" s="338" t="s">
        <v>973</v>
      </c>
      <c r="I968" s="353">
        <v>732</v>
      </c>
      <c r="J968" s="338" t="str">
        <f>IFERROR(VLOOKUP(I968,'Chart of accounts'!A:H,2,FALSE),"")</f>
        <v>50103020 01</v>
      </c>
      <c r="K968" s="338" t="str">
        <f>IFERROR(VLOOKUP(I968,'Chart of accounts'!A:H,3,FALSE),"")</f>
        <v>Pag-IBIG - Civilian</v>
      </c>
      <c r="L968" s="338" t="str">
        <f>IFERROR(VLOOKUP(I968,'Chart of accounts'!A:H,4,FALSE),"")</f>
        <v>50103020 01 - Pag-IBIG - Civilian (732)</v>
      </c>
      <c r="M968" s="361">
        <v>3</v>
      </c>
      <c r="N968" s="355" t="s">
        <v>777</v>
      </c>
      <c r="O968" s="355" t="s">
        <v>1384</v>
      </c>
      <c r="P968" s="355"/>
      <c r="Q968" s="363">
        <v>300</v>
      </c>
      <c r="R968" s="428">
        <f t="shared" si="24"/>
        <v>-300</v>
      </c>
      <c r="S968" s="239" t="str">
        <f>VLOOKUP(H968,'Fund Utilization Report'!$A$4:$U$1800,13,FALSE)</f>
        <v>PS</v>
      </c>
      <c r="T968" s="239" t="str">
        <f>VLOOKUP(H968,'Fund Utilization Report'!$A$4:$U$1800,2,FALSE)</f>
        <v>GAA</v>
      </c>
      <c r="U968" s="239" t="str">
        <f>VLOOKUP(H968,'Fund Utilization Report'!$A$4:$U$1800,3,FALSE)</f>
        <v>FY2021, RA11518</v>
      </c>
      <c r="V968" s="239" t="str">
        <f>VLOOKUP(H968,'Fund Utilization Report'!$A$4:$U$1800,4,FALSE)</f>
        <v>OO4.1(FTL)</v>
      </c>
      <c r="W968" s="239" t="str">
        <f>VLOOKUP(H968,'Fund Utilization Report'!$A$4:$U$1800,5,FALSE)</f>
        <v>01101101</v>
      </c>
      <c r="X968" s="239" t="str">
        <f>VLOOKUP(H968,'Fund Utilization Report'!$A$4:$U$1800,6,FALSE)</f>
        <v>GOP</v>
      </c>
      <c r="Y968" s="440" t="str">
        <f>VLOOKUP(H968,'Fund Utilization Report'!$A$4:$U$1800,7,FALSE)</f>
        <v>PS</v>
      </c>
      <c r="Z968" s="441">
        <f>VLOOKUP(H968,'Fund Utilization Report'!$A$4:$U$1800,8,FALSE)</f>
        <v>5010000000</v>
      </c>
      <c r="AA968" s="239" t="str">
        <f>VLOOKUP(H968,'Fund Utilization Report'!$A$4:$U$1800,14,FALSE)</f>
        <v>340100100002000</v>
      </c>
      <c r="AB968" s="242" t="str">
        <f>VLOOKUP(H968,'Fund Utilization Report'!$A$4:$U$1800,15,FALSE)</f>
        <v>Monitoring and Enforcement of FTL including consumer complaints handling</v>
      </c>
      <c r="AC968" s="51"/>
      <c r="AD968" s="435"/>
      <c r="AE968" s="51"/>
      <c r="AF968" s="51"/>
      <c r="AG968" s="442"/>
      <c r="AH968" s="442"/>
      <c r="AI968" s="443"/>
    </row>
    <row r="969" spans="1:35" s="32" customFormat="1" ht="27.6">
      <c r="A969" s="434" t="s">
        <v>942</v>
      </c>
      <c r="B969" s="457" t="s">
        <v>946</v>
      </c>
      <c r="C969" s="233">
        <v>44265</v>
      </c>
      <c r="D969" s="435" t="s">
        <v>1267</v>
      </c>
      <c r="E969" s="436" t="s">
        <v>1385</v>
      </c>
      <c r="F969" s="338">
        <v>0.39861111111111108</v>
      </c>
      <c r="G969" s="338">
        <v>0.40486111111111112</v>
      </c>
      <c r="H969" s="338" t="s">
        <v>973</v>
      </c>
      <c r="I969" s="353">
        <v>733</v>
      </c>
      <c r="J969" s="338" t="str">
        <f>IFERROR(VLOOKUP(I969,'Chart of accounts'!A:H,2,FALSE),"")</f>
        <v>50103030 01</v>
      </c>
      <c r="K969" s="338" t="str">
        <f>IFERROR(VLOOKUP(I969,'Chart of accounts'!A:H,3,FALSE),"")</f>
        <v>PhilHealth - Civilian</v>
      </c>
      <c r="L969" s="338" t="str">
        <f>IFERROR(VLOOKUP(I969,'Chart of accounts'!A:H,4,FALSE),"")</f>
        <v>50103030 01 - PhilHealth - Civilian (733)</v>
      </c>
      <c r="M969" s="361">
        <v>3</v>
      </c>
      <c r="N969" s="355" t="s">
        <v>777</v>
      </c>
      <c r="O969" s="355" t="s">
        <v>1384</v>
      </c>
      <c r="P969" s="355"/>
      <c r="Q969" s="363">
        <v>2087.44</v>
      </c>
      <c r="R969" s="428">
        <f t="shared" si="24"/>
        <v>-2087.44</v>
      </c>
      <c r="S969" s="239" t="str">
        <f>VLOOKUP(H969,'Fund Utilization Report'!$A$4:$U$1800,13,FALSE)</f>
        <v>PS</v>
      </c>
      <c r="T969" s="239" t="str">
        <f>VLOOKUP(H969,'Fund Utilization Report'!$A$4:$U$1800,2,FALSE)</f>
        <v>GAA</v>
      </c>
      <c r="U969" s="239" t="str">
        <f>VLOOKUP(H969,'Fund Utilization Report'!$A$4:$U$1800,3,FALSE)</f>
        <v>FY2021, RA11518</v>
      </c>
      <c r="V969" s="239" t="str">
        <f>VLOOKUP(H969,'Fund Utilization Report'!$A$4:$U$1800,4,FALSE)</f>
        <v>OO4.1(FTL)</v>
      </c>
      <c r="W969" s="239" t="str">
        <f>VLOOKUP(H969,'Fund Utilization Report'!$A$4:$U$1800,5,FALSE)</f>
        <v>01101101</v>
      </c>
      <c r="X969" s="239" t="str">
        <f>VLOOKUP(H969,'Fund Utilization Report'!$A$4:$U$1800,6,FALSE)</f>
        <v>GOP</v>
      </c>
      <c r="Y969" s="440" t="str">
        <f>VLOOKUP(H969,'Fund Utilization Report'!$A$4:$U$1800,7,FALSE)</f>
        <v>PS</v>
      </c>
      <c r="Z969" s="441">
        <f>VLOOKUP(H969,'Fund Utilization Report'!$A$4:$U$1800,8,FALSE)</f>
        <v>5010000000</v>
      </c>
      <c r="AA969" s="239" t="str">
        <f>VLOOKUP(H969,'Fund Utilization Report'!$A$4:$U$1800,14,FALSE)</f>
        <v>340100100002000</v>
      </c>
      <c r="AB969" s="242" t="str">
        <f>VLOOKUP(H969,'Fund Utilization Report'!$A$4:$U$1800,15,FALSE)</f>
        <v>Monitoring and Enforcement of FTL including consumer complaints handling</v>
      </c>
      <c r="AC969" s="51"/>
      <c r="AD969" s="435"/>
      <c r="AE969" s="51"/>
      <c r="AF969" s="51"/>
      <c r="AG969" s="442"/>
      <c r="AH969" s="442"/>
      <c r="AI969" s="443"/>
    </row>
    <row r="970" spans="1:35" s="32" customFormat="1" ht="27.6">
      <c r="A970" s="434" t="s">
        <v>942</v>
      </c>
      <c r="B970" s="457" t="s">
        <v>946</v>
      </c>
      <c r="C970" s="233">
        <v>44265</v>
      </c>
      <c r="D970" s="435" t="s">
        <v>1267</v>
      </c>
      <c r="E970" s="436" t="s">
        <v>1385</v>
      </c>
      <c r="F970" s="338">
        <v>0.39861111111111108</v>
      </c>
      <c r="G970" s="338">
        <v>0.40486111111111112</v>
      </c>
      <c r="H970" s="338" t="s">
        <v>973</v>
      </c>
      <c r="I970" s="353">
        <v>734</v>
      </c>
      <c r="J970" s="338" t="str">
        <f>IFERROR(VLOOKUP(I970,'Chart of accounts'!A:H,2,FALSE),"")</f>
        <v>50103040 01</v>
      </c>
      <c r="K970" s="338" t="str">
        <f>IFERROR(VLOOKUP(I970,'Chart of accounts'!A:H,3,FALSE),"")</f>
        <v>ECIP - Civilian</v>
      </c>
      <c r="L970" s="338" t="str">
        <f>IFERROR(VLOOKUP(I970,'Chart of accounts'!A:H,4,FALSE),"")</f>
        <v>50103040 01 - ECIP - Civilian (734)</v>
      </c>
      <c r="M970" s="361">
        <v>3</v>
      </c>
      <c r="N970" s="355" t="s">
        <v>777</v>
      </c>
      <c r="O970" s="355" t="s">
        <v>1384</v>
      </c>
      <c r="P970" s="355"/>
      <c r="Q970" s="363">
        <v>300</v>
      </c>
      <c r="R970" s="428">
        <f t="shared" si="24"/>
        <v>-300</v>
      </c>
      <c r="S970" s="239" t="str">
        <f>VLOOKUP(H970,'Fund Utilization Report'!$A$4:$U$1800,13,FALSE)</f>
        <v>PS</v>
      </c>
      <c r="T970" s="239" t="str">
        <f>VLOOKUP(H970,'Fund Utilization Report'!$A$4:$U$1800,2,FALSE)</f>
        <v>GAA</v>
      </c>
      <c r="U970" s="239" t="str">
        <f>VLOOKUP(H970,'Fund Utilization Report'!$A$4:$U$1800,3,FALSE)</f>
        <v>FY2021, RA11518</v>
      </c>
      <c r="V970" s="239" t="str">
        <f>VLOOKUP(H970,'Fund Utilization Report'!$A$4:$U$1800,4,FALSE)</f>
        <v>OO4.1(FTL)</v>
      </c>
      <c r="W970" s="239" t="str">
        <f>VLOOKUP(H970,'Fund Utilization Report'!$A$4:$U$1800,5,FALSE)</f>
        <v>01101101</v>
      </c>
      <c r="X970" s="239" t="str">
        <f>VLOOKUP(H970,'Fund Utilization Report'!$A$4:$U$1800,6,FALSE)</f>
        <v>GOP</v>
      </c>
      <c r="Y970" s="440" t="str">
        <f>VLOOKUP(H970,'Fund Utilization Report'!$A$4:$U$1800,7,FALSE)</f>
        <v>PS</v>
      </c>
      <c r="Z970" s="441">
        <f>VLOOKUP(H970,'Fund Utilization Report'!$A$4:$U$1800,8,FALSE)</f>
        <v>5010000000</v>
      </c>
      <c r="AA970" s="239" t="str">
        <f>VLOOKUP(H970,'Fund Utilization Report'!$A$4:$U$1800,14,FALSE)</f>
        <v>340100100002000</v>
      </c>
      <c r="AB970" s="242" t="str">
        <f>VLOOKUP(H970,'Fund Utilization Report'!$A$4:$U$1800,15,FALSE)</f>
        <v>Monitoring and Enforcement of FTL including consumer complaints handling</v>
      </c>
      <c r="AC970" s="51"/>
      <c r="AD970" s="435"/>
      <c r="AE970" s="51"/>
      <c r="AF970" s="51"/>
      <c r="AG970" s="442"/>
      <c r="AH970" s="442"/>
      <c r="AI970" s="443"/>
    </row>
    <row r="971" spans="1:35" s="32" customFormat="1" ht="27.6">
      <c r="A971" s="434" t="s">
        <v>942</v>
      </c>
      <c r="B971" s="457" t="s">
        <v>946</v>
      </c>
      <c r="C971" s="233">
        <v>44265</v>
      </c>
      <c r="D971" s="435" t="s">
        <v>1267</v>
      </c>
      <c r="E971" s="436" t="s">
        <v>1386</v>
      </c>
      <c r="F971" s="338">
        <v>0.40486111111111112</v>
      </c>
      <c r="G971" s="338">
        <v>0.40833333333333338</v>
      </c>
      <c r="H971" s="338" t="s">
        <v>960</v>
      </c>
      <c r="I971" s="353">
        <v>701</v>
      </c>
      <c r="J971" s="338" t="str">
        <f>IFERROR(VLOOKUP(I971,'Chart of accounts'!A:H,2,FALSE),"")</f>
        <v>50101010 01</v>
      </c>
      <c r="K971" s="338" t="str">
        <f>IFERROR(VLOOKUP(I971,'Chart of accounts'!A:H,3,FALSE),"")</f>
        <v>Basic Salary - Civilian</v>
      </c>
      <c r="L971" s="338" t="str">
        <f>IFERROR(VLOOKUP(I971,'Chart of accounts'!A:H,4,FALSE),"")</f>
        <v>50101010 01 - Basic Salary - Civilian (701)</v>
      </c>
      <c r="M971" s="361">
        <v>67</v>
      </c>
      <c r="N971" s="355" t="s">
        <v>768</v>
      </c>
      <c r="O971" s="355" t="s">
        <v>1384</v>
      </c>
      <c r="P971" s="355"/>
      <c r="Q971" s="363">
        <v>145528</v>
      </c>
      <c r="R971" s="428">
        <f t="shared" ref="R971:R976" si="25">P971-Q971</f>
        <v>-145528</v>
      </c>
      <c r="S971" s="239" t="str">
        <f>VLOOKUP(H971,'Fund Utilization Report'!$A$4:$U$1800,13,FALSE)</f>
        <v>PS</v>
      </c>
      <c r="T971" s="239" t="str">
        <f>VLOOKUP(H971,'Fund Utilization Report'!$A$4:$U$1800,2,FALSE)</f>
        <v>GAA</v>
      </c>
      <c r="U971" s="239" t="str">
        <f>VLOOKUP(H971,'Fund Utilization Report'!$A$4:$U$1800,3,FALSE)</f>
        <v>FY2021, RA11518</v>
      </c>
      <c r="V971" s="239" t="str">
        <f>VLOOKUP(H971,'Fund Utilization Report'!$A$4:$U$1800,4,FALSE)</f>
        <v>GAS(GMS)</v>
      </c>
      <c r="W971" s="239" t="str">
        <f>VLOOKUP(H971,'Fund Utilization Report'!$A$4:$U$1800,5,FALSE)</f>
        <v>01101101</v>
      </c>
      <c r="X971" s="239" t="str">
        <f>VLOOKUP(H971,'Fund Utilization Report'!$A$4:$U$1800,6,FALSE)</f>
        <v>GOP</v>
      </c>
      <c r="Y971" s="440" t="str">
        <f>VLOOKUP(H971,'Fund Utilization Report'!$A$4:$U$1800,7,FALSE)</f>
        <v>PS</v>
      </c>
      <c r="Z971" s="441">
        <f>VLOOKUP(H971,'Fund Utilization Report'!$A$4:$U$1800,8,FALSE)</f>
        <v>5010000000</v>
      </c>
      <c r="AA971" s="239" t="str">
        <f>VLOOKUP(H971,'Fund Utilization Report'!$A$4:$U$1800,14,FALSE)</f>
        <v>100000100001000</v>
      </c>
      <c r="AB971" s="242" t="str">
        <f>VLOOKUP(H971,'Fund Utilization Report'!$A$4:$U$1800,15,FALSE)</f>
        <v>General Administration and Supervision - General Management and Supervision</v>
      </c>
      <c r="AC971" s="51"/>
      <c r="AD971" s="435"/>
      <c r="AE971" s="51"/>
      <c r="AF971" s="51"/>
      <c r="AG971" s="442"/>
      <c r="AH971" s="442"/>
      <c r="AI971" s="443"/>
    </row>
    <row r="972" spans="1:35" s="32" customFormat="1" ht="27.6">
      <c r="A972" s="434" t="s">
        <v>942</v>
      </c>
      <c r="B972" s="457" t="s">
        <v>946</v>
      </c>
      <c r="C972" s="233">
        <v>44265</v>
      </c>
      <c r="D972" s="435" t="s">
        <v>1267</v>
      </c>
      <c r="E972" s="436" t="s">
        <v>1386</v>
      </c>
      <c r="F972" s="338">
        <v>0.40486111111111112</v>
      </c>
      <c r="G972" s="338">
        <v>0.40833333333333338</v>
      </c>
      <c r="H972" s="338" t="s">
        <v>960</v>
      </c>
      <c r="I972" s="353">
        <v>711</v>
      </c>
      <c r="J972" s="338" t="str">
        <f>IFERROR(VLOOKUP(I972,'Chart of accounts'!A:H,2,FALSE),"")</f>
        <v>50102010 01</v>
      </c>
      <c r="K972" s="338" t="str">
        <f>IFERROR(VLOOKUP(I972,'Chart of accounts'!A:H,3,FALSE),"")</f>
        <v>PERA - Civilian</v>
      </c>
      <c r="L972" s="338" t="str">
        <f>IFERROR(VLOOKUP(I972,'Chart of accounts'!A:H,4,FALSE),"")</f>
        <v>50102010 01 - PERA - Civilian (711)</v>
      </c>
      <c r="M972" s="361">
        <v>67</v>
      </c>
      <c r="N972" s="355" t="s">
        <v>768</v>
      </c>
      <c r="O972" s="355" t="s">
        <v>1384</v>
      </c>
      <c r="P972" s="355"/>
      <c r="Q972" s="363">
        <v>6000</v>
      </c>
      <c r="R972" s="428">
        <f t="shared" si="25"/>
        <v>-6000</v>
      </c>
      <c r="S972" s="239" t="str">
        <f>VLOOKUP(H972,'Fund Utilization Report'!$A$4:$U$1800,13,FALSE)</f>
        <v>PS</v>
      </c>
      <c r="T972" s="239" t="str">
        <f>VLOOKUP(H972,'Fund Utilization Report'!$A$4:$U$1800,2,FALSE)</f>
        <v>GAA</v>
      </c>
      <c r="U972" s="239" t="str">
        <f>VLOOKUP(H972,'Fund Utilization Report'!$A$4:$U$1800,3,FALSE)</f>
        <v>FY2021, RA11518</v>
      </c>
      <c r="V972" s="239" t="str">
        <f>VLOOKUP(H972,'Fund Utilization Report'!$A$4:$U$1800,4,FALSE)</f>
        <v>GAS(GMS)</v>
      </c>
      <c r="W972" s="239" t="str">
        <f>VLOOKUP(H972,'Fund Utilization Report'!$A$4:$U$1800,5,FALSE)</f>
        <v>01101101</v>
      </c>
      <c r="X972" s="239" t="str">
        <f>VLOOKUP(H972,'Fund Utilization Report'!$A$4:$U$1800,6,FALSE)</f>
        <v>GOP</v>
      </c>
      <c r="Y972" s="440" t="str">
        <f>VLOOKUP(H972,'Fund Utilization Report'!$A$4:$U$1800,7,FALSE)</f>
        <v>PS</v>
      </c>
      <c r="Z972" s="441">
        <f>VLOOKUP(H972,'Fund Utilization Report'!$A$4:$U$1800,8,FALSE)</f>
        <v>5010000000</v>
      </c>
      <c r="AA972" s="239" t="str">
        <f>VLOOKUP(H972,'Fund Utilization Report'!$A$4:$U$1800,14,FALSE)</f>
        <v>100000100001000</v>
      </c>
      <c r="AB972" s="242" t="str">
        <f>VLOOKUP(H972,'Fund Utilization Report'!$A$4:$U$1800,15,FALSE)</f>
        <v>General Administration and Supervision - General Management and Supervision</v>
      </c>
      <c r="AC972" s="51"/>
      <c r="AD972" s="435"/>
      <c r="AE972" s="51"/>
      <c r="AF972" s="51"/>
      <c r="AG972" s="442"/>
      <c r="AH972" s="442"/>
      <c r="AI972" s="443"/>
    </row>
    <row r="973" spans="1:35" s="32" customFormat="1" ht="27.6">
      <c r="A973" s="434" t="s">
        <v>942</v>
      </c>
      <c r="B973" s="457" t="s">
        <v>946</v>
      </c>
      <c r="C973" s="233">
        <v>44265</v>
      </c>
      <c r="D973" s="435" t="s">
        <v>1267</v>
      </c>
      <c r="E973" s="436" t="s">
        <v>1386</v>
      </c>
      <c r="F973" s="338">
        <v>0.40486111111111112</v>
      </c>
      <c r="G973" s="338">
        <v>0.40833333333333338</v>
      </c>
      <c r="H973" s="338" t="s">
        <v>962</v>
      </c>
      <c r="I973" s="353">
        <v>731</v>
      </c>
      <c r="J973" s="338" t="str">
        <f>IFERROR(VLOOKUP(I973,'Chart of accounts'!A:H,2,FALSE),"")</f>
        <v>50103010 00</v>
      </c>
      <c r="K973" s="338" t="str">
        <f>IFERROR(VLOOKUP(I973,'Chart of accounts'!A:H,3,FALSE),"")</f>
        <v>Retirement and Life Insurance Premiums</v>
      </c>
      <c r="L973" s="338" t="str">
        <f>IFERROR(VLOOKUP(I973,'Chart of accounts'!A:H,4,FALSE),"")</f>
        <v>50103010 00 - Retirement and Life Insurance Premiums (731)</v>
      </c>
      <c r="M973" s="361">
        <v>67</v>
      </c>
      <c r="N973" s="355" t="s">
        <v>768</v>
      </c>
      <c r="O973" s="355" t="s">
        <v>1384</v>
      </c>
      <c r="P973" s="355"/>
      <c r="Q973" s="363">
        <v>17463.36</v>
      </c>
      <c r="R973" s="428">
        <f t="shared" si="25"/>
        <v>-17463.36</v>
      </c>
      <c r="S973" s="239" t="str">
        <f>VLOOKUP(H973,'Fund Utilization Report'!$A$4:$U$1800,13,FALSE)</f>
        <v>PS</v>
      </c>
      <c r="T973" s="239" t="str">
        <f>VLOOKUP(H973,'Fund Utilization Report'!$A$4:$U$1800,2,FALSE)</f>
        <v>GAA</v>
      </c>
      <c r="U973" s="239" t="str">
        <f>VLOOKUP(H973,'Fund Utilization Report'!$A$4:$U$1800,3,FALSE)</f>
        <v>FY2021, RA11518</v>
      </c>
      <c r="V973" s="239" t="str">
        <f>VLOOKUP(H973,'Fund Utilization Report'!$A$4:$U$1800,4,FALSE)</f>
        <v>GAS(GMS)</v>
      </c>
      <c r="W973" s="239" t="str">
        <f>VLOOKUP(H973,'Fund Utilization Report'!$A$4:$U$1800,5,FALSE)</f>
        <v>01101101</v>
      </c>
      <c r="X973" s="239" t="str">
        <f>VLOOKUP(H973,'Fund Utilization Report'!$A$4:$U$1800,6,FALSE)</f>
        <v>GOP</v>
      </c>
      <c r="Y973" s="440" t="str">
        <f>VLOOKUP(H973,'Fund Utilization Report'!$A$4:$U$1800,7,FALSE)</f>
        <v>RLIP</v>
      </c>
      <c r="Z973" s="441" t="str">
        <f>VLOOKUP(H973,'Fund Utilization Report'!$A$4:$U$1800,8,FALSE)</f>
        <v>50103010-00</v>
      </c>
      <c r="AA973" s="239" t="str">
        <f>VLOOKUP(H973,'Fund Utilization Report'!$A$4:$U$1800,14,FALSE)</f>
        <v>100000100001000</v>
      </c>
      <c r="AB973" s="242" t="str">
        <f>VLOOKUP(H973,'Fund Utilization Report'!$A$4:$U$1800,15,FALSE)</f>
        <v>General Administration and Supervision - General Management and Supervision</v>
      </c>
      <c r="AC973" s="51"/>
      <c r="AD973" s="435"/>
      <c r="AE973" s="51"/>
      <c r="AF973" s="51"/>
      <c r="AG973" s="442"/>
      <c r="AH973" s="442"/>
      <c r="AI973" s="443"/>
    </row>
    <row r="974" spans="1:35" s="32" customFormat="1" ht="27.6">
      <c r="A974" s="434" t="s">
        <v>942</v>
      </c>
      <c r="B974" s="457" t="s">
        <v>946</v>
      </c>
      <c r="C974" s="233">
        <v>44265</v>
      </c>
      <c r="D974" s="435" t="s">
        <v>1267</v>
      </c>
      <c r="E974" s="436" t="s">
        <v>1386</v>
      </c>
      <c r="F974" s="338">
        <v>0.40486111111111112</v>
      </c>
      <c r="G974" s="338">
        <v>0.40833333333333338</v>
      </c>
      <c r="H974" s="338" t="s">
        <v>960</v>
      </c>
      <c r="I974" s="353">
        <v>732</v>
      </c>
      <c r="J974" s="338" t="str">
        <f>IFERROR(VLOOKUP(I974,'Chart of accounts'!A:H,2,FALSE),"")</f>
        <v>50103020 01</v>
      </c>
      <c r="K974" s="338" t="str">
        <f>IFERROR(VLOOKUP(I974,'Chart of accounts'!A:H,3,FALSE),"")</f>
        <v>Pag-IBIG - Civilian</v>
      </c>
      <c r="L974" s="338" t="str">
        <f>IFERROR(VLOOKUP(I974,'Chart of accounts'!A:H,4,FALSE),"")</f>
        <v>50103020 01 - Pag-IBIG - Civilian (732)</v>
      </c>
      <c r="M974" s="361">
        <v>67</v>
      </c>
      <c r="N974" s="355" t="s">
        <v>768</v>
      </c>
      <c r="O974" s="355" t="s">
        <v>1384</v>
      </c>
      <c r="P974" s="355"/>
      <c r="Q974" s="363">
        <v>300</v>
      </c>
      <c r="R974" s="428">
        <f t="shared" si="25"/>
        <v>-300</v>
      </c>
      <c r="S974" s="239" t="str">
        <f>VLOOKUP(H974,'Fund Utilization Report'!$A$4:$U$1800,13,FALSE)</f>
        <v>PS</v>
      </c>
      <c r="T974" s="239" t="str">
        <f>VLOOKUP(H974,'Fund Utilization Report'!$A$4:$U$1800,2,FALSE)</f>
        <v>GAA</v>
      </c>
      <c r="U974" s="239" t="str">
        <f>VLOOKUP(H974,'Fund Utilization Report'!$A$4:$U$1800,3,FALSE)</f>
        <v>FY2021, RA11518</v>
      </c>
      <c r="V974" s="239" t="str">
        <f>VLOOKUP(H974,'Fund Utilization Report'!$A$4:$U$1800,4,FALSE)</f>
        <v>GAS(GMS)</v>
      </c>
      <c r="W974" s="239" t="str">
        <f>VLOOKUP(H974,'Fund Utilization Report'!$A$4:$U$1800,5,FALSE)</f>
        <v>01101101</v>
      </c>
      <c r="X974" s="239" t="str">
        <f>VLOOKUP(H974,'Fund Utilization Report'!$A$4:$U$1800,6,FALSE)</f>
        <v>GOP</v>
      </c>
      <c r="Y974" s="440" t="str">
        <f>VLOOKUP(H974,'Fund Utilization Report'!$A$4:$U$1800,7,FALSE)</f>
        <v>PS</v>
      </c>
      <c r="Z974" s="441">
        <f>VLOOKUP(H974,'Fund Utilization Report'!$A$4:$U$1800,8,FALSE)</f>
        <v>5010000000</v>
      </c>
      <c r="AA974" s="239" t="str">
        <f>VLOOKUP(H974,'Fund Utilization Report'!$A$4:$U$1800,14,FALSE)</f>
        <v>100000100001000</v>
      </c>
      <c r="AB974" s="242" t="str">
        <f>VLOOKUP(H974,'Fund Utilization Report'!$A$4:$U$1800,15,FALSE)</f>
        <v>General Administration and Supervision - General Management and Supervision</v>
      </c>
      <c r="AC974" s="51"/>
      <c r="AD974" s="435"/>
      <c r="AE974" s="51"/>
      <c r="AF974" s="51"/>
      <c r="AG974" s="442"/>
      <c r="AH974" s="442"/>
      <c r="AI974" s="443"/>
    </row>
    <row r="975" spans="1:35" s="32" customFormat="1" ht="27.6">
      <c r="A975" s="434" t="s">
        <v>942</v>
      </c>
      <c r="B975" s="457" t="s">
        <v>946</v>
      </c>
      <c r="C975" s="233">
        <v>44265</v>
      </c>
      <c r="D975" s="435" t="s">
        <v>1267</v>
      </c>
      <c r="E975" s="436" t="s">
        <v>1386</v>
      </c>
      <c r="F975" s="338">
        <v>0.40486111111111112</v>
      </c>
      <c r="G975" s="338">
        <v>0.40833333333333338</v>
      </c>
      <c r="H975" s="338" t="s">
        <v>960</v>
      </c>
      <c r="I975" s="353">
        <v>733</v>
      </c>
      <c r="J975" s="338" t="str">
        <f>IFERROR(VLOOKUP(I975,'Chart of accounts'!A:H,2,FALSE),"")</f>
        <v>50103030 01</v>
      </c>
      <c r="K975" s="338" t="str">
        <f>IFERROR(VLOOKUP(I975,'Chart of accounts'!A:H,3,FALSE),"")</f>
        <v>PhilHealth - Civilian</v>
      </c>
      <c r="L975" s="338" t="str">
        <f>IFERROR(VLOOKUP(I975,'Chart of accounts'!A:H,4,FALSE),"")</f>
        <v>50103030 01 - PhilHealth - Civilian (733)</v>
      </c>
      <c r="M975" s="361">
        <v>67</v>
      </c>
      <c r="N975" s="355" t="s">
        <v>768</v>
      </c>
      <c r="O975" s="355" t="s">
        <v>1384</v>
      </c>
      <c r="P975" s="355"/>
      <c r="Q975" s="363">
        <v>1781.79</v>
      </c>
      <c r="R975" s="428">
        <f t="shared" si="25"/>
        <v>-1781.79</v>
      </c>
      <c r="S975" s="239" t="str">
        <f>VLOOKUP(H975,'Fund Utilization Report'!$A$4:$U$1800,13,FALSE)</f>
        <v>PS</v>
      </c>
      <c r="T975" s="239" t="str">
        <f>VLOOKUP(H975,'Fund Utilization Report'!$A$4:$U$1800,2,FALSE)</f>
        <v>GAA</v>
      </c>
      <c r="U975" s="239" t="str">
        <f>VLOOKUP(H975,'Fund Utilization Report'!$A$4:$U$1800,3,FALSE)</f>
        <v>FY2021, RA11518</v>
      </c>
      <c r="V975" s="239" t="str">
        <f>VLOOKUP(H975,'Fund Utilization Report'!$A$4:$U$1800,4,FALSE)</f>
        <v>GAS(GMS)</v>
      </c>
      <c r="W975" s="239" t="str">
        <f>VLOOKUP(H975,'Fund Utilization Report'!$A$4:$U$1800,5,FALSE)</f>
        <v>01101101</v>
      </c>
      <c r="X975" s="239" t="str">
        <f>VLOOKUP(H975,'Fund Utilization Report'!$A$4:$U$1800,6,FALSE)</f>
        <v>GOP</v>
      </c>
      <c r="Y975" s="440" t="str">
        <f>VLOOKUP(H975,'Fund Utilization Report'!$A$4:$U$1800,7,FALSE)</f>
        <v>PS</v>
      </c>
      <c r="Z975" s="441">
        <f>VLOOKUP(H975,'Fund Utilization Report'!$A$4:$U$1800,8,FALSE)</f>
        <v>5010000000</v>
      </c>
      <c r="AA975" s="239" t="str">
        <f>VLOOKUP(H975,'Fund Utilization Report'!$A$4:$U$1800,14,FALSE)</f>
        <v>100000100001000</v>
      </c>
      <c r="AB975" s="242" t="str">
        <f>VLOOKUP(H975,'Fund Utilization Report'!$A$4:$U$1800,15,FALSE)</f>
        <v>General Administration and Supervision - General Management and Supervision</v>
      </c>
      <c r="AC975" s="51"/>
      <c r="AD975" s="435"/>
      <c r="AE975" s="51"/>
      <c r="AF975" s="51"/>
      <c r="AG975" s="442"/>
      <c r="AH975" s="442"/>
      <c r="AI975" s="443"/>
    </row>
    <row r="976" spans="1:35" s="32" customFormat="1" ht="27.6">
      <c r="A976" s="434" t="s">
        <v>942</v>
      </c>
      <c r="B976" s="457" t="s">
        <v>946</v>
      </c>
      <c r="C976" s="233">
        <v>44265</v>
      </c>
      <c r="D976" s="435" t="s">
        <v>1267</v>
      </c>
      <c r="E976" s="436" t="s">
        <v>1386</v>
      </c>
      <c r="F976" s="338">
        <v>0.40486111111111112</v>
      </c>
      <c r="G976" s="338">
        <v>0.40833333333333338</v>
      </c>
      <c r="H976" s="338" t="s">
        <v>960</v>
      </c>
      <c r="I976" s="353">
        <v>734</v>
      </c>
      <c r="J976" s="338" t="str">
        <f>IFERROR(VLOOKUP(I976,'Chart of accounts'!A:H,2,FALSE),"")</f>
        <v>50103040 01</v>
      </c>
      <c r="K976" s="338" t="str">
        <f>IFERROR(VLOOKUP(I976,'Chart of accounts'!A:H,3,FALSE),"")</f>
        <v>ECIP - Civilian</v>
      </c>
      <c r="L976" s="338" t="str">
        <f>IFERROR(VLOOKUP(I976,'Chart of accounts'!A:H,4,FALSE),"")</f>
        <v>50103040 01 - ECIP - Civilian (734)</v>
      </c>
      <c r="M976" s="361">
        <v>67</v>
      </c>
      <c r="N976" s="355" t="s">
        <v>768</v>
      </c>
      <c r="O976" s="355" t="s">
        <v>1384</v>
      </c>
      <c r="P976" s="355"/>
      <c r="Q976" s="363">
        <v>300</v>
      </c>
      <c r="R976" s="428">
        <f t="shared" si="25"/>
        <v>-300</v>
      </c>
      <c r="S976" s="239" t="str">
        <f>VLOOKUP(H976,'Fund Utilization Report'!$A$4:$U$1800,13,FALSE)</f>
        <v>PS</v>
      </c>
      <c r="T976" s="239" t="str">
        <f>VLOOKUP(H976,'Fund Utilization Report'!$A$4:$U$1800,2,FALSE)</f>
        <v>GAA</v>
      </c>
      <c r="U976" s="239" t="str">
        <f>VLOOKUP(H976,'Fund Utilization Report'!$A$4:$U$1800,3,FALSE)</f>
        <v>FY2021, RA11518</v>
      </c>
      <c r="V976" s="239" t="str">
        <f>VLOOKUP(H976,'Fund Utilization Report'!$A$4:$U$1800,4,FALSE)</f>
        <v>GAS(GMS)</v>
      </c>
      <c r="W976" s="239" t="str">
        <f>VLOOKUP(H976,'Fund Utilization Report'!$A$4:$U$1800,5,FALSE)</f>
        <v>01101101</v>
      </c>
      <c r="X976" s="239" t="str">
        <f>VLOOKUP(H976,'Fund Utilization Report'!$A$4:$U$1800,6,FALSE)</f>
        <v>GOP</v>
      </c>
      <c r="Y976" s="440" t="str">
        <f>VLOOKUP(H976,'Fund Utilization Report'!$A$4:$U$1800,7,FALSE)</f>
        <v>PS</v>
      </c>
      <c r="Z976" s="441">
        <f>VLOOKUP(H976,'Fund Utilization Report'!$A$4:$U$1800,8,FALSE)</f>
        <v>5010000000</v>
      </c>
      <c r="AA976" s="239" t="str">
        <f>VLOOKUP(H976,'Fund Utilization Report'!$A$4:$U$1800,14,FALSE)</f>
        <v>100000100001000</v>
      </c>
      <c r="AB976" s="242" t="str">
        <f>VLOOKUP(H976,'Fund Utilization Report'!$A$4:$U$1800,15,FALSE)</f>
        <v>General Administration and Supervision - General Management and Supervision</v>
      </c>
      <c r="AC976" s="51"/>
      <c r="AD976" s="435"/>
      <c r="AE976" s="51"/>
      <c r="AF976" s="51"/>
      <c r="AG976" s="442"/>
      <c r="AH976" s="442"/>
      <c r="AI976" s="443"/>
    </row>
    <row r="977" spans="1:35" s="32" customFormat="1" ht="27.6">
      <c r="A977" s="434" t="s">
        <v>942</v>
      </c>
      <c r="B977" s="457" t="s">
        <v>946</v>
      </c>
      <c r="C977" s="233">
        <v>44265</v>
      </c>
      <c r="D977" s="435" t="s">
        <v>1267</v>
      </c>
      <c r="E977" s="436" t="s">
        <v>1386</v>
      </c>
      <c r="F977" s="338">
        <v>0.40486111111111112</v>
      </c>
      <c r="G977" s="338">
        <v>0.40833333333333338</v>
      </c>
      <c r="H977" s="338" t="s">
        <v>964</v>
      </c>
      <c r="I977" s="353">
        <v>701</v>
      </c>
      <c r="J977" s="338" t="str">
        <f>IFERROR(VLOOKUP(I977,'Chart of accounts'!A:H,2,FALSE),"")</f>
        <v>50101010 01</v>
      </c>
      <c r="K977" s="338" t="str">
        <f>IFERROR(VLOOKUP(I977,'Chart of accounts'!A:H,3,FALSE),"")</f>
        <v>Basic Salary - Civilian</v>
      </c>
      <c r="L977" s="338" t="str">
        <f>IFERROR(VLOOKUP(I977,'Chart of accounts'!A:H,4,FALSE),"")</f>
        <v>50101010 01 - Basic Salary - Civilian (701)</v>
      </c>
      <c r="M977" s="361">
        <v>67</v>
      </c>
      <c r="N977" s="355" t="s">
        <v>768</v>
      </c>
      <c r="O977" s="355" t="s">
        <v>1384</v>
      </c>
      <c r="P977" s="355"/>
      <c r="Q977" s="363">
        <v>46261</v>
      </c>
      <c r="R977" s="428">
        <f t="shared" ref="R977:R982" si="26">P977-Q977</f>
        <v>-46261</v>
      </c>
      <c r="S977" s="239" t="str">
        <f>VLOOKUP(H977,'Fund Utilization Report'!$A$4:$U$1800,13,FALSE)</f>
        <v>PS</v>
      </c>
      <c r="T977" s="239" t="str">
        <f>VLOOKUP(H977,'Fund Utilization Report'!$A$4:$U$1800,2,FALSE)</f>
        <v>GAA</v>
      </c>
      <c r="U977" s="239" t="str">
        <f>VLOOKUP(H977,'Fund Utilization Report'!$A$4:$U$1800,3,FALSE)</f>
        <v>FY2021, RA11518</v>
      </c>
      <c r="V977" s="239" t="str">
        <f>VLOOKUP(H977,'Fund Utilization Report'!$A$4:$U$1800,4,FALSE)</f>
        <v>OO1</v>
      </c>
      <c r="W977" s="239" t="str">
        <f>VLOOKUP(H977,'Fund Utilization Report'!$A$4:$U$1800,5,FALSE)</f>
        <v>01101101</v>
      </c>
      <c r="X977" s="239" t="str">
        <f>VLOOKUP(H977,'Fund Utilization Report'!$A$4:$U$1800,6,FALSE)</f>
        <v>GOP</v>
      </c>
      <c r="Y977" s="440" t="str">
        <f>VLOOKUP(H977,'Fund Utilization Report'!$A$4:$U$1800,7,FALSE)</f>
        <v>PS</v>
      </c>
      <c r="Z977" s="441">
        <f>VLOOKUP(H977,'Fund Utilization Report'!$A$4:$U$1800,8,FALSE)</f>
        <v>5010000000</v>
      </c>
      <c r="AA977" s="239" t="str">
        <f>VLOOKUP(H977,'Fund Utilization Report'!$A$4:$U$1800,14,FALSE)</f>
        <v>310100100002000</v>
      </c>
      <c r="AB977" s="242" t="str">
        <f>VLOOKUP(H977,'Fund Utilization Report'!$A$4:$U$1800,15,FALSE)</f>
        <v>Development,Facilitation, and promotion of exports and investment, domestic and foreign</v>
      </c>
      <c r="AC977" s="51"/>
      <c r="AD977" s="435"/>
      <c r="AE977" s="51"/>
      <c r="AF977" s="51"/>
      <c r="AG977" s="442"/>
      <c r="AH977" s="442"/>
      <c r="AI977" s="443"/>
    </row>
    <row r="978" spans="1:35" s="32" customFormat="1" ht="27.6">
      <c r="A978" s="434" t="s">
        <v>942</v>
      </c>
      <c r="B978" s="457" t="s">
        <v>946</v>
      </c>
      <c r="C978" s="233">
        <v>44265</v>
      </c>
      <c r="D978" s="435" t="s">
        <v>1267</v>
      </c>
      <c r="E978" s="436" t="s">
        <v>1386</v>
      </c>
      <c r="F978" s="338">
        <v>0.40486111111111112</v>
      </c>
      <c r="G978" s="338">
        <v>0.40833333333333338</v>
      </c>
      <c r="H978" s="338" t="s">
        <v>964</v>
      </c>
      <c r="I978" s="353">
        <v>711</v>
      </c>
      <c r="J978" s="338" t="str">
        <f>IFERROR(VLOOKUP(I978,'Chart of accounts'!A:H,2,FALSE),"")</f>
        <v>50102010 01</v>
      </c>
      <c r="K978" s="338" t="str">
        <f>IFERROR(VLOOKUP(I978,'Chart of accounts'!A:H,3,FALSE),"")</f>
        <v>PERA - Civilian</v>
      </c>
      <c r="L978" s="338" t="str">
        <f>IFERROR(VLOOKUP(I978,'Chart of accounts'!A:H,4,FALSE),"")</f>
        <v>50102010 01 - PERA - Civilian (711)</v>
      </c>
      <c r="M978" s="361">
        <v>67</v>
      </c>
      <c r="N978" s="355" t="s">
        <v>768</v>
      </c>
      <c r="O978" s="355" t="s">
        <v>1384</v>
      </c>
      <c r="P978" s="355"/>
      <c r="Q978" s="363">
        <v>2000</v>
      </c>
      <c r="R978" s="428">
        <f t="shared" si="26"/>
        <v>-2000</v>
      </c>
      <c r="S978" s="239" t="str">
        <f>VLOOKUP(H978,'Fund Utilization Report'!$A$4:$U$1800,13,FALSE)</f>
        <v>PS</v>
      </c>
      <c r="T978" s="239" t="str">
        <f>VLOOKUP(H978,'Fund Utilization Report'!$A$4:$U$1800,2,FALSE)</f>
        <v>GAA</v>
      </c>
      <c r="U978" s="239" t="str">
        <f>VLOOKUP(H978,'Fund Utilization Report'!$A$4:$U$1800,3,FALSE)</f>
        <v>FY2021, RA11518</v>
      </c>
      <c r="V978" s="239" t="str">
        <f>VLOOKUP(H978,'Fund Utilization Report'!$A$4:$U$1800,4,FALSE)</f>
        <v>OO1</v>
      </c>
      <c r="W978" s="239" t="str">
        <f>VLOOKUP(H978,'Fund Utilization Report'!$A$4:$U$1800,5,FALSE)</f>
        <v>01101101</v>
      </c>
      <c r="X978" s="239" t="str">
        <f>VLOOKUP(H978,'Fund Utilization Report'!$A$4:$U$1800,6,FALSE)</f>
        <v>GOP</v>
      </c>
      <c r="Y978" s="440" t="str">
        <f>VLOOKUP(H978,'Fund Utilization Report'!$A$4:$U$1800,7,FALSE)</f>
        <v>PS</v>
      </c>
      <c r="Z978" s="441">
        <f>VLOOKUP(H978,'Fund Utilization Report'!$A$4:$U$1800,8,FALSE)</f>
        <v>5010000000</v>
      </c>
      <c r="AA978" s="239" t="str">
        <f>VLOOKUP(H978,'Fund Utilization Report'!$A$4:$U$1800,14,FALSE)</f>
        <v>310100100002000</v>
      </c>
      <c r="AB978" s="242" t="str">
        <f>VLOOKUP(H978,'Fund Utilization Report'!$A$4:$U$1800,15,FALSE)</f>
        <v>Development,Facilitation, and promotion of exports and investment, domestic and foreign</v>
      </c>
      <c r="AC978" s="51"/>
      <c r="AD978" s="435"/>
      <c r="AE978" s="51"/>
      <c r="AF978" s="51"/>
      <c r="AG978" s="442"/>
      <c r="AH978" s="442"/>
      <c r="AI978" s="443"/>
    </row>
    <row r="979" spans="1:35" s="32" customFormat="1" ht="27.6">
      <c r="A979" s="434" t="s">
        <v>942</v>
      </c>
      <c r="B979" s="457" t="s">
        <v>946</v>
      </c>
      <c r="C979" s="233">
        <v>44265</v>
      </c>
      <c r="D979" s="435" t="s">
        <v>1267</v>
      </c>
      <c r="E979" s="436" t="s">
        <v>1386</v>
      </c>
      <c r="F979" s="338">
        <v>0.40486111111111112</v>
      </c>
      <c r="G979" s="338">
        <v>0.40833333333333338</v>
      </c>
      <c r="H979" s="338" t="s">
        <v>966</v>
      </c>
      <c r="I979" s="353">
        <v>731</v>
      </c>
      <c r="J979" s="338" t="str">
        <f>IFERROR(VLOOKUP(I979,'Chart of accounts'!A:H,2,FALSE),"")</f>
        <v>50103010 00</v>
      </c>
      <c r="K979" s="338" t="str">
        <f>IFERROR(VLOOKUP(I979,'Chart of accounts'!A:H,3,FALSE),"")</f>
        <v>Retirement and Life Insurance Premiums</v>
      </c>
      <c r="L979" s="338" t="str">
        <f>IFERROR(VLOOKUP(I979,'Chart of accounts'!A:H,4,FALSE),"")</f>
        <v>50103010 00 - Retirement and Life Insurance Premiums (731)</v>
      </c>
      <c r="M979" s="361">
        <v>67</v>
      </c>
      <c r="N979" s="355" t="s">
        <v>768</v>
      </c>
      <c r="O979" s="355" t="s">
        <v>1384</v>
      </c>
      <c r="P979" s="355"/>
      <c r="Q979" s="363">
        <v>5551.32</v>
      </c>
      <c r="R979" s="428">
        <f t="shared" si="26"/>
        <v>-5551.32</v>
      </c>
      <c r="S979" s="239" t="str">
        <f>VLOOKUP(H979,'Fund Utilization Report'!$A$4:$U$1800,13,FALSE)</f>
        <v>PS</v>
      </c>
      <c r="T979" s="239" t="str">
        <f>VLOOKUP(H979,'Fund Utilization Report'!$A$4:$U$1800,2,FALSE)</f>
        <v>GAA</v>
      </c>
      <c r="U979" s="239" t="str">
        <f>VLOOKUP(H979,'Fund Utilization Report'!$A$4:$U$1800,3,FALSE)</f>
        <v>FY2021, RA11518</v>
      </c>
      <c r="V979" s="239" t="str">
        <f>VLOOKUP(H979,'Fund Utilization Report'!$A$4:$U$1800,4,FALSE)</f>
        <v>OO1</v>
      </c>
      <c r="W979" s="239" t="str">
        <f>VLOOKUP(H979,'Fund Utilization Report'!$A$4:$U$1800,5,FALSE)</f>
        <v>01101101</v>
      </c>
      <c r="X979" s="239" t="str">
        <f>VLOOKUP(H979,'Fund Utilization Report'!$A$4:$U$1800,6,FALSE)</f>
        <v>GOP</v>
      </c>
      <c r="Y979" s="440" t="str">
        <f>VLOOKUP(H979,'Fund Utilization Report'!$A$4:$U$1800,7,FALSE)</f>
        <v>RLIP</v>
      </c>
      <c r="Z979" s="441" t="str">
        <f>VLOOKUP(H979,'Fund Utilization Report'!$A$4:$U$1800,8,FALSE)</f>
        <v>50103010-00</v>
      </c>
      <c r="AA979" s="239" t="str">
        <f>VLOOKUP(H979,'Fund Utilization Report'!$A$4:$U$1800,14,FALSE)</f>
        <v>310100100002000</v>
      </c>
      <c r="AB979" s="242" t="str">
        <f>VLOOKUP(H979,'Fund Utilization Report'!$A$4:$U$1800,15,FALSE)</f>
        <v>Development,Facilitation, and promotion of exports and investment, domestic and foreign</v>
      </c>
      <c r="AC979" s="51"/>
      <c r="AD979" s="435"/>
      <c r="AE979" s="51"/>
      <c r="AF979" s="51"/>
      <c r="AG979" s="442"/>
      <c r="AH979" s="442"/>
      <c r="AI979" s="443"/>
    </row>
    <row r="980" spans="1:35" s="32" customFormat="1" ht="27.6">
      <c r="A980" s="434" t="s">
        <v>942</v>
      </c>
      <c r="B980" s="457" t="s">
        <v>946</v>
      </c>
      <c r="C980" s="233">
        <v>44265</v>
      </c>
      <c r="D980" s="435" t="s">
        <v>1267</v>
      </c>
      <c r="E980" s="436" t="s">
        <v>1386</v>
      </c>
      <c r="F980" s="338">
        <v>0.40486111111111112</v>
      </c>
      <c r="G980" s="338">
        <v>0.40833333333333338</v>
      </c>
      <c r="H980" s="338" t="s">
        <v>964</v>
      </c>
      <c r="I980" s="353">
        <v>732</v>
      </c>
      <c r="J980" s="338" t="str">
        <f>IFERROR(VLOOKUP(I980,'Chart of accounts'!A:H,2,FALSE),"")</f>
        <v>50103020 01</v>
      </c>
      <c r="K980" s="338" t="str">
        <f>IFERROR(VLOOKUP(I980,'Chart of accounts'!A:H,3,FALSE),"")</f>
        <v>Pag-IBIG - Civilian</v>
      </c>
      <c r="L980" s="338" t="str">
        <f>IFERROR(VLOOKUP(I980,'Chart of accounts'!A:H,4,FALSE),"")</f>
        <v>50103020 01 - Pag-IBIG - Civilian (732)</v>
      </c>
      <c r="M980" s="361">
        <v>67</v>
      </c>
      <c r="N980" s="355" t="s">
        <v>768</v>
      </c>
      <c r="O980" s="355" t="s">
        <v>1384</v>
      </c>
      <c r="P980" s="355"/>
      <c r="Q980" s="363">
        <v>100</v>
      </c>
      <c r="R980" s="428">
        <f t="shared" si="26"/>
        <v>-100</v>
      </c>
      <c r="S980" s="239" t="str">
        <f>VLOOKUP(H980,'Fund Utilization Report'!$A$4:$U$1800,13,FALSE)</f>
        <v>PS</v>
      </c>
      <c r="T980" s="239" t="str">
        <f>VLOOKUP(H980,'Fund Utilization Report'!$A$4:$U$1800,2,FALSE)</f>
        <v>GAA</v>
      </c>
      <c r="U980" s="239" t="str">
        <f>VLOOKUP(H980,'Fund Utilization Report'!$A$4:$U$1800,3,FALSE)</f>
        <v>FY2021, RA11518</v>
      </c>
      <c r="V980" s="239" t="str">
        <f>VLOOKUP(H980,'Fund Utilization Report'!$A$4:$U$1800,4,FALSE)</f>
        <v>OO1</v>
      </c>
      <c r="W980" s="239" t="str">
        <f>VLOOKUP(H980,'Fund Utilization Report'!$A$4:$U$1800,5,FALSE)</f>
        <v>01101101</v>
      </c>
      <c r="X980" s="239" t="str">
        <f>VLOOKUP(H980,'Fund Utilization Report'!$A$4:$U$1800,6,FALSE)</f>
        <v>GOP</v>
      </c>
      <c r="Y980" s="440" t="str">
        <f>VLOOKUP(H980,'Fund Utilization Report'!$A$4:$U$1800,7,FALSE)</f>
        <v>PS</v>
      </c>
      <c r="Z980" s="441">
        <f>VLOOKUP(H980,'Fund Utilization Report'!$A$4:$U$1800,8,FALSE)</f>
        <v>5010000000</v>
      </c>
      <c r="AA980" s="239" t="str">
        <f>VLOOKUP(H980,'Fund Utilization Report'!$A$4:$U$1800,14,FALSE)</f>
        <v>310100100002000</v>
      </c>
      <c r="AB980" s="242" t="str">
        <f>VLOOKUP(H980,'Fund Utilization Report'!$A$4:$U$1800,15,FALSE)</f>
        <v>Development,Facilitation, and promotion of exports and investment, domestic and foreign</v>
      </c>
      <c r="AC980" s="51"/>
      <c r="AD980" s="435"/>
      <c r="AE980" s="51"/>
      <c r="AF980" s="51"/>
      <c r="AG980" s="442"/>
      <c r="AH980" s="442"/>
      <c r="AI980" s="443"/>
    </row>
    <row r="981" spans="1:35" s="32" customFormat="1" ht="27.6">
      <c r="A981" s="434" t="s">
        <v>942</v>
      </c>
      <c r="B981" s="457" t="s">
        <v>946</v>
      </c>
      <c r="C981" s="233">
        <v>44265</v>
      </c>
      <c r="D981" s="435" t="s">
        <v>1267</v>
      </c>
      <c r="E981" s="436" t="s">
        <v>1386</v>
      </c>
      <c r="F981" s="338">
        <v>0.40486111111111112</v>
      </c>
      <c r="G981" s="338">
        <v>0.40833333333333338</v>
      </c>
      <c r="H981" s="338" t="s">
        <v>964</v>
      </c>
      <c r="I981" s="353">
        <v>733</v>
      </c>
      <c r="J981" s="338" t="str">
        <f>IFERROR(VLOOKUP(I981,'Chart of accounts'!A:H,2,FALSE),"")</f>
        <v>50103030 01</v>
      </c>
      <c r="K981" s="338" t="str">
        <f>IFERROR(VLOOKUP(I981,'Chart of accounts'!A:H,3,FALSE),"")</f>
        <v>PhilHealth - Civilian</v>
      </c>
      <c r="L981" s="338" t="str">
        <f>IFERROR(VLOOKUP(I981,'Chart of accounts'!A:H,4,FALSE),"")</f>
        <v>50103030 01 - PhilHealth - Civilian (733)</v>
      </c>
      <c r="M981" s="361">
        <v>67</v>
      </c>
      <c r="N981" s="355" t="s">
        <v>768</v>
      </c>
      <c r="O981" s="355" t="s">
        <v>1384</v>
      </c>
      <c r="P981" s="355"/>
      <c r="Q981" s="363">
        <v>693.92</v>
      </c>
      <c r="R981" s="428">
        <f t="shared" si="26"/>
        <v>-693.92</v>
      </c>
      <c r="S981" s="239" t="str">
        <f>VLOOKUP(H981,'Fund Utilization Report'!$A$4:$U$1800,13,FALSE)</f>
        <v>PS</v>
      </c>
      <c r="T981" s="239" t="str">
        <f>VLOOKUP(H981,'Fund Utilization Report'!$A$4:$U$1800,2,FALSE)</f>
        <v>GAA</v>
      </c>
      <c r="U981" s="239" t="str">
        <f>VLOOKUP(H981,'Fund Utilization Report'!$A$4:$U$1800,3,FALSE)</f>
        <v>FY2021, RA11518</v>
      </c>
      <c r="V981" s="239" t="str">
        <f>VLOOKUP(H981,'Fund Utilization Report'!$A$4:$U$1800,4,FALSE)</f>
        <v>OO1</v>
      </c>
      <c r="W981" s="239" t="str">
        <f>VLOOKUP(H981,'Fund Utilization Report'!$A$4:$U$1800,5,FALSE)</f>
        <v>01101101</v>
      </c>
      <c r="X981" s="239" t="str">
        <f>VLOOKUP(H981,'Fund Utilization Report'!$A$4:$U$1800,6,FALSE)</f>
        <v>GOP</v>
      </c>
      <c r="Y981" s="440" t="str">
        <f>VLOOKUP(H981,'Fund Utilization Report'!$A$4:$U$1800,7,FALSE)</f>
        <v>PS</v>
      </c>
      <c r="Z981" s="441">
        <f>VLOOKUP(H981,'Fund Utilization Report'!$A$4:$U$1800,8,FALSE)</f>
        <v>5010000000</v>
      </c>
      <c r="AA981" s="239" t="str">
        <f>VLOOKUP(H981,'Fund Utilization Report'!$A$4:$U$1800,14,FALSE)</f>
        <v>310100100002000</v>
      </c>
      <c r="AB981" s="242" t="str">
        <f>VLOOKUP(H981,'Fund Utilization Report'!$A$4:$U$1800,15,FALSE)</f>
        <v>Development,Facilitation, and promotion of exports and investment, domestic and foreign</v>
      </c>
      <c r="AC981" s="51"/>
      <c r="AD981" s="435"/>
      <c r="AE981" s="51"/>
      <c r="AF981" s="51"/>
      <c r="AG981" s="442"/>
      <c r="AH981" s="442"/>
      <c r="AI981" s="443"/>
    </row>
    <row r="982" spans="1:35" s="32" customFormat="1" ht="27.6">
      <c r="A982" s="434" t="s">
        <v>942</v>
      </c>
      <c r="B982" s="457" t="s">
        <v>946</v>
      </c>
      <c r="C982" s="233">
        <v>44265</v>
      </c>
      <c r="D982" s="435" t="s">
        <v>1267</v>
      </c>
      <c r="E982" s="436" t="s">
        <v>1386</v>
      </c>
      <c r="F982" s="338">
        <v>0.40486111111111112</v>
      </c>
      <c r="G982" s="338">
        <v>0.40833333333333338</v>
      </c>
      <c r="H982" s="338" t="s">
        <v>964</v>
      </c>
      <c r="I982" s="353">
        <v>734</v>
      </c>
      <c r="J982" s="338" t="str">
        <f>IFERROR(VLOOKUP(I982,'Chart of accounts'!A:H,2,FALSE),"")</f>
        <v>50103040 01</v>
      </c>
      <c r="K982" s="338" t="str">
        <f>IFERROR(VLOOKUP(I982,'Chart of accounts'!A:H,3,FALSE),"")</f>
        <v>ECIP - Civilian</v>
      </c>
      <c r="L982" s="338" t="str">
        <f>IFERROR(VLOOKUP(I982,'Chart of accounts'!A:H,4,FALSE),"")</f>
        <v>50103040 01 - ECIP - Civilian (734)</v>
      </c>
      <c r="M982" s="361">
        <v>67</v>
      </c>
      <c r="N982" s="355" t="s">
        <v>768</v>
      </c>
      <c r="O982" s="355" t="s">
        <v>1384</v>
      </c>
      <c r="P982" s="355"/>
      <c r="Q982" s="363">
        <v>100</v>
      </c>
      <c r="R982" s="428">
        <f t="shared" si="26"/>
        <v>-100</v>
      </c>
      <c r="S982" s="239" t="str">
        <f>VLOOKUP(H982,'Fund Utilization Report'!$A$4:$U$1800,13,FALSE)</f>
        <v>PS</v>
      </c>
      <c r="T982" s="239" t="str">
        <f>VLOOKUP(H982,'Fund Utilization Report'!$A$4:$U$1800,2,FALSE)</f>
        <v>GAA</v>
      </c>
      <c r="U982" s="239" t="str">
        <f>VLOOKUP(H982,'Fund Utilization Report'!$A$4:$U$1800,3,FALSE)</f>
        <v>FY2021, RA11518</v>
      </c>
      <c r="V982" s="239" t="str">
        <f>VLOOKUP(H982,'Fund Utilization Report'!$A$4:$U$1800,4,FALSE)</f>
        <v>OO1</v>
      </c>
      <c r="W982" s="239" t="str">
        <f>VLOOKUP(H982,'Fund Utilization Report'!$A$4:$U$1800,5,FALSE)</f>
        <v>01101101</v>
      </c>
      <c r="X982" s="239" t="str">
        <f>VLOOKUP(H982,'Fund Utilization Report'!$A$4:$U$1800,6,FALSE)</f>
        <v>GOP</v>
      </c>
      <c r="Y982" s="440" t="str">
        <f>VLOOKUP(H982,'Fund Utilization Report'!$A$4:$U$1800,7,FALSE)</f>
        <v>PS</v>
      </c>
      <c r="Z982" s="441">
        <f>VLOOKUP(H982,'Fund Utilization Report'!$A$4:$U$1800,8,FALSE)</f>
        <v>5010000000</v>
      </c>
      <c r="AA982" s="239" t="str">
        <f>VLOOKUP(H982,'Fund Utilization Report'!$A$4:$U$1800,14,FALSE)</f>
        <v>310100100002000</v>
      </c>
      <c r="AB982" s="242" t="str">
        <f>VLOOKUP(H982,'Fund Utilization Report'!$A$4:$U$1800,15,FALSE)</f>
        <v>Development,Facilitation, and promotion of exports and investment, domestic and foreign</v>
      </c>
      <c r="AC982" s="51"/>
      <c r="AD982" s="435"/>
      <c r="AE982" s="51"/>
      <c r="AF982" s="51"/>
      <c r="AG982" s="442"/>
      <c r="AH982" s="442"/>
      <c r="AI982" s="443"/>
    </row>
    <row r="983" spans="1:35" s="32" customFormat="1" ht="27.6">
      <c r="A983" s="434" t="s">
        <v>942</v>
      </c>
      <c r="B983" s="457" t="s">
        <v>946</v>
      </c>
      <c r="C983" s="233">
        <v>44265</v>
      </c>
      <c r="D983" s="435" t="s">
        <v>1267</v>
      </c>
      <c r="E983" s="436" t="s">
        <v>1386</v>
      </c>
      <c r="F983" s="338">
        <v>0.40486111111111112</v>
      </c>
      <c r="G983" s="338">
        <v>0.40833333333333338</v>
      </c>
      <c r="H983" s="338" t="s">
        <v>967</v>
      </c>
      <c r="I983" s="353">
        <v>701</v>
      </c>
      <c r="J983" s="338" t="str">
        <f>IFERROR(VLOOKUP(I983,'Chart of accounts'!A:H,2,FALSE),"")</f>
        <v>50101010 01</v>
      </c>
      <c r="K983" s="338" t="str">
        <f>IFERROR(VLOOKUP(I983,'Chart of accounts'!A:H,3,FALSE),"")</f>
        <v>Basic Salary - Civilian</v>
      </c>
      <c r="L983" s="338" t="str">
        <f>IFERROR(VLOOKUP(I983,'Chart of accounts'!A:H,4,FALSE),"")</f>
        <v>50101010 01 - Basic Salary - Civilian (701)</v>
      </c>
      <c r="M983" s="361">
        <v>67</v>
      </c>
      <c r="N983" s="355" t="s">
        <v>768</v>
      </c>
      <c r="O983" s="355" t="s">
        <v>1384</v>
      </c>
      <c r="P983" s="355"/>
      <c r="Q983" s="363">
        <v>111742</v>
      </c>
      <c r="R983" s="428">
        <f t="shared" ref="R983:R988" si="27">P983-Q983</f>
        <v>-111742</v>
      </c>
      <c r="S983" s="239" t="str">
        <f>VLOOKUP(H983,'Fund Utilization Report'!$A$4:$U$1800,13,FALSE)</f>
        <v>PS</v>
      </c>
      <c r="T983" s="239" t="str">
        <f>VLOOKUP(H983,'Fund Utilization Report'!$A$4:$U$1800,2,FALSE)</f>
        <v>GAA</v>
      </c>
      <c r="U983" s="239" t="str">
        <f>VLOOKUP(H983,'Fund Utilization Report'!$A$4:$U$1800,3,FALSE)</f>
        <v>FY2021, RA11518</v>
      </c>
      <c r="V983" s="239" t="str">
        <f>VLOOKUP(H983,'Fund Utilization Report'!$A$4:$U$1800,4,FALSE)</f>
        <v>OO2</v>
      </c>
      <c r="W983" s="239" t="str">
        <f>VLOOKUP(H983,'Fund Utilization Report'!$A$4:$U$1800,5,FALSE)</f>
        <v>01101101</v>
      </c>
      <c r="X983" s="239" t="str">
        <f>VLOOKUP(H983,'Fund Utilization Report'!$A$4:$U$1800,6,FALSE)</f>
        <v>GOP</v>
      </c>
      <c r="Y983" s="440" t="str">
        <f>VLOOKUP(H983,'Fund Utilization Report'!$A$4:$U$1800,7,FALSE)</f>
        <v>PS</v>
      </c>
      <c r="Z983" s="441">
        <f>VLOOKUP(H983,'Fund Utilization Report'!$A$4:$U$1800,8,FALSE)</f>
        <v>5010000000</v>
      </c>
      <c r="AA983" s="239" t="str">
        <f>VLOOKUP(H983,'Fund Utilization Report'!$A$4:$U$1800,14,FALSE)</f>
        <v>320100100001000</v>
      </c>
      <c r="AB983" s="242" t="str">
        <f>VLOOKUP(H983,'Fund Utilization Report'!$A$4:$U$1800,15,FALSE)</f>
        <v>Formulation of Strategic plans,programs, and policies to develop competitve industries</v>
      </c>
      <c r="AC983" s="51"/>
      <c r="AD983" s="435"/>
      <c r="AE983" s="51"/>
      <c r="AF983" s="51"/>
      <c r="AG983" s="442"/>
      <c r="AH983" s="442"/>
      <c r="AI983" s="443"/>
    </row>
    <row r="984" spans="1:35" s="32" customFormat="1" ht="27.6">
      <c r="A984" s="434" t="s">
        <v>942</v>
      </c>
      <c r="B984" s="457" t="s">
        <v>946</v>
      </c>
      <c r="C984" s="233">
        <v>44265</v>
      </c>
      <c r="D984" s="435" t="s">
        <v>1267</v>
      </c>
      <c r="E984" s="436" t="s">
        <v>1386</v>
      </c>
      <c r="F984" s="338">
        <v>0.40486111111111112</v>
      </c>
      <c r="G984" s="338">
        <v>0.40833333333333338</v>
      </c>
      <c r="H984" s="338" t="s">
        <v>967</v>
      </c>
      <c r="I984" s="353">
        <v>711</v>
      </c>
      <c r="J984" s="338" t="str">
        <f>IFERROR(VLOOKUP(I984,'Chart of accounts'!A:H,2,FALSE),"")</f>
        <v>50102010 01</v>
      </c>
      <c r="K984" s="338" t="str">
        <f>IFERROR(VLOOKUP(I984,'Chart of accounts'!A:H,3,FALSE),"")</f>
        <v>PERA - Civilian</v>
      </c>
      <c r="L984" s="338" t="str">
        <f>IFERROR(VLOOKUP(I984,'Chart of accounts'!A:H,4,FALSE),"")</f>
        <v>50102010 01 - PERA - Civilian (711)</v>
      </c>
      <c r="M984" s="361">
        <v>67</v>
      </c>
      <c r="N984" s="355" t="s">
        <v>768</v>
      </c>
      <c r="O984" s="355" t="s">
        <v>1384</v>
      </c>
      <c r="P984" s="355"/>
      <c r="Q984" s="363">
        <v>2000</v>
      </c>
      <c r="R984" s="428">
        <f t="shared" si="27"/>
        <v>-2000</v>
      </c>
      <c r="S984" s="239" t="str">
        <f>VLOOKUP(H984,'Fund Utilization Report'!$A$4:$U$1800,13,FALSE)</f>
        <v>PS</v>
      </c>
      <c r="T984" s="239" t="str">
        <f>VLOOKUP(H984,'Fund Utilization Report'!$A$4:$U$1800,2,FALSE)</f>
        <v>GAA</v>
      </c>
      <c r="U984" s="239" t="str">
        <f>VLOOKUP(H984,'Fund Utilization Report'!$A$4:$U$1800,3,FALSE)</f>
        <v>FY2021, RA11518</v>
      </c>
      <c r="V984" s="239" t="str">
        <f>VLOOKUP(H984,'Fund Utilization Report'!$A$4:$U$1800,4,FALSE)</f>
        <v>OO2</v>
      </c>
      <c r="W984" s="239" t="str">
        <f>VLOOKUP(H984,'Fund Utilization Report'!$A$4:$U$1800,5,FALSE)</f>
        <v>01101101</v>
      </c>
      <c r="X984" s="239" t="str">
        <f>VLOOKUP(H984,'Fund Utilization Report'!$A$4:$U$1800,6,FALSE)</f>
        <v>GOP</v>
      </c>
      <c r="Y984" s="440" t="str">
        <f>VLOOKUP(H984,'Fund Utilization Report'!$A$4:$U$1800,7,FALSE)</f>
        <v>PS</v>
      </c>
      <c r="Z984" s="441">
        <f>VLOOKUP(H984,'Fund Utilization Report'!$A$4:$U$1800,8,FALSE)</f>
        <v>5010000000</v>
      </c>
      <c r="AA984" s="239" t="str">
        <f>VLOOKUP(H984,'Fund Utilization Report'!$A$4:$U$1800,14,FALSE)</f>
        <v>320100100001000</v>
      </c>
      <c r="AB984" s="242" t="str">
        <f>VLOOKUP(H984,'Fund Utilization Report'!$A$4:$U$1800,15,FALSE)</f>
        <v>Formulation of Strategic plans,programs, and policies to develop competitve industries</v>
      </c>
      <c r="AC984" s="51"/>
      <c r="AD984" s="435"/>
      <c r="AE984" s="51"/>
      <c r="AF984" s="51"/>
      <c r="AG984" s="442"/>
      <c r="AH984" s="442"/>
      <c r="AI984" s="443"/>
    </row>
    <row r="985" spans="1:35" s="32" customFormat="1" ht="27.6">
      <c r="A985" s="434" t="s">
        <v>942</v>
      </c>
      <c r="B985" s="457" t="s">
        <v>946</v>
      </c>
      <c r="C985" s="233">
        <v>44265</v>
      </c>
      <c r="D985" s="435" t="s">
        <v>1267</v>
      </c>
      <c r="E985" s="436" t="s">
        <v>1386</v>
      </c>
      <c r="F985" s="338">
        <v>0.40486111111111112</v>
      </c>
      <c r="G985" s="338">
        <v>0.40833333333333338</v>
      </c>
      <c r="H985" s="338" t="s">
        <v>969</v>
      </c>
      <c r="I985" s="353">
        <v>731</v>
      </c>
      <c r="J985" s="338" t="str">
        <f>IFERROR(VLOOKUP(I985,'Chart of accounts'!A:H,2,FALSE),"")</f>
        <v>50103010 00</v>
      </c>
      <c r="K985" s="338" t="str">
        <f>IFERROR(VLOOKUP(I985,'Chart of accounts'!A:H,3,FALSE),"")</f>
        <v>Retirement and Life Insurance Premiums</v>
      </c>
      <c r="L985" s="338" t="str">
        <f>IFERROR(VLOOKUP(I985,'Chart of accounts'!A:H,4,FALSE),"")</f>
        <v>50103010 00 - Retirement and Life Insurance Premiums (731)</v>
      </c>
      <c r="M985" s="361">
        <v>67</v>
      </c>
      <c r="N985" s="355" t="s">
        <v>768</v>
      </c>
      <c r="O985" s="355" t="s">
        <v>1384</v>
      </c>
      <c r="P985" s="355"/>
      <c r="Q985" s="363">
        <v>13409.04</v>
      </c>
      <c r="R985" s="428">
        <f t="shared" si="27"/>
        <v>-13409.04</v>
      </c>
      <c r="S985" s="239" t="str">
        <f>VLOOKUP(H985,'Fund Utilization Report'!$A$4:$U$1800,13,FALSE)</f>
        <v>PS</v>
      </c>
      <c r="T985" s="239" t="str">
        <f>VLOOKUP(H985,'Fund Utilization Report'!$A$4:$U$1800,2,FALSE)</f>
        <v>GAA</v>
      </c>
      <c r="U985" s="239" t="str">
        <f>VLOOKUP(H985,'Fund Utilization Report'!$A$4:$U$1800,3,FALSE)</f>
        <v>FY2021, RA11518</v>
      </c>
      <c r="V985" s="239" t="str">
        <f>VLOOKUP(H985,'Fund Utilization Report'!$A$4:$U$1800,4,FALSE)</f>
        <v>OO2</v>
      </c>
      <c r="W985" s="239" t="str">
        <f>VLOOKUP(H985,'Fund Utilization Report'!$A$4:$U$1800,5,FALSE)</f>
        <v>01101101</v>
      </c>
      <c r="X985" s="239" t="str">
        <f>VLOOKUP(H985,'Fund Utilization Report'!$A$4:$U$1800,6,FALSE)</f>
        <v>GOP</v>
      </c>
      <c r="Y985" s="440" t="str">
        <f>VLOOKUP(H985,'Fund Utilization Report'!$A$4:$U$1800,7,FALSE)</f>
        <v>RLIP</v>
      </c>
      <c r="Z985" s="441" t="str">
        <f>VLOOKUP(H985,'Fund Utilization Report'!$A$4:$U$1800,8,FALSE)</f>
        <v>50103010-00</v>
      </c>
      <c r="AA985" s="239" t="str">
        <f>VLOOKUP(H985,'Fund Utilization Report'!$A$4:$U$1800,14,FALSE)</f>
        <v>320100100001000</v>
      </c>
      <c r="AB985" s="242" t="str">
        <f>VLOOKUP(H985,'Fund Utilization Report'!$A$4:$U$1800,15,FALSE)</f>
        <v>Formulation of Strategic plans,programs, and policies to develop competitve industries</v>
      </c>
      <c r="AC985" s="51"/>
      <c r="AD985" s="435"/>
      <c r="AE985" s="51"/>
      <c r="AF985" s="51"/>
      <c r="AG985" s="442"/>
      <c r="AH985" s="442"/>
      <c r="AI985" s="443"/>
    </row>
    <row r="986" spans="1:35" s="32" customFormat="1" ht="27.6">
      <c r="A986" s="434" t="s">
        <v>942</v>
      </c>
      <c r="B986" s="457" t="s">
        <v>946</v>
      </c>
      <c r="C986" s="233">
        <v>44265</v>
      </c>
      <c r="D986" s="435" t="s">
        <v>1267</v>
      </c>
      <c r="E986" s="436" t="s">
        <v>1386</v>
      </c>
      <c r="F986" s="338">
        <v>0.40486111111111112</v>
      </c>
      <c r="G986" s="338">
        <v>0.40833333333333338</v>
      </c>
      <c r="H986" s="338" t="s">
        <v>967</v>
      </c>
      <c r="I986" s="353">
        <v>732</v>
      </c>
      <c r="J986" s="338" t="str">
        <f>IFERROR(VLOOKUP(I986,'Chart of accounts'!A:H,2,FALSE),"")</f>
        <v>50103020 01</v>
      </c>
      <c r="K986" s="338" t="str">
        <f>IFERROR(VLOOKUP(I986,'Chart of accounts'!A:H,3,FALSE),"")</f>
        <v>Pag-IBIG - Civilian</v>
      </c>
      <c r="L986" s="338" t="str">
        <f>IFERROR(VLOOKUP(I986,'Chart of accounts'!A:H,4,FALSE),"")</f>
        <v>50103020 01 - Pag-IBIG - Civilian (732)</v>
      </c>
      <c r="M986" s="361">
        <v>67</v>
      </c>
      <c r="N986" s="355" t="s">
        <v>768</v>
      </c>
      <c r="O986" s="355" t="s">
        <v>1384</v>
      </c>
      <c r="P986" s="355"/>
      <c r="Q986" s="363">
        <v>100</v>
      </c>
      <c r="R986" s="428">
        <f t="shared" si="27"/>
        <v>-100</v>
      </c>
      <c r="S986" s="239" t="str">
        <f>VLOOKUP(H986,'Fund Utilization Report'!$A$4:$U$1800,13,FALSE)</f>
        <v>PS</v>
      </c>
      <c r="T986" s="239" t="str">
        <f>VLOOKUP(H986,'Fund Utilization Report'!$A$4:$U$1800,2,FALSE)</f>
        <v>GAA</v>
      </c>
      <c r="U986" s="239" t="str">
        <f>VLOOKUP(H986,'Fund Utilization Report'!$A$4:$U$1800,3,FALSE)</f>
        <v>FY2021, RA11518</v>
      </c>
      <c r="V986" s="239" t="str">
        <f>VLOOKUP(H986,'Fund Utilization Report'!$A$4:$U$1800,4,FALSE)</f>
        <v>OO2</v>
      </c>
      <c r="W986" s="239" t="str">
        <f>VLOOKUP(H986,'Fund Utilization Report'!$A$4:$U$1800,5,FALSE)</f>
        <v>01101101</v>
      </c>
      <c r="X986" s="239" t="str">
        <f>VLOOKUP(H986,'Fund Utilization Report'!$A$4:$U$1800,6,FALSE)</f>
        <v>GOP</v>
      </c>
      <c r="Y986" s="440" t="str">
        <f>VLOOKUP(H986,'Fund Utilization Report'!$A$4:$U$1800,7,FALSE)</f>
        <v>PS</v>
      </c>
      <c r="Z986" s="441">
        <f>VLOOKUP(H986,'Fund Utilization Report'!$A$4:$U$1800,8,FALSE)</f>
        <v>5010000000</v>
      </c>
      <c r="AA986" s="239" t="str">
        <f>VLOOKUP(H986,'Fund Utilization Report'!$A$4:$U$1800,14,FALSE)</f>
        <v>320100100001000</v>
      </c>
      <c r="AB986" s="242" t="str">
        <f>VLOOKUP(H986,'Fund Utilization Report'!$A$4:$U$1800,15,FALSE)</f>
        <v>Formulation of Strategic plans,programs, and policies to develop competitve industries</v>
      </c>
      <c r="AC986" s="51"/>
      <c r="AD986" s="435"/>
      <c r="AE986" s="51"/>
      <c r="AF986" s="51"/>
      <c r="AG986" s="442"/>
      <c r="AH986" s="442"/>
      <c r="AI986" s="443"/>
    </row>
    <row r="987" spans="1:35" s="32" customFormat="1" ht="27.6">
      <c r="A987" s="434" t="s">
        <v>942</v>
      </c>
      <c r="B987" s="457" t="s">
        <v>946</v>
      </c>
      <c r="C987" s="233">
        <v>44265</v>
      </c>
      <c r="D987" s="435" t="s">
        <v>1267</v>
      </c>
      <c r="E987" s="436" t="s">
        <v>1386</v>
      </c>
      <c r="F987" s="338">
        <v>0.40486111111111112</v>
      </c>
      <c r="G987" s="338">
        <v>0.40833333333333338</v>
      </c>
      <c r="H987" s="338" t="s">
        <v>967</v>
      </c>
      <c r="I987" s="353">
        <v>733</v>
      </c>
      <c r="J987" s="338" t="str">
        <f>IFERROR(VLOOKUP(I987,'Chart of accounts'!A:H,2,FALSE),"")</f>
        <v>50103030 01</v>
      </c>
      <c r="K987" s="338" t="str">
        <f>IFERROR(VLOOKUP(I987,'Chart of accounts'!A:H,3,FALSE),"")</f>
        <v>PhilHealth - Civilian</v>
      </c>
      <c r="L987" s="338" t="str">
        <f>IFERROR(VLOOKUP(I987,'Chart of accounts'!A:H,4,FALSE),"")</f>
        <v>50103030 01 - PhilHealth - Civilian (733)</v>
      </c>
      <c r="M987" s="361">
        <v>67</v>
      </c>
      <c r="N987" s="355" t="s">
        <v>768</v>
      </c>
      <c r="O987" s="355" t="s">
        <v>1384</v>
      </c>
      <c r="P987" s="355"/>
      <c r="Q987" s="363">
        <v>900</v>
      </c>
      <c r="R987" s="428">
        <f t="shared" si="27"/>
        <v>-900</v>
      </c>
      <c r="S987" s="239" t="str">
        <f>VLOOKUP(H987,'Fund Utilization Report'!$A$4:$U$1800,13,FALSE)</f>
        <v>PS</v>
      </c>
      <c r="T987" s="239" t="str">
        <f>VLOOKUP(H987,'Fund Utilization Report'!$A$4:$U$1800,2,FALSE)</f>
        <v>GAA</v>
      </c>
      <c r="U987" s="239" t="str">
        <f>VLOOKUP(H987,'Fund Utilization Report'!$A$4:$U$1800,3,FALSE)</f>
        <v>FY2021, RA11518</v>
      </c>
      <c r="V987" s="239" t="str">
        <f>VLOOKUP(H987,'Fund Utilization Report'!$A$4:$U$1800,4,FALSE)</f>
        <v>OO2</v>
      </c>
      <c r="W987" s="239" t="str">
        <f>VLOOKUP(H987,'Fund Utilization Report'!$A$4:$U$1800,5,FALSE)</f>
        <v>01101101</v>
      </c>
      <c r="X987" s="239" t="str">
        <f>VLOOKUP(H987,'Fund Utilization Report'!$A$4:$U$1800,6,FALSE)</f>
        <v>GOP</v>
      </c>
      <c r="Y987" s="440" t="str">
        <f>VLOOKUP(H987,'Fund Utilization Report'!$A$4:$U$1800,7,FALSE)</f>
        <v>PS</v>
      </c>
      <c r="Z987" s="441">
        <f>VLOOKUP(H987,'Fund Utilization Report'!$A$4:$U$1800,8,FALSE)</f>
        <v>5010000000</v>
      </c>
      <c r="AA987" s="239" t="str">
        <f>VLOOKUP(H987,'Fund Utilization Report'!$A$4:$U$1800,14,FALSE)</f>
        <v>320100100001000</v>
      </c>
      <c r="AB987" s="242" t="str">
        <f>VLOOKUP(H987,'Fund Utilization Report'!$A$4:$U$1800,15,FALSE)</f>
        <v>Formulation of Strategic plans,programs, and policies to develop competitve industries</v>
      </c>
      <c r="AC987" s="51"/>
      <c r="AD987" s="435"/>
      <c r="AE987" s="51"/>
      <c r="AF987" s="51"/>
      <c r="AG987" s="442"/>
      <c r="AH987" s="442"/>
      <c r="AI987" s="443"/>
    </row>
    <row r="988" spans="1:35" s="32" customFormat="1" ht="27.6">
      <c r="A988" s="434" t="s">
        <v>942</v>
      </c>
      <c r="B988" s="457" t="s">
        <v>946</v>
      </c>
      <c r="C988" s="233">
        <v>44265</v>
      </c>
      <c r="D988" s="435" t="s">
        <v>1267</v>
      </c>
      <c r="E988" s="436" t="s">
        <v>1386</v>
      </c>
      <c r="F988" s="338">
        <v>0.40486111111111112</v>
      </c>
      <c r="G988" s="338">
        <v>0.40833333333333338</v>
      </c>
      <c r="H988" s="338" t="s">
        <v>967</v>
      </c>
      <c r="I988" s="353">
        <v>734</v>
      </c>
      <c r="J988" s="338" t="str">
        <f>IFERROR(VLOOKUP(I988,'Chart of accounts'!A:H,2,FALSE),"")</f>
        <v>50103040 01</v>
      </c>
      <c r="K988" s="338" t="str">
        <f>IFERROR(VLOOKUP(I988,'Chart of accounts'!A:H,3,FALSE),"")</f>
        <v>ECIP - Civilian</v>
      </c>
      <c r="L988" s="338" t="str">
        <f>IFERROR(VLOOKUP(I988,'Chart of accounts'!A:H,4,FALSE),"")</f>
        <v>50103040 01 - ECIP - Civilian (734)</v>
      </c>
      <c r="M988" s="361">
        <v>67</v>
      </c>
      <c r="N988" s="355" t="s">
        <v>768</v>
      </c>
      <c r="O988" s="355" t="s">
        <v>1384</v>
      </c>
      <c r="P988" s="355"/>
      <c r="Q988" s="363">
        <v>100</v>
      </c>
      <c r="R988" s="428">
        <f t="shared" si="27"/>
        <v>-100</v>
      </c>
      <c r="S988" s="239" t="str">
        <f>VLOOKUP(H988,'Fund Utilization Report'!$A$4:$U$1800,13,FALSE)</f>
        <v>PS</v>
      </c>
      <c r="T988" s="239" t="str">
        <f>VLOOKUP(H988,'Fund Utilization Report'!$A$4:$U$1800,2,FALSE)</f>
        <v>GAA</v>
      </c>
      <c r="U988" s="239" t="str">
        <f>VLOOKUP(H988,'Fund Utilization Report'!$A$4:$U$1800,3,FALSE)</f>
        <v>FY2021, RA11518</v>
      </c>
      <c r="V988" s="239" t="str">
        <f>VLOOKUP(H988,'Fund Utilization Report'!$A$4:$U$1800,4,FALSE)</f>
        <v>OO2</v>
      </c>
      <c r="W988" s="239" t="str">
        <f>VLOOKUP(H988,'Fund Utilization Report'!$A$4:$U$1800,5,FALSE)</f>
        <v>01101101</v>
      </c>
      <c r="X988" s="239" t="str">
        <f>VLOOKUP(H988,'Fund Utilization Report'!$A$4:$U$1800,6,FALSE)</f>
        <v>GOP</v>
      </c>
      <c r="Y988" s="440" t="str">
        <f>VLOOKUP(H988,'Fund Utilization Report'!$A$4:$U$1800,7,FALSE)</f>
        <v>PS</v>
      </c>
      <c r="Z988" s="441">
        <f>VLOOKUP(H988,'Fund Utilization Report'!$A$4:$U$1800,8,FALSE)</f>
        <v>5010000000</v>
      </c>
      <c r="AA988" s="239" t="str">
        <f>VLOOKUP(H988,'Fund Utilization Report'!$A$4:$U$1800,14,FALSE)</f>
        <v>320100100001000</v>
      </c>
      <c r="AB988" s="242" t="str">
        <f>VLOOKUP(H988,'Fund Utilization Report'!$A$4:$U$1800,15,FALSE)</f>
        <v>Formulation of Strategic plans,programs, and policies to develop competitve industries</v>
      </c>
      <c r="AC988" s="51"/>
      <c r="AD988" s="435"/>
      <c r="AE988" s="51"/>
      <c r="AF988" s="51"/>
      <c r="AG988" s="442"/>
      <c r="AH988" s="442"/>
      <c r="AI988" s="443"/>
    </row>
    <row r="989" spans="1:35" s="32" customFormat="1" ht="27.6">
      <c r="A989" s="434" t="s">
        <v>942</v>
      </c>
      <c r="B989" s="457" t="s">
        <v>946</v>
      </c>
      <c r="C989" s="233">
        <v>44265</v>
      </c>
      <c r="D989" s="435" t="s">
        <v>1267</v>
      </c>
      <c r="E989" s="436" t="s">
        <v>1386</v>
      </c>
      <c r="F989" s="338">
        <v>0.40486111111111112</v>
      </c>
      <c r="G989" s="338">
        <v>0.40833333333333338</v>
      </c>
      <c r="H989" s="338" t="s">
        <v>970</v>
      </c>
      <c r="I989" s="353">
        <v>701</v>
      </c>
      <c r="J989" s="338" t="str">
        <f>IFERROR(VLOOKUP(I989,'Chart of accounts'!A:H,2,FALSE),"")</f>
        <v>50101010 01</v>
      </c>
      <c r="K989" s="338" t="str">
        <f>IFERROR(VLOOKUP(I989,'Chart of accounts'!A:H,3,FALSE),"")</f>
        <v>Basic Salary - Civilian</v>
      </c>
      <c r="L989" s="338" t="str">
        <f>IFERROR(VLOOKUP(I989,'Chart of accounts'!A:H,4,FALSE),"")</f>
        <v>50101010 01 - Basic Salary - Civilian (701)</v>
      </c>
      <c r="M989" s="361">
        <v>67</v>
      </c>
      <c r="N989" s="355" t="s">
        <v>768</v>
      </c>
      <c r="O989" s="355" t="s">
        <v>1384</v>
      </c>
      <c r="P989" s="355"/>
      <c r="Q989" s="363">
        <v>236044</v>
      </c>
      <c r="R989" s="428">
        <f t="shared" ref="R989:R994" si="28">P989-Q989</f>
        <v>-236044</v>
      </c>
      <c r="S989" s="239" t="str">
        <f>VLOOKUP(H989,'Fund Utilization Report'!$A$4:$U$1800,13,FALSE)</f>
        <v>PS</v>
      </c>
      <c r="T989" s="239" t="str">
        <f>VLOOKUP(H989,'Fund Utilization Report'!$A$4:$U$1800,2,FALSE)</f>
        <v>GAA</v>
      </c>
      <c r="U989" s="239" t="str">
        <f>VLOOKUP(H989,'Fund Utilization Report'!$A$4:$U$1800,3,FALSE)</f>
        <v>FY2021, RA11518</v>
      </c>
      <c r="V989" s="239" t="str">
        <f>VLOOKUP(H989,'Fund Utilization Report'!$A$4:$U$1800,4,FALSE)</f>
        <v>OO3</v>
      </c>
      <c r="W989" s="239" t="str">
        <f>VLOOKUP(H989,'Fund Utilization Report'!$A$4:$U$1800,5,FALSE)</f>
        <v>01101101</v>
      </c>
      <c r="X989" s="239" t="str">
        <f>VLOOKUP(H989,'Fund Utilization Report'!$A$4:$U$1800,6,FALSE)</f>
        <v>GOP</v>
      </c>
      <c r="Y989" s="440" t="str">
        <f>VLOOKUP(H989,'Fund Utilization Report'!$A$4:$U$1800,7,FALSE)</f>
        <v>PS</v>
      </c>
      <c r="Z989" s="441">
        <f>VLOOKUP(H989,'Fund Utilization Report'!$A$4:$U$1800,8,FALSE)</f>
        <v>5010000000</v>
      </c>
      <c r="AA989" s="239" t="str">
        <f>VLOOKUP(H989,'Fund Utilization Report'!$A$4:$U$1800,14,FALSE)</f>
        <v>330100100002000</v>
      </c>
      <c r="AB989" s="242" t="str">
        <f>VLOOKUP(H989,'Fund Utilization Report'!$A$4:$U$1800,15,FALSE)</f>
        <v>Implementation of the MSME Development Plan and other initiatives to promote the growth of Micro, Small and Medium Enterprises</v>
      </c>
      <c r="AC989" s="51"/>
      <c r="AD989" s="435"/>
      <c r="AE989" s="51"/>
      <c r="AF989" s="51"/>
      <c r="AG989" s="442"/>
      <c r="AH989" s="442"/>
      <c r="AI989" s="443"/>
    </row>
    <row r="990" spans="1:35" s="32" customFormat="1" ht="27.6">
      <c r="A990" s="434" t="s">
        <v>942</v>
      </c>
      <c r="B990" s="457" t="s">
        <v>946</v>
      </c>
      <c r="C990" s="233">
        <v>44265</v>
      </c>
      <c r="D990" s="435" t="s">
        <v>1267</v>
      </c>
      <c r="E990" s="436" t="s">
        <v>1386</v>
      </c>
      <c r="F990" s="338">
        <v>0.40486111111111112</v>
      </c>
      <c r="G990" s="338">
        <v>0.40833333333333338</v>
      </c>
      <c r="H990" s="338" t="s">
        <v>970</v>
      </c>
      <c r="I990" s="353">
        <v>711</v>
      </c>
      <c r="J990" s="338" t="str">
        <f>IFERROR(VLOOKUP(I990,'Chart of accounts'!A:H,2,FALSE),"")</f>
        <v>50102010 01</v>
      </c>
      <c r="K990" s="338" t="str">
        <f>IFERROR(VLOOKUP(I990,'Chart of accounts'!A:H,3,FALSE),"")</f>
        <v>PERA - Civilian</v>
      </c>
      <c r="L990" s="338" t="str">
        <f>IFERROR(VLOOKUP(I990,'Chart of accounts'!A:H,4,FALSE),"")</f>
        <v>50102010 01 - PERA - Civilian (711)</v>
      </c>
      <c r="M990" s="361">
        <v>67</v>
      </c>
      <c r="N990" s="355" t="s">
        <v>768</v>
      </c>
      <c r="O990" s="355" t="s">
        <v>1384</v>
      </c>
      <c r="P990" s="355"/>
      <c r="Q990" s="363">
        <v>12000</v>
      </c>
      <c r="R990" s="428">
        <f t="shared" si="28"/>
        <v>-12000</v>
      </c>
      <c r="S990" s="239" t="str">
        <f>VLOOKUP(H990,'Fund Utilization Report'!$A$4:$U$1800,13,FALSE)</f>
        <v>PS</v>
      </c>
      <c r="T990" s="239" t="str">
        <f>VLOOKUP(H990,'Fund Utilization Report'!$A$4:$U$1800,2,FALSE)</f>
        <v>GAA</v>
      </c>
      <c r="U990" s="239" t="str">
        <f>VLOOKUP(H990,'Fund Utilization Report'!$A$4:$U$1800,3,FALSE)</f>
        <v>FY2021, RA11518</v>
      </c>
      <c r="V990" s="239" t="str">
        <f>VLOOKUP(H990,'Fund Utilization Report'!$A$4:$U$1800,4,FALSE)</f>
        <v>OO3</v>
      </c>
      <c r="W990" s="239" t="str">
        <f>VLOOKUP(H990,'Fund Utilization Report'!$A$4:$U$1800,5,FALSE)</f>
        <v>01101101</v>
      </c>
      <c r="X990" s="239" t="str">
        <f>VLOOKUP(H990,'Fund Utilization Report'!$A$4:$U$1800,6,FALSE)</f>
        <v>GOP</v>
      </c>
      <c r="Y990" s="440" t="str">
        <f>VLOOKUP(H990,'Fund Utilization Report'!$A$4:$U$1800,7,FALSE)</f>
        <v>PS</v>
      </c>
      <c r="Z990" s="441">
        <f>VLOOKUP(H990,'Fund Utilization Report'!$A$4:$U$1800,8,FALSE)</f>
        <v>5010000000</v>
      </c>
      <c r="AA990" s="239" t="str">
        <f>VLOOKUP(H990,'Fund Utilization Report'!$A$4:$U$1800,14,FALSE)</f>
        <v>330100100002000</v>
      </c>
      <c r="AB990" s="242" t="str">
        <f>VLOOKUP(H990,'Fund Utilization Report'!$A$4:$U$1800,15,FALSE)</f>
        <v>Implementation of the MSME Development Plan and other initiatives to promote the growth of Micro, Small and Medium Enterprises</v>
      </c>
      <c r="AC990" s="51"/>
      <c r="AD990" s="435"/>
      <c r="AE990" s="51"/>
      <c r="AF990" s="51"/>
      <c r="AG990" s="442"/>
      <c r="AH990" s="442"/>
      <c r="AI990" s="443"/>
    </row>
    <row r="991" spans="1:35" s="32" customFormat="1" ht="27.6">
      <c r="A991" s="434" t="s">
        <v>942</v>
      </c>
      <c r="B991" s="457" t="s">
        <v>946</v>
      </c>
      <c r="C991" s="233">
        <v>44265</v>
      </c>
      <c r="D991" s="435" t="s">
        <v>1267</v>
      </c>
      <c r="E991" s="436" t="s">
        <v>1386</v>
      </c>
      <c r="F991" s="338">
        <v>0.40486111111111112</v>
      </c>
      <c r="G991" s="338">
        <v>0.40833333333333338</v>
      </c>
      <c r="H991" s="338" t="s">
        <v>972</v>
      </c>
      <c r="I991" s="353">
        <v>731</v>
      </c>
      <c r="J991" s="338" t="str">
        <f>IFERROR(VLOOKUP(I991,'Chart of accounts'!A:H,2,FALSE),"")</f>
        <v>50103010 00</v>
      </c>
      <c r="K991" s="338" t="str">
        <f>IFERROR(VLOOKUP(I991,'Chart of accounts'!A:H,3,FALSE),"")</f>
        <v>Retirement and Life Insurance Premiums</v>
      </c>
      <c r="L991" s="338" t="str">
        <f>IFERROR(VLOOKUP(I991,'Chart of accounts'!A:H,4,FALSE),"")</f>
        <v>50103010 00 - Retirement and Life Insurance Premiums (731)</v>
      </c>
      <c r="M991" s="361">
        <v>67</v>
      </c>
      <c r="N991" s="355" t="s">
        <v>768</v>
      </c>
      <c r="O991" s="355" t="s">
        <v>1384</v>
      </c>
      <c r="P991" s="355"/>
      <c r="Q991" s="363">
        <v>28325.279999999999</v>
      </c>
      <c r="R991" s="428">
        <f t="shared" si="28"/>
        <v>-28325.279999999999</v>
      </c>
      <c r="S991" s="239" t="str">
        <f>VLOOKUP(H991,'Fund Utilization Report'!$A$4:$U$1800,13,FALSE)</f>
        <v>PS</v>
      </c>
      <c r="T991" s="239" t="str">
        <f>VLOOKUP(H991,'Fund Utilization Report'!$A$4:$U$1800,2,FALSE)</f>
        <v>GAA</v>
      </c>
      <c r="U991" s="239" t="str">
        <f>VLOOKUP(H991,'Fund Utilization Report'!$A$4:$U$1800,3,FALSE)</f>
        <v>FY2021, RA11518</v>
      </c>
      <c r="V991" s="239" t="str">
        <f>VLOOKUP(H991,'Fund Utilization Report'!$A$4:$U$1800,4,FALSE)</f>
        <v>OO3</v>
      </c>
      <c r="W991" s="239" t="str">
        <f>VLOOKUP(H991,'Fund Utilization Report'!$A$4:$U$1800,5,FALSE)</f>
        <v>01101101</v>
      </c>
      <c r="X991" s="239" t="str">
        <f>VLOOKUP(H991,'Fund Utilization Report'!$A$4:$U$1800,6,FALSE)</f>
        <v>GOP</v>
      </c>
      <c r="Y991" s="440" t="str">
        <f>VLOOKUP(H991,'Fund Utilization Report'!$A$4:$U$1800,7,FALSE)</f>
        <v>RLIP</v>
      </c>
      <c r="Z991" s="441" t="str">
        <f>VLOOKUP(H991,'Fund Utilization Report'!$A$4:$U$1800,8,FALSE)</f>
        <v>50103010-00</v>
      </c>
      <c r="AA991" s="239" t="str">
        <f>VLOOKUP(H991,'Fund Utilization Report'!$A$4:$U$1800,14,FALSE)</f>
        <v>330100100002000</v>
      </c>
      <c r="AB991" s="242" t="str">
        <f>VLOOKUP(H991,'Fund Utilization Report'!$A$4:$U$1800,15,FALSE)</f>
        <v>Implementation of the MSME Development Plan and other initiatives to promote the growth of Micro, Small and Medium Enterprises</v>
      </c>
      <c r="AC991" s="51"/>
      <c r="AD991" s="435"/>
      <c r="AE991" s="51"/>
      <c r="AF991" s="51"/>
      <c r="AG991" s="442"/>
      <c r="AH991" s="442"/>
      <c r="AI991" s="443"/>
    </row>
    <row r="992" spans="1:35" s="32" customFormat="1" ht="27.6">
      <c r="A992" s="434" t="s">
        <v>942</v>
      </c>
      <c r="B992" s="457" t="s">
        <v>946</v>
      </c>
      <c r="C992" s="233">
        <v>44265</v>
      </c>
      <c r="D992" s="435" t="s">
        <v>1267</v>
      </c>
      <c r="E992" s="436" t="s">
        <v>1386</v>
      </c>
      <c r="F992" s="338">
        <v>0.40486111111111112</v>
      </c>
      <c r="G992" s="338">
        <v>0.40833333333333338</v>
      </c>
      <c r="H992" s="338" t="s">
        <v>970</v>
      </c>
      <c r="I992" s="353">
        <v>732</v>
      </c>
      <c r="J992" s="338" t="str">
        <f>IFERROR(VLOOKUP(I992,'Chart of accounts'!A:H,2,FALSE),"")</f>
        <v>50103020 01</v>
      </c>
      <c r="K992" s="338" t="str">
        <f>IFERROR(VLOOKUP(I992,'Chart of accounts'!A:H,3,FALSE),"")</f>
        <v>Pag-IBIG - Civilian</v>
      </c>
      <c r="L992" s="338" t="str">
        <f>IFERROR(VLOOKUP(I992,'Chart of accounts'!A:H,4,FALSE),"")</f>
        <v>50103020 01 - Pag-IBIG - Civilian (732)</v>
      </c>
      <c r="M992" s="361">
        <v>67</v>
      </c>
      <c r="N992" s="355" t="s">
        <v>768</v>
      </c>
      <c r="O992" s="355" t="s">
        <v>1384</v>
      </c>
      <c r="P992" s="355"/>
      <c r="Q992" s="363">
        <v>600</v>
      </c>
      <c r="R992" s="428">
        <f t="shared" si="28"/>
        <v>-600</v>
      </c>
      <c r="S992" s="239" t="str">
        <f>VLOOKUP(H992,'Fund Utilization Report'!$A$4:$U$1800,13,FALSE)</f>
        <v>PS</v>
      </c>
      <c r="T992" s="239" t="str">
        <f>VLOOKUP(H992,'Fund Utilization Report'!$A$4:$U$1800,2,FALSE)</f>
        <v>GAA</v>
      </c>
      <c r="U992" s="239" t="str">
        <f>VLOOKUP(H992,'Fund Utilization Report'!$A$4:$U$1800,3,FALSE)</f>
        <v>FY2021, RA11518</v>
      </c>
      <c r="V992" s="239" t="str">
        <f>VLOOKUP(H992,'Fund Utilization Report'!$A$4:$U$1800,4,FALSE)</f>
        <v>OO3</v>
      </c>
      <c r="W992" s="239" t="str">
        <f>VLOOKUP(H992,'Fund Utilization Report'!$A$4:$U$1800,5,FALSE)</f>
        <v>01101101</v>
      </c>
      <c r="X992" s="239" t="str">
        <f>VLOOKUP(H992,'Fund Utilization Report'!$A$4:$U$1800,6,FALSE)</f>
        <v>GOP</v>
      </c>
      <c r="Y992" s="440" t="str">
        <f>VLOOKUP(H992,'Fund Utilization Report'!$A$4:$U$1800,7,FALSE)</f>
        <v>PS</v>
      </c>
      <c r="Z992" s="441">
        <f>VLOOKUP(H992,'Fund Utilization Report'!$A$4:$U$1800,8,FALSE)</f>
        <v>5010000000</v>
      </c>
      <c r="AA992" s="239" t="str">
        <f>VLOOKUP(H992,'Fund Utilization Report'!$A$4:$U$1800,14,FALSE)</f>
        <v>330100100002000</v>
      </c>
      <c r="AB992" s="242" t="str">
        <f>VLOOKUP(H992,'Fund Utilization Report'!$A$4:$U$1800,15,FALSE)</f>
        <v>Implementation of the MSME Development Plan and other initiatives to promote the growth of Micro, Small and Medium Enterprises</v>
      </c>
      <c r="AC992" s="51"/>
      <c r="AD992" s="435"/>
      <c r="AE992" s="51"/>
      <c r="AF992" s="51"/>
      <c r="AG992" s="442"/>
      <c r="AH992" s="442"/>
      <c r="AI992" s="443"/>
    </row>
    <row r="993" spans="1:35" s="32" customFormat="1" ht="27.6">
      <c r="A993" s="434" t="s">
        <v>942</v>
      </c>
      <c r="B993" s="457" t="s">
        <v>946</v>
      </c>
      <c r="C993" s="233">
        <v>44265</v>
      </c>
      <c r="D993" s="435" t="s">
        <v>1267</v>
      </c>
      <c r="E993" s="436" t="s">
        <v>1386</v>
      </c>
      <c r="F993" s="338">
        <v>0.40486111111111112</v>
      </c>
      <c r="G993" s="338">
        <v>0.40833333333333338</v>
      </c>
      <c r="H993" s="338" t="s">
        <v>970</v>
      </c>
      <c r="I993" s="353">
        <v>733</v>
      </c>
      <c r="J993" s="338" t="str">
        <f>IFERROR(VLOOKUP(I993,'Chart of accounts'!A:H,2,FALSE),"")</f>
        <v>50103030 01</v>
      </c>
      <c r="K993" s="338" t="str">
        <f>IFERROR(VLOOKUP(I993,'Chart of accounts'!A:H,3,FALSE),"")</f>
        <v>PhilHealth - Civilian</v>
      </c>
      <c r="L993" s="338" t="str">
        <f>IFERROR(VLOOKUP(I993,'Chart of accounts'!A:H,4,FALSE),"")</f>
        <v>50103030 01 - PhilHealth - Civilian (733)</v>
      </c>
      <c r="M993" s="361">
        <v>67</v>
      </c>
      <c r="N993" s="355" t="s">
        <v>768</v>
      </c>
      <c r="O993" s="355" t="s">
        <v>1384</v>
      </c>
      <c r="P993" s="355"/>
      <c r="Q993" s="363">
        <v>3540.69</v>
      </c>
      <c r="R993" s="428">
        <f t="shared" si="28"/>
        <v>-3540.69</v>
      </c>
      <c r="S993" s="239" t="str">
        <f>VLOOKUP(H993,'Fund Utilization Report'!$A$4:$U$1800,13,FALSE)</f>
        <v>PS</v>
      </c>
      <c r="T993" s="239" t="str">
        <f>VLOOKUP(H993,'Fund Utilization Report'!$A$4:$U$1800,2,FALSE)</f>
        <v>GAA</v>
      </c>
      <c r="U993" s="239" t="str">
        <f>VLOOKUP(H993,'Fund Utilization Report'!$A$4:$U$1800,3,FALSE)</f>
        <v>FY2021, RA11518</v>
      </c>
      <c r="V993" s="239" t="str">
        <f>VLOOKUP(H993,'Fund Utilization Report'!$A$4:$U$1800,4,FALSE)</f>
        <v>OO3</v>
      </c>
      <c r="W993" s="239" t="str">
        <f>VLOOKUP(H993,'Fund Utilization Report'!$A$4:$U$1800,5,FALSE)</f>
        <v>01101101</v>
      </c>
      <c r="X993" s="239" t="str">
        <f>VLOOKUP(H993,'Fund Utilization Report'!$A$4:$U$1800,6,FALSE)</f>
        <v>GOP</v>
      </c>
      <c r="Y993" s="440" t="str">
        <f>VLOOKUP(H993,'Fund Utilization Report'!$A$4:$U$1800,7,FALSE)</f>
        <v>PS</v>
      </c>
      <c r="Z993" s="441">
        <f>VLOOKUP(H993,'Fund Utilization Report'!$A$4:$U$1800,8,FALSE)</f>
        <v>5010000000</v>
      </c>
      <c r="AA993" s="239" t="str">
        <f>VLOOKUP(H993,'Fund Utilization Report'!$A$4:$U$1800,14,FALSE)</f>
        <v>330100100002000</v>
      </c>
      <c r="AB993" s="242" t="str">
        <f>VLOOKUP(H993,'Fund Utilization Report'!$A$4:$U$1800,15,FALSE)</f>
        <v>Implementation of the MSME Development Plan and other initiatives to promote the growth of Micro, Small and Medium Enterprises</v>
      </c>
      <c r="AC993" s="51"/>
      <c r="AD993" s="435"/>
      <c r="AE993" s="51"/>
      <c r="AF993" s="51"/>
      <c r="AG993" s="442"/>
      <c r="AH993" s="442"/>
      <c r="AI993" s="443"/>
    </row>
    <row r="994" spans="1:35" s="32" customFormat="1" ht="27.6">
      <c r="A994" s="434" t="s">
        <v>942</v>
      </c>
      <c r="B994" s="457" t="s">
        <v>946</v>
      </c>
      <c r="C994" s="233">
        <v>44265</v>
      </c>
      <c r="D994" s="435" t="s">
        <v>1267</v>
      </c>
      <c r="E994" s="436" t="s">
        <v>1386</v>
      </c>
      <c r="F994" s="338">
        <v>0.40486111111111112</v>
      </c>
      <c r="G994" s="338">
        <v>0.40833333333333338</v>
      </c>
      <c r="H994" s="338" t="s">
        <v>970</v>
      </c>
      <c r="I994" s="353">
        <v>734</v>
      </c>
      <c r="J994" s="338" t="str">
        <f>IFERROR(VLOOKUP(I994,'Chart of accounts'!A:H,2,FALSE),"")</f>
        <v>50103040 01</v>
      </c>
      <c r="K994" s="338" t="str">
        <f>IFERROR(VLOOKUP(I994,'Chart of accounts'!A:H,3,FALSE),"")</f>
        <v>ECIP - Civilian</v>
      </c>
      <c r="L994" s="338" t="str">
        <f>IFERROR(VLOOKUP(I994,'Chart of accounts'!A:H,4,FALSE),"")</f>
        <v>50103040 01 - ECIP - Civilian (734)</v>
      </c>
      <c r="M994" s="361">
        <v>67</v>
      </c>
      <c r="N994" s="355" t="s">
        <v>768</v>
      </c>
      <c r="O994" s="355" t="s">
        <v>1384</v>
      </c>
      <c r="P994" s="355"/>
      <c r="Q994" s="363">
        <v>600</v>
      </c>
      <c r="R994" s="428">
        <f t="shared" si="28"/>
        <v>-600</v>
      </c>
      <c r="S994" s="239" t="str">
        <f>VLOOKUP(H994,'Fund Utilization Report'!$A$4:$U$1800,13,FALSE)</f>
        <v>PS</v>
      </c>
      <c r="T994" s="239" t="str">
        <f>VLOOKUP(H994,'Fund Utilization Report'!$A$4:$U$1800,2,FALSE)</f>
        <v>GAA</v>
      </c>
      <c r="U994" s="239" t="str">
        <f>VLOOKUP(H994,'Fund Utilization Report'!$A$4:$U$1800,3,FALSE)</f>
        <v>FY2021, RA11518</v>
      </c>
      <c r="V994" s="239" t="str">
        <f>VLOOKUP(H994,'Fund Utilization Report'!$A$4:$U$1800,4,FALSE)</f>
        <v>OO3</v>
      </c>
      <c r="W994" s="239" t="str">
        <f>VLOOKUP(H994,'Fund Utilization Report'!$A$4:$U$1800,5,FALSE)</f>
        <v>01101101</v>
      </c>
      <c r="X994" s="239" t="str">
        <f>VLOOKUP(H994,'Fund Utilization Report'!$A$4:$U$1800,6,FALSE)</f>
        <v>GOP</v>
      </c>
      <c r="Y994" s="440" t="str">
        <f>VLOOKUP(H994,'Fund Utilization Report'!$A$4:$U$1800,7,FALSE)</f>
        <v>PS</v>
      </c>
      <c r="Z994" s="441">
        <f>VLOOKUP(H994,'Fund Utilization Report'!$A$4:$U$1800,8,FALSE)</f>
        <v>5010000000</v>
      </c>
      <c r="AA994" s="239" t="str">
        <f>VLOOKUP(H994,'Fund Utilization Report'!$A$4:$U$1800,14,FALSE)</f>
        <v>330100100002000</v>
      </c>
      <c r="AB994" s="242" t="str">
        <f>VLOOKUP(H994,'Fund Utilization Report'!$A$4:$U$1800,15,FALSE)</f>
        <v>Implementation of the MSME Development Plan and other initiatives to promote the growth of Micro, Small and Medium Enterprises</v>
      </c>
      <c r="AC994" s="51"/>
      <c r="AD994" s="435"/>
      <c r="AE994" s="51"/>
      <c r="AF994" s="51"/>
      <c r="AG994" s="442"/>
      <c r="AH994" s="442"/>
      <c r="AI994" s="443"/>
    </row>
    <row r="995" spans="1:35" s="32" customFormat="1" ht="27.6">
      <c r="A995" s="434" t="s">
        <v>942</v>
      </c>
      <c r="B995" s="457" t="s">
        <v>946</v>
      </c>
      <c r="C995" s="233">
        <v>44265</v>
      </c>
      <c r="D995" s="435" t="s">
        <v>1267</v>
      </c>
      <c r="E995" s="436" t="s">
        <v>1386</v>
      </c>
      <c r="F995" s="338">
        <v>0.40486111111111112</v>
      </c>
      <c r="G995" s="338">
        <v>0.40833333333333338</v>
      </c>
      <c r="H995" s="338" t="s">
        <v>973</v>
      </c>
      <c r="I995" s="353">
        <v>701</v>
      </c>
      <c r="J995" s="338" t="str">
        <f>IFERROR(VLOOKUP(I995,'Chart of accounts'!A:H,2,FALSE),"")</f>
        <v>50101010 01</v>
      </c>
      <c r="K995" s="338" t="str">
        <f>IFERROR(VLOOKUP(I995,'Chart of accounts'!A:H,3,FALSE),"")</f>
        <v>Basic Salary - Civilian</v>
      </c>
      <c r="L995" s="338" t="str">
        <f>IFERROR(VLOOKUP(I995,'Chart of accounts'!A:H,4,FALSE),"")</f>
        <v>50101010 01 - Basic Salary - Civilian (701)</v>
      </c>
      <c r="M995" s="361">
        <v>67</v>
      </c>
      <c r="N995" s="355" t="s">
        <v>768</v>
      </c>
      <c r="O995" s="355" t="s">
        <v>1384</v>
      </c>
      <c r="P995" s="355"/>
      <c r="Q995" s="363">
        <v>44694</v>
      </c>
      <c r="R995" s="428">
        <f t="shared" ref="R995:R1000" si="29">P995-Q995</f>
        <v>-44694</v>
      </c>
      <c r="S995" s="239" t="str">
        <f>VLOOKUP(H995,'Fund Utilization Report'!$A$4:$U$1800,13,FALSE)</f>
        <v>PS</v>
      </c>
      <c r="T995" s="239" t="str">
        <f>VLOOKUP(H995,'Fund Utilization Report'!$A$4:$U$1800,2,FALSE)</f>
        <v>GAA</v>
      </c>
      <c r="U995" s="239" t="str">
        <f>VLOOKUP(H995,'Fund Utilization Report'!$A$4:$U$1800,3,FALSE)</f>
        <v>FY2021, RA11518</v>
      </c>
      <c r="V995" s="239" t="str">
        <f>VLOOKUP(H995,'Fund Utilization Report'!$A$4:$U$1800,4,FALSE)</f>
        <v>OO4.1(FTL)</v>
      </c>
      <c r="W995" s="239" t="str">
        <f>VLOOKUP(H995,'Fund Utilization Report'!$A$4:$U$1800,5,FALSE)</f>
        <v>01101101</v>
      </c>
      <c r="X995" s="239" t="str">
        <f>VLOOKUP(H995,'Fund Utilization Report'!$A$4:$U$1800,6,FALSE)</f>
        <v>GOP</v>
      </c>
      <c r="Y995" s="440" t="str">
        <f>VLOOKUP(H995,'Fund Utilization Report'!$A$4:$U$1800,7,FALSE)</f>
        <v>PS</v>
      </c>
      <c r="Z995" s="441">
        <f>VLOOKUP(H995,'Fund Utilization Report'!$A$4:$U$1800,8,FALSE)</f>
        <v>5010000000</v>
      </c>
      <c r="AA995" s="239" t="str">
        <f>VLOOKUP(H995,'Fund Utilization Report'!$A$4:$U$1800,14,FALSE)</f>
        <v>340100100002000</v>
      </c>
      <c r="AB995" s="242" t="str">
        <f>VLOOKUP(H995,'Fund Utilization Report'!$A$4:$U$1800,15,FALSE)</f>
        <v>Monitoring and Enforcement of FTL including consumer complaints handling</v>
      </c>
      <c r="AC995" s="51"/>
      <c r="AD995" s="435"/>
      <c r="AE995" s="51"/>
      <c r="AF995" s="51"/>
      <c r="AG995" s="442"/>
      <c r="AH995" s="442"/>
      <c r="AI995" s="443"/>
    </row>
    <row r="996" spans="1:35" s="32" customFormat="1" ht="27.6">
      <c r="A996" s="434" t="s">
        <v>942</v>
      </c>
      <c r="B996" s="457" t="s">
        <v>946</v>
      </c>
      <c r="C996" s="233">
        <v>44265</v>
      </c>
      <c r="D996" s="435" t="s">
        <v>1267</v>
      </c>
      <c r="E996" s="436" t="s">
        <v>1386</v>
      </c>
      <c r="F996" s="338">
        <v>0.40486111111111112</v>
      </c>
      <c r="G996" s="338">
        <v>0.40833333333333338</v>
      </c>
      <c r="H996" s="338" t="s">
        <v>973</v>
      </c>
      <c r="I996" s="353">
        <v>711</v>
      </c>
      <c r="J996" s="338" t="str">
        <f>IFERROR(VLOOKUP(I996,'Chart of accounts'!A:H,2,FALSE),"")</f>
        <v>50102010 01</v>
      </c>
      <c r="K996" s="338" t="str">
        <f>IFERROR(VLOOKUP(I996,'Chart of accounts'!A:H,3,FALSE),"")</f>
        <v>PERA - Civilian</v>
      </c>
      <c r="L996" s="338" t="str">
        <f>IFERROR(VLOOKUP(I996,'Chart of accounts'!A:H,4,FALSE),"")</f>
        <v>50102010 01 - PERA - Civilian (711)</v>
      </c>
      <c r="M996" s="361">
        <v>67</v>
      </c>
      <c r="N996" s="355" t="s">
        <v>768</v>
      </c>
      <c r="O996" s="355" t="s">
        <v>1384</v>
      </c>
      <c r="P996" s="355"/>
      <c r="Q996" s="363">
        <v>2000</v>
      </c>
      <c r="R996" s="428">
        <f t="shared" si="29"/>
        <v>-2000</v>
      </c>
      <c r="S996" s="239" t="str">
        <f>VLOOKUP(H996,'Fund Utilization Report'!$A$4:$U$1800,13,FALSE)</f>
        <v>PS</v>
      </c>
      <c r="T996" s="239" t="str">
        <f>VLOOKUP(H996,'Fund Utilization Report'!$A$4:$U$1800,2,FALSE)</f>
        <v>GAA</v>
      </c>
      <c r="U996" s="239" t="str">
        <f>VLOOKUP(H996,'Fund Utilization Report'!$A$4:$U$1800,3,FALSE)</f>
        <v>FY2021, RA11518</v>
      </c>
      <c r="V996" s="239" t="str">
        <f>VLOOKUP(H996,'Fund Utilization Report'!$A$4:$U$1800,4,FALSE)</f>
        <v>OO4.1(FTL)</v>
      </c>
      <c r="W996" s="239" t="str">
        <f>VLOOKUP(H996,'Fund Utilization Report'!$A$4:$U$1800,5,FALSE)</f>
        <v>01101101</v>
      </c>
      <c r="X996" s="239" t="str">
        <f>VLOOKUP(H996,'Fund Utilization Report'!$A$4:$U$1800,6,FALSE)</f>
        <v>GOP</v>
      </c>
      <c r="Y996" s="440" t="str">
        <f>VLOOKUP(H996,'Fund Utilization Report'!$A$4:$U$1800,7,FALSE)</f>
        <v>PS</v>
      </c>
      <c r="Z996" s="441">
        <f>VLOOKUP(H996,'Fund Utilization Report'!$A$4:$U$1800,8,FALSE)</f>
        <v>5010000000</v>
      </c>
      <c r="AA996" s="239" t="str">
        <f>VLOOKUP(H996,'Fund Utilization Report'!$A$4:$U$1800,14,FALSE)</f>
        <v>340100100002000</v>
      </c>
      <c r="AB996" s="242" t="str">
        <f>VLOOKUP(H996,'Fund Utilization Report'!$A$4:$U$1800,15,FALSE)</f>
        <v>Monitoring and Enforcement of FTL including consumer complaints handling</v>
      </c>
      <c r="AC996" s="51"/>
      <c r="AD996" s="435"/>
      <c r="AE996" s="51"/>
      <c r="AF996" s="51"/>
      <c r="AG996" s="442"/>
      <c r="AH996" s="442"/>
      <c r="AI996" s="443"/>
    </row>
    <row r="997" spans="1:35" s="32" customFormat="1" ht="27.6">
      <c r="A997" s="434" t="s">
        <v>942</v>
      </c>
      <c r="B997" s="457" t="s">
        <v>946</v>
      </c>
      <c r="C997" s="233">
        <v>44265</v>
      </c>
      <c r="D997" s="435" t="s">
        <v>1267</v>
      </c>
      <c r="E997" s="436" t="s">
        <v>1386</v>
      </c>
      <c r="F997" s="338">
        <v>0.40486111111111112</v>
      </c>
      <c r="G997" s="338">
        <v>0.40833333333333338</v>
      </c>
      <c r="H997" s="338" t="s">
        <v>975</v>
      </c>
      <c r="I997" s="353">
        <v>731</v>
      </c>
      <c r="J997" s="338" t="str">
        <f>IFERROR(VLOOKUP(I997,'Chart of accounts'!A:H,2,FALSE),"")</f>
        <v>50103010 00</v>
      </c>
      <c r="K997" s="338" t="str">
        <f>IFERROR(VLOOKUP(I997,'Chart of accounts'!A:H,3,FALSE),"")</f>
        <v>Retirement and Life Insurance Premiums</v>
      </c>
      <c r="L997" s="338" t="str">
        <f>IFERROR(VLOOKUP(I997,'Chart of accounts'!A:H,4,FALSE),"")</f>
        <v>50103010 00 - Retirement and Life Insurance Premiums (731)</v>
      </c>
      <c r="M997" s="361">
        <v>67</v>
      </c>
      <c r="N997" s="355" t="s">
        <v>768</v>
      </c>
      <c r="O997" s="355" t="s">
        <v>1384</v>
      </c>
      <c r="P997" s="355"/>
      <c r="Q997" s="363">
        <v>5363.28</v>
      </c>
      <c r="R997" s="428">
        <f t="shared" si="29"/>
        <v>-5363.28</v>
      </c>
      <c r="S997" s="239" t="str">
        <f>VLOOKUP(H997,'Fund Utilization Report'!$A$4:$U$1800,13,FALSE)</f>
        <v>PS</v>
      </c>
      <c r="T997" s="239" t="str">
        <f>VLOOKUP(H997,'Fund Utilization Report'!$A$4:$U$1800,2,FALSE)</f>
        <v>GAA</v>
      </c>
      <c r="U997" s="239" t="str">
        <f>VLOOKUP(H997,'Fund Utilization Report'!$A$4:$U$1800,3,FALSE)</f>
        <v>FY2021, RA11518</v>
      </c>
      <c r="V997" s="239" t="str">
        <f>VLOOKUP(H997,'Fund Utilization Report'!$A$4:$U$1800,4,FALSE)</f>
        <v>OO4.1(FTL)</v>
      </c>
      <c r="W997" s="239" t="str">
        <f>VLOOKUP(H997,'Fund Utilization Report'!$A$4:$U$1800,5,FALSE)</f>
        <v>01101101</v>
      </c>
      <c r="X997" s="239" t="str">
        <f>VLOOKUP(H997,'Fund Utilization Report'!$A$4:$U$1800,6,FALSE)</f>
        <v>GOP</v>
      </c>
      <c r="Y997" s="440" t="str">
        <f>VLOOKUP(H997,'Fund Utilization Report'!$A$4:$U$1800,7,FALSE)</f>
        <v>RLIP</v>
      </c>
      <c r="Z997" s="441" t="str">
        <f>VLOOKUP(H997,'Fund Utilization Report'!$A$4:$U$1800,8,FALSE)</f>
        <v>50103010-00</v>
      </c>
      <c r="AA997" s="239" t="str">
        <f>VLOOKUP(H997,'Fund Utilization Report'!$A$4:$U$1800,14,FALSE)</f>
        <v>340100100002000</v>
      </c>
      <c r="AB997" s="242" t="str">
        <f>VLOOKUP(H997,'Fund Utilization Report'!$A$4:$U$1800,15,FALSE)</f>
        <v>Monitoring and Enforcement of FTL including consumer complaints handling</v>
      </c>
      <c r="AC997" s="51"/>
      <c r="AD997" s="435"/>
      <c r="AE997" s="51"/>
      <c r="AF997" s="51"/>
      <c r="AG997" s="442"/>
      <c r="AH997" s="442"/>
      <c r="AI997" s="443"/>
    </row>
    <row r="998" spans="1:35" s="32" customFormat="1" ht="27.6">
      <c r="A998" s="434" t="s">
        <v>942</v>
      </c>
      <c r="B998" s="457" t="s">
        <v>946</v>
      </c>
      <c r="C998" s="233">
        <v>44265</v>
      </c>
      <c r="D998" s="435" t="s">
        <v>1267</v>
      </c>
      <c r="E998" s="436" t="s">
        <v>1386</v>
      </c>
      <c r="F998" s="338">
        <v>0.40486111111111112</v>
      </c>
      <c r="G998" s="338">
        <v>0.40833333333333338</v>
      </c>
      <c r="H998" s="338" t="s">
        <v>973</v>
      </c>
      <c r="I998" s="353">
        <v>732</v>
      </c>
      <c r="J998" s="338" t="str">
        <f>IFERROR(VLOOKUP(I998,'Chart of accounts'!A:H,2,FALSE),"")</f>
        <v>50103020 01</v>
      </c>
      <c r="K998" s="338" t="str">
        <f>IFERROR(VLOOKUP(I998,'Chart of accounts'!A:H,3,FALSE),"")</f>
        <v>Pag-IBIG - Civilian</v>
      </c>
      <c r="L998" s="338" t="str">
        <f>IFERROR(VLOOKUP(I998,'Chart of accounts'!A:H,4,FALSE),"")</f>
        <v>50103020 01 - Pag-IBIG - Civilian (732)</v>
      </c>
      <c r="M998" s="361">
        <v>67</v>
      </c>
      <c r="N998" s="355" t="s">
        <v>768</v>
      </c>
      <c r="O998" s="355" t="s">
        <v>1384</v>
      </c>
      <c r="P998" s="355"/>
      <c r="Q998" s="363">
        <v>100</v>
      </c>
      <c r="R998" s="428">
        <f t="shared" si="29"/>
        <v>-100</v>
      </c>
      <c r="S998" s="239" t="str">
        <f>VLOOKUP(H998,'Fund Utilization Report'!$A$4:$U$1800,13,FALSE)</f>
        <v>PS</v>
      </c>
      <c r="T998" s="239" t="str">
        <f>VLOOKUP(H998,'Fund Utilization Report'!$A$4:$U$1800,2,FALSE)</f>
        <v>GAA</v>
      </c>
      <c r="U998" s="239" t="str">
        <f>VLOOKUP(H998,'Fund Utilization Report'!$A$4:$U$1800,3,FALSE)</f>
        <v>FY2021, RA11518</v>
      </c>
      <c r="V998" s="239" t="str">
        <f>VLOOKUP(H998,'Fund Utilization Report'!$A$4:$U$1800,4,FALSE)</f>
        <v>OO4.1(FTL)</v>
      </c>
      <c r="W998" s="239" t="str">
        <f>VLOOKUP(H998,'Fund Utilization Report'!$A$4:$U$1800,5,FALSE)</f>
        <v>01101101</v>
      </c>
      <c r="X998" s="239" t="str">
        <f>VLOOKUP(H998,'Fund Utilization Report'!$A$4:$U$1800,6,FALSE)</f>
        <v>GOP</v>
      </c>
      <c r="Y998" s="440" t="str">
        <f>VLOOKUP(H998,'Fund Utilization Report'!$A$4:$U$1800,7,FALSE)</f>
        <v>PS</v>
      </c>
      <c r="Z998" s="441">
        <f>VLOOKUP(H998,'Fund Utilization Report'!$A$4:$U$1800,8,FALSE)</f>
        <v>5010000000</v>
      </c>
      <c r="AA998" s="239" t="str">
        <f>VLOOKUP(H998,'Fund Utilization Report'!$A$4:$U$1800,14,FALSE)</f>
        <v>340100100002000</v>
      </c>
      <c r="AB998" s="242" t="str">
        <f>VLOOKUP(H998,'Fund Utilization Report'!$A$4:$U$1800,15,FALSE)</f>
        <v>Monitoring and Enforcement of FTL including consumer complaints handling</v>
      </c>
      <c r="AC998" s="51"/>
      <c r="AD998" s="435"/>
      <c r="AE998" s="51"/>
      <c r="AF998" s="51"/>
      <c r="AG998" s="442"/>
      <c r="AH998" s="442"/>
      <c r="AI998" s="443"/>
    </row>
    <row r="999" spans="1:35" s="32" customFormat="1" ht="27.6">
      <c r="A999" s="434" t="s">
        <v>942</v>
      </c>
      <c r="B999" s="457" t="s">
        <v>946</v>
      </c>
      <c r="C999" s="233">
        <v>44265</v>
      </c>
      <c r="D999" s="435" t="s">
        <v>1267</v>
      </c>
      <c r="E999" s="436" t="s">
        <v>1386</v>
      </c>
      <c r="F999" s="338">
        <v>0.40486111111111112</v>
      </c>
      <c r="G999" s="338">
        <v>0.40833333333333338</v>
      </c>
      <c r="H999" s="338" t="s">
        <v>973</v>
      </c>
      <c r="I999" s="353">
        <v>733</v>
      </c>
      <c r="J999" s="338" t="str">
        <f>IFERROR(VLOOKUP(I999,'Chart of accounts'!A:H,2,FALSE),"")</f>
        <v>50103030 01</v>
      </c>
      <c r="K999" s="338" t="str">
        <f>IFERROR(VLOOKUP(I999,'Chart of accounts'!A:H,3,FALSE),"")</f>
        <v>PhilHealth - Civilian</v>
      </c>
      <c r="L999" s="338" t="str">
        <f>IFERROR(VLOOKUP(I999,'Chart of accounts'!A:H,4,FALSE),"")</f>
        <v>50103030 01 - PhilHealth - Civilian (733)</v>
      </c>
      <c r="M999" s="361">
        <v>67</v>
      </c>
      <c r="N999" s="355" t="s">
        <v>768</v>
      </c>
      <c r="O999" s="355" t="s">
        <v>1384</v>
      </c>
      <c r="P999" s="355"/>
      <c r="Q999" s="363">
        <v>670.41</v>
      </c>
      <c r="R999" s="428">
        <f t="shared" si="29"/>
        <v>-670.41</v>
      </c>
      <c r="S999" s="239" t="str">
        <f>VLOOKUP(H999,'Fund Utilization Report'!$A$4:$U$1800,13,FALSE)</f>
        <v>PS</v>
      </c>
      <c r="T999" s="239" t="str">
        <f>VLOOKUP(H999,'Fund Utilization Report'!$A$4:$U$1800,2,FALSE)</f>
        <v>GAA</v>
      </c>
      <c r="U999" s="239" t="str">
        <f>VLOOKUP(H999,'Fund Utilization Report'!$A$4:$U$1800,3,FALSE)</f>
        <v>FY2021, RA11518</v>
      </c>
      <c r="V999" s="239" t="str">
        <f>VLOOKUP(H999,'Fund Utilization Report'!$A$4:$U$1800,4,FALSE)</f>
        <v>OO4.1(FTL)</v>
      </c>
      <c r="W999" s="239" t="str">
        <f>VLOOKUP(H999,'Fund Utilization Report'!$A$4:$U$1800,5,FALSE)</f>
        <v>01101101</v>
      </c>
      <c r="X999" s="239" t="str">
        <f>VLOOKUP(H999,'Fund Utilization Report'!$A$4:$U$1800,6,FALSE)</f>
        <v>GOP</v>
      </c>
      <c r="Y999" s="440" t="str">
        <f>VLOOKUP(H999,'Fund Utilization Report'!$A$4:$U$1800,7,FALSE)</f>
        <v>PS</v>
      </c>
      <c r="Z999" s="441">
        <f>VLOOKUP(H999,'Fund Utilization Report'!$A$4:$U$1800,8,FALSE)</f>
        <v>5010000000</v>
      </c>
      <c r="AA999" s="239" t="str">
        <f>VLOOKUP(H999,'Fund Utilization Report'!$A$4:$U$1800,14,FALSE)</f>
        <v>340100100002000</v>
      </c>
      <c r="AB999" s="242" t="str">
        <f>VLOOKUP(H999,'Fund Utilization Report'!$A$4:$U$1800,15,FALSE)</f>
        <v>Monitoring and Enforcement of FTL including consumer complaints handling</v>
      </c>
      <c r="AC999" s="51"/>
      <c r="AD999" s="435"/>
      <c r="AE999" s="51"/>
      <c r="AF999" s="51"/>
      <c r="AG999" s="442"/>
      <c r="AH999" s="442"/>
      <c r="AI999" s="443"/>
    </row>
    <row r="1000" spans="1:35" s="32" customFormat="1" ht="27.6">
      <c r="A1000" s="434" t="s">
        <v>942</v>
      </c>
      <c r="B1000" s="457" t="s">
        <v>946</v>
      </c>
      <c r="C1000" s="233">
        <v>44265</v>
      </c>
      <c r="D1000" s="435" t="s">
        <v>1267</v>
      </c>
      <c r="E1000" s="436" t="s">
        <v>1386</v>
      </c>
      <c r="F1000" s="338">
        <v>0.40486111111111112</v>
      </c>
      <c r="G1000" s="338">
        <v>0.40833333333333338</v>
      </c>
      <c r="H1000" s="338" t="s">
        <v>973</v>
      </c>
      <c r="I1000" s="353">
        <v>734</v>
      </c>
      <c r="J1000" s="338" t="str">
        <f>IFERROR(VLOOKUP(I1000,'Chart of accounts'!A:H,2,FALSE),"")</f>
        <v>50103040 01</v>
      </c>
      <c r="K1000" s="338" t="str">
        <f>IFERROR(VLOOKUP(I1000,'Chart of accounts'!A:H,3,FALSE),"")</f>
        <v>ECIP - Civilian</v>
      </c>
      <c r="L1000" s="338" t="str">
        <f>IFERROR(VLOOKUP(I1000,'Chart of accounts'!A:H,4,FALSE),"")</f>
        <v>50103040 01 - ECIP - Civilian (734)</v>
      </c>
      <c r="M1000" s="361">
        <v>67</v>
      </c>
      <c r="N1000" s="355" t="s">
        <v>768</v>
      </c>
      <c r="O1000" s="355" t="s">
        <v>1384</v>
      </c>
      <c r="P1000" s="355"/>
      <c r="Q1000" s="363">
        <v>100</v>
      </c>
      <c r="R1000" s="428">
        <f t="shared" si="29"/>
        <v>-100</v>
      </c>
      <c r="S1000" s="239" t="str">
        <f>VLOOKUP(H1000,'Fund Utilization Report'!$A$4:$U$1800,13,FALSE)</f>
        <v>PS</v>
      </c>
      <c r="T1000" s="239" t="str">
        <f>VLOOKUP(H1000,'Fund Utilization Report'!$A$4:$U$1800,2,FALSE)</f>
        <v>GAA</v>
      </c>
      <c r="U1000" s="239" t="str">
        <f>VLOOKUP(H1000,'Fund Utilization Report'!$A$4:$U$1800,3,FALSE)</f>
        <v>FY2021, RA11518</v>
      </c>
      <c r="V1000" s="239" t="str">
        <f>VLOOKUP(H1000,'Fund Utilization Report'!$A$4:$U$1800,4,FALSE)</f>
        <v>OO4.1(FTL)</v>
      </c>
      <c r="W1000" s="239" t="str">
        <f>VLOOKUP(H1000,'Fund Utilization Report'!$A$4:$U$1800,5,FALSE)</f>
        <v>01101101</v>
      </c>
      <c r="X1000" s="239" t="str">
        <f>VLOOKUP(H1000,'Fund Utilization Report'!$A$4:$U$1800,6,FALSE)</f>
        <v>GOP</v>
      </c>
      <c r="Y1000" s="440" t="str">
        <f>VLOOKUP(H1000,'Fund Utilization Report'!$A$4:$U$1800,7,FALSE)</f>
        <v>PS</v>
      </c>
      <c r="Z1000" s="441">
        <f>VLOOKUP(H1000,'Fund Utilization Report'!$A$4:$U$1800,8,FALSE)</f>
        <v>5010000000</v>
      </c>
      <c r="AA1000" s="239" t="str">
        <f>VLOOKUP(H1000,'Fund Utilization Report'!$A$4:$U$1800,14,FALSE)</f>
        <v>340100100002000</v>
      </c>
      <c r="AB1000" s="242" t="str">
        <f>VLOOKUP(H1000,'Fund Utilization Report'!$A$4:$U$1800,15,FALSE)</f>
        <v>Monitoring and Enforcement of FTL including consumer complaints handling</v>
      </c>
      <c r="AC1000" s="51"/>
      <c r="AD1000" s="435"/>
      <c r="AE1000" s="51"/>
      <c r="AF1000" s="51"/>
      <c r="AG1000" s="442"/>
      <c r="AH1000" s="442"/>
      <c r="AI1000" s="443"/>
    </row>
    <row r="1001" spans="1:35" s="32" customFormat="1" ht="27.6">
      <c r="A1001" s="434" t="s">
        <v>942</v>
      </c>
      <c r="B1001" s="457" t="s">
        <v>946</v>
      </c>
      <c r="C1001" s="233">
        <v>44265</v>
      </c>
      <c r="D1001" s="435" t="s">
        <v>1267</v>
      </c>
      <c r="E1001" s="436" t="s">
        <v>1387</v>
      </c>
      <c r="F1001" s="338">
        <v>0.40833333333333338</v>
      </c>
      <c r="G1001" s="338">
        <v>0.41319444444444442</v>
      </c>
      <c r="H1001" s="338" t="s">
        <v>960</v>
      </c>
      <c r="I1001" s="353">
        <v>701</v>
      </c>
      <c r="J1001" s="338" t="str">
        <f>IFERROR(VLOOKUP(I1001,'Chart of accounts'!A:H,2,FALSE),"")</f>
        <v>50101010 01</v>
      </c>
      <c r="K1001" s="338" t="str">
        <f>IFERROR(VLOOKUP(I1001,'Chart of accounts'!A:H,3,FALSE),"")</f>
        <v>Basic Salary - Civilian</v>
      </c>
      <c r="L1001" s="338" t="str">
        <f>IFERROR(VLOOKUP(I1001,'Chart of accounts'!A:H,4,FALSE),"")</f>
        <v>50101010 01 - Basic Salary - Civilian (701)</v>
      </c>
      <c r="M1001" s="361">
        <v>85</v>
      </c>
      <c r="N1001" s="355" t="s">
        <v>765</v>
      </c>
      <c r="O1001" s="355" t="s">
        <v>1384</v>
      </c>
      <c r="P1001" s="355"/>
      <c r="Q1001" s="363">
        <v>57452</v>
      </c>
      <c r="R1001" s="428">
        <f t="shared" ref="R1001:R1012" si="30">P1001-Q1001</f>
        <v>-57452</v>
      </c>
      <c r="S1001" s="239" t="str">
        <f>VLOOKUP(H1001,'Fund Utilization Report'!$A$4:$U$1800,13,FALSE)</f>
        <v>PS</v>
      </c>
      <c r="T1001" s="239" t="str">
        <f>VLOOKUP(H1001,'Fund Utilization Report'!$A$4:$U$1800,2,FALSE)</f>
        <v>GAA</v>
      </c>
      <c r="U1001" s="239" t="str">
        <f>VLOOKUP(H1001,'Fund Utilization Report'!$A$4:$U$1800,3,FALSE)</f>
        <v>FY2021, RA11518</v>
      </c>
      <c r="V1001" s="239" t="str">
        <f>VLOOKUP(H1001,'Fund Utilization Report'!$A$4:$U$1800,4,FALSE)</f>
        <v>GAS(GMS)</v>
      </c>
      <c r="W1001" s="239" t="str">
        <f>VLOOKUP(H1001,'Fund Utilization Report'!$A$4:$U$1800,5,FALSE)</f>
        <v>01101101</v>
      </c>
      <c r="X1001" s="239" t="str">
        <f>VLOOKUP(H1001,'Fund Utilization Report'!$A$4:$U$1800,6,FALSE)</f>
        <v>GOP</v>
      </c>
      <c r="Y1001" s="440" t="str">
        <f>VLOOKUP(H1001,'Fund Utilization Report'!$A$4:$U$1800,7,FALSE)</f>
        <v>PS</v>
      </c>
      <c r="Z1001" s="441">
        <f>VLOOKUP(H1001,'Fund Utilization Report'!$A$4:$U$1800,8,FALSE)</f>
        <v>5010000000</v>
      </c>
      <c r="AA1001" s="239" t="str">
        <f>VLOOKUP(H1001,'Fund Utilization Report'!$A$4:$U$1800,14,FALSE)</f>
        <v>100000100001000</v>
      </c>
      <c r="AB1001" s="242" t="str">
        <f>VLOOKUP(H1001,'Fund Utilization Report'!$A$4:$U$1800,15,FALSE)</f>
        <v>General Administration and Supervision - General Management and Supervision</v>
      </c>
      <c r="AC1001" s="51"/>
      <c r="AD1001" s="435"/>
      <c r="AE1001" s="51"/>
      <c r="AF1001" s="51"/>
      <c r="AG1001" s="442"/>
      <c r="AH1001" s="442"/>
      <c r="AI1001" s="443"/>
    </row>
    <row r="1002" spans="1:35" s="32" customFormat="1" ht="27.6">
      <c r="A1002" s="434" t="s">
        <v>942</v>
      </c>
      <c r="B1002" s="457" t="s">
        <v>946</v>
      </c>
      <c r="C1002" s="233">
        <v>44265</v>
      </c>
      <c r="D1002" s="435" t="s">
        <v>1267</v>
      </c>
      <c r="E1002" s="436" t="s">
        <v>1387</v>
      </c>
      <c r="F1002" s="338">
        <v>0.40833333333333338</v>
      </c>
      <c r="G1002" s="338">
        <v>0.41319444444444442</v>
      </c>
      <c r="H1002" s="338" t="s">
        <v>960</v>
      </c>
      <c r="I1002" s="353">
        <v>711</v>
      </c>
      <c r="J1002" s="338" t="str">
        <f>IFERROR(VLOOKUP(I1002,'Chart of accounts'!A:H,2,FALSE),"")</f>
        <v>50102010 01</v>
      </c>
      <c r="K1002" s="338" t="str">
        <f>IFERROR(VLOOKUP(I1002,'Chart of accounts'!A:H,3,FALSE),"")</f>
        <v>PERA - Civilian</v>
      </c>
      <c r="L1002" s="338" t="str">
        <f>IFERROR(VLOOKUP(I1002,'Chart of accounts'!A:H,4,FALSE),"")</f>
        <v>50102010 01 - PERA - Civilian (711)</v>
      </c>
      <c r="M1002" s="361">
        <v>85</v>
      </c>
      <c r="N1002" s="355" t="s">
        <v>765</v>
      </c>
      <c r="O1002" s="355" t="s">
        <v>1384</v>
      </c>
      <c r="P1002" s="355"/>
      <c r="Q1002" s="363">
        <v>4000</v>
      </c>
      <c r="R1002" s="428">
        <f t="shared" si="30"/>
        <v>-4000</v>
      </c>
      <c r="S1002" s="239" t="str">
        <f>VLOOKUP(H1002,'Fund Utilization Report'!$A$4:$U$1800,13,FALSE)</f>
        <v>PS</v>
      </c>
      <c r="T1002" s="239" t="str">
        <f>VLOOKUP(H1002,'Fund Utilization Report'!$A$4:$U$1800,2,FALSE)</f>
        <v>GAA</v>
      </c>
      <c r="U1002" s="239" t="str">
        <f>VLOOKUP(H1002,'Fund Utilization Report'!$A$4:$U$1800,3,FALSE)</f>
        <v>FY2021, RA11518</v>
      </c>
      <c r="V1002" s="239" t="str">
        <f>VLOOKUP(H1002,'Fund Utilization Report'!$A$4:$U$1800,4,FALSE)</f>
        <v>GAS(GMS)</v>
      </c>
      <c r="W1002" s="239" t="str">
        <f>VLOOKUP(H1002,'Fund Utilization Report'!$A$4:$U$1800,5,FALSE)</f>
        <v>01101101</v>
      </c>
      <c r="X1002" s="239" t="str">
        <f>VLOOKUP(H1002,'Fund Utilization Report'!$A$4:$U$1800,6,FALSE)</f>
        <v>GOP</v>
      </c>
      <c r="Y1002" s="440" t="str">
        <f>VLOOKUP(H1002,'Fund Utilization Report'!$A$4:$U$1800,7,FALSE)</f>
        <v>PS</v>
      </c>
      <c r="Z1002" s="441">
        <f>VLOOKUP(H1002,'Fund Utilization Report'!$A$4:$U$1800,8,FALSE)</f>
        <v>5010000000</v>
      </c>
      <c r="AA1002" s="239" t="str">
        <f>VLOOKUP(H1002,'Fund Utilization Report'!$A$4:$U$1800,14,FALSE)</f>
        <v>100000100001000</v>
      </c>
      <c r="AB1002" s="242" t="str">
        <f>VLOOKUP(H1002,'Fund Utilization Report'!$A$4:$U$1800,15,FALSE)</f>
        <v>General Administration and Supervision - General Management and Supervision</v>
      </c>
      <c r="AC1002" s="51"/>
      <c r="AD1002" s="435"/>
      <c r="AE1002" s="51"/>
      <c r="AF1002" s="51"/>
      <c r="AG1002" s="442"/>
      <c r="AH1002" s="442"/>
      <c r="AI1002" s="443"/>
    </row>
    <row r="1003" spans="1:35" s="32" customFormat="1" ht="27.6">
      <c r="A1003" s="434" t="s">
        <v>942</v>
      </c>
      <c r="B1003" s="457" t="s">
        <v>946</v>
      </c>
      <c r="C1003" s="233">
        <v>44265</v>
      </c>
      <c r="D1003" s="435" t="s">
        <v>1267</v>
      </c>
      <c r="E1003" s="436" t="s">
        <v>1387</v>
      </c>
      <c r="F1003" s="338">
        <v>0.40833333333333338</v>
      </c>
      <c r="G1003" s="338">
        <v>0.41319444444444442</v>
      </c>
      <c r="H1003" s="338" t="s">
        <v>962</v>
      </c>
      <c r="I1003" s="353">
        <v>731</v>
      </c>
      <c r="J1003" s="338" t="str">
        <f>IFERROR(VLOOKUP(I1003,'Chart of accounts'!A:H,2,FALSE),"")</f>
        <v>50103010 00</v>
      </c>
      <c r="K1003" s="338" t="str">
        <f>IFERROR(VLOOKUP(I1003,'Chart of accounts'!A:H,3,FALSE),"")</f>
        <v>Retirement and Life Insurance Premiums</v>
      </c>
      <c r="L1003" s="338" t="str">
        <f>IFERROR(VLOOKUP(I1003,'Chart of accounts'!A:H,4,FALSE),"")</f>
        <v>50103010 00 - Retirement and Life Insurance Premiums (731)</v>
      </c>
      <c r="M1003" s="361">
        <v>85</v>
      </c>
      <c r="N1003" s="355" t="s">
        <v>765</v>
      </c>
      <c r="O1003" s="355" t="s">
        <v>1384</v>
      </c>
      <c r="P1003" s="355"/>
      <c r="Q1003" s="363">
        <v>6894.24</v>
      </c>
      <c r="R1003" s="428">
        <f t="shared" si="30"/>
        <v>-6894.24</v>
      </c>
      <c r="S1003" s="239" t="str">
        <f>VLOOKUP(H1003,'Fund Utilization Report'!$A$4:$U$1800,13,FALSE)</f>
        <v>PS</v>
      </c>
      <c r="T1003" s="239" t="str">
        <f>VLOOKUP(H1003,'Fund Utilization Report'!$A$4:$U$1800,2,FALSE)</f>
        <v>GAA</v>
      </c>
      <c r="U1003" s="239" t="str">
        <f>VLOOKUP(H1003,'Fund Utilization Report'!$A$4:$U$1800,3,FALSE)</f>
        <v>FY2021, RA11518</v>
      </c>
      <c r="V1003" s="239" t="str">
        <f>VLOOKUP(H1003,'Fund Utilization Report'!$A$4:$U$1800,4,FALSE)</f>
        <v>GAS(GMS)</v>
      </c>
      <c r="W1003" s="239" t="str">
        <f>VLOOKUP(H1003,'Fund Utilization Report'!$A$4:$U$1800,5,FALSE)</f>
        <v>01101101</v>
      </c>
      <c r="X1003" s="239" t="str">
        <f>VLOOKUP(H1003,'Fund Utilization Report'!$A$4:$U$1800,6,FALSE)</f>
        <v>GOP</v>
      </c>
      <c r="Y1003" s="440" t="str">
        <f>VLOOKUP(H1003,'Fund Utilization Report'!$A$4:$U$1800,7,FALSE)</f>
        <v>RLIP</v>
      </c>
      <c r="Z1003" s="441" t="str">
        <f>VLOOKUP(H1003,'Fund Utilization Report'!$A$4:$U$1800,8,FALSE)</f>
        <v>50103010-00</v>
      </c>
      <c r="AA1003" s="239" t="str">
        <f>VLOOKUP(H1003,'Fund Utilization Report'!$A$4:$U$1800,14,FALSE)</f>
        <v>100000100001000</v>
      </c>
      <c r="AB1003" s="242" t="str">
        <f>VLOOKUP(H1003,'Fund Utilization Report'!$A$4:$U$1800,15,FALSE)</f>
        <v>General Administration and Supervision - General Management and Supervision</v>
      </c>
      <c r="AC1003" s="51"/>
      <c r="AD1003" s="435"/>
      <c r="AE1003" s="51"/>
      <c r="AF1003" s="51"/>
      <c r="AG1003" s="442"/>
      <c r="AH1003" s="442"/>
      <c r="AI1003" s="443"/>
    </row>
    <row r="1004" spans="1:35" s="32" customFormat="1" ht="27.6">
      <c r="A1004" s="434" t="s">
        <v>942</v>
      </c>
      <c r="B1004" s="457" t="s">
        <v>946</v>
      </c>
      <c r="C1004" s="233">
        <v>44265</v>
      </c>
      <c r="D1004" s="435" t="s">
        <v>1267</v>
      </c>
      <c r="E1004" s="436" t="s">
        <v>1387</v>
      </c>
      <c r="F1004" s="338">
        <v>0.40833333333333338</v>
      </c>
      <c r="G1004" s="338">
        <v>0.41319444444444442</v>
      </c>
      <c r="H1004" s="338" t="s">
        <v>960</v>
      </c>
      <c r="I1004" s="353">
        <v>732</v>
      </c>
      <c r="J1004" s="338" t="str">
        <f>IFERROR(VLOOKUP(I1004,'Chart of accounts'!A:H,2,FALSE),"")</f>
        <v>50103020 01</v>
      </c>
      <c r="K1004" s="338" t="str">
        <f>IFERROR(VLOOKUP(I1004,'Chart of accounts'!A:H,3,FALSE),"")</f>
        <v>Pag-IBIG - Civilian</v>
      </c>
      <c r="L1004" s="338" t="str">
        <f>IFERROR(VLOOKUP(I1004,'Chart of accounts'!A:H,4,FALSE),"")</f>
        <v>50103020 01 - Pag-IBIG - Civilian (732)</v>
      </c>
      <c r="M1004" s="361">
        <v>85</v>
      </c>
      <c r="N1004" s="355" t="s">
        <v>765</v>
      </c>
      <c r="O1004" s="355" t="s">
        <v>1384</v>
      </c>
      <c r="P1004" s="355"/>
      <c r="Q1004" s="363">
        <v>200</v>
      </c>
      <c r="R1004" s="428">
        <f t="shared" si="30"/>
        <v>-200</v>
      </c>
      <c r="S1004" s="239" t="str">
        <f>VLOOKUP(H1004,'Fund Utilization Report'!$A$4:$U$1800,13,FALSE)</f>
        <v>PS</v>
      </c>
      <c r="T1004" s="239" t="str">
        <f>VLOOKUP(H1004,'Fund Utilization Report'!$A$4:$U$1800,2,FALSE)</f>
        <v>GAA</v>
      </c>
      <c r="U1004" s="239" t="str">
        <f>VLOOKUP(H1004,'Fund Utilization Report'!$A$4:$U$1800,3,FALSE)</f>
        <v>FY2021, RA11518</v>
      </c>
      <c r="V1004" s="239" t="str">
        <f>VLOOKUP(H1004,'Fund Utilization Report'!$A$4:$U$1800,4,FALSE)</f>
        <v>GAS(GMS)</v>
      </c>
      <c r="W1004" s="239" t="str">
        <f>VLOOKUP(H1004,'Fund Utilization Report'!$A$4:$U$1800,5,FALSE)</f>
        <v>01101101</v>
      </c>
      <c r="X1004" s="239" t="str">
        <f>VLOOKUP(H1004,'Fund Utilization Report'!$A$4:$U$1800,6,FALSE)</f>
        <v>GOP</v>
      </c>
      <c r="Y1004" s="440" t="str">
        <f>VLOOKUP(H1004,'Fund Utilization Report'!$A$4:$U$1800,7,FALSE)</f>
        <v>PS</v>
      </c>
      <c r="Z1004" s="441">
        <f>VLOOKUP(H1004,'Fund Utilization Report'!$A$4:$U$1800,8,FALSE)</f>
        <v>5010000000</v>
      </c>
      <c r="AA1004" s="239" t="str">
        <f>VLOOKUP(H1004,'Fund Utilization Report'!$A$4:$U$1800,14,FALSE)</f>
        <v>100000100001000</v>
      </c>
      <c r="AB1004" s="242" t="str">
        <f>VLOOKUP(H1004,'Fund Utilization Report'!$A$4:$U$1800,15,FALSE)</f>
        <v>General Administration and Supervision - General Management and Supervision</v>
      </c>
      <c r="AC1004" s="51"/>
      <c r="AD1004" s="435"/>
      <c r="AE1004" s="51"/>
      <c r="AF1004" s="51"/>
      <c r="AG1004" s="442"/>
      <c r="AH1004" s="442"/>
      <c r="AI1004" s="443"/>
    </row>
    <row r="1005" spans="1:35" s="32" customFormat="1" ht="27.6">
      <c r="A1005" s="434" t="s">
        <v>942</v>
      </c>
      <c r="B1005" s="457" t="s">
        <v>946</v>
      </c>
      <c r="C1005" s="233">
        <v>44265</v>
      </c>
      <c r="D1005" s="435" t="s">
        <v>1267</v>
      </c>
      <c r="E1005" s="436" t="s">
        <v>1387</v>
      </c>
      <c r="F1005" s="338">
        <v>0.40833333333333338</v>
      </c>
      <c r="G1005" s="338">
        <v>0.41319444444444442</v>
      </c>
      <c r="H1005" s="338" t="s">
        <v>960</v>
      </c>
      <c r="I1005" s="353">
        <v>733</v>
      </c>
      <c r="J1005" s="338" t="str">
        <f>IFERROR(VLOOKUP(I1005,'Chart of accounts'!A:H,2,FALSE),"")</f>
        <v>50103030 01</v>
      </c>
      <c r="K1005" s="338" t="str">
        <f>IFERROR(VLOOKUP(I1005,'Chart of accounts'!A:H,3,FALSE),"")</f>
        <v>PhilHealth - Civilian</v>
      </c>
      <c r="L1005" s="338" t="str">
        <f>IFERROR(VLOOKUP(I1005,'Chart of accounts'!A:H,4,FALSE),"")</f>
        <v>50103030 01 - PhilHealth - Civilian (733)</v>
      </c>
      <c r="M1005" s="361">
        <v>85</v>
      </c>
      <c r="N1005" s="355" t="s">
        <v>765</v>
      </c>
      <c r="O1005" s="355" t="s">
        <v>1384</v>
      </c>
      <c r="P1005" s="355"/>
      <c r="Q1005" s="363">
        <v>861.79</v>
      </c>
      <c r="R1005" s="428">
        <f t="shared" si="30"/>
        <v>-861.79</v>
      </c>
      <c r="S1005" s="239" t="str">
        <f>VLOOKUP(H1005,'Fund Utilization Report'!$A$4:$U$1800,13,FALSE)</f>
        <v>PS</v>
      </c>
      <c r="T1005" s="239" t="str">
        <f>VLOOKUP(H1005,'Fund Utilization Report'!$A$4:$U$1800,2,FALSE)</f>
        <v>GAA</v>
      </c>
      <c r="U1005" s="239" t="str">
        <f>VLOOKUP(H1005,'Fund Utilization Report'!$A$4:$U$1800,3,FALSE)</f>
        <v>FY2021, RA11518</v>
      </c>
      <c r="V1005" s="239" t="str">
        <f>VLOOKUP(H1005,'Fund Utilization Report'!$A$4:$U$1800,4,FALSE)</f>
        <v>GAS(GMS)</v>
      </c>
      <c r="W1005" s="239" t="str">
        <f>VLOOKUP(H1005,'Fund Utilization Report'!$A$4:$U$1800,5,FALSE)</f>
        <v>01101101</v>
      </c>
      <c r="X1005" s="239" t="str">
        <f>VLOOKUP(H1005,'Fund Utilization Report'!$A$4:$U$1800,6,FALSE)</f>
        <v>GOP</v>
      </c>
      <c r="Y1005" s="440" t="str">
        <f>VLOOKUP(H1005,'Fund Utilization Report'!$A$4:$U$1800,7,FALSE)</f>
        <v>PS</v>
      </c>
      <c r="Z1005" s="441">
        <f>VLOOKUP(H1005,'Fund Utilization Report'!$A$4:$U$1800,8,FALSE)</f>
        <v>5010000000</v>
      </c>
      <c r="AA1005" s="239" t="str">
        <f>VLOOKUP(H1005,'Fund Utilization Report'!$A$4:$U$1800,14,FALSE)</f>
        <v>100000100001000</v>
      </c>
      <c r="AB1005" s="242" t="str">
        <f>VLOOKUP(H1005,'Fund Utilization Report'!$A$4:$U$1800,15,FALSE)</f>
        <v>General Administration and Supervision - General Management and Supervision</v>
      </c>
      <c r="AC1005" s="51"/>
      <c r="AD1005" s="435"/>
      <c r="AE1005" s="51"/>
      <c r="AF1005" s="51"/>
      <c r="AG1005" s="442"/>
      <c r="AH1005" s="442"/>
      <c r="AI1005" s="443"/>
    </row>
    <row r="1006" spans="1:35" s="32" customFormat="1" ht="27.6">
      <c r="A1006" s="434" t="s">
        <v>942</v>
      </c>
      <c r="B1006" s="457" t="s">
        <v>946</v>
      </c>
      <c r="C1006" s="233">
        <v>44265</v>
      </c>
      <c r="D1006" s="435" t="s">
        <v>1267</v>
      </c>
      <c r="E1006" s="436" t="s">
        <v>1387</v>
      </c>
      <c r="F1006" s="338">
        <v>0.40833333333333338</v>
      </c>
      <c r="G1006" s="338">
        <v>0.41319444444444442</v>
      </c>
      <c r="H1006" s="338" t="s">
        <v>960</v>
      </c>
      <c r="I1006" s="353">
        <v>734</v>
      </c>
      <c r="J1006" s="338" t="str">
        <f>IFERROR(VLOOKUP(I1006,'Chart of accounts'!A:H,2,FALSE),"")</f>
        <v>50103040 01</v>
      </c>
      <c r="K1006" s="338" t="str">
        <f>IFERROR(VLOOKUP(I1006,'Chart of accounts'!A:H,3,FALSE),"")</f>
        <v>ECIP - Civilian</v>
      </c>
      <c r="L1006" s="338" t="str">
        <f>IFERROR(VLOOKUP(I1006,'Chart of accounts'!A:H,4,FALSE),"")</f>
        <v>50103040 01 - ECIP - Civilian (734)</v>
      </c>
      <c r="M1006" s="361">
        <v>85</v>
      </c>
      <c r="N1006" s="355" t="s">
        <v>765</v>
      </c>
      <c r="O1006" s="355" t="s">
        <v>1384</v>
      </c>
      <c r="P1006" s="355"/>
      <c r="Q1006" s="363">
        <v>200</v>
      </c>
      <c r="R1006" s="428">
        <f t="shared" si="30"/>
        <v>-200</v>
      </c>
      <c r="S1006" s="239" t="str">
        <f>VLOOKUP(H1006,'Fund Utilization Report'!$A$4:$U$1800,13,FALSE)</f>
        <v>PS</v>
      </c>
      <c r="T1006" s="239" t="str">
        <f>VLOOKUP(H1006,'Fund Utilization Report'!$A$4:$U$1800,2,FALSE)</f>
        <v>GAA</v>
      </c>
      <c r="U1006" s="239" t="str">
        <f>VLOOKUP(H1006,'Fund Utilization Report'!$A$4:$U$1800,3,FALSE)</f>
        <v>FY2021, RA11518</v>
      </c>
      <c r="V1006" s="239" t="str">
        <f>VLOOKUP(H1006,'Fund Utilization Report'!$A$4:$U$1800,4,FALSE)</f>
        <v>GAS(GMS)</v>
      </c>
      <c r="W1006" s="239" t="str">
        <f>VLOOKUP(H1006,'Fund Utilization Report'!$A$4:$U$1800,5,FALSE)</f>
        <v>01101101</v>
      </c>
      <c r="X1006" s="239" t="str">
        <f>VLOOKUP(H1006,'Fund Utilization Report'!$A$4:$U$1800,6,FALSE)</f>
        <v>GOP</v>
      </c>
      <c r="Y1006" s="440" t="str">
        <f>VLOOKUP(H1006,'Fund Utilization Report'!$A$4:$U$1800,7,FALSE)</f>
        <v>PS</v>
      </c>
      <c r="Z1006" s="441">
        <f>VLOOKUP(H1006,'Fund Utilization Report'!$A$4:$U$1800,8,FALSE)</f>
        <v>5010000000</v>
      </c>
      <c r="AA1006" s="239" t="str">
        <f>VLOOKUP(H1006,'Fund Utilization Report'!$A$4:$U$1800,14,FALSE)</f>
        <v>100000100001000</v>
      </c>
      <c r="AB1006" s="242" t="str">
        <f>VLOOKUP(H1006,'Fund Utilization Report'!$A$4:$U$1800,15,FALSE)</f>
        <v>General Administration and Supervision - General Management and Supervision</v>
      </c>
      <c r="AC1006" s="51"/>
      <c r="AD1006" s="435"/>
      <c r="AE1006" s="51"/>
      <c r="AF1006" s="51"/>
      <c r="AG1006" s="442"/>
      <c r="AH1006" s="442"/>
      <c r="AI1006" s="443"/>
    </row>
    <row r="1007" spans="1:35" s="32" customFormat="1" ht="27.6">
      <c r="A1007" s="434" t="s">
        <v>942</v>
      </c>
      <c r="B1007" s="457" t="s">
        <v>946</v>
      </c>
      <c r="C1007" s="233">
        <v>44265</v>
      </c>
      <c r="D1007" s="435" t="s">
        <v>1267</v>
      </c>
      <c r="E1007" s="436" t="s">
        <v>1387</v>
      </c>
      <c r="F1007" s="338">
        <v>0.40833333333333338</v>
      </c>
      <c r="G1007" s="338">
        <v>0.41319444444444442</v>
      </c>
      <c r="H1007" s="338" t="s">
        <v>964</v>
      </c>
      <c r="I1007" s="353">
        <v>701</v>
      </c>
      <c r="J1007" s="338" t="str">
        <f>IFERROR(VLOOKUP(I1007,'Chart of accounts'!A:H,2,FALSE),"")</f>
        <v>50101010 01</v>
      </c>
      <c r="K1007" s="338" t="str">
        <f>IFERROR(VLOOKUP(I1007,'Chart of accounts'!A:H,3,FALSE),"")</f>
        <v>Basic Salary - Civilian</v>
      </c>
      <c r="L1007" s="338" t="str">
        <f>IFERROR(VLOOKUP(I1007,'Chart of accounts'!A:H,4,FALSE),"")</f>
        <v>50101010 01 - Basic Salary - Civilian (701)</v>
      </c>
      <c r="M1007" s="361">
        <v>85</v>
      </c>
      <c r="N1007" s="355" t="s">
        <v>765</v>
      </c>
      <c r="O1007" s="355" t="s">
        <v>1384</v>
      </c>
      <c r="P1007" s="355"/>
      <c r="Q1007" s="363">
        <v>111742</v>
      </c>
      <c r="R1007" s="428">
        <f t="shared" si="30"/>
        <v>-111742</v>
      </c>
      <c r="S1007" s="239" t="str">
        <f>VLOOKUP(H1007,'Fund Utilization Report'!$A$4:$U$1800,13,FALSE)</f>
        <v>PS</v>
      </c>
      <c r="T1007" s="239" t="str">
        <f>VLOOKUP(H1007,'Fund Utilization Report'!$A$4:$U$1800,2,FALSE)</f>
        <v>GAA</v>
      </c>
      <c r="U1007" s="239" t="str">
        <f>VLOOKUP(H1007,'Fund Utilization Report'!$A$4:$U$1800,3,FALSE)</f>
        <v>FY2021, RA11518</v>
      </c>
      <c r="V1007" s="239" t="str">
        <f>VLOOKUP(H1007,'Fund Utilization Report'!$A$4:$U$1800,4,FALSE)</f>
        <v>OO1</v>
      </c>
      <c r="W1007" s="239" t="str">
        <f>VLOOKUP(H1007,'Fund Utilization Report'!$A$4:$U$1800,5,FALSE)</f>
        <v>01101101</v>
      </c>
      <c r="X1007" s="239" t="str">
        <f>VLOOKUP(H1007,'Fund Utilization Report'!$A$4:$U$1800,6,FALSE)</f>
        <v>GOP</v>
      </c>
      <c r="Y1007" s="440" t="str">
        <f>VLOOKUP(H1007,'Fund Utilization Report'!$A$4:$U$1800,7,FALSE)</f>
        <v>PS</v>
      </c>
      <c r="Z1007" s="441">
        <f>VLOOKUP(H1007,'Fund Utilization Report'!$A$4:$U$1800,8,FALSE)</f>
        <v>5010000000</v>
      </c>
      <c r="AA1007" s="239" t="str">
        <f>VLOOKUP(H1007,'Fund Utilization Report'!$A$4:$U$1800,14,FALSE)</f>
        <v>310100100002000</v>
      </c>
      <c r="AB1007" s="242" t="str">
        <f>VLOOKUP(H1007,'Fund Utilization Report'!$A$4:$U$1800,15,FALSE)</f>
        <v>Development,Facilitation, and promotion of exports and investment, domestic and foreign</v>
      </c>
      <c r="AC1007" s="51"/>
      <c r="AD1007" s="435"/>
      <c r="AE1007" s="51"/>
      <c r="AF1007" s="51"/>
      <c r="AG1007" s="442"/>
      <c r="AH1007" s="442"/>
      <c r="AI1007" s="443"/>
    </row>
    <row r="1008" spans="1:35" s="32" customFormat="1" ht="27.6">
      <c r="A1008" s="434" t="s">
        <v>942</v>
      </c>
      <c r="B1008" s="457" t="s">
        <v>946</v>
      </c>
      <c r="C1008" s="233">
        <v>44265</v>
      </c>
      <c r="D1008" s="435" t="s">
        <v>1267</v>
      </c>
      <c r="E1008" s="436" t="s">
        <v>1387</v>
      </c>
      <c r="F1008" s="338">
        <v>0.40833333333333338</v>
      </c>
      <c r="G1008" s="338">
        <v>0.41319444444444442</v>
      </c>
      <c r="H1008" s="338" t="s">
        <v>964</v>
      </c>
      <c r="I1008" s="353">
        <v>711</v>
      </c>
      <c r="J1008" s="338" t="str">
        <f>IFERROR(VLOOKUP(I1008,'Chart of accounts'!A:H,2,FALSE),"")</f>
        <v>50102010 01</v>
      </c>
      <c r="K1008" s="338" t="str">
        <f>IFERROR(VLOOKUP(I1008,'Chart of accounts'!A:H,3,FALSE),"")</f>
        <v>PERA - Civilian</v>
      </c>
      <c r="L1008" s="338" t="str">
        <f>IFERROR(VLOOKUP(I1008,'Chart of accounts'!A:H,4,FALSE),"")</f>
        <v>50102010 01 - PERA - Civilian (711)</v>
      </c>
      <c r="M1008" s="361">
        <v>85</v>
      </c>
      <c r="N1008" s="355" t="s">
        <v>765</v>
      </c>
      <c r="O1008" s="355" t="s">
        <v>1384</v>
      </c>
      <c r="P1008" s="355"/>
      <c r="Q1008" s="363">
        <v>2000</v>
      </c>
      <c r="R1008" s="428">
        <f t="shared" si="30"/>
        <v>-2000</v>
      </c>
      <c r="S1008" s="239" t="str">
        <f>VLOOKUP(H1008,'Fund Utilization Report'!$A$4:$U$1800,13,FALSE)</f>
        <v>PS</v>
      </c>
      <c r="T1008" s="239" t="str">
        <f>VLOOKUP(H1008,'Fund Utilization Report'!$A$4:$U$1800,2,FALSE)</f>
        <v>GAA</v>
      </c>
      <c r="U1008" s="239" t="str">
        <f>VLOOKUP(H1008,'Fund Utilization Report'!$A$4:$U$1800,3,FALSE)</f>
        <v>FY2021, RA11518</v>
      </c>
      <c r="V1008" s="239" t="str">
        <f>VLOOKUP(H1008,'Fund Utilization Report'!$A$4:$U$1800,4,FALSE)</f>
        <v>OO1</v>
      </c>
      <c r="W1008" s="239" t="str">
        <f>VLOOKUP(H1008,'Fund Utilization Report'!$A$4:$U$1800,5,FALSE)</f>
        <v>01101101</v>
      </c>
      <c r="X1008" s="239" t="str">
        <f>VLOOKUP(H1008,'Fund Utilization Report'!$A$4:$U$1800,6,FALSE)</f>
        <v>GOP</v>
      </c>
      <c r="Y1008" s="440" t="str">
        <f>VLOOKUP(H1008,'Fund Utilization Report'!$A$4:$U$1800,7,FALSE)</f>
        <v>PS</v>
      </c>
      <c r="Z1008" s="441">
        <f>VLOOKUP(H1008,'Fund Utilization Report'!$A$4:$U$1800,8,FALSE)</f>
        <v>5010000000</v>
      </c>
      <c r="AA1008" s="239" t="str">
        <f>VLOOKUP(H1008,'Fund Utilization Report'!$A$4:$U$1800,14,FALSE)</f>
        <v>310100100002000</v>
      </c>
      <c r="AB1008" s="242" t="str">
        <f>VLOOKUP(H1008,'Fund Utilization Report'!$A$4:$U$1800,15,FALSE)</f>
        <v>Development,Facilitation, and promotion of exports and investment, domestic and foreign</v>
      </c>
      <c r="AC1008" s="51"/>
      <c r="AD1008" s="435"/>
      <c r="AE1008" s="51"/>
      <c r="AF1008" s="51"/>
      <c r="AG1008" s="442"/>
      <c r="AH1008" s="442"/>
      <c r="AI1008" s="443"/>
    </row>
    <row r="1009" spans="1:35" s="32" customFormat="1" ht="27.6">
      <c r="A1009" s="434" t="s">
        <v>942</v>
      </c>
      <c r="B1009" s="457" t="s">
        <v>946</v>
      </c>
      <c r="C1009" s="233">
        <v>44265</v>
      </c>
      <c r="D1009" s="435" t="s">
        <v>1267</v>
      </c>
      <c r="E1009" s="436" t="s">
        <v>1387</v>
      </c>
      <c r="F1009" s="338">
        <v>0.40833333333333338</v>
      </c>
      <c r="G1009" s="338">
        <v>0.41319444444444442</v>
      </c>
      <c r="H1009" s="338" t="s">
        <v>966</v>
      </c>
      <c r="I1009" s="353">
        <v>731</v>
      </c>
      <c r="J1009" s="338" t="str">
        <f>IFERROR(VLOOKUP(I1009,'Chart of accounts'!A:H,2,FALSE),"")</f>
        <v>50103010 00</v>
      </c>
      <c r="K1009" s="338" t="str">
        <f>IFERROR(VLOOKUP(I1009,'Chart of accounts'!A:H,3,FALSE),"")</f>
        <v>Retirement and Life Insurance Premiums</v>
      </c>
      <c r="L1009" s="338" t="str">
        <f>IFERROR(VLOOKUP(I1009,'Chart of accounts'!A:H,4,FALSE),"")</f>
        <v>50103010 00 - Retirement and Life Insurance Premiums (731)</v>
      </c>
      <c r="M1009" s="361">
        <v>85</v>
      </c>
      <c r="N1009" s="355" t="s">
        <v>765</v>
      </c>
      <c r="O1009" s="355" t="s">
        <v>1384</v>
      </c>
      <c r="P1009" s="355"/>
      <c r="Q1009" s="363">
        <v>13409.04</v>
      </c>
      <c r="R1009" s="428">
        <f t="shared" si="30"/>
        <v>-13409.04</v>
      </c>
      <c r="S1009" s="239" t="str">
        <f>VLOOKUP(H1009,'Fund Utilization Report'!$A$4:$U$1800,13,FALSE)</f>
        <v>PS</v>
      </c>
      <c r="T1009" s="239" t="str">
        <f>VLOOKUP(H1009,'Fund Utilization Report'!$A$4:$U$1800,2,FALSE)</f>
        <v>GAA</v>
      </c>
      <c r="U1009" s="239" t="str">
        <f>VLOOKUP(H1009,'Fund Utilization Report'!$A$4:$U$1800,3,FALSE)</f>
        <v>FY2021, RA11518</v>
      </c>
      <c r="V1009" s="239" t="str">
        <f>VLOOKUP(H1009,'Fund Utilization Report'!$A$4:$U$1800,4,FALSE)</f>
        <v>OO1</v>
      </c>
      <c r="W1009" s="239" t="str">
        <f>VLOOKUP(H1009,'Fund Utilization Report'!$A$4:$U$1800,5,FALSE)</f>
        <v>01101101</v>
      </c>
      <c r="X1009" s="239" t="str">
        <f>VLOOKUP(H1009,'Fund Utilization Report'!$A$4:$U$1800,6,FALSE)</f>
        <v>GOP</v>
      </c>
      <c r="Y1009" s="440" t="str">
        <f>VLOOKUP(H1009,'Fund Utilization Report'!$A$4:$U$1800,7,FALSE)</f>
        <v>RLIP</v>
      </c>
      <c r="Z1009" s="441" t="str">
        <f>VLOOKUP(H1009,'Fund Utilization Report'!$A$4:$U$1800,8,FALSE)</f>
        <v>50103010-00</v>
      </c>
      <c r="AA1009" s="239" t="str">
        <f>VLOOKUP(H1009,'Fund Utilization Report'!$A$4:$U$1800,14,FALSE)</f>
        <v>310100100002000</v>
      </c>
      <c r="AB1009" s="242" t="str">
        <f>VLOOKUP(H1009,'Fund Utilization Report'!$A$4:$U$1800,15,FALSE)</f>
        <v>Development,Facilitation, and promotion of exports and investment, domestic and foreign</v>
      </c>
      <c r="AC1009" s="51"/>
      <c r="AD1009" s="435"/>
      <c r="AE1009" s="51"/>
      <c r="AF1009" s="51"/>
      <c r="AG1009" s="442"/>
      <c r="AH1009" s="442"/>
      <c r="AI1009" s="443"/>
    </row>
    <row r="1010" spans="1:35" s="32" customFormat="1" ht="27.6">
      <c r="A1010" s="434" t="s">
        <v>942</v>
      </c>
      <c r="B1010" s="457" t="s">
        <v>946</v>
      </c>
      <c r="C1010" s="233">
        <v>44265</v>
      </c>
      <c r="D1010" s="435" t="s">
        <v>1267</v>
      </c>
      <c r="E1010" s="436" t="s">
        <v>1387</v>
      </c>
      <c r="F1010" s="338">
        <v>0.40833333333333338</v>
      </c>
      <c r="G1010" s="338">
        <v>0.41319444444444442</v>
      </c>
      <c r="H1010" s="338" t="s">
        <v>964</v>
      </c>
      <c r="I1010" s="353">
        <v>732</v>
      </c>
      <c r="J1010" s="338" t="str">
        <f>IFERROR(VLOOKUP(I1010,'Chart of accounts'!A:H,2,FALSE),"")</f>
        <v>50103020 01</v>
      </c>
      <c r="K1010" s="338" t="str">
        <f>IFERROR(VLOOKUP(I1010,'Chart of accounts'!A:H,3,FALSE),"")</f>
        <v>Pag-IBIG - Civilian</v>
      </c>
      <c r="L1010" s="338" t="str">
        <f>IFERROR(VLOOKUP(I1010,'Chart of accounts'!A:H,4,FALSE),"")</f>
        <v>50103020 01 - Pag-IBIG - Civilian (732)</v>
      </c>
      <c r="M1010" s="361">
        <v>85</v>
      </c>
      <c r="N1010" s="355" t="s">
        <v>765</v>
      </c>
      <c r="O1010" s="355" t="s">
        <v>1384</v>
      </c>
      <c r="P1010" s="355"/>
      <c r="Q1010" s="363">
        <v>100</v>
      </c>
      <c r="R1010" s="428">
        <f t="shared" si="30"/>
        <v>-100</v>
      </c>
      <c r="S1010" s="239" t="str">
        <f>VLOOKUP(H1010,'Fund Utilization Report'!$A$4:$U$1800,13,FALSE)</f>
        <v>PS</v>
      </c>
      <c r="T1010" s="239" t="str">
        <f>VLOOKUP(H1010,'Fund Utilization Report'!$A$4:$U$1800,2,FALSE)</f>
        <v>GAA</v>
      </c>
      <c r="U1010" s="239" t="str">
        <f>VLOOKUP(H1010,'Fund Utilization Report'!$A$4:$U$1800,3,FALSE)</f>
        <v>FY2021, RA11518</v>
      </c>
      <c r="V1010" s="239" t="str">
        <f>VLOOKUP(H1010,'Fund Utilization Report'!$A$4:$U$1800,4,FALSE)</f>
        <v>OO1</v>
      </c>
      <c r="W1010" s="239" t="str">
        <f>VLOOKUP(H1010,'Fund Utilization Report'!$A$4:$U$1800,5,FALSE)</f>
        <v>01101101</v>
      </c>
      <c r="X1010" s="239" t="str">
        <f>VLOOKUP(H1010,'Fund Utilization Report'!$A$4:$U$1800,6,FALSE)</f>
        <v>GOP</v>
      </c>
      <c r="Y1010" s="440" t="str">
        <f>VLOOKUP(H1010,'Fund Utilization Report'!$A$4:$U$1800,7,FALSE)</f>
        <v>PS</v>
      </c>
      <c r="Z1010" s="441">
        <f>VLOOKUP(H1010,'Fund Utilization Report'!$A$4:$U$1800,8,FALSE)</f>
        <v>5010000000</v>
      </c>
      <c r="AA1010" s="239" t="str">
        <f>VLOOKUP(H1010,'Fund Utilization Report'!$A$4:$U$1800,14,FALSE)</f>
        <v>310100100002000</v>
      </c>
      <c r="AB1010" s="242" t="str">
        <f>VLOOKUP(H1010,'Fund Utilization Report'!$A$4:$U$1800,15,FALSE)</f>
        <v>Development,Facilitation, and promotion of exports and investment, domestic and foreign</v>
      </c>
      <c r="AC1010" s="51"/>
      <c r="AD1010" s="435"/>
      <c r="AE1010" s="51"/>
      <c r="AF1010" s="51"/>
      <c r="AG1010" s="442"/>
      <c r="AH1010" s="442"/>
      <c r="AI1010" s="443"/>
    </row>
    <row r="1011" spans="1:35" s="32" customFormat="1" ht="27.6">
      <c r="A1011" s="434" t="s">
        <v>942</v>
      </c>
      <c r="B1011" s="457" t="s">
        <v>946</v>
      </c>
      <c r="C1011" s="233">
        <v>44265</v>
      </c>
      <c r="D1011" s="435" t="s">
        <v>1267</v>
      </c>
      <c r="E1011" s="436" t="s">
        <v>1387</v>
      </c>
      <c r="F1011" s="338">
        <v>0.40833333333333338</v>
      </c>
      <c r="G1011" s="338">
        <v>0.41319444444444442</v>
      </c>
      <c r="H1011" s="338" t="s">
        <v>964</v>
      </c>
      <c r="I1011" s="353">
        <v>733</v>
      </c>
      <c r="J1011" s="338" t="str">
        <f>IFERROR(VLOOKUP(I1011,'Chart of accounts'!A:H,2,FALSE),"")</f>
        <v>50103030 01</v>
      </c>
      <c r="K1011" s="338" t="str">
        <f>IFERROR(VLOOKUP(I1011,'Chart of accounts'!A:H,3,FALSE),"")</f>
        <v>PhilHealth - Civilian</v>
      </c>
      <c r="L1011" s="338" t="str">
        <f>IFERROR(VLOOKUP(I1011,'Chart of accounts'!A:H,4,FALSE),"")</f>
        <v>50103030 01 - PhilHealth - Civilian (733)</v>
      </c>
      <c r="M1011" s="361">
        <v>85</v>
      </c>
      <c r="N1011" s="355" t="s">
        <v>765</v>
      </c>
      <c r="O1011" s="355" t="s">
        <v>1384</v>
      </c>
      <c r="P1011" s="355"/>
      <c r="Q1011" s="363">
        <v>900</v>
      </c>
      <c r="R1011" s="428">
        <f t="shared" si="30"/>
        <v>-900</v>
      </c>
      <c r="S1011" s="239" t="str">
        <f>VLOOKUP(H1011,'Fund Utilization Report'!$A$4:$U$1800,13,FALSE)</f>
        <v>PS</v>
      </c>
      <c r="T1011" s="239" t="str">
        <f>VLOOKUP(H1011,'Fund Utilization Report'!$A$4:$U$1800,2,FALSE)</f>
        <v>GAA</v>
      </c>
      <c r="U1011" s="239" t="str">
        <f>VLOOKUP(H1011,'Fund Utilization Report'!$A$4:$U$1800,3,FALSE)</f>
        <v>FY2021, RA11518</v>
      </c>
      <c r="V1011" s="239" t="str">
        <f>VLOOKUP(H1011,'Fund Utilization Report'!$A$4:$U$1800,4,FALSE)</f>
        <v>OO1</v>
      </c>
      <c r="W1011" s="239" t="str">
        <f>VLOOKUP(H1011,'Fund Utilization Report'!$A$4:$U$1800,5,FALSE)</f>
        <v>01101101</v>
      </c>
      <c r="X1011" s="239" t="str">
        <f>VLOOKUP(H1011,'Fund Utilization Report'!$A$4:$U$1800,6,FALSE)</f>
        <v>GOP</v>
      </c>
      <c r="Y1011" s="440" t="str">
        <f>VLOOKUP(H1011,'Fund Utilization Report'!$A$4:$U$1800,7,FALSE)</f>
        <v>PS</v>
      </c>
      <c r="Z1011" s="441">
        <f>VLOOKUP(H1011,'Fund Utilization Report'!$A$4:$U$1800,8,FALSE)</f>
        <v>5010000000</v>
      </c>
      <c r="AA1011" s="239" t="str">
        <f>VLOOKUP(H1011,'Fund Utilization Report'!$A$4:$U$1800,14,FALSE)</f>
        <v>310100100002000</v>
      </c>
      <c r="AB1011" s="242" t="str">
        <f>VLOOKUP(H1011,'Fund Utilization Report'!$A$4:$U$1800,15,FALSE)</f>
        <v>Development,Facilitation, and promotion of exports and investment, domestic and foreign</v>
      </c>
      <c r="AC1011" s="51"/>
      <c r="AD1011" s="435"/>
      <c r="AE1011" s="51"/>
      <c r="AF1011" s="51"/>
      <c r="AG1011" s="442"/>
      <c r="AH1011" s="442"/>
      <c r="AI1011" s="443"/>
    </row>
    <row r="1012" spans="1:35" s="32" customFormat="1" ht="27.6">
      <c r="A1012" s="434" t="s">
        <v>942</v>
      </c>
      <c r="B1012" s="457" t="s">
        <v>946</v>
      </c>
      <c r="C1012" s="233">
        <v>44265</v>
      </c>
      <c r="D1012" s="435" t="s">
        <v>1267</v>
      </c>
      <c r="E1012" s="436" t="s">
        <v>1387</v>
      </c>
      <c r="F1012" s="338">
        <v>0.40833333333333338</v>
      </c>
      <c r="G1012" s="338">
        <v>0.41319444444444442</v>
      </c>
      <c r="H1012" s="338" t="s">
        <v>964</v>
      </c>
      <c r="I1012" s="353">
        <v>734</v>
      </c>
      <c r="J1012" s="338" t="str">
        <f>IFERROR(VLOOKUP(I1012,'Chart of accounts'!A:H,2,FALSE),"")</f>
        <v>50103040 01</v>
      </c>
      <c r="K1012" s="338" t="str">
        <f>IFERROR(VLOOKUP(I1012,'Chart of accounts'!A:H,3,FALSE),"")</f>
        <v>ECIP - Civilian</v>
      </c>
      <c r="L1012" s="338" t="str">
        <f>IFERROR(VLOOKUP(I1012,'Chart of accounts'!A:H,4,FALSE),"")</f>
        <v>50103040 01 - ECIP - Civilian (734)</v>
      </c>
      <c r="M1012" s="361">
        <v>85</v>
      </c>
      <c r="N1012" s="355" t="s">
        <v>765</v>
      </c>
      <c r="O1012" s="355" t="s">
        <v>1384</v>
      </c>
      <c r="P1012" s="355"/>
      <c r="Q1012" s="363">
        <v>100</v>
      </c>
      <c r="R1012" s="428">
        <f t="shared" si="30"/>
        <v>-100</v>
      </c>
      <c r="S1012" s="239" t="str">
        <f>VLOOKUP(H1012,'Fund Utilization Report'!$A$4:$U$1800,13,FALSE)</f>
        <v>PS</v>
      </c>
      <c r="T1012" s="239" t="str">
        <f>VLOOKUP(H1012,'Fund Utilization Report'!$A$4:$U$1800,2,FALSE)</f>
        <v>GAA</v>
      </c>
      <c r="U1012" s="239" t="str">
        <f>VLOOKUP(H1012,'Fund Utilization Report'!$A$4:$U$1800,3,FALSE)</f>
        <v>FY2021, RA11518</v>
      </c>
      <c r="V1012" s="239" t="str">
        <f>VLOOKUP(H1012,'Fund Utilization Report'!$A$4:$U$1800,4,FALSE)</f>
        <v>OO1</v>
      </c>
      <c r="W1012" s="239" t="str">
        <f>VLOOKUP(H1012,'Fund Utilization Report'!$A$4:$U$1800,5,FALSE)</f>
        <v>01101101</v>
      </c>
      <c r="X1012" s="239" t="str">
        <f>VLOOKUP(H1012,'Fund Utilization Report'!$A$4:$U$1800,6,FALSE)</f>
        <v>GOP</v>
      </c>
      <c r="Y1012" s="440" t="str">
        <f>VLOOKUP(H1012,'Fund Utilization Report'!$A$4:$U$1800,7,FALSE)</f>
        <v>PS</v>
      </c>
      <c r="Z1012" s="441">
        <f>VLOOKUP(H1012,'Fund Utilization Report'!$A$4:$U$1800,8,FALSE)</f>
        <v>5010000000</v>
      </c>
      <c r="AA1012" s="239" t="str">
        <f>VLOOKUP(H1012,'Fund Utilization Report'!$A$4:$U$1800,14,FALSE)</f>
        <v>310100100002000</v>
      </c>
      <c r="AB1012" s="242" t="str">
        <f>VLOOKUP(H1012,'Fund Utilization Report'!$A$4:$U$1800,15,FALSE)</f>
        <v>Development,Facilitation, and promotion of exports and investment, domestic and foreign</v>
      </c>
      <c r="AC1012" s="51"/>
      <c r="AD1012" s="435"/>
      <c r="AE1012" s="51"/>
      <c r="AF1012" s="51"/>
      <c r="AG1012" s="442"/>
      <c r="AH1012" s="442"/>
      <c r="AI1012" s="443"/>
    </row>
    <row r="1013" spans="1:35" s="32" customFormat="1" ht="27.6">
      <c r="A1013" s="434" t="s">
        <v>942</v>
      </c>
      <c r="B1013" s="457" t="s">
        <v>946</v>
      </c>
      <c r="C1013" s="233">
        <v>44265</v>
      </c>
      <c r="D1013" s="435" t="s">
        <v>1267</v>
      </c>
      <c r="E1013" s="436" t="s">
        <v>1387</v>
      </c>
      <c r="F1013" s="338">
        <v>0.40833333333333338</v>
      </c>
      <c r="G1013" s="338">
        <v>0.41319444444444442</v>
      </c>
      <c r="H1013" s="338" t="s">
        <v>967</v>
      </c>
      <c r="I1013" s="353">
        <v>701</v>
      </c>
      <c r="J1013" s="338" t="str">
        <f>IFERROR(VLOOKUP(I1013,'Chart of accounts'!A:H,2,FALSE),"")</f>
        <v>50101010 01</v>
      </c>
      <c r="K1013" s="338" t="str">
        <f>IFERROR(VLOOKUP(I1013,'Chart of accounts'!A:H,3,FALSE),"")</f>
        <v>Basic Salary - Civilian</v>
      </c>
      <c r="L1013" s="338" t="str">
        <f>IFERROR(VLOOKUP(I1013,'Chart of accounts'!A:H,4,FALSE),"")</f>
        <v>50101010 01 - Basic Salary - Civilian (701)</v>
      </c>
      <c r="M1013" s="361">
        <v>85</v>
      </c>
      <c r="N1013" s="355" t="s">
        <v>765</v>
      </c>
      <c r="O1013" s="355" t="s">
        <v>1384</v>
      </c>
      <c r="P1013" s="355"/>
      <c r="Q1013" s="363">
        <v>81329</v>
      </c>
      <c r="R1013" s="428">
        <f t="shared" ref="R1013:R1024" si="31">P1013-Q1013</f>
        <v>-81329</v>
      </c>
      <c r="S1013" s="239" t="str">
        <f>VLOOKUP(H1013,'Fund Utilization Report'!$A$4:$U$1800,13,FALSE)</f>
        <v>PS</v>
      </c>
      <c r="T1013" s="239" t="str">
        <f>VLOOKUP(H1013,'Fund Utilization Report'!$A$4:$U$1800,2,FALSE)</f>
        <v>GAA</v>
      </c>
      <c r="U1013" s="239" t="str">
        <f>VLOOKUP(H1013,'Fund Utilization Report'!$A$4:$U$1800,3,FALSE)</f>
        <v>FY2021, RA11518</v>
      </c>
      <c r="V1013" s="239" t="str">
        <f>VLOOKUP(H1013,'Fund Utilization Report'!$A$4:$U$1800,4,FALSE)</f>
        <v>OO2</v>
      </c>
      <c r="W1013" s="239" t="str">
        <f>VLOOKUP(H1013,'Fund Utilization Report'!$A$4:$U$1800,5,FALSE)</f>
        <v>01101101</v>
      </c>
      <c r="X1013" s="239" t="str">
        <f>VLOOKUP(H1013,'Fund Utilization Report'!$A$4:$U$1800,6,FALSE)</f>
        <v>GOP</v>
      </c>
      <c r="Y1013" s="440" t="str">
        <f>VLOOKUP(H1013,'Fund Utilization Report'!$A$4:$U$1800,7,FALSE)</f>
        <v>PS</v>
      </c>
      <c r="Z1013" s="441">
        <f>VLOOKUP(H1013,'Fund Utilization Report'!$A$4:$U$1800,8,FALSE)</f>
        <v>5010000000</v>
      </c>
      <c r="AA1013" s="239" t="str">
        <f>VLOOKUP(H1013,'Fund Utilization Report'!$A$4:$U$1800,14,FALSE)</f>
        <v>320100100001000</v>
      </c>
      <c r="AB1013" s="242" t="str">
        <f>VLOOKUP(H1013,'Fund Utilization Report'!$A$4:$U$1800,15,FALSE)</f>
        <v>Formulation of Strategic plans,programs, and policies to develop competitve industries</v>
      </c>
      <c r="AC1013" s="51"/>
      <c r="AD1013" s="435"/>
      <c r="AE1013" s="51"/>
      <c r="AF1013" s="51"/>
      <c r="AG1013" s="442"/>
      <c r="AH1013" s="442"/>
      <c r="AI1013" s="443"/>
    </row>
    <row r="1014" spans="1:35" s="32" customFormat="1" ht="27.6">
      <c r="A1014" s="434" t="s">
        <v>942</v>
      </c>
      <c r="B1014" s="457" t="s">
        <v>946</v>
      </c>
      <c r="C1014" s="233">
        <v>44265</v>
      </c>
      <c r="D1014" s="435" t="s">
        <v>1267</v>
      </c>
      <c r="E1014" s="436" t="s">
        <v>1387</v>
      </c>
      <c r="F1014" s="338">
        <v>0.40833333333333338</v>
      </c>
      <c r="G1014" s="338">
        <v>0.41319444444444442</v>
      </c>
      <c r="H1014" s="338" t="s">
        <v>967</v>
      </c>
      <c r="I1014" s="353">
        <v>711</v>
      </c>
      <c r="J1014" s="338" t="str">
        <f>IFERROR(VLOOKUP(I1014,'Chart of accounts'!A:H,2,FALSE),"")</f>
        <v>50102010 01</v>
      </c>
      <c r="K1014" s="338" t="str">
        <f>IFERROR(VLOOKUP(I1014,'Chart of accounts'!A:H,3,FALSE),"")</f>
        <v>PERA - Civilian</v>
      </c>
      <c r="L1014" s="338" t="str">
        <f>IFERROR(VLOOKUP(I1014,'Chart of accounts'!A:H,4,FALSE),"")</f>
        <v>50102010 01 - PERA - Civilian (711)</v>
      </c>
      <c r="M1014" s="361">
        <v>85</v>
      </c>
      <c r="N1014" s="355" t="s">
        <v>765</v>
      </c>
      <c r="O1014" s="355" t="s">
        <v>1384</v>
      </c>
      <c r="P1014" s="355"/>
      <c r="Q1014" s="363">
        <v>6000</v>
      </c>
      <c r="R1014" s="428">
        <f t="shared" si="31"/>
        <v>-6000</v>
      </c>
      <c r="S1014" s="239" t="str">
        <f>VLOOKUP(H1014,'Fund Utilization Report'!$A$4:$U$1800,13,FALSE)</f>
        <v>PS</v>
      </c>
      <c r="T1014" s="239" t="str">
        <f>VLOOKUP(H1014,'Fund Utilization Report'!$A$4:$U$1800,2,FALSE)</f>
        <v>GAA</v>
      </c>
      <c r="U1014" s="239" t="str">
        <f>VLOOKUP(H1014,'Fund Utilization Report'!$A$4:$U$1800,3,FALSE)</f>
        <v>FY2021, RA11518</v>
      </c>
      <c r="V1014" s="239" t="str">
        <f>VLOOKUP(H1014,'Fund Utilization Report'!$A$4:$U$1800,4,FALSE)</f>
        <v>OO2</v>
      </c>
      <c r="W1014" s="239" t="str">
        <f>VLOOKUP(H1014,'Fund Utilization Report'!$A$4:$U$1800,5,FALSE)</f>
        <v>01101101</v>
      </c>
      <c r="X1014" s="239" t="str">
        <f>VLOOKUP(H1014,'Fund Utilization Report'!$A$4:$U$1800,6,FALSE)</f>
        <v>GOP</v>
      </c>
      <c r="Y1014" s="440" t="str">
        <f>VLOOKUP(H1014,'Fund Utilization Report'!$A$4:$U$1800,7,FALSE)</f>
        <v>PS</v>
      </c>
      <c r="Z1014" s="441">
        <f>VLOOKUP(H1014,'Fund Utilization Report'!$A$4:$U$1800,8,FALSE)</f>
        <v>5010000000</v>
      </c>
      <c r="AA1014" s="239" t="str">
        <f>VLOOKUP(H1014,'Fund Utilization Report'!$A$4:$U$1800,14,FALSE)</f>
        <v>320100100001000</v>
      </c>
      <c r="AB1014" s="242" t="str">
        <f>VLOOKUP(H1014,'Fund Utilization Report'!$A$4:$U$1800,15,FALSE)</f>
        <v>Formulation of Strategic plans,programs, and policies to develop competitve industries</v>
      </c>
      <c r="AC1014" s="51"/>
      <c r="AD1014" s="435"/>
      <c r="AE1014" s="51"/>
      <c r="AF1014" s="51"/>
      <c r="AG1014" s="442"/>
      <c r="AH1014" s="442"/>
      <c r="AI1014" s="443"/>
    </row>
    <row r="1015" spans="1:35" s="32" customFormat="1" ht="27.6">
      <c r="A1015" s="434" t="s">
        <v>942</v>
      </c>
      <c r="B1015" s="457" t="s">
        <v>946</v>
      </c>
      <c r="C1015" s="233">
        <v>44265</v>
      </c>
      <c r="D1015" s="435" t="s">
        <v>1267</v>
      </c>
      <c r="E1015" s="436" t="s">
        <v>1387</v>
      </c>
      <c r="F1015" s="338">
        <v>0.40833333333333338</v>
      </c>
      <c r="G1015" s="338">
        <v>0.41319444444444442</v>
      </c>
      <c r="H1015" s="338" t="s">
        <v>969</v>
      </c>
      <c r="I1015" s="353">
        <v>731</v>
      </c>
      <c r="J1015" s="338" t="str">
        <f>IFERROR(VLOOKUP(I1015,'Chart of accounts'!A:H,2,FALSE),"")</f>
        <v>50103010 00</v>
      </c>
      <c r="K1015" s="338" t="str">
        <f>IFERROR(VLOOKUP(I1015,'Chart of accounts'!A:H,3,FALSE),"")</f>
        <v>Retirement and Life Insurance Premiums</v>
      </c>
      <c r="L1015" s="338" t="str">
        <f>IFERROR(VLOOKUP(I1015,'Chart of accounts'!A:H,4,FALSE),"")</f>
        <v>50103010 00 - Retirement and Life Insurance Premiums (731)</v>
      </c>
      <c r="M1015" s="361">
        <v>85</v>
      </c>
      <c r="N1015" s="355" t="s">
        <v>765</v>
      </c>
      <c r="O1015" s="355" t="s">
        <v>1384</v>
      </c>
      <c r="P1015" s="355"/>
      <c r="Q1015" s="363">
        <v>9759.48</v>
      </c>
      <c r="R1015" s="428">
        <f t="shared" si="31"/>
        <v>-9759.48</v>
      </c>
      <c r="S1015" s="239" t="str">
        <f>VLOOKUP(H1015,'Fund Utilization Report'!$A$4:$U$1800,13,FALSE)</f>
        <v>PS</v>
      </c>
      <c r="T1015" s="239" t="str">
        <f>VLOOKUP(H1015,'Fund Utilization Report'!$A$4:$U$1800,2,FALSE)</f>
        <v>GAA</v>
      </c>
      <c r="U1015" s="239" t="str">
        <f>VLOOKUP(H1015,'Fund Utilization Report'!$A$4:$U$1800,3,FALSE)</f>
        <v>FY2021, RA11518</v>
      </c>
      <c r="V1015" s="239" t="str">
        <f>VLOOKUP(H1015,'Fund Utilization Report'!$A$4:$U$1800,4,FALSE)</f>
        <v>OO2</v>
      </c>
      <c r="W1015" s="239" t="str">
        <f>VLOOKUP(H1015,'Fund Utilization Report'!$A$4:$U$1800,5,FALSE)</f>
        <v>01101101</v>
      </c>
      <c r="X1015" s="239" t="str">
        <f>VLOOKUP(H1015,'Fund Utilization Report'!$A$4:$U$1800,6,FALSE)</f>
        <v>GOP</v>
      </c>
      <c r="Y1015" s="440" t="str">
        <f>VLOOKUP(H1015,'Fund Utilization Report'!$A$4:$U$1800,7,FALSE)</f>
        <v>RLIP</v>
      </c>
      <c r="Z1015" s="441" t="str">
        <f>VLOOKUP(H1015,'Fund Utilization Report'!$A$4:$U$1800,8,FALSE)</f>
        <v>50103010-00</v>
      </c>
      <c r="AA1015" s="239" t="str">
        <f>VLOOKUP(H1015,'Fund Utilization Report'!$A$4:$U$1800,14,FALSE)</f>
        <v>320100100001000</v>
      </c>
      <c r="AB1015" s="242" t="str">
        <f>VLOOKUP(H1015,'Fund Utilization Report'!$A$4:$U$1800,15,FALSE)</f>
        <v>Formulation of Strategic plans,programs, and policies to develop competitve industries</v>
      </c>
      <c r="AC1015" s="51"/>
      <c r="AD1015" s="435"/>
      <c r="AE1015" s="51"/>
      <c r="AF1015" s="51"/>
      <c r="AG1015" s="442"/>
      <c r="AH1015" s="442"/>
      <c r="AI1015" s="443"/>
    </row>
    <row r="1016" spans="1:35" s="32" customFormat="1" ht="27.6">
      <c r="A1016" s="434" t="s">
        <v>942</v>
      </c>
      <c r="B1016" s="457" t="s">
        <v>946</v>
      </c>
      <c r="C1016" s="233">
        <v>44265</v>
      </c>
      <c r="D1016" s="435" t="s">
        <v>1267</v>
      </c>
      <c r="E1016" s="436" t="s">
        <v>1387</v>
      </c>
      <c r="F1016" s="338">
        <v>0.40833333333333338</v>
      </c>
      <c r="G1016" s="338">
        <v>0.41319444444444442</v>
      </c>
      <c r="H1016" s="338" t="s">
        <v>967</v>
      </c>
      <c r="I1016" s="353">
        <v>732</v>
      </c>
      <c r="J1016" s="338" t="str">
        <f>IFERROR(VLOOKUP(I1016,'Chart of accounts'!A:H,2,FALSE),"")</f>
        <v>50103020 01</v>
      </c>
      <c r="K1016" s="338" t="str">
        <f>IFERROR(VLOOKUP(I1016,'Chart of accounts'!A:H,3,FALSE),"")</f>
        <v>Pag-IBIG - Civilian</v>
      </c>
      <c r="L1016" s="338" t="str">
        <f>IFERROR(VLOOKUP(I1016,'Chart of accounts'!A:H,4,FALSE),"")</f>
        <v>50103020 01 - Pag-IBIG - Civilian (732)</v>
      </c>
      <c r="M1016" s="361">
        <v>85</v>
      </c>
      <c r="N1016" s="355" t="s">
        <v>765</v>
      </c>
      <c r="O1016" s="355" t="s">
        <v>1384</v>
      </c>
      <c r="P1016" s="355"/>
      <c r="Q1016" s="363">
        <v>300</v>
      </c>
      <c r="R1016" s="428">
        <f t="shared" si="31"/>
        <v>-300</v>
      </c>
      <c r="S1016" s="239" t="str">
        <f>VLOOKUP(H1016,'Fund Utilization Report'!$A$4:$U$1800,13,FALSE)</f>
        <v>PS</v>
      </c>
      <c r="T1016" s="239" t="str">
        <f>VLOOKUP(H1016,'Fund Utilization Report'!$A$4:$U$1800,2,FALSE)</f>
        <v>GAA</v>
      </c>
      <c r="U1016" s="239" t="str">
        <f>VLOOKUP(H1016,'Fund Utilization Report'!$A$4:$U$1800,3,FALSE)</f>
        <v>FY2021, RA11518</v>
      </c>
      <c r="V1016" s="239" t="str">
        <f>VLOOKUP(H1016,'Fund Utilization Report'!$A$4:$U$1800,4,FALSE)</f>
        <v>OO2</v>
      </c>
      <c r="W1016" s="239" t="str">
        <f>VLOOKUP(H1016,'Fund Utilization Report'!$A$4:$U$1800,5,FALSE)</f>
        <v>01101101</v>
      </c>
      <c r="X1016" s="239" t="str">
        <f>VLOOKUP(H1016,'Fund Utilization Report'!$A$4:$U$1800,6,FALSE)</f>
        <v>GOP</v>
      </c>
      <c r="Y1016" s="440" t="str">
        <f>VLOOKUP(H1016,'Fund Utilization Report'!$A$4:$U$1800,7,FALSE)</f>
        <v>PS</v>
      </c>
      <c r="Z1016" s="441">
        <f>VLOOKUP(H1016,'Fund Utilization Report'!$A$4:$U$1800,8,FALSE)</f>
        <v>5010000000</v>
      </c>
      <c r="AA1016" s="239" t="str">
        <f>VLOOKUP(H1016,'Fund Utilization Report'!$A$4:$U$1800,14,FALSE)</f>
        <v>320100100001000</v>
      </c>
      <c r="AB1016" s="242" t="str">
        <f>VLOOKUP(H1016,'Fund Utilization Report'!$A$4:$U$1800,15,FALSE)</f>
        <v>Formulation of Strategic plans,programs, and policies to develop competitve industries</v>
      </c>
      <c r="AC1016" s="51"/>
      <c r="AD1016" s="435"/>
      <c r="AE1016" s="51"/>
      <c r="AF1016" s="51"/>
      <c r="AG1016" s="442"/>
      <c r="AH1016" s="442"/>
      <c r="AI1016" s="443"/>
    </row>
    <row r="1017" spans="1:35" s="32" customFormat="1" ht="27.6">
      <c r="A1017" s="434" t="s">
        <v>942</v>
      </c>
      <c r="B1017" s="457" t="s">
        <v>946</v>
      </c>
      <c r="C1017" s="233">
        <v>44265</v>
      </c>
      <c r="D1017" s="435" t="s">
        <v>1267</v>
      </c>
      <c r="E1017" s="436" t="s">
        <v>1387</v>
      </c>
      <c r="F1017" s="338">
        <v>0.40833333333333338</v>
      </c>
      <c r="G1017" s="338">
        <v>0.41319444444444442</v>
      </c>
      <c r="H1017" s="338" t="s">
        <v>967</v>
      </c>
      <c r="I1017" s="353">
        <v>733</v>
      </c>
      <c r="J1017" s="338" t="str">
        <f>IFERROR(VLOOKUP(I1017,'Chart of accounts'!A:H,2,FALSE),"")</f>
        <v>50103030 01</v>
      </c>
      <c r="K1017" s="338" t="str">
        <f>IFERROR(VLOOKUP(I1017,'Chart of accounts'!A:H,3,FALSE),"")</f>
        <v>PhilHealth - Civilian</v>
      </c>
      <c r="L1017" s="338" t="str">
        <f>IFERROR(VLOOKUP(I1017,'Chart of accounts'!A:H,4,FALSE),"")</f>
        <v>50103030 01 - PhilHealth - Civilian (733)</v>
      </c>
      <c r="M1017" s="361">
        <v>85</v>
      </c>
      <c r="N1017" s="355" t="s">
        <v>765</v>
      </c>
      <c r="O1017" s="355" t="s">
        <v>1384</v>
      </c>
      <c r="P1017" s="355"/>
      <c r="Q1017" s="363">
        <v>1219.95</v>
      </c>
      <c r="R1017" s="428">
        <f t="shared" si="31"/>
        <v>-1219.95</v>
      </c>
      <c r="S1017" s="239" t="str">
        <f>VLOOKUP(H1017,'Fund Utilization Report'!$A$4:$U$1800,13,FALSE)</f>
        <v>PS</v>
      </c>
      <c r="T1017" s="239" t="str">
        <f>VLOOKUP(H1017,'Fund Utilization Report'!$A$4:$U$1800,2,FALSE)</f>
        <v>GAA</v>
      </c>
      <c r="U1017" s="239" t="str">
        <f>VLOOKUP(H1017,'Fund Utilization Report'!$A$4:$U$1800,3,FALSE)</f>
        <v>FY2021, RA11518</v>
      </c>
      <c r="V1017" s="239" t="str">
        <f>VLOOKUP(H1017,'Fund Utilization Report'!$A$4:$U$1800,4,FALSE)</f>
        <v>OO2</v>
      </c>
      <c r="W1017" s="239" t="str">
        <f>VLOOKUP(H1017,'Fund Utilization Report'!$A$4:$U$1800,5,FALSE)</f>
        <v>01101101</v>
      </c>
      <c r="X1017" s="239" t="str">
        <f>VLOOKUP(H1017,'Fund Utilization Report'!$A$4:$U$1800,6,FALSE)</f>
        <v>GOP</v>
      </c>
      <c r="Y1017" s="440" t="str">
        <f>VLOOKUP(H1017,'Fund Utilization Report'!$A$4:$U$1800,7,FALSE)</f>
        <v>PS</v>
      </c>
      <c r="Z1017" s="441">
        <f>VLOOKUP(H1017,'Fund Utilization Report'!$A$4:$U$1800,8,FALSE)</f>
        <v>5010000000</v>
      </c>
      <c r="AA1017" s="239" t="str">
        <f>VLOOKUP(H1017,'Fund Utilization Report'!$A$4:$U$1800,14,FALSE)</f>
        <v>320100100001000</v>
      </c>
      <c r="AB1017" s="242" t="str">
        <f>VLOOKUP(H1017,'Fund Utilization Report'!$A$4:$U$1800,15,FALSE)</f>
        <v>Formulation of Strategic plans,programs, and policies to develop competitve industries</v>
      </c>
      <c r="AC1017" s="51"/>
      <c r="AD1017" s="435"/>
      <c r="AE1017" s="51"/>
      <c r="AF1017" s="51"/>
      <c r="AG1017" s="442"/>
      <c r="AH1017" s="442"/>
      <c r="AI1017" s="443"/>
    </row>
    <row r="1018" spans="1:35" s="32" customFormat="1" ht="27.6">
      <c r="A1018" s="434" t="s">
        <v>942</v>
      </c>
      <c r="B1018" s="457" t="s">
        <v>946</v>
      </c>
      <c r="C1018" s="233">
        <v>44265</v>
      </c>
      <c r="D1018" s="435" t="s">
        <v>1267</v>
      </c>
      <c r="E1018" s="436" t="s">
        <v>1387</v>
      </c>
      <c r="F1018" s="338">
        <v>0.40833333333333338</v>
      </c>
      <c r="G1018" s="338">
        <v>0.41319444444444442</v>
      </c>
      <c r="H1018" s="338" t="s">
        <v>967</v>
      </c>
      <c r="I1018" s="353">
        <v>734</v>
      </c>
      <c r="J1018" s="338" t="str">
        <f>IFERROR(VLOOKUP(I1018,'Chart of accounts'!A:H,2,FALSE),"")</f>
        <v>50103040 01</v>
      </c>
      <c r="K1018" s="338" t="str">
        <f>IFERROR(VLOOKUP(I1018,'Chart of accounts'!A:H,3,FALSE),"")</f>
        <v>ECIP - Civilian</v>
      </c>
      <c r="L1018" s="338" t="str">
        <f>IFERROR(VLOOKUP(I1018,'Chart of accounts'!A:H,4,FALSE),"")</f>
        <v>50103040 01 - ECIP - Civilian (734)</v>
      </c>
      <c r="M1018" s="361">
        <v>85</v>
      </c>
      <c r="N1018" s="355" t="s">
        <v>765</v>
      </c>
      <c r="O1018" s="355" t="s">
        <v>1384</v>
      </c>
      <c r="P1018" s="355"/>
      <c r="Q1018" s="363">
        <v>300</v>
      </c>
      <c r="R1018" s="428">
        <f t="shared" si="31"/>
        <v>-300</v>
      </c>
      <c r="S1018" s="239" t="str">
        <f>VLOOKUP(H1018,'Fund Utilization Report'!$A$4:$U$1800,13,FALSE)</f>
        <v>PS</v>
      </c>
      <c r="T1018" s="239" t="str">
        <f>VLOOKUP(H1018,'Fund Utilization Report'!$A$4:$U$1800,2,FALSE)</f>
        <v>GAA</v>
      </c>
      <c r="U1018" s="239" t="str">
        <f>VLOOKUP(H1018,'Fund Utilization Report'!$A$4:$U$1800,3,FALSE)</f>
        <v>FY2021, RA11518</v>
      </c>
      <c r="V1018" s="239" t="str">
        <f>VLOOKUP(H1018,'Fund Utilization Report'!$A$4:$U$1800,4,FALSE)</f>
        <v>OO2</v>
      </c>
      <c r="W1018" s="239" t="str">
        <f>VLOOKUP(H1018,'Fund Utilization Report'!$A$4:$U$1800,5,FALSE)</f>
        <v>01101101</v>
      </c>
      <c r="X1018" s="239" t="str">
        <f>VLOOKUP(H1018,'Fund Utilization Report'!$A$4:$U$1800,6,FALSE)</f>
        <v>GOP</v>
      </c>
      <c r="Y1018" s="440" t="str">
        <f>VLOOKUP(H1018,'Fund Utilization Report'!$A$4:$U$1800,7,FALSE)</f>
        <v>PS</v>
      </c>
      <c r="Z1018" s="441">
        <f>VLOOKUP(H1018,'Fund Utilization Report'!$A$4:$U$1800,8,FALSE)</f>
        <v>5010000000</v>
      </c>
      <c r="AA1018" s="239" t="str">
        <f>VLOOKUP(H1018,'Fund Utilization Report'!$A$4:$U$1800,14,FALSE)</f>
        <v>320100100001000</v>
      </c>
      <c r="AB1018" s="242" t="str">
        <f>VLOOKUP(H1018,'Fund Utilization Report'!$A$4:$U$1800,15,FALSE)</f>
        <v>Formulation of Strategic plans,programs, and policies to develop competitve industries</v>
      </c>
      <c r="AC1018" s="51"/>
      <c r="AD1018" s="435"/>
      <c r="AE1018" s="51"/>
      <c r="AF1018" s="51"/>
      <c r="AG1018" s="442"/>
      <c r="AH1018" s="442"/>
      <c r="AI1018" s="443"/>
    </row>
    <row r="1019" spans="1:35" s="32" customFormat="1" ht="27.6">
      <c r="A1019" s="434" t="s">
        <v>942</v>
      </c>
      <c r="B1019" s="457" t="s">
        <v>946</v>
      </c>
      <c r="C1019" s="233">
        <v>44265</v>
      </c>
      <c r="D1019" s="435" t="s">
        <v>1267</v>
      </c>
      <c r="E1019" s="436" t="s">
        <v>1387</v>
      </c>
      <c r="F1019" s="338">
        <v>0.40833333333333338</v>
      </c>
      <c r="G1019" s="338">
        <v>0.41319444444444442</v>
      </c>
      <c r="H1019" s="338" t="s">
        <v>970</v>
      </c>
      <c r="I1019" s="353">
        <v>701</v>
      </c>
      <c r="J1019" s="338" t="str">
        <f>IFERROR(VLOOKUP(I1019,'Chart of accounts'!A:H,2,FALSE),"")</f>
        <v>50101010 01</v>
      </c>
      <c r="K1019" s="338" t="str">
        <f>IFERROR(VLOOKUP(I1019,'Chart of accounts'!A:H,3,FALSE),"")</f>
        <v>Basic Salary - Civilian</v>
      </c>
      <c r="L1019" s="338" t="str">
        <f>IFERROR(VLOOKUP(I1019,'Chart of accounts'!A:H,4,FALSE),"")</f>
        <v>50101010 01 - Basic Salary - Civilian (701)</v>
      </c>
      <c r="M1019" s="361">
        <v>85</v>
      </c>
      <c r="N1019" s="355" t="s">
        <v>765</v>
      </c>
      <c r="O1019" s="355" t="s">
        <v>1384</v>
      </c>
      <c r="P1019" s="355"/>
      <c r="Q1019" s="363">
        <v>78017</v>
      </c>
      <c r="R1019" s="428">
        <f t="shared" si="31"/>
        <v>-78017</v>
      </c>
      <c r="S1019" s="239" t="str">
        <f>VLOOKUP(H1019,'Fund Utilization Report'!$A$4:$U$1800,13,FALSE)</f>
        <v>PS</v>
      </c>
      <c r="T1019" s="239" t="str">
        <f>VLOOKUP(H1019,'Fund Utilization Report'!$A$4:$U$1800,2,FALSE)</f>
        <v>GAA</v>
      </c>
      <c r="U1019" s="239" t="str">
        <f>VLOOKUP(H1019,'Fund Utilization Report'!$A$4:$U$1800,3,FALSE)</f>
        <v>FY2021, RA11518</v>
      </c>
      <c r="V1019" s="239" t="str">
        <f>VLOOKUP(H1019,'Fund Utilization Report'!$A$4:$U$1800,4,FALSE)</f>
        <v>OO3</v>
      </c>
      <c r="W1019" s="239" t="str">
        <f>VLOOKUP(H1019,'Fund Utilization Report'!$A$4:$U$1800,5,FALSE)</f>
        <v>01101101</v>
      </c>
      <c r="X1019" s="239" t="str">
        <f>VLOOKUP(H1019,'Fund Utilization Report'!$A$4:$U$1800,6,FALSE)</f>
        <v>GOP</v>
      </c>
      <c r="Y1019" s="440" t="str">
        <f>VLOOKUP(H1019,'Fund Utilization Report'!$A$4:$U$1800,7,FALSE)</f>
        <v>PS</v>
      </c>
      <c r="Z1019" s="441">
        <f>VLOOKUP(H1019,'Fund Utilization Report'!$A$4:$U$1800,8,FALSE)</f>
        <v>5010000000</v>
      </c>
      <c r="AA1019" s="239" t="str">
        <f>VLOOKUP(H1019,'Fund Utilization Report'!$A$4:$U$1800,14,FALSE)</f>
        <v>330100100002000</v>
      </c>
      <c r="AB1019" s="242" t="str">
        <f>VLOOKUP(H1019,'Fund Utilization Report'!$A$4:$U$1800,15,FALSE)</f>
        <v>Implementation of the MSME Development Plan and other initiatives to promote the growth of Micro, Small and Medium Enterprises</v>
      </c>
      <c r="AC1019" s="51"/>
      <c r="AD1019" s="435"/>
      <c r="AE1019" s="51"/>
      <c r="AF1019" s="51"/>
      <c r="AG1019" s="442"/>
      <c r="AH1019" s="442"/>
      <c r="AI1019" s="443"/>
    </row>
    <row r="1020" spans="1:35" s="32" customFormat="1" ht="27.6">
      <c r="A1020" s="434" t="s">
        <v>942</v>
      </c>
      <c r="B1020" s="457" t="s">
        <v>946</v>
      </c>
      <c r="C1020" s="233">
        <v>44265</v>
      </c>
      <c r="D1020" s="435" t="s">
        <v>1267</v>
      </c>
      <c r="E1020" s="436" t="s">
        <v>1387</v>
      </c>
      <c r="F1020" s="338">
        <v>0.40833333333333338</v>
      </c>
      <c r="G1020" s="338">
        <v>0.41319444444444442</v>
      </c>
      <c r="H1020" s="338" t="s">
        <v>970</v>
      </c>
      <c r="I1020" s="353">
        <v>711</v>
      </c>
      <c r="J1020" s="338" t="str">
        <f>IFERROR(VLOOKUP(I1020,'Chart of accounts'!A:H,2,FALSE),"")</f>
        <v>50102010 01</v>
      </c>
      <c r="K1020" s="338" t="str">
        <f>IFERROR(VLOOKUP(I1020,'Chart of accounts'!A:H,3,FALSE),"")</f>
        <v>PERA - Civilian</v>
      </c>
      <c r="L1020" s="338" t="str">
        <f>IFERROR(VLOOKUP(I1020,'Chart of accounts'!A:H,4,FALSE),"")</f>
        <v>50102010 01 - PERA - Civilian (711)</v>
      </c>
      <c r="M1020" s="361">
        <v>85</v>
      </c>
      <c r="N1020" s="355" t="s">
        <v>765</v>
      </c>
      <c r="O1020" s="355" t="s">
        <v>1384</v>
      </c>
      <c r="P1020" s="355"/>
      <c r="Q1020" s="363">
        <v>4000</v>
      </c>
      <c r="R1020" s="428">
        <f t="shared" si="31"/>
        <v>-4000</v>
      </c>
      <c r="S1020" s="239" t="str">
        <f>VLOOKUP(H1020,'Fund Utilization Report'!$A$4:$U$1800,13,FALSE)</f>
        <v>PS</v>
      </c>
      <c r="T1020" s="239" t="str">
        <f>VLOOKUP(H1020,'Fund Utilization Report'!$A$4:$U$1800,2,FALSE)</f>
        <v>GAA</v>
      </c>
      <c r="U1020" s="239" t="str">
        <f>VLOOKUP(H1020,'Fund Utilization Report'!$A$4:$U$1800,3,FALSE)</f>
        <v>FY2021, RA11518</v>
      </c>
      <c r="V1020" s="239" t="str">
        <f>VLOOKUP(H1020,'Fund Utilization Report'!$A$4:$U$1800,4,FALSE)</f>
        <v>OO3</v>
      </c>
      <c r="W1020" s="239" t="str">
        <f>VLOOKUP(H1020,'Fund Utilization Report'!$A$4:$U$1800,5,FALSE)</f>
        <v>01101101</v>
      </c>
      <c r="X1020" s="239" t="str">
        <f>VLOOKUP(H1020,'Fund Utilization Report'!$A$4:$U$1800,6,FALSE)</f>
        <v>GOP</v>
      </c>
      <c r="Y1020" s="440" t="str">
        <f>VLOOKUP(H1020,'Fund Utilization Report'!$A$4:$U$1800,7,FALSE)</f>
        <v>PS</v>
      </c>
      <c r="Z1020" s="441">
        <f>VLOOKUP(H1020,'Fund Utilization Report'!$A$4:$U$1800,8,FALSE)</f>
        <v>5010000000</v>
      </c>
      <c r="AA1020" s="239" t="str">
        <f>VLOOKUP(H1020,'Fund Utilization Report'!$A$4:$U$1800,14,FALSE)</f>
        <v>330100100002000</v>
      </c>
      <c r="AB1020" s="242" t="str">
        <f>VLOOKUP(H1020,'Fund Utilization Report'!$A$4:$U$1800,15,FALSE)</f>
        <v>Implementation of the MSME Development Plan and other initiatives to promote the growth of Micro, Small and Medium Enterprises</v>
      </c>
      <c r="AC1020" s="51"/>
      <c r="AD1020" s="435"/>
      <c r="AE1020" s="51"/>
      <c r="AF1020" s="51"/>
      <c r="AG1020" s="442"/>
      <c r="AH1020" s="442"/>
      <c r="AI1020" s="443"/>
    </row>
    <row r="1021" spans="1:35" s="32" customFormat="1" ht="27.6">
      <c r="A1021" s="434" t="s">
        <v>942</v>
      </c>
      <c r="B1021" s="457" t="s">
        <v>946</v>
      </c>
      <c r="C1021" s="233">
        <v>44265</v>
      </c>
      <c r="D1021" s="435" t="s">
        <v>1267</v>
      </c>
      <c r="E1021" s="436" t="s">
        <v>1387</v>
      </c>
      <c r="F1021" s="338">
        <v>0.40833333333333338</v>
      </c>
      <c r="G1021" s="338">
        <v>0.41319444444444442</v>
      </c>
      <c r="H1021" s="338" t="s">
        <v>972</v>
      </c>
      <c r="I1021" s="353">
        <v>731</v>
      </c>
      <c r="J1021" s="338" t="str">
        <f>IFERROR(VLOOKUP(I1021,'Chart of accounts'!A:H,2,FALSE),"")</f>
        <v>50103010 00</v>
      </c>
      <c r="K1021" s="338" t="str">
        <f>IFERROR(VLOOKUP(I1021,'Chart of accounts'!A:H,3,FALSE),"")</f>
        <v>Retirement and Life Insurance Premiums</v>
      </c>
      <c r="L1021" s="338" t="str">
        <f>IFERROR(VLOOKUP(I1021,'Chart of accounts'!A:H,4,FALSE),"")</f>
        <v>50103010 00 - Retirement and Life Insurance Premiums (731)</v>
      </c>
      <c r="M1021" s="361">
        <v>85</v>
      </c>
      <c r="N1021" s="355" t="s">
        <v>765</v>
      </c>
      <c r="O1021" s="355" t="s">
        <v>1384</v>
      </c>
      <c r="P1021" s="355"/>
      <c r="Q1021" s="363">
        <v>9362.0400000000009</v>
      </c>
      <c r="R1021" s="428">
        <f t="shared" si="31"/>
        <v>-9362.0400000000009</v>
      </c>
      <c r="S1021" s="239" t="str">
        <f>VLOOKUP(H1021,'Fund Utilization Report'!$A$4:$U$1800,13,FALSE)</f>
        <v>PS</v>
      </c>
      <c r="T1021" s="239" t="str">
        <f>VLOOKUP(H1021,'Fund Utilization Report'!$A$4:$U$1800,2,FALSE)</f>
        <v>GAA</v>
      </c>
      <c r="U1021" s="239" t="str">
        <f>VLOOKUP(H1021,'Fund Utilization Report'!$A$4:$U$1800,3,FALSE)</f>
        <v>FY2021, RA11518</v>
      </c>
      <c r="V1021" s="239" t="str">
        <f>VLOOKUP(H1021,'Fund Utilization Report'!$A$4:$U$1800,4,FALSE)</f>
        <v>OO3</v>
      </c>
      <c r="W1021" s="239" t="str">
        <f>VLOOKUP(H1021,'Fund Utilization Report'!$A$4:$U$1800,5,FALSE)</f>
        <v>01101101</v>
      </c>
      <c r="X1021" s="239" t="str">
        <f>VLOOKUP(H1021,'Fund Utilization Report'!$A$4:$U$1800,6,FALSE)</f>
        <v>GOP</v>
      </c>
      <c r="Y1021" s="440" t="str">
        <f>VLOOKUP(H1021,'Fund Utilization Report'!$A$4:$U$1800,7,FALSE)</f>
        <v>RLIP</v>
      </c>
      <c r="Z1021" s="441" t="str">
        <f>VLOOKUP(H1021,'Fund Utilization Report'!$A$4:$U$1800,8,FALSE)</f>
        <v>50103010-00</v>
      </c>
      <c r="AA1021" s="239" t="str">
        <f>VLOOKUP(H1021,'Fund Utilization Report'!$A$4:$U$1800,14,FALSE)</f>
        <v>330100100002000</v>
      </c>
      <c r="AB1021" s="242" t="str">
        <f>VLOOKUP(H1021,'Fund Utilization Report'!$A$4:$U$1800,15,FALSE)</f>
        <v>Implementation of the MSME Development Plan and other initiatives to promote the growth of Micro, Small and Medium Enterprises</v>
      </c>
      <c r="AC1021" s="51"/>
      <c r="AD1021" s="435"/>
      <c r="AE1021" s="51"/>
      <c r="AF1021" s="51"/>
      <c r="AG1021" s="442"/>
      <c r="AH1021" s="442"/>
      <c r="AI1021" s="443"/>
    </row>
    <row r="1022" spans="1:35" s="32" customFormat="1" ht="27.6">
      <c r="A1022" s="434" t="s">
        <v>942</v>
      </c>
      <c r="B1022" s="457" t="s">
        <v>946</v>
      </c>
      <c r="C1022" s="233">
        <v>44265</v>
      </c>
      <c r="D1022" s="435" t="s">
        <v>1267</v>
      </c>
      <c r="E1022" s="436" t="s">
        <v>1387</v>
      </c>
      <c r="F1022" s="338">
        <v>0.40833333333333338</v>
      </c>
      <c r="G1022" s="338">
        <v>0.41319444444444442</v>
      </c>
      <c r="H1022" s="338" t="s">
        <v>970</v>
      </c>
      <c r="I1022" s="353">
        <v>732</v>
      </c>
      <c r="J1022" s="338" t="str">
        <f>IFERROR(VLOOKUP(I1022,'Chart of accounts'!A:H,2,FALSE),"")</f>
        <v>50103020 01</v>
      </c>
      <c r="K1022" s="338" t="str">
        <f>IFERROR(VLOOKUP(I1022,'Chart of accounts'!A:H,3,FALSE),"")</f>
        <v>Pag-IBIG - Civilian</v>
      </c>
      <c r="L1022" s="338" t="str">
        <f>IFERROR(VLOOKUP(I1022,'Chart of accounts'!A:H,4,FALSE),"")</f>
        <v>50103020 01 - Pag-IBIG - Civilian (732)</v>
      </c>
      <c r="M1022" s="361">
        <v>85</v>
      </c>
      <c r="N1022" s="355" t="s">
        <v>765</v>
      </c>
      <c r="O1022" s="355" t="s">
        <v>1384</v>
      </c>
      <c r="P1022" s="355"/>
      <c r="Q1022" s="363">
        <v>200</v>
      </c>
      <c r="R1022" s="428">
        <f t="shared" si="31"/>
        <v>-200</v>
      </c>
      <c r="S1022" s="239" t="str">
        <f>VLOOKUP(H1022,'Fund Utilization Report'!$A$4:$U$1800,13,FALSE)</f>
        <v>PS</v>
      </c>
      <c r="T1022" s="239" t="str">
        <f>VLOOKUP(H1022,'Fund Utilization Report'!$A$4:$U$1800,2,FALSE)</f>
        <v>GAA</v>
      </c>
      <c r="U1022" s="239" t="str">
        <f>VLOOKUP(H1022,'Fund Utilization Report'!$A$4:$U$1800,3,FALSE)</f>
        <v>FY2021, RA11518</v>
      </c>
      <c r="V1022" s="239" t="str">
        <f>VLOOKUP(H1022,'Fund Utilization Report'!$A$4:$U$1800,4,FALSE)</f>
        <v>OO3</v>
      </c>
      <c r="W1022" s="239" t="str">
        <f>VLOOKUP(H1022,'Fund Utilization Report'!$A$4:$U$1800,5,FALSE)</f>
        <v>01101101</v>
      </c>
      <c r="X1022" s="239" t="str">
        <f>VLOOKUP(H1022,'Fund Utilization Report'!$A$4:$U$1800,6,FALSE)</f>
        <v>GOP</v>
      </c>
      <c r="Y1022" s="440" t="str">
        <f>VLOOKUP(H1022,'Fund Utilization Report'!$A$4:$U$1800,7,FALSE)</f>
        <v>PS</v>
      </c>
      <c r="Z1022" s="441">
        <f>VLOOKUP(H1022,'Fund Utilization Report'!$A$4:$U$1800,8,FALSE)</f>
        <v>5010000000</v>
      </c>
      <c r="AA1022" s="239" t="str">
        <f>VLOOKUP(H1022,'Fund Utilization Report'!$A$4:$U$1800,14,FALSE)</f>
        <v>330100100002000</v>
      </c>
      <c r="AB1022" s="242" t="str">
        <f>VLOOKUP(H1022,'Fund Utilization Report'!$A$4:$U$1800,15,FALSE)</f>
        <v>Implementation of the MSME Development Plan and other initiatives to promote the growth of Micro, Small and Medium Enterprises</v>
      </c>
      <c r="AC1022" s="51"/>
      <c r="AD1022" s="435"/>
      <c r="AE1022" s="51"/>
      <c r="AF1022" s="51"/>
      <c r="AG1022" s="442"/>
      <c r="AH1022" s="442"/>
      <c r="AI1022" s="443"/>
    </row>
    <row r="1023" spans="1:35" s="32" customFormat="1" ht="27.6">
      <c r="A1023" s="434" t="s">
        <v>942</v>
      </c>
      <c r="B1023" s="457" t="s">
        <v>946</v>
      </c>
      <c r="C1023" s="233">
        <v>44265</v>
      </c>
      <c r="D1023" s="435" t="s">
        <v>1267</v>
      </c>
      <c r="E1023" s="436" t="s">
        <v>1387</v>
      </c>
      <c r="F1023" s="338">
        <v>0.40833333333333338</v>
      </c>
      <c r="G1023" s="338">
        <v>0.41319444444444442</v>
      </c>
      <c r="H1023" s="338" t="s">
        <v>970</v>
      </c>
      <c r="I1023" s="353">
        <v>733</v>
      </c>
      <c r="J1023" s="338" t="str">
        <f>IFERROR(VLOOKUP(I1023,'Chart of accounts'!A:H,2,FALSE),"")</f>
        <v>50103030 01</v>
      </c>
      <c r="K1023" s="338" t="str">
        <f>IFERROR(VLOOKUP(I1023,'Chart of accounts'!A:H,3,FALSE),"")</f>
        <v>PhilHealth - Civilian</v>
      </c>
      <c r="L1023" s="338" t="str">
        <f>IFERROR(VLOOKUP(I1023,'Chart of accounts'!A:H,4,FALSE),"")</f>
        <v>50103030 01 - PhilHealth - Civilian (733)</v>
      </c>
      <c r="M1023" s="361">
        <v>85</v>
      </c>
      <c r="N1023" s="355" t="s">
        <v>765</v>
      </c>
      <c r="O1023" s="355" t="s">
        <v>1384</v>
      </c>
      <c r="P1023" s="355"/>
      <c r="Q1023" s="363">
        <v>1170.26</v>
      </c>
      <c r="R1023" s="428">
        <f t="shared" si="31"/>
        <v>-1170.26</v>
      </c>
      <c r="S1023" s="239" t="str">
        <f>VLOOKUP(H1023,'Fund Utilization Report'!$A$4:$U$1800,13,FALSE)</f>
        <v>PS</v>
      </c>
      <c r="T1023" s="239" t="str">
        <f>VLOOKUP(H1023,'Fund Utilization Report'!$A$4:$U$1800,2,FALSE)</f>
        <v>GAA</v>
      </c>
      <c r="U1023" s="239" t="str">
        <f>VLOOKUP(H1023,'Fund Utilization Report'!$A$4:$U$1800,3,FALSE)</f>
        <v>FY2021, RA11518</v>
      </c>
      <c r="V1023" s="239" t="str">
        <f>VLOOKUP(H1023,'Fund Utilization Report'!$A$4:$U$1800,4,FALSE)</f>
        <v>OO3</v>
      </c>
      <c r="W1023" s="239" t="str">
        <f>VLOOKUP(H1023,'Fund Utilization Report'!$A$4:$U$1800,5,FALSE)</f>
        <v>01101101</v>
      </c>
      <c r="X1023" s="239" t="str">
        <f>VLOOKUP(H1023,'Fund Utilization Report'!$A$4:$U$1800,6,FALSE)</f>
        <v>GOP</v>
      </c>
      <c r="Y1023" s="440" t="str">
        <f>VLOOKUP(H1023,'Fund Utilization Report'!$A$4:$U$1800,7,FALSE)</f>
        <v>PS</v>
      </c>
      <c r="Z1023" s="441">
        <f>VLOOKUP(H1023,'Fund Utilization Report'!$A$4:$U$1800,8,FALSE)</f>
        <v>5010000000</v>
      </c>
      <c r="AA1023" s="239" t="str">
        <f>VLOOKUP(H1023,'Fund Utilization Report'!$A$4:$U$1800,14,FALSE)</f>
        <v>330100100002000</v>
      </c>
      <c r="AB1023" s="242" t="str">
        <f>VLOOKUP(H1023,'Fund Utilization Report'!$A$4:$U$1800,15,FALSE)</f>
        <v>Implementation of the MSME Development Plan and other initiatives to promote the growth of Micro, Small and Medium Enterprises</v>
      </c>
      <c r="AC1023" s="51"/>
      <c r="AD1023" s="435"/>
      <c r="AE1023" s="51"/>
      <c r="AF1023" s="51"/>
      <c r="AG1023" s="442"/>
      <c r="AH1023" s="442"/>
      <c r="AI1023" s="443"/>
    </row>
    <row r="1024" spans="1:35" s="32" customFormat="1" ht="27.6">
      <c r="A1024" s="434" t="s">
        <v>942</v>
      </c>
      <c r="B1024" s="457" t="s">
        <v>946</v>
      </c>
      <c r="C1024" s="233">
        <v>44265</v>
      </c>
      <c r="D1024" s="435" t="s">
        <v>1267</v>
      </c>
      <c r="E1024" s="436" t="s">
        <v>1387</v>
      </c>
      <c r="F1024" s="338">
        <v>0.40833333333333338</v>
      </c>
      <c r="G1024" s="338">
        <v>0.41319444444444442</v>
      </c>
      <c r="H1024" s="338" t="s">
        <v>970</v>
      </c>
      <c r="I1024" s="353">
        <v>734</v>
      </c>
      <c r="J1024" s="338" t="str">
        <f>IFERROR(VLOOKUP(I1024,'Chart of accounts'!A:H,2,FALSE),"")</f>
        <v>50103040 01</v>
      </c>
      <c r="K1024" s="338" t="str">
        <f>IFERROR(VLOOKUP(I1024,'Chart of accounts'!A:H,3,FALSE),"")</f>
        <v>ECIP - Civilian</v>
      </c>
      <c r="L1024" s="338" t="str">
        <f>IFERROR(VLOOKUP(I1024,'Chart of accounts'!A:H,4,FALSE),"")</f>
        <v>50103040 01 - ECIP - Civilian (734)</v>
      </c>
      <c r="M1024" s="361">
        <v>85</v>
      </c>
      <c r="N1024" s="355" t="s">
        <v>765</v>
      </c>
      <c r="O1024" s="355" t="s">
        <v>1384</v>
      </c>
      <c r="P1024" s="355"/>
      <c r="Q1024" s="363">
        <v>200</v>
      </c>
      <c r="R1024" s="428">
        <f t="shared" si="31"/>
        <v>-200</v>
      </c>
      <c r="S1024" s="239" t="str">
        <f>VLOOKUP(H1024,'Fund Utilization Report'!$A$4:$U$1800,13,FALSE)</f>
        <v>PS</v>
      </c>
      <c r="T1024" s="239" t="str">
        <f>VLOOKUP(H1024,'Fund Utilization Report'!$A$4:$U$1800,2,FALSE)</f>
        <v>GAA</v>
      </c>
      <c r="U1024" s="239" t="str">
        <f>VLOOKUP(H1024,'Fund Utilization Report'!$A$4:$U$1800,3,FALSE)</f>
        <v>FY2021, RA11518</v>
      </c>
      <c r="V1024" s="239" t="str">
        <f>VLOOKUP(H1024,'Fund Utilization Report'!$A$4:$U$1800,4,FALSE)</f>
        <v>OO3</v>
      </c>
      <c r="W1024" s="239" t="str">
        <f>VLOOKUP(H1024,'Fund Utilization Report'!$A$4:$U$1800,5,FALSE)</f>
        <v>01101101</v>
      </c>
      <c r="X1024" s="239" t="str">
        <f>VLOOKUP(H1024,'Fund Utilization Report'!$A$4:$U$1800,6,FALSE)</f>
        <v>GOP</v>
      </c>
      <c r="Y1024" s="440" t="str">
        <f>VLOOKUP(H1024,'Fund Utilization Report'!$A$4:$U$1800,7,FALSE)</f>
        <v>PS</v>
      </c>
      <c r="Z1024" s="441">
        <f>VLOOKUP(H1024,'Fund Utilization Report'!$A$4:$U$1800,8,FALSE)</f>
        <v>5010000000</v>
      </c>
      <c r="AA1024" s="239" t="str">
        <f>VLOOKUP(H1024,'Fund Utilization Report'!$A$4:$U$1800,14,FALSE)</f>
        <v>330100100002000</v>
      </c>
      <c r="AB1024" s="242" t="str">
        <f>VLOOKUP(H1024,'Fund Utilization Report'!$A$4:$U$1800,15,FALSE)</f>
        <v>Implementation of the MSME Development Plan and other initiatives to promote the growth of Micro, Small and Medium Enterprises</v>
      </c>
      <c r="AC1024" s="51"/>
      <c r="AD1024" s="435"/>
      <c r="AE1024" s="51"/>
      <c r="AF1024" s="51"/>
      <c r="AG1024" s="442"/>
      <c r="AH1024" s="442"/>
      <c r="AI1024" s="443"/>
    </row>
    <row r="1025" spans="1:35" s="32" customFormat="1" ht="27.6">
      <c r="A1025" s="434" t="s">
        <v>942</v>
      </c>
      <c r="B1025" s="457" t="s">
        <v>946</v>
      </c>
      <c r="C1025" s="233">
        <v>44265</v>
      </c>
      <c r="D1025" s="435" t="s">
        <v>1267</v>
      </c>
      <c r="E1025" s="436" t="s">
        <v>1388</v>
      </c>
      <c r="F1025" s="338">
        <v>0.41319444444444442</v>
      </c>
      <c r="G1025" s="338">
        <v>0.42152777777777778</v>
      </c>
      <c r="H1025" s="338" t="s">
        <v>999</v>
      </c>
      <c r="I1025" s="353">
        <v>706</v>
      </c>
      <c r="J1025" s="338" t="str">
        <f>IFERROR(VLOOKUP(I1025,'Chart of accounts'!A:H,2,FALSE),"")</f>
        <v>50101020 00</v>
      </c>
      <c r="K1025" s="338" t="str">
        <f>IFERROR(VLOOKUP(I1025,'Chart of accounts'!A:H,3,FALSE),"")</f>
        <v>Basic Salary - Contractual</v>
      </c>
      <c r="L1025" s="338" t="str">
        <f>IFERROR(VLOOKUP(I1025,'Chart of accounts'!A:H,4,FALSE),"")</f>
        <v>50101020 00 - Basic Salary - Contractual (706)</v>
      </c>
      <c r="M1025" s="361">
        <v>85</v>
      </c>
      <c r="N1025" s="355" t="s">
        <v>872</v>
      </c>
      <c r="O1025" s="355" t="s">
        <v>1390</v>
      </c>
      <c r="P1025" s="355"/>
      <c r="Q1025" s="363">
        <v>33575</v>
      </c>
      <c r="R1025" s="428">
        <f t="shared" ref="R1025:R1030" si="32">P1025-Q1025</f>
        <v>-33575</v>
      </c>
      <c r="S1025" s="239" t="str">
        <f>VLOOKUP(H1025,'Fund Utilization Report'!$A$4:$U$1800,13,FALSE)</f>
        <v>PS</v>
      </c>
      <c r="T1025" s="239" t="str">
        <f>VLOOKUP(H1025,'Fund Utilization Report'!$A$4:$U$1800,2,FALSE)</f>
        <v>SAA15</v>
      </c>
      <c r="U1025" s="239" t="str">
        <f>VLOOKUP(H1025,'Fund Utilization Report'!$A$4:$U$1800,3,FALSE)</f>
        <v>2021-01-0015</v>
      </c>
      <c r="V1025" s="239" t="str">
        <f>VLOOKUP(H1025,'Fund Utilization Report'!$A$4:$U$1800,4,FALSE)</f>
        <v>CARP</v>
      </c>
      <c r="W1025" s="239" t="str">
        <f>VLOOKUP(H1025,'Fund Utilization Report'!$A$4:$U$1800,5,FALSE)</f>
        <v>01101101</v>
      </c>
      <c r="X1025" s="239" t="str">
        <f>VLOOKUP(H1025,'Fund Utilization Report'!$A$4:$U$1800,6,FALSE)</f>
        <v>GOP</v>
      </c>
      <c r="Y1025" s="440">
        <f>VLOOKUP(H1025,'Fund Utilization Report'!$A$4:$U$1800,7,FALSE)</f>
        <v>706</v>
      </c>
      <c r="Z1025" s="441" t="str">
        <f>VLOOKUP(H1025,'Fund Utilization Report'!$A$4:$U$1800,8,FALSE)</f>
        <v>50101020 00</v>
      </c>
      <c r="AA1025" s="239" t="str">
        <f>VLOOKUP(H1025,'Fund Utilization Report'!$A$4:$U$1800,14,FALSE)</f>
        <v>330100100003000</v>
      </c>
      <c r="AB1025" s="242" t="str">
        <f>VLOOKUP(H1025,'Fund Utilization Report'!$A$4:$U$1800,15,FALSE)</f>
        <v>MSME Development Program : Program Beneficiaries Development Component of the Comprehensive Agrarian Reform Program</v>
      </c>
      <c r="AC1025" s="51"/>
      <c r="AD1025" s="435"/>
      <c r="AE1025" s="51"/>
      <c r="AF1025" s="51"/>
      <c r="AG1025" s="442"/>
      <c r="AH1025" s="442"/>
      <c r="AI1025" s="443"/>
    </row>
    <row r="1026" spans="1:35" s="32" customFormat="1" ht="27.6">
      <c r="A1026" s="434" t="s">
        <v>942</v>
      </c>
      <c r="B1026" s="457" t="s">
        <v>946</v>
      </c>
      <c r="C1026" s="233">
        <v>44265</v>
      </c>
      <c r="D1026" s="435" t="s">
        <v>1267</v>
      </c>
      <c r="E1026" s="436" t="s">
        <v>1388</v>
      </c>
      <c r="F1026" s="338">
        <v>0.41319444444444442</v>
      </c>
      <c r="G1026" s="338">
        <v>0.42152777777777778</v>
      </c>
      <c r="H1026" s="338" t="s">
        <v>999</v>
      </c>
      <c r="I1026" s="353">
        <v>711</v>
      </c>
      <c r="J1026" s="338" t="str">
        <f>IFERROR(VLOOKUP(I1026,'Chart of accounts'!A:H,2,FALSE),"")</f>
        <v>50102010 01</v>
      </c>
      <c r="K1026" s="338" t="str">
        <f>IFERROR(VLOOKUP(I1026,'Chart of accounts'!A:H,3,FALSE),"")</f>
        <v>PERA - Civilian</v>
      </c>
      <c r="L1026" s="338" t="str">
        <f>IFERROR(VLOOKUP(I1026,'Chart of accounts'!A:H,4,FALSE),"")</f>
        <v>50102010 01 - PERA - Civilian (711)</v>
      </c>
      <c r="M1026" s="361">
        <v>85</v>
      </c>
      <c r="N1026" s="355" t="s">
        <v>872</v>
      </c>
      <c r="O1026" s="355" t="s">
        <v>1390</v>
      </c>
      <c r="P1026" s="355"/>
      <c r="Q1026" s="363">
        <v>2000</v>
      </c>
      <c r="R1026" s="428">
        <f t="shared" si="32"/>
        <v>-2000</v>
      </c>
      <c r="S1026" s="239" t="str">
        <f>VLOOKUP(H1026,'Fund Utilization Report'!$A$4:$U$1800,13,FALSE)</f>
        <v>PS</v>
      </c>
      <c r="T1026" s="239" t="str">
        <f>VLOOKUP(H1026,'Fund Utilization Report'!$A$4:$U$1800,2,FALSE)</f>
        <v>SAA15</v>
      </c>
      <c r="U1026" s="239" t="str">
        <f>VLOOKUP(H1026,'Fund Utilization Report'!$A$4:$U$1800,3,FALSE)</f>
        <v>2021-01-0015</v>
      </c>
      <c r="V1026" s="239" t="str">
        <f>VLOOKUP(H1026,'Fund Utilization Report'!$A$4:$U$1800,4,FALSE)</f>
        <v>CARP</v>
      </c>
      <c r="W1026" s="239" t="str">
        <f>VLOOKUP(H1026,'Fund Utilization Report'!$A$4:$U$1800,5,FALSE)</f>
        <v>01101101</v>
      </c>
      <c r="X1026" s="239" t="str">
        <f>VLOOKUP(H1026,'Fund Utilization Report'!$A$4:$U$1800,6,FALSE)</f>
        <v>GOP</v>
      </c>
      <c r="Y1026" s="440">
        <f>VLOOKUP(H1026,'Fund Utilization Report'!$A$4:$U$1800,7,FALSE)</f>
        <v>706</v>
      </c>
      <c r="Z1026" s="441" t="str">
        <f>VLOOKUP(H1026,'Fund Utilization Report'!$A$4:$U$1800,8,FALSE)</f>
        <v>50101020 00</v>
      </c>
      <c r="AA1026" s="239" t="str">
        <f>VLOOKUP(H1026,'Fund Utilization Report'!$A$4:$U$1800,14,FALSE)</f>
        <v>330100100003000</v>
      </c>
      <c r="AB1026" s="242" t="str">
        <f>VLOOKUP(H1026,'Fund Utilization Report'!$A$4:$U$1800,15,FALSE)</f>
        <v>MSME Development Program : Program Beneficiaries Development Component of the Comprehensive Agrarian Reform Program</v>
      </c>
      <c r="AC1026" s="51"/>
      <c r="AD1026" s="435"/>
      <c r="AE1026" s="51"/>
      <c r="AF1026" s="51"/>
      <c r="AG1026" s="442"/>
      <c r="AH1026" s="442"/>
      <c r="AI1026" s="443"/>
    </row>
    <row r="1027" spans="1:35" s="32" customFormat="1" ht="27.6">
      <c r="A1027" s="434" t="s">
        <v>942</v>
      </c>
      <c r="B1027" s="457" t="s">
        <v>946</v>
      </c>
      <c r="C1027" s="233">
        <v>44265</v>
      </c>
      <c r="D1027" s="435" t="s">
        <v>1267</v>
      </c>
      <c r="E1027" s="436" t="s">
        <v>1388</v>
      </c>
      <c r="F1027" s="338">
        <v>0.41319444444444442</v>
      </c>
      <c r="G1027" s="338">
        <v>0.42152777777777778</v>
      </c>
      <c r="H1027" s="338" t="s">
        <v>999</v>
      </c>
      <c r="I1027" s="353">
        <v>731</v>
      </c>
      <c r="J1027" s="338" t="str">
        <f>IFERROR(VLOOKUP(I1027,'Chart of accounts'!A:H,2,FALSE),"")</f>
        <v>50103010 00</v>
      </c>
      <c r="K1027" s="338" t="str">
        <f>IFERROR(VLOOKUP(I1027,'Chart of accounts'!A:H,3,FALSE),"")</f>
        <v>Retirement and Life Insurance Premiums</v>
      </c>
      <c r="L1027" s="338" t="str">
        <f>IFERROR(VLOOKUP(I1027,'Chart of accounts'!A:H,4,FALSE),"")</f>
        <v>50103010 00 - Retirement and Life Insurance Premiums (731)</v>
      </c>
      <c r="M1027" s="361">
        <v>85</v>
      </c>
      <c r="N1027" s="355" t="s">
        <v>872</v>
      </c>
      <c r="O1027" s="355" t="s">
        <v>1390</v>
      </c>
      <c r="P1027" s="355"/>
      <c r="Q1027" s="363">
        <v>4029</v>
      </c>
      <c r="R1027" s="428">
        <f t="shared" si="32"/>
        <v>-4029</v>
      </c>
      <c r="S1027" s="239" t="str">
        <f>VLOOKUP(H1027,'Fund Utilization Report'!$A$4:$U$1800,13,FALSE)</f>
        <v>PS</v>
      </c>
      <c r="T1027" s="239" t="str">
        <f>VLOOKUP(H1027,'Fund Utilization Report'!$A$4:$U$1800,2,FALSE)</f>
        <v>SAA15</v>
      </c>
      <c r="U1027" s="239" t="str">
        <f>VLOOKUP(H1027,'Fund Utilization Report'!$A$4:$U$1800,3,FALSE)</f>
        <v>2021-01-0015</v>
      </c>
      <c r="V1027" s="239" t="str">
        <f>VLOOKUP(H1027,'Fund Utilization Report'!$A$4:$U$1800,4,FALSE)</f>
        <v>CARP</v>
      </c>
      <c r="W1027" s="239" t="str">
        <f>VLOOKUP(H1027,'Fund Utilization Report'!$A$4:$U$1800,5,FALSE)</f>
        <v>01101101</v>
      </c>
      <c r="X1027" s="239" t="str">
        <f>VLOOKUP(H1027,'Fund Utilization Report'!$A$4:$U$1800,6,FALSE)</f>
        <v>GOP</v>
      </c>
      <c r="Y1027" s="440">
        <f>VLOOKUP(H1027,'Fund Utilization Report'!$A$4:$U$1800,7,FALSE)</f>
        <v>706</v>
      </c>
      <c r="Z1027" s="441" t="str">
        <f>VLOOKUP(H1027,'Fund Utilization Report'!$A$4:$U$1800,8,FALSE)</f>
        <v>50101020 00</v>
      </c>
      <c r="AA1027" s="239" t="str">
        <f>VLOOKUP(H1027,'Fund Utilization Report'!$A$4:$U$1800,14,FALSE)</f>
        <v>330100100003000</v>
      </c>
      <c r="AB1027" s="242" t="str">
        <f>VLOOKUP(H1027,'Fund Utilization Report'!$A$4:$U$1800,15,FALSE)</f>
        <v>MSME Development Program : Program Beneficiaries Development Component of the Comprehensive Agrarian Reform Program</v>
      </c>
      <c r="AC1027" s="51"/>
      <c r="AD1027" s="435"/>
      <c r="AE1027" s="51"/>
      <c r="AF1027" s="51"/>
      <c r="AG1027" s="442"/>
      <c r="AH1027" s="442"/>
      <c r="AI1027" s="443"/>
    </row>
    <row r="1028" spans="1:35" s="32" customFormat="1" ht="27.6">
      <c r="A1028" s="434" t="s">
        <v>942</v>
      </c>
      <c r="B1028" s="457" t="s">
        <v>946</v>
      </c>
      <c r="C1028" s="233">
        <v>44265</v>
      </c>
      <c r="D1028" s="435" t="s">
        <v>1267</v>
      </c>
      <c r="E1028" s="436" t="s">
        <v>1388</v>
      </c>
      <c r="F1028" s="338">
        <v>0.41319444444444442</v>
      </c>
      <c r="G1028" s="338">
        <v>0.42152777777777778</v>
      </c>
      <c r="H1028" s="338" t="s">
        <v>999</v>
      </c>
      <c r="I1028" s="353">
        <v>732</v>
      </c>
      <c r="J1028" s="338" t="str">
        <f>IFERROR(VLOOKUP(I1028,'Chart of accounts'!A:H,2,FALSE),"")</f>
        <v>50103020 01</v>
      </c>
      <c r="K1028" s="338" t="str">
        <f>IFERROR(VLOOKUP(I1028,'Chart of accounts'!A:H,3,FALSE),"")</f>
        <v>Pag-IBIG - Civilian</v>
      </c>
      <c r="L1028" s="338" t="str">
        <f>IFERROR(VLOOKUP(I1028,'Chart of accounts'!A:H,4,FALSE),"")</f>
        <v>50103020 01 - Pag-IBIG - Civilian (732)</v>
      </c>
      <c r="M1028" s="361">
        <v>85</v>
      </c>
      <c r="N1028" s="355" t="s">
        <v>872</v>
      </c>
      <c r="O1028" s="355" t="s">
        <v>1390</v>
      </c>
      <c r="P1028" s="355"/>
      <c r="Q1028" s="363">
        <v>100</v>
      </c>
      <c r="R1028" s="428">
        <f t="shared" si="32"/>
        <v>-100</v>
      </c>
      <c r="S1028" s="239" t="str">
        <f>VLOOKUP(H1028,'Fund Utilization Report'!$A$4:$U$1800,13,FALSE)</f>
        <v>PS</v>
      </c>
      <c r="T1028" s="239" t="str">
        <f>VLOOKUP(H1028,'Fund Utilization Report'!$A$4:$U$1800,2,FALSE)</f>
        <v>SAA15</v>
      </c>
      <c r="U1028" s="239" t="str">
        <f>VLOOKUP(H1028,'Fund Utilization Report'!$A$4:$U$1800,3,FALSE)</f>
        <v>2021-01-0015</v>
      </c>
      <c r="V1028" s="239" t="str">
        <f>VLOOKUP(H1028,'Fund Utilization Report'!$A$4:$U$1800,4,FALSE)</f>
        <v>CARP</v>
      </c>
      <c r="W1028" s="239" t="str">
        <f>VLOOKUP(H1028,'Fund Utilization Report'!$A$4:$U$1800,5,FALSE)</f>
        <v>01101101</v>
      </c>
      <c r="X1028" s="239" t="str">
        <f>VLOOKUP(H1028,'Fund Utilization Report'!$A$4:$U$1800,6,FALSE)</f>
        <v>GOP</v>
      </c>
      <c r="Y1028" s="440">
        <f>VLOOKUP(H1028,'Fund Utilization Report'!$A$4:$U$1800,7,FALSE)</f>
        <v>706</v>
      </c>
      <c r="Z1028" s="441" t="str">
        <f>VLOOKUP(H1028,'Fund Utilization Report'!$A$4:$U$1800,8,FALSE)</f>
        <v>50101020 00</v>
      </c>
      <c r="AA1028" s="239" t="str">
        <f>VLOOKUP(H1028,'Fund Utilization Report'!$A$4:$U$1800,14,FALSE)</f>
        <v>330100100003000</v>
      </c>
      <c r="AB1028" s="242" t="str">
        <f>VLOOKUP(H1028,'Fund Utilization Report'!$A$4:$U$1800,15,FALSE)</f>
        <v>MSME Development Program : Program Beneficiaries Development Component of the Comprehensive Agrarian Reform Program</v>
      </c>
      <c r="AC1028" s="51"/>
      <c r="AD1028" s="435"/>
      <c r="AE1028" s="51"/>
      <c r="AF1028" s="51"/>
      <c r="AG1028" s="442"/>
      <c r="AH1028" s="442"/>
      <c r="AI1028" s="443"/>
    </row>
    <row r="1029" spans="1:35" s="32" customFormat="1" ht="27.6">
      <c r="A1029" s="434" t="s">
        <v>942</v>
      </c>
      <c r="B1029" s="457" t="s">
        <v>946</v>
      </c>
      <c r="C1029" s="233">
        <v>44265</v>
      </c>
      <c r="D1029" s="435" t="s">
        <v>1267</v>
      </c>
      <c r="E1029" s="436" t="s">
        <v>1388</v>
      </c>
      <c r="F1029" s="338">
        <v>0.41319444444444442</v>
      </c>
      <c r="G1029" s="338">
        <v>0.42152777777777778</v>
      </c>
      <c r="H1029" s="338" t="s">
        <v>999</v>
      </c>
      <c r="I1029" s="353">
        <v>733</v>
      </c>
      <c r="J1029" s="338" t="str">
        <f>IFERROR(VLOOKUP(I1029,'Chart of accounts'!A:H,2,FALSE),"")</f>
        <v>50103030 01</v>
      </c>
      <c r="K1029" s="338" t="str">
        <f>IFERROR(VLOOKUP(I1029,'Chart of accounts'!A:H,3,FALSE),"")</f>
        <v>PhilHealth - Civilian</v>
      </c>
      <c r="L1029" s="338" t="str">
        <f>IFERROR(VLOOKUP(I1029,'Chart of accounts'!A:H,4,FALSE),"")</f>
        <v>50103030 01 - PhilHealth - Civilian (733)</v>
      </c>
      <c r="M1029" s="361">
        <v>85</v>
      </c>
      <c r="N1029" s="355" t="s">
        <v>872</v>
      </c>
      <c r="O1029" s="355" t="s">
        <v>1390</v>
      </c>
      <c r="P1029" s="355"/>
      <c r="Q1029" s="363">
        <v>503.63</v>
      </c>
      <c r="R1029" s="428">
        <f t="shared" si="32"/>
        <v>-503.63</v>
      </c>
      <c r="S1029" s="239" t="str">
        <f>VLOOKUP(H1029,'Fund Utilization Report'!$A$4:$U$1800,13,FALSE)</f>
        <v>PS</v>
      </c>
      <c r="T1029" s="239" t="str">
        <f>VLOOKUP(H1029,'Fund Utilization Report'!$A$4:$U$1800,2,FALSE)</f>
        <v>SAA15</v>
      </c>
      <c r="U1029" s="239" t="str">
        <f>VLOOKUP(H1029,'Fund Utilization Report'!$A$4:$U$1800,3,FALSE)</f>
        <v>2021-01-0015</v>
      </c>
      <c r="V1029" s="239" t="str">
        <f>VLOOKUP(H1029,'Fund Utilization Report'!$A$4:$U$1800,4,FALSE)</f>
        <v>CARP</v>
      </c>
      <c r="W1029" s="239" t="str">
        <f>VLOOKUP(H1029,'Fund Utilization Report'!$A$4:$U$1800,5,FALSE)</f>
        <v>01101101</v>
      </c>
      <c r="X1029" s="239" t="str">
        <f>VLOOKUP(H1029,'Fund Utilization Report'!$A$4:$U$1800,6,FALSE)</f>
        <v>GOP</v>
      </c>
      <c r="Y1029" s="440">
        <f>VLOOKUP(H1029,'Fund Utilization Report'!$A$4:$U$1800,7,FALSE)</f>
        <v>706</v>
      </c>
      <c r="Z1029" s="441" t="str">
        <f>VLOOKUP(H1029,'Fund Utilization Report'!$A$4:$U$1800,8,FALSE)</f>
        <v>50101020 00</v>
      </c>
      <c r="AA1029" s="239" t="str">
        <f>VLOOKUP(H1029,'Fund Utilization Report'!$A$4:$U$1800,14,FALSE)</f>
        <v>330100100003000</v>
      </c>
      <c r="AB1029" s="242" t="str">
        <f>VLOOKUP(H1029,'Fund Utilization Report'!$A$4:$U$1800,15,FALSE)</f>
        <v>MSME Development Program : Program Beneficiaries Development Component of the Comprehensive Agrarian Reform Program</v>
      </c>
      <c r="AC1029" s="51"/>
      <c r="AD1029" s="435"/>
      <c r="AE1029" s="51"/>
      <c r="AF1029" s="51"/>
      <c r="AG1029" s="442"/>
      <c r="AH1029" s="442"/>
      <c r="AI1029" s="443"/>
    </row>
    <row r="1030" spans="1:35" s="32" customFormat="1" ht="27.6">
      <c r="A1030" s="434" t="s">
        <v>942</v>
      </c>
      <c r="B1030" s="457" t="s">
        <v>946</v>
      </c>
      <c r="C1030" s="233">
        <v>44265</v>
      </c>
      <c r="D1030" s="435" t="s">
        <v>1267</v>
      </c>
      <c r="E1030" s="436" t="s">
        <v>1388</v>
      </c>
      <c r="F1030" s="338">
        <v>0.41319444444444442</v>
      </c>
      <c r="G1030" s="338">
        <v>0.42152777777777778</v>
      </c>
      <c r="H1030" s="338" t="s">
        <v>999</v>
      </c>
      <c r="I1030" s="353">
        <v>734</v>
      </c>
      <c r="J1030" s="338" t="str">
        <f>IFERROR(VLOOKUP(I1030,'Chart of accounts'!A:H,2,FALSE),"")</f>
        <v>50103040 01</v>
      </c>
      <c r="K1030" s="338" t="str">
        <f>IFERROR(VLOOKUP(I1030,'Chart of accounts'!A:H,3,FALSE),"")</f>
        <v>ECIP - Civilian</v>
      </c>
      <c r="L1030" s="338" t="str">
        <f>IFERROR(VLOOKUP(I1030,'Chart of accounts'!A:H,4,FALSE),"")</f>
        <v>50103040 01 - ECIP - Civilian (734)</v>
      </c>
      <c r="M1030" s="361">
        <v>85</v>
      </c>
      <c r="N1030" s="355" t="s">
        <v>872</v>
      </c>
      <c r="O1030" s="355" t="s">
        <v>1390</v>
      </c>
      <c r="P1030" s="355"/>
      <c r="Q1030" s="363">
        <v>100</v>
      </c>
      <c r="R1030" s="428">
        <f t="shared" si="32"/>
        <v>-100</v>
      </c>
      <c r="S1030" s="239" t="str">
        <f>VLOOKUP(H1030,'Fund Utilization Report'!$A$4:$U$1800,13,FALSE)</f>
        <v>PS</v>
      </c>
      <c r="T1030" s="239" t="str">
        <f>VLOOKUP(H1030,'Fund Utilization Report'!$A$4:$U$1800,2,FALSE)</f>
        <v>SAA15</v>
      </c>
      <c r="U1030" s="239" t="str">
        <f>VLOOKUP(H1030,'Fund Utilization Report'!$A$4:$U$1800,3,FALSE)</f>
        <v>2021-01-0015</v>
      </c>
      <c r="V1030" s="239" t="str">
        <f>VLOOKUP(H1030,'Fund Utilization Report'!$A$4:$U$1800,4,FALSE)</f>
        <v>CARP</v>
      </c>
      <c r="W1030" s="239" t="str">
        <f>VLOOKUP(H1030,'Fund Utilization Report'!$A$4:$U$1800,5,FALSE)</f>
        <v>01101101</v>
      </c>
      <c r="X1030" s="239" t="str">
        <f>VLOOKUP(H1030,'Fund Utilization Report'!$A$4:$U$1800,6,FALSE)</f>
        <v>GOP</v>
      </c>
      <c r="Y1030" s="440">
        <f>VLOOKUP(H1030,'Fund Utilization Report'!$A$4:$U$1800,7,FALSE)</f>
        <v>706</v>
      </c>
      <c r="Z1030" s="441" t="str">
        <f>VLOOKUP(H1030,'Fund Utilization Report'!$A$4:$U$1800,8,FALSE)</f>
        <v>50101020 00</v>
      </c>
      <c r="AA1030" s="239" t="str">
        <f>VLOOKUP(H1030,'Fund Utilization Report'!$A$4:$U$1800,14,FALSE)</f>
        <v>330100100003000</v>
      </c>
      <c r="AB1030" s="242" t="str">
        <f>VLOOKUP(H1030,'Fund Utilization Report'!$A$4:$U$1800,15,FALSE)</f>
        <v>MSME Development Program : Program Beneficiaries Development Component of the Comprehensive Agrarian Reform Program</v>
      </c>
      <c r="AC1030" s="51"/>
      <c r="AD1030" s="435"/>
      <c r="AE1030" s="51"/>
      <c r="AF1030" s="51"/>
      <c r="AG1030" s="442"/>
      <c r="AH1030" s="442"/>
      <c r="AI1030" s="443"/>
    </row>
    <row r="1031" spans="1:35" s="32" customFormat="1" ht="27.6">
      <c r="A1031" s="434" t="s">
        <v>942</v>
      </c>
      <c r="B1031" s="457" t="s">
        <v>946</v>
      </c>
      <c r="C1031" s="233">
        <v>44265</v>
      </c>
      <c r="D1031" s="435" t="s">
        <v>1267</v>
      </c>
      <c r="E1031" s="436" t="s">
        <v>1389</v>
      </c>
      <c r="F1031" s="338">
        <v>0.42152777777777778</v>
      </c>
      <c r="G1031" s="338">
        <v>0.42291666666666666</v>
      </c>
      <c r="H1031" s="338" t="s">
        <v>999</v>
      </c>
      <c r="I1031" s="353">
        <v>706</v>
      </c>
      <c r="J1031" s="338" t="str">
        <f>IFERROR(VLOOKUP(I1031,'Chart of accounts'!A:H,2,FALSE),"")</f>
        <v>50101020 00</v>
      </c>
      <c r="K1031" s="338" t="str">
        <f>IFERROR(VLOOKUP(I1031,'Chart of accounts'!A:H,3,FALSE),"")</f>
        <v>Basic Salary - Contractual</v>
      </c>
      <c r="L1031" s="338" t="str">
        <f>IFERROR(VLOOKUP(I1031,'Chart of accounts'!A:H,4,FALSE),"")</f>
        <v>50101020 00 - Basic Salary - Contractual (706)</v>
      </c>
      <c r="M1031" s="361">
        <v>1</v>
      </c>
      <c r="N1031" s="355" t="s">
        <v>863</v>
      </c>
      <c r="O1031" s="355" t="s">
        <v>1390</v>
      </c>
      <c r="P1031" s="355"/>
      <c r="Q1031" s="363">
        <v>43681</v>
      </c>
      <c r="R1031" s="428">
        <f t="shared" ref="R1031:R1051" si="33">P1031-Q1031</f>
        <v>-43681</v>
      </c>
      <c r="S1031" s="239" t="str">
        <f>VLOOKUP(H1031,'Fund Utilization Report'!$A$4:$U$1800,13,FALSE)</f>
        <v>PS</v>
      </c>
      <c r="T1031" s="239" t="str">
        <f>VLOOKUP(H1031,'Fund Utilization Report'!$A$4:$U$1800,2,FALSE)</f>
        <v>SAA15</v>
      </c>
      <c r="U1031" s="239" t="str">
        <f>VLOOKUP(H1031,'Fund Utilization Report'!$A$4:$U$1800,3,FALSE)</f>
        <v>2021-01-0015</v>
      </c>
      <c r="V1031" s="239" t="str">
        <f>VLOOKUP(H1031,'Fund Utilization Report'!$A$4:$U$1800,4,FALSE)</f>
        <v>CARP</v>
      </c>
      <c r="W1031" s="239" t="str">
        <f>VLOOKUP(H1031,'Fund Utilization Report'!$A$4:$U$1800,5,FALSE)</f>
        <v>01101101</v>
      </c>
      <c r="X1031" s="239" t="str">
        <f>VLOOKUP(H1031,'Fund Utilization Report'!$A$4:$U$1800,6,FALSE)</f>
        <v>GOP</v>
      </c>
      <c r="Y1031" s="440">
        <f>VLOOKUP(H1031,'Fund Utilization Report'!$A$4:$U$1800,7,FALSE)</f>
        <v>706</v>
      </c>
      <c r="Z1031" s="441" t="str">
        <f>VLOOKUP(H1031,'Fund Utilization Report'!$A$4:$U$1800,8,FALSE)</f>
        <v>50101020 00</v>
      </c>
      <c r="AA1031" s="239" t="str">
        <f>VLOOKUP(H1031,'Fund Utilization Report'!$A$4:$U$1800,14,FALSE)</f>
        <v>330100100003000</v>
      </c>
      <c r="AB1031" s="242" t="str">
        <f>VLOOKUP(H1031,'Fund Utilization Report'!$A$4:$U$1800,15,FALSE)</f>
        <v>MSME Development Program : Program Beneficiaries Development Component of the Comprehensive Agrarian Reform Program</v>
      </c>
      <c r="AC1031" s="51"/>
      <c r="AD1031" s="435"/>
      <c r="AE1031" s="51"/>
      <c r="AF1031" s="51"/>
      <c r="AG1031" s="442"/>
      <c r="AH1031" s="442"/>
      <c r="AI1031" s="443"/>
    </row>
    <row r="1032" spans="1:35" s="32" customFormat="1" ht="27.6">
      <c r="A1032" s="434" t="s">
        <v>942</v>
      </c>
      <c r="B1032" s="457" t="s">
        <v>946</v>
      </c>
      <c r="C1032" s="233">
        <v>44265</v>
      </c>
      <c r="D1032" s="435" t="s">
        <v>1267</v>
      </c>
      <c r="E1032" s="436" t="s">
        <v>1389</v>
      </c>
      <c r="F1032" s="338">
        <v>0.42152777777777778</v>
      </c>
      <c r="G1032" s="338">
        <v>0.42291666666666666</v>
      </c>
      <c r="H1032" s="338" t="s">
        <v>999</v>
      </c>
      <c r="I1032" s="353">
        <v>711</v>
      </c>
      <c r="J1032" s="338" t="str">
        <f>IFERROR(VLOOKUP(I1032,'Chart of accounts'!A:H,2,FALSE),"")</f>
        <v>50102010 01</v>
      </c>
      <c r="K1032" s="338" t="str">
        <f>IFERROR(VLOOKUP(I1032,'Chart of accounts'!A:H,3,FALSE),"")</f>
        <v>PERA - Civilian</v>
      </c>
      <c r="L1032" s="338" t="str">
        <f>IFERROR(VLOOKUP(I1032,'Chart of accounts'!A:H,4,FALSE),"")</f>
        <v>50102010 01 - PERA - Civilian (711)</v>
      </c>
      <c r="M1032" s="361">
        <v>1</v>
      </c>
      <c r="N1032" s="355" t="s">
        <v>863</v>
      </c>
      <c r="O1032" s="355" t="s">
        <v>1390</v>
      </c>
      <c r="P1032" s="355"/>
      <c r="Q1032" s="363">
        <v>2000</v>
      </c>
      <c r="R1032" s="428">
        <f t="shared" si="33"/>
        <v>-2000</v>
      </c>
      <c r="S1032" s="239" t="str">
        <f>VLOOKUP(H1032,'Fund Utilization Report'!$A$4:$U$1800,13,FALSE)</f>
        <v>PS</v>
      </c>
      <c r="T1032" s="239" t="str">
        <f>VLOOKUP(H1032,'Fund Utilization Report'!$A$4:$U$1800,2,FALSE)</f>
        <v>SAA15</v>
      </c>
      <c r="U1032" s="239" t="str">
        <f>VLOOKUP(H1032,'Fund Utilization Report'!$A$4:$U$1800,3,FALSE)</f>
        <v>2021-01-0015</v>
      </c>
      <c r="V1032" s="239" t="str">
        <f>VLOOKUP(H1032,'Fund Utilization Report'!$A$4:$U$1800,4,FALSE)</f>
        <v>CARP</v>
      </c>
      <c r="W1032" s="239" t="str">
        <f>VLOOKUP(H1032,'Fund Utilization Report'!$A$4:$U$1800,5,FALSE)</f>
        <v>01101101</v>
      </c>
      <c r="X1032" s="239" t="str">
        <f>VLOOKUP(H1032,'Fund Utilization Report'!$A$4:$U$1800,6,FALSE)</f>
        <v>GOP</v>
      </c>
      <c r="Y1032" s="440">
        <f>VLOOKUP(H1032,'Fund Utilization Report'!$A$4:$U$1800,7,FALSE)</f>
        <v>706</v>
      </c>
      <c r="Z1032" s="441" t="str">
        <f>VLOOKUP(H1032,'Fund Utilization Report'!$A$4:$U$1800,8,FALSE)</f>
        <v>50101020 00</v>
      </c>
      <c r="AA1032" s="239" t="str">
        <f>VLOOKUP(H1032,'Fund Utilization Report'!$A$4:$U$1800,14,FALSE)</f>
        <v>330100100003000</v>
      </c>
      <c r="AB1032" s="242" t="str">
        <f>VLOOKUP(H1032,'Fund Utilization Report'!$A$4:$U$1800,15,FALSE)</f>
        <v>MSME Development Program : Program Beneficiaries Development Component of the Comprehensive Agrarian Reform Program</v>
      </c>
      <c r="AC1032" s="51"/>
      <c r="AD1032" s="435"/>
      <c r="AE1032" s="51"/>
      <c r="AF1032" s="51"/>
      <c r="AG1032" s="442"/>
      <c r="AH1032" s="442"/>
      <c r="AI1032" s="443"/>
    </row>
    <row r="1033" spans="1:35" s="32" customFormat="1" ht="27.6">
      <c r="A1033" s="434" t="s">
        <v>942</v>
      </c>
      <c r="B1033" s="457" t="s">
        <v>946</v>
      </c>
      <c r="C1033" s="233">
        <v>44265</v>
      </c>
      <c r="D1033" s="435" t="s">
        <v>1267</v>
      </c>
      <c r="E1033" s="436" t="s">
        <v>1389</v>
      </c>
      <c r="F1033" s="338">
        <v>0.42152777777777778</v>
      </c>
      <c r="G1033" s="338">
        <v>0.42291666666666666</v>
      </c>
      <c r="H1033" s="338" t="s">
        <v>999</v>
      </c>
      <c r="I1033" s="353">
        <v>731</v>
      </c>
      <c r="J1033" s="338" t="str">
        <f>IFERROR(VLOOKUP(I1033,'Chart of accounts'!A:H,2,FALSE),"")</f>
        <v>50103010 00</v>
      </c>
      <c r="K1033" s="338" t="str">
        <f>IFERROR(VLOOKUP(I1033,'Chart of accounts'!A:H,3,FALSE),"")</f>
        <v>Retirement and Life Insurance Premiums</v>
      </c>
      <c r="L1033" s="338" t="str">
        <f>IFERROR(VLOOKUP(I1033,'Chart of accounts'!A:H,4,FALSE),"")</f>
        <v>50103010 00 - Retirement and Life Insurance Premiums (731)</v>
      </c>
      <c r="M1033" s="361">
        <v>1</v>
      </c>
      <c r="N1033" s="355" t="s">
        <v>863</v>
      </c>
      <c r="O1033" s="355" t="s">
        <v>1390</v>
      </c>
      <c r="P1033" s="355"/>
      <c r="Q1033" s="363">
        <v>5241.72</v>
      </c>
      <c r="R1033" s="428">
        <f t="shared" si="33"/>
        <v>-5241.72</v>
      </c>
      <c r="S1033" s="239" t="str">
        <f>VLOOKUP(H1033,'Fund Utilization Report'!$A$4:$U$1800,13,FALSE)</f>
        <v>PS</v>
      </c>
      <c r="T1033" s="239" t="str">
        <f>VLOOKUP(H1033,'Fund Utilization Report'!$A$4:$U$1800,2,FALSE)</f>
        <v>SAA15</v>
      </c>
      <c r="U1033" s="239" t="str">
        <f>VLOOKUP(H1033,'Fund Utilization Report'!$A$4:$U$1800,3,FALSE)</f>
        <v>2021-01-0015</v>
      </c>
      <c r="V1033" s="239" t="str">
        <f>VLOOKUP(H1033,'Fund Utilization Report'!$A$4:$U$1800,4,FALSE)</f>
        <v>CARP</v>
      </c>
      <c r="W1033" s="239" t="str">
        <f>VLOOKUP(H1033,'Fund Utilization Report'!$A$4:$U$1800,5,FALSE)</f>
        <v>01101101</v>
      </c>
      <c r="X1033" s="239" t="str">
        <f>VLOOKUP(H1033,'Fund Utilization Report'!$A$4:$U$1800,6,FALSE)</f>
        <v>GOP</v>
      </c>
      <c r="Y1033" s="440">
        <f>VLOOKUP(H1033,'Fund Utilization Report'!$A$4:$U$1800,7,FALSE)</f>
        <v>706</v>
      </c>
      <c r="Z1033" s="441" t="str">
        <f>VLOOKUP(H1033,'Fund Utilization Report'!$A$4:$U$1800,8,FALSE)</f>
        <v>50101020 00</v>
      </c>
      <c r="AA1033" s="239" t="str">
        <f>VLOOKUP(H1033,'Fund Utilization Report'!$A$4:$U$1800,14,FALSE)</f>
        <v>330100100003000</v>
      </c>
      <c r="AB1033" s="242" t="str">
        <f>VLOOKUP(H1033,'Fund Utilization Report'!$A$4:$U$1800,15,FALSE)</f>
        <v>MSME Development Program : Program Beneficiaries Development Component of the Comprehensive Agrarian Reform Program</v>
      </c>
      <c r="AC1033" s="51"/>
      <c r="AD1033" s="435"/>
      <c r="AE1033" s="51"/>
      <c r="AF1033" s="51"/>
      <c r="AG1033" s="442"/>
      <c r="AH1033" s="442"/>
      <c r="AI1033" s="443"/>
    </row>
    <row r="1034" spans="1:35" s="32" customFormat="1" ht="27.6">
      <c r="A1034" s="434" t="s">
        <v>942</v>
      </c>
      <c r="B1034" s="457" t="s">
        <v>946</v>
      </c>
      <c r="C1034" s="233">
        <v>44265</v>
      </c>
      <c r="D1034" s="435" t="s">
        <v>1267</v>
      </c>
      <c r="E1034" s="436" t="s">
        <v>1389</v>
      </c>
      <c r="F1034" s="338">
        <v>0.42152777777777778</v>
      </c>
      <c r="G1034" s="338">
        <v>0.42291666666666666</v>
      </c>
      <c r="H1034" s="338" t="s">
        <v>999</v>
      </c>
      <c r="I1034" s="353">
        <v>732</v>
      </c>
      <c r="J1034" s="338" t="str">
        <f>IFERROR(VLOOKUP(I1034,'Chart of accounts'!A:H,2,FALSE),"")</f>
        <v>50103020 01</v>
      </c>
      <c r="K1034" s="338" t="str">
        <f>IFERROR(VLOOKUP(I1034,'Chart of accounts'!A:H,3,FALSE),"")</f>
        <v>Pag-IBIG - Civilian</v>
      </c>
      <c r="L1034" s="338" t="str">
        <f>IFERROR(VLOOKUP(I1034,'Chart of accounts'!A:H,4,FALSE),"")</f>
        <v>50103020 01 - Pag-IBIG - Civilian (732)</v>
      </c>
      <c r="M1034" s="361">
        <v>1</v>
      </c>
      <c r="N1034" s="355" t="s">
        <v>863</v>
      </c>
      <c r="O1034" s="355" t="s">
        <v>1390</v>
      </c>
      <c r="P1034" s="355"/>
      <c r="Q1034" s="363">
        <v>100</v>
      </c>
      <c r="R1034" s="428">
        <f t="shared" si="33"/>
        <v>-100</v>
      </c>
      <c r="S1034" s="239" t="str">
        <f>VLOOKUP(H1034,'Fund Utilization Report'!$A$4:$U$1800,13,FALSE)</f>
        <v>PS</v>
      </c>
      <c r="T1034" s="239" t="str">
        <f>VLOOKUP(H1034,'Fund Utilization Report'!$A$4:$U$1800,2,FALSE)</f>
        <v>SAA15</v>
      </c>
      <c r="U1034" s="239" t="str">
        <f>VLOOKUP(H1034,'Fund Utilization Report'!$A$4:$U$1800,3,FALSE)</f>
        <v>2021-01-0015</v>
      </c>
      <c r="V1034" s="239" t="str">
        <f>VLOOKUP(H1034,'Fund Utilization Report'!$A$4:$U$1800,4,FALSE)</f>
        <v>CARP</v>
      </c>
      <c r="W1034" s="239" t="str">
        <f>VLOOKUP(H1034,'Fund Utilization Report'!$A$4:$U$1800,5,FALSE)</f>
        <v>01101101</v>
      </c>
      <c r="X1034" s="239" t="str">
        <f>VLOOKUP(H1034,'Fund Utilization Report'!$A$4:$U$1800,6,FALSE)</f>
        <v>GOP</v>
      </c>
      <c r="Y1034" s="440">
        <f>VLOOKUP(H1034,'Fund Utilization Report'!$A$4:$U$1800,7,FALSE)</f>
        <v>706</v>
      </c>
      <c r="Z1034" s="441" t="str">
        <f>VLOOKUP(H1034,'Fund Utilization Report'!$A$4:$U$1800,8,FALSE)</f>
        <v>50101020 00</v>
      </c>
      <c r="AA1034" s="239" t="str">
        <f>VLOOKUP(H1034,'Fund Utilization Report'!$A$4:$U$1800,14,FALSE)</f>
        <v>330100100003000</v>
      </c>
      <c r="AB1034" s="242" t="str">
        <f>VLOOKUP(H1034,'Fund Utilization Report'!$A$4:$U$1800,15,FALSE)</f>
        <v>MSME Development Program : Program Beneficiaries Development Component of the Comprehensive Agrarian Reform Program</v>
      </c>
      <c r="AC1034" s="51"/>
      <c r="AD1034" s="435"/>
      <c r="AE1034" s="51"/>
      <c r="AF1034" s="51"/>
      <c r="AG1034" s="442"/>
      <c r="AH1034" s="442"/>
      <c r="AI1034" s="443"/>
    </row>
    <row r="1035" spans="1:35" s="32" customFormat="1" ht="27.6">
      <c r="A1035" s="434" t="s">
        <v>942</v>
      </c>
      <c r="B1035" s="457" t="s">
        <v>946</v>
      </c>
      <c r="C1035" s="233">
        <v>44265</v>
      </c>
      <c r="D1035" s="435" t="s">
        <v>1267</v>
      </c>
      <c r="E1035" s="436" t="s">
        <v>1389</v>
      </c>
      <c r="F1035" s="338">
        <v>0.42152777777777778</v>
      </c>
      <c r="G1035" s="338">
        <v>0.42291666666666666</v>
      </c>
      <c r="H1035" s="338" t="s">
        <v>999</v>
      </c>
      <c r="I1035" s="353">
        <v>733</v>
      </c>
      <c r="J1035" s="338" t="str">
        <f>IFERROR(VLOOKUP(I1035,'Chart of accounts'!A:H,2,FALSE),"")</f>
        <v>50103030 01</v>
      </c>
      <c r="K1035" s="338" t="str">
        <f>IFERROR(VLOOKUP(I1035,'Chart of accounts'!A:H,3,FALSE),"")</f>
        <v>PhilHealth - Civilian</v>
      </c>
      <c r="L1035" s="338" t="str">
        <f>IFERROR(VLOOKUP(I1035,'Chart of accounts'!A:H,4,FALSE),"")</f>
        <v>50103030 01 - PhilHealth - Civilian (733)</v>
      </c>
      <c r="M1035" s="361">
        <v>1</v>
      </c>
      <c r="N1035" s="355" t="s">
        <v>863</v>
      </c>
      <c r="O1035" s="355" t="s">
        <v>1390</v>
      </c>
      <c r="P1035" s="355"/>
      <c r="Q1035" s="363">
        <v>655.22</v>
      </c>
      <c r="R1035" s="428">
        <f t="shared" si="33"/>
        <v>-655.22</v>
      </c>
      <c r="S1035" s="239" t="str">
        <f>VLOOKUP(H1035,'Fund Utilization Report'!$A$4:$U$1800,13,FALSE)</f>
        <v>PS</v>
      </c>
      <c r="T1035" s="239" t="str">
        <f>VLOOKUP(H1035,'Fund Utilization Report'!$A$4:$U$1800,2,FALSE)</f>
        <v>SAA15</v>
      </c>
      <c r="U1035" s="239" t="str">
        <f>VLOOKUP(H1035,'Fund Utilization Report'!$A$4:$U$1800,3,FALSE)</f>
        <v>2021-01-0015</v>
      </c>
      <c r="V1035" s="239" t="str">
        <f>VLOOKUP(H1035,'Fund Utilization Report'!$A$4:$U$1800,4,FALSE)</f>
        <v>CARP</v>
      </c>
      <c r="W1035" s="239" t="str">
        <f>VLOOKUP(H1035,'Fund Utilization Report'!$A$4:$U$1800,5,FALSE)</f>
        <v>01101101</v>
      </c>
      <c r="X1035" s="239" t="str">
        <f>VLOOKUP(H1035,'Fund Utilization Report'!$A$4:$U$1800,6,FALSE)</f>
        <v>GOP</v>
      </c>
      <c r="Y1035" s="440">
        <f>VLOOKUP(H1035,'Fund Utilization Report'!$A$4:$U$1800,7,FALSE)</f>
        <v>706</v>
      </c>
      <c r="Z1035" s="441" t="str">
        <f>VLOOKUP(H1035,'Fund Utilization Report'!$A$4:$U$1800,8,FALSE)</f>
        <v>50101020 00</v>
      </c>
      <c r="AA1035" s="239" t="str">
        <f>VLOOKUP(H1035,'Fund Utilization Report'!$A$4:$U$1800,14,FALSE)</f>
        <v>330100100003000</v>
      </c>
      <c r="AB1035" s="242" t="str">
        <f>VLOOKUP(H1035,'Fund Utilization Report'!$A$4:$U$1800,15,FALSE)</f>
        <v>MSME Development Program : Program Beneficiaries Development Component of the Comprehensive Agrarian Reform Program</v>
      </c>
      <c r="AC1035" s="51"/>
      <c r="AD1035" s="435"/>
      <c r="AE1035" s="51"/>
      <c r="AF1035" s="51"/>
      <c r="AG1035" s="442"/>
      <c r="AH1035" s="442"/>
      <c r="AI1035" s="443"/>
    </row>
    <row r="1036" spans="1:35" s="32" customFormat="1" ht="27.6">
      <c r="A1036" s="434" t="s">
        <v>942</v>
      </c>
      <c r="B1036" s="457" t="s">
        <v>946</v>
      </c>
      <c r="C1036" s="233">
        <v>44265</v>
      </c>
      <c r="D1036" s="435" t="s">
        <v>1267</v>
      </c>
      <c r="E1036" s="436" t="s">
        <v>1389</v>
      </c>
      <c r="F1036" s="338">
        <v>0.42152777777777778</v>
      </c>
      <c r="G1036" s="338">
        <v>0.42291666666666666</v>
      </c>
      <c r="H1036" s="338" t="s">
        <v>999</v>
      </c>
      <c r="I1036" s="353">
        <v>734</v>
      </c>
      <c r="J1036" s="338" t="str">
        <f>IFERROR(VLOOKUP(I1036,'Chart of accounts'!A:H,2,FALSE),"")</f>
        <v>50103040 01</v>
      </c>
      <c r="K1036" s="338" t="str">
        <f>IFERROR(VLOOKUP(I1036,'Chart of accounts'!A:H,3,FALSE),"")</f>
        <v>ECIP - Civilian</v>
      </c>
      <c r="L1036" s="338" t="str">
        <f>IFERROR(VLOOKUP(I1036,'Chart of accounts'!A:H,4,FALSE),"")</f>
        <v>50103040 01 - ECIP - Civilian (734)</v>
      </c>
      <c r="M1036" s="361">
        <v>1</v>
      </c>
      <c r="N1036" s="355" t="s">
        <v>863</v>
      </c>
      <c r="O1036" s="355" t="s">
        <v>1390</v>
      </c>
      <c r="P1036" s="355"/>
      <c r="Q1036" s="363">
        <v>100</v>
      </c>
      <c r="R1036" s="428">
        <f t="shared" si="33"/>
        <v>-100</v>
      </c>
      <c r="S1036" s="239" t="str">
        <f>VLOOKUP(H1036,'Fund Utilization Report'!$A$4:$U$1800,13,FALSE)</f>
        <v>PS</v>
      </c>
      <c r="T1036" s="239" t="str">
        <f>VLOOKUP(H1036,'Fund Utilization Report'!$A$4:$U$1800,2,FALSE)</f>
        <v>SAA15</v>
      </c>
      <c r="U1036" s="239" t="str">
        <f>VLOOKUP(H1036,'Fund Utilization Report'!$A$4:$U$1800,3,FALSE)</f>
        <v>2021-01-0015</v>
      </c>
      <c r="V1036" s="239" t="str">
        <f>VLOOKUP(H1036,'Fund Utilization Report'!$A$4:$U$1800,4,FALSE)</f>
        <v>CARP</v>
      </c>
      <c r="W1036" s="239" t="str">
        <f>VLOOKUP(H1036,'Fund Utilization Report'!$A$4:$U$1800,5,FALSE)</f>
        <v>01101101</v>
      </c>
      <c r="X1036" s="239" t="str">
        <f>VLOOKUP(H1036,'Fund Utilization Report'!$A$4:$U$1800,6,FALSE)</f>
        <v>GOP</v>
      </c>
      <c r="Y1036" s="440">
        <f>VLOOKUP(H1036,'Fund Utilization Report'!$A$4:$U$1800,7,FALSE)</f>
        <v>706</v>
      </c>
      <c r="Z1036" s="441" t="str">
        <f>VLOOKUP(H1036,'Fund Utilization Report'!$A$4:$U$1800,8,FALSE)</f>
        <v>50101020 00</v>
      </c>
      <c r="AA1036" s="239" t="str">
        <f>VLOOKUP(H1036,'Fund Utilization Report'!$A$4:$U$1800,14,FALSE)</f>
        <v>330100100003000</v>
      </c>
      <c r="AB1036" s="242" t="str">
        <f>VLOOKUP(H1036,'Fund Utilization Report'!$A$4:$U$1800,15,FALSE)</f>
        <v>MSME Development Program : Program Beneficiaries Development Component of the Comprehensive Agrarian Reform Program</v>
      </c>
      <c r="AC1036" s="51"/>
      <c r="AD1036" s="435"/>
      <c r="AE1036" s="51"/>
      <c r="AF1036" s="51"/>
      <c r="AG1036" s="442"/>
      <c r="AH1036" s="442"/>
      <c r="AI1036" s="443"/>
    </row>
    <row r="1037" spans="1:35" s="32" customFormat="1" ht="27.6">
      <c r="A1037" s="434" t="s">
        <v>942</v>
      </c>
      <c r="B1037" s="457" t="s">
        <v>946</v>
      </c>
      <c r="C1037" s="233">
        <v>44265</v>
      </c>
      <c r="D1037" s="435" t="s">
        <v>1267</v>
      </c>
      <c r="E1037" s="436" t="s">
        <v>1391</v>
      </c>
      <c r="F1037" s="338">
        <v>0.42291666666666666</v>
      </c>
      <c r="G1037" s="338">
        <v>0.42499999999999999</v>
      </c>
      <c r="H1037" s="338" t="s">
        <v>999</v>
      </c>
      <c r="I1037" s="353">
        <v>706</v>
      </c>
      <c r="J1037" s="338" t="str">
        <f>IFERROR(VLOOKUP(I1037,'Chart of accounts'!A:H,2,FALSE),"")</f>
        <v>50101020 00</v>
      </c>
      <c r="K1037" s="338" t="str">
        <f>IFERROR(VLOOKUP(I1037,'Chart of accounts'!A:H,3,FALSE),"")</f>
        <v>Basic Salary - Contractual</v>
      </c>
      <c r="L1037" s="338" t="str">
        <f>IFERROR(VLOOKUP(I1037,'Chart of accounts'!A:H,4,FALSE),"")</f>
        <v>50101020 00 - Basic Salary - Contractual (706)</v>
      </c>
      <c r="M1037" s="361">
        <v>67</v>
      </c>
      <c r="N1037" s="355" t="s">
        <v>768</v>
      </c>
      <c r="O1037" s="355" t="s">
        <v>1390</v>
      </c>
      <c r="P1037" s="355"/>
      <c r="Q1037" s="363">
        <v>77256</v>
      </c>
      <c r="R1037" s="428">
        <f t="shared" si="33"/>
        <v>-77256</v>
      </c>
      <c r="S1037" s="239" t="str">
        <f>VLOOKUP(H1037,'Fund Utilization Report'!$A$4:$U$1800,13,FALSE)</f>
        <v>PS</v>
      </c>
      <c r="T1037" s="239" t="str">
        <f>VLOOKUP(H1037,'Fund Utilization Report'!$A$4:$U$1800,2,FALSE)</f>
        <v>SAA15</v>
      </c>
      <c r="U1037" s="239" t="str">
        <f>VLOOKUP(H1037,'Fund Utilization Report'!$A$4:$U$1800,3,FALSE)</f>
        <v>2021-01-0015</v>
      </c>
      <c r="V1037" s="239" t="str">
        <f>VLOOKUP(H1037,'Fund Utilization Report'!$A$4:$U$1800,4,FALSE)</f>
        <v>CARP</v>
      </c>
      <c r="W1037" s="239" t="str">
        <f>VLOOKUP(H1037,'Fund Utilization Report'!$A$4:$U$1800,5,FALSE)</f>
        <v>01101101</v>
      </c>
      <c r="X1037" s="239" t="str">
        <f>VLOOKUP(H1037,'Fund Utilization Report'!$A$4:$U$1800,6,FALSE)</f>
        <v>GOP</v>
      </c>
      <c r="Y1037" s="440">
        <f>VLOOKUP(H1037,'Fund Utilization Report'!$A$4:$U$1800,7,FALSE)</f>
        <v>706</v>
      </c>
      <c r="Z1037" s="441" t="str">
        <f>VLOOKUP(H1037,'Fund Utilization Report'!$A$4:$U$1800,8,FALSE)</f>
        <v>50101020 00</v>
      </c>
      <c r="AA1037" s="239" t="str">
        <f>VLOOKUP(H1037,'Fund Utilization Report'!$A$4:$U$1800,14,FALSE)</f>
        <v>330100100003000</v>
      </c>
      <c r="AB1037" s="242" t="str">
        <f>VLOOKUP(H1037,'Fund Utilization Report'!$A$4:$U$1800,15,FALSE)</f>
        <v>MSME Development Program : Program Beneficiaries Development Component of the Comprehensive Agrarian Reform Program</v>
      </c>
      <c r="AC1037" s="51"/>
      <c r="AD1037" s="435"/>
      <c r="AE1037" s="51"/>
      <c r="AF1037" s="51"/>
      <c r="AG1037" s="442"/>
      <c r="AH1037" s="442"/>
      <c r="AI1037" s="443"/>
    </row>
    <row r="1038" spans="1:35" s="32" customFormat="1" ht="27.6">
      <c r="A1038" s="434" t="s">
        <v>942</v>
      </c>
      <c r="B1038" s="457" t="s">
        <v>946</v>
      </c>
      <c r="C1038" s="233">
        <v>44265</v>
      </c>
      <c r="D1038" s="435" t="s">
        <v>1267</v>
      </c>
      <c r="E1038" s="436" t="s">
        <v>1391</v>
      </c>
      <c r="F1038" s="338">
        <v>0.42291666666666666</v>
      </c>
      <c r="G1038" s="338">
        <v>0.42499999999999999</v>
      </c>
      <c r="H1038" s="338" t="s">
        <v>999</v>
      </c>
      <c r="I1038" s="353">
        <v>711</v>
      </c>
      <c r="J1038" s="338" t="str">
        <f>IFERROR(VLOOKUP(I1038,'Chart of accounts'!A:H,2,FALSE),"")</f>
        <v>50102010 01</v>
      </c>
      <c r="K1038" s="338" t="str">
        <f>IFERROR(VLOOKUP(I1038,'Chart of accounts'!A:H,3,FALSE),"")</f>
        <v>PERA - Civilian</v>
      </c>
      <c r="L1038" s="338" t="str">
        <f>IFERROR(VLOOKUP(I1038,'Chart of accounts'!A:H,4,FALSE),"")</f>
        <v>50102010 01 - PERA - Civilian (711)</v>
      </c>
      <c r="M1038" s="361">
        <v>67</v>
      </c>
      <c r="N1038" s="355" t="s">
        <v>768</v>
      </c>
      <c r="O1038" s="355" t="s">
        <v>1390</v>
      </c>
      <c r="P1038" s="355"/>
      <c r="Q1038" s="363">
        <v>4000</v>
      </c>
      <c r="R1038" s="428">
        <f t="shared" si="33"/>
        <v>-4000</v>
      </c>
      <c r="S1038" s="239" t="str">
        <f>VLOOKUP(H1038,'Fund Utilization Report'!$A$4:$U$1800,13,FALSE)</f>
        <v>PS</v>
      </c>
      <c r="T1038" s="239" t="str">
        <f>VLOOKUP(H1038,'Fund Utilization Report'!$A$4:$U$1800,2,FALSE)</f>
        <v>SAA15</v>
      </c>
      <c r="U1038" s="239" t="str">
        <f>VLOOKUP(H1038,'Fund Utilization Report'!$A$4:$U$1800,3,FALSE)</f>
        <v>2021-01-0015</v>
      </c>
      <c r="V1038" s="239" t="str">
        <f>VLOOKUP(H1038,'Fund Utilization Report'!$A$4:$U$1800,4,FALSE)</f>
        <v>CARP</v>
      </c>
      <c r="W1038" s="239" t="str">
        <f>VLOOKUP(H1038,'Fund Utilization Report'!$A$4:$U$1800,5,FALSE)</f>
        <v>01101101</v>
      </c>
      <c r="X1038" s="239" t="str">
        <f>VLOOKUP(H1038,'Fund Utilization Report'!$A$4:$U$1800,6,FALSE)</f>
        <v>GOP</v>
      </c>
      <c r="Y1038" s="440">
        <f>VLOOKUP(H1038,'Fund Utilization Report'!$A$4:$U$1800,7,FALSE)</f>
        <v>706</v>
      </c>
      <c r="Z1038" s="441" t="str">
        <f>VLOOKUP(H1038,'Fund Utilization Report'!$A$4:$U$1800,8,FALSE)</f>
        <v>50101020 00</v>
      </c>
      <c r="AA1038" s="239" t="str">
        <f>VLOOKUP(H1038,'Fund Utilization Report'!$A$4:$U$1800,14,FALSE)</f>
        <v>330100100003000</v>
      </c>
      <c r="AB1038" s="242" t="str">
        <f>VLOOKUP(H1038,'Fund Utilization Report'!$A$4:$U$1800,15,FALSE)</f>
        <v>MSME Development Program : Program Beneficiaries Development Component of the Comprehensive Agrarian Reform Program</v>
      </c>
      <c r="AC1038" s="51"/>
      <c r="AD1038" s="435"/>
      <c r="AE1038" s="51"/>
      <c r="AF1038" s="51"/>
      <c r="AG1038" s="442"/>
      <c r="AH1038" s="442"/>
      <c r="AI1038" s="443"/>
    </row>
    <row r="1039" spans="1:35" s="32" customFormat="1" ht="27.6">
      <c r="A1039" s="434" t="s">
        <v>942</v>
      </c>
      <c r="B1039" s="457" t="s">
        <v>946</v>
      </c>
      <c r="C1039" s="233">
        <v>44265</v>
      </c>
      <c r="D1039" s="435" t="s">
        <v>1267</v>
      </c>
      <c r="E1039" s="436" t="s">
        <v>1391</v>
      </c>
      <c r="F1039" s="338">
        <v>0.42291666666666666</v>
      </c>
      <c r="G1039" s="338">
        <v>0.42499999999999999</v>
      </c>
      <c r="H1039" s="338" t="s">
        <v>999</v>
      </c>
      <c r="I1039" s="353">
        <v>731</v>
      </c>
      <c r="J1039" s="338" t="str">
        <f>IFERROR(VLOOKUP(I1039,'Chart of accounts'!A:H,2,FALSE),"")</f>
        <v>50103010 00</v>
      </c>
      <c r="K1039" s="338" t="str">
        <f>IFERROR(VLOOKUP(I1039,'Chart of accounts'!A:H,3,FALSE),"")</f>
        <v>Retirement and Life Insurance Premiums</v>
      </c>
      <c r="L1039" s="338" t="str">
        <f>IFERROR(VLOOKUP(I1039,'Chart of accounts'!A:H,4,FALSE),"")</f>
        <v>50103010 00 - Retirement and Life Insurance Premiums (731)</v>
      </c>
      <c r="M1039" s="361">
        <v>67</v>
      </c>
      <c r="N1039" s="355" t="s">
        <v>768</v>
      </c>
      <c r="O1039" s="355" t="s">
        <v>1390</v>
      </c>
      <c r="P1039" s="355"/>
      <c r="Q1039" s="363">
        <v>9270.7199999999993</v>
      </c>
      <c r="R1039" s="428">
        <f t="shared" si="33"/>
        <v>-9270.7199999999993</v>
      </c>
      <c r="S1039" s="239" t="str">
        <f>VLOOKUP(H1039,'Fund Utilization Report'!$A$4:$U$1800,13,FALSE)</f>
        <v>PS</v>
      </c>
      <c r="T1039" s="239" t="str">
        <f>VLOOKUP(H1039,'Fund Utilization Report'!$A$4:$U$1800,2,FALSE)</f>
        <v>SAA15</v>
      </c>
      <c r="U1039" s="239" t="str">
        <f>VLOOKUP(H1039,'Fund Utilization Report'!$A$4:$U$1800,3,FALSE)</f>
        <v>2021-01-0015</v>
      </c>
      <c r="V1039" s="239" t="str">
        <f>VLOOKUP(H1039,'Fund Utilization Report'!$A$4:$U$1800,4,FALSE)</f>
        <v>CARP</v>
      </c>
      <c r="W1039" s="239" t="str">
        <f>VLOOKUP(H1039,'Fund Utilization Report'!$A$4:$U$1800,5,FALSE)</f>
        <v>01101101</v>
      </c>
      <c r="X1039" s="239" t="str">
        <f>VLOOKUP(H1039,'Fund Utilization Report'!$A$4:$U$1800,6,FALSE)</f>
        <v>GOP</v>
      </c>
      <c r="Y1039" s="440">
        <f>VLOOKUP(H1039,'Fund Utilization Report'!$A$4:$U$1800,7,FALSE)</f>
        <v>706</v>
      </c>
      <c r="Z1039" s="441" t="str">
        <f>VLOOKUP(H1039,'Fund Utilization Report'!$A$4:$U$1800,8,FALSE)</f>
        <v>50101020 00</v>
      </c>
      <c r="AA1039" s="239" t="str">
        <f>VLOOKUP(H1039,'Fund Utilization Report'!$A$4:$U$1800,14,FALSE)</f>
        <v>330100100003000</v>
      </c>
      <c r="AB1039" s="242" t="str">
        <f>VLOOKUP(H1039,'Fund Utilization Report'!$A$4:$U$1800,15,FALSE)</f>
        <v>MSME Development Program : Program Beneficiaries Development Component of the Comprehensive Agrarian Reform Program</v>
      </c>
      <c r="AC1039" s="51"/>
      <c r="AD1039" s="435"/>
      <c r="AE1039" s="51"/>
      <c r="AF1039" s="51"/>
      <c r="AG1039" s="442"/>
      <c r="AH1039" s="442"/>
      <c r="AI1039" s="443"/>
    </row>
    <row r="1040" spans="1:35" s="32" customFormat="1" ht="27.6">
      <c r="A1040" s="434" t="s">
        <v>942</v>
      </c>
      <c r="B1040" s="457" t="s">
        <v>946</v>
      </c>
      <c r="C1040" s="233">
        <v>44265</v>
      </c>
      <c r="D1040" s="435" t="s">
        <v>1267</v>
      </c>
      <c r="E1040" s="436" t="s">
        <v>1391</v>
      </c>
      <c r="F1040" s="338">
        <v>0.42291666666666666</v>
      </c>
      <c r="G1040" s="338">
        <v>0.42499999999999999</v>
      </c>
      <c r="H1040" s="338" t="s">
        <v>999</v>
      </c>
      <c r="I1040" s="353">
        <v>732</v>
      </c>
      <c r="J1040" s="338" t="str">
        <f>IFERROR(VLOOKUP(I1040,'Chart of accounts'!A:H,2,FALSE),"")</f>
        <v>50103020 01</v>
      </c>
      <c r="K1040" s="338" t="str">
        <f>IFERROR(VLOOKUP(I1040,'Chart of accounts'!A:H,3,FALSE),"")</f>
        <v>Pag-IBIG - Civilian</v>
      </c>
      <c r="L1040" s="338" t="str">
        <f>IFERROR(VLOOKUP(I1040,'Chart of accounts'!A:H,4,FALSE),"")</f>
        <v>50103020 01 - Pag-IBIG - Civilian (732)</v>
      </c>
      <c r="M1040" s="361">
        <v>67</v>
      </c>
      <c r="N1040" s="355" t="s">
        <v>768</v>
      </c>
      <c r="O1040" s="355" t="s">
        <v>1390</v>
      </c>
      <c r="P1040" s="355"/>
      <c r="Q1040" s="363">
        <v>200</v>
      </c>
      <c r="R1040" s="428">
        <f t="shared" si="33"/>
        <v>-200</v>
      </c>
      <c r="S1040" s="239" t="str">
        <f>VLOOKUP(H1040,'Fund Utilization Report'!$A$4:$U$1800,13,FALSE)</f>
        <v>PS</v>
      </c>
      <c r="T1040" s="239" t="str">
        <f>VLOOKUP(H1040,'Fund Utilization Report'!$A$4:$U$1800,2,FALSE)</f>
        <v>SAA15</v>
      </c>
      <c r="U1040" s="239" t="str">
        <f>VLOOKUP(H1040,'Fund Utilization Report'!$A$4:$U$1800,3,FALSE)</f>
        <v>2021-01-0015</v>
      </c>
      <c r="V1040" s="239" t="str">
        <f>VLOOKUP(H1040,'Fund Utilization Report'!$A$4:$U$1800,4,FALSE)</f>
        <v>CARP</v>
      </c>
      <c r="W1040" s="239" t="str">
        <f>VLOOKUP(H1040,'Fund Utilization Report'!$A$4:$U$1800,5,FALSE)</f>
        <v>01101101</v>
      </c>
      <c r="X1040" s="239" t="str">
        <f>VLOOKUP(H1040,'Fund Utilization Report'!$A$4:$U$1800,6,FALSE)</f>
        <v>GOP</v>
      </c>
      <c r="Y1040" s="440">
        <f>VLOOKUP(H1040,'Fund Utilization Report'!$A$4:$U$1800,7,FALSE)</f>
        <v>706</v>
      </c>
      <c r="Z1040" s="441" t="str">
        <f>VLOOKUP(H1040,'Fund Utilization Report'!$A$4:$U$1800,8,FALSE)</f>
        <v>50101020 00</v>
      </c>
      <c r="AA1040" s="239" t="str">
        <f>VLOOKUP(H1040,'Fund Utilization Report'!$A$4:$U$1800,14,FALSE)</f>
        <v>330100100003000</v>
      </c>
      <c r="AB1040" s="242" t="str">
        <f>VLOOKUP(H1040,'Fund Utilization Report'!$A$4:$U$1800,15,FALSE)</f>
        <v>MSME Development Program : Program Beneficiaries Development Component of the Comprehensive Agrarian Reform Program</v>
      </c>
      <c r="AC1040" s="51"/>
      <c r="AD1040" s="435"/>
      <c r="AE1040" s="51"/>
      <c r="AF1040" s="51"/>
      <c r="AG1040" s="442"/>
      <c r="AH1040" s="442"/>
      <c r="AI1040" s="443"/>
    </row>
    <row r="1041" spans="1:35" s="32" customFormat="1" ht="27.6">
      <c r="A1041" s="434" t="s">
        <v>942</v>
      </c>
      <c r="B1041" s="457" t="s">
        <v>946</v>
      </c>
      <c r="C1041" s="233">
        <v>44265</v>
      </c>
      <c r="D1041" s="435" t="s">
        <v>1267</v>
      </c>
      <c r="E1041" s="436" t="s">
        <v>1391</v>
      </c>
      <c r="F1041" s="338">
        <v>0.42291666666666666</v>
      </c>
      <c r="G1041" s="338">
        <v>0.42499999999999999</v>
      </c>
      <c r="H1041" s="338" t="s">
        <v>999</v>
      </c>
      <c r="I1041" s="353">
        <v>733</v>
      </c>
      <c r="J1041" s="338" t="str">
        <f>IFERROR(VLOOKUP(I1041,'Chart of accounts'!A:H,2,FALSE),"")</f>
        <v>50103030 01</v>
      </c>
      <c r="K1041" s="338" t="str">
        <f>IFERROR(VLOOKUP(I1041,'Chart of accounts'!A:H,3,FALSE),"")</f>
        <v>PhilHealth - Civilian</v>
      </c>
      <c r="L1041" s="338" t="str">
        <f>IFERROR(VLOOKUP(I1041,'Chart of accounts'!A:H,4,FALSE),"")</f>
        <v>50103030 01 - PhilHealth - Civilian (733)</v>
      </c>
      <c r="M1041" s="361">
        <v>67</v>
      </c>
      <c r="N1041" s="355" t="s">
        <v>768</v>
      </c>
      <c r="O1041" s="355" t="s">
        <v>1390</v>
      </c>
      <c r="P1041" s="355"/>
      <c r="Q1041" s="363">
        <v>1158.8499999999999</v>
      </c>
      <c r="R1041" s="428">
        <f t="shared" si="33"/>
        <v>-1158.8499999999999</v>
      </c>
      <c r="S1041" s="239" t="str">
        <f>VLOOKUP(H1041,'Fund Utilization Report'!$A$4:$U$1800,13,FALSE)</f>
        <v>PS</v>
      </c>
      <c r="T1041" s="239" t="str">
        <f>VLOOKUP(H1041,'Fund Utilization Report'!$A$4:$U$1800,2,FALSE)</f>
        <v>SAA15</v>
      </c>
      <c r="U1041" s="239" t="str">
        <f>VLOOKUP(H1041,'Fund Utilization Report'!$A$4:$U$1800,3,FALSE)</f>
        <v>2021-01-0015</v>
      </c>
      <c r="V1041" s="239" t="str">
        <f>VLOOKUP(H1041,'Fund Utilization Report'!$A$4:$U$1800,4,FALSE)</f>
        <v>CARP</v>
      </c>
      <c r="W1041" s="239" t="str">
        <f>VLOOKUP(H1041,'Fund Utilization Report'!$A$4:$U$1800,5,FALSE)</f>
        <v>01101101</v>
      </c>
      <c r="X1041" s="239" t="str">
        <f>VLOOKUP(H1041,'Fund Utilization Report'!$A$4:$U$1800,6,FALSE)</f>
        <v>GOP</v>
      </c>
      <c r="Y1041" s="440">
        <f>VLOOKUP(H1041,'Fund Utilization Report'!$A$4:$U$1800,7,FALSE)</f>
        <v>706</v>
      </c>
      <c r="Z1041" s="441" t="str">
        <f>VLOOKUP(H1041,'Fund Utilization Report'!$A$4:$U$1800,8,FALSE)</f>
        <v>50101020 00</v>
      </c>
      <c r="AA1041" s="239" t="str">
        <f>VLOOKUP(H1041,'Fund Utilization Report'!$A$4:$U$1800,14,FALSE)</f>
        <v>330100100003000</v>
      </c>
      <c r="AB1041" s="242" t="str">
        <f>VLOOKUP(H1041,'Fund Utilization Report'!$A$4:$U$1800,15,FALSE)</f>
        <v>MSME Development Program : Program Beneficiaries Development Component of the Comprehensive Agrarian Reform Program</v>
      </c>
      <c r="AC1041" s="51"/>
      <c r="AD1041" s="435"/>
      <c r="AE1041" s="51"/>
      <c r="AF1041" s="51"/>
      <c r="AG1041" s="442"/>
      <c r="AH1041" s="442"/>
      <c r="AI1041" s="443"/>
    </row>
    <row r="1042" spans="1:35" s="32" customFormat="1" ht="27.6">
      <c r="A1042" s="434" t="s">
        <v>942</v>
      </c>
      <c r="B1042" s="457" t="s">
        <v>946</v>
      </c>
      <c r="C1042" s="233">
        <v>44265</v>
      </c>
      <c r="D1042" s="435" t="s">
        <v>1267</v>
      </c>
      <c r="E1042" s="436" t="s">
        <v>1391</v>
      </c>
      <c r="F1042" s="338">
        <v>0.42291666666666666</v>
      </c>
      <c r="G1042" s="338">
        <v>0.42499999999999999</v>
      </c>
      <c r="H1042" s="338" t="s">
        <v>999</v>
      </c>
      <c r="I1042" s="353">
        <v>734</v>
      </c>
      <c r="J1042" s="338" t="str">
        <f>IFERROR(VLOOKUP(I1042,'Chart of accounts'!A:H,2,FALSE),"")</f>
        <v>50103040 01</v>
      </c>
      <c r="K1042" s="338" t="str">
        <f>IFERROR(VLOOKUP(I1042,'Chart of accounts'!A:H,3,FALSE),"")</f>
        <v>ECIP - Civilian</v>
      </c>
      <c r="L1042" s="338" t="str">
        <f>IFERROR(VLOOKUP(I1042,'Chart of accounts'!A:H,4,FALSE),"")</f>
        <v>50103040 01 - ECIP - Civilian (734)</v>
      </c>
      <c r="M1042" s="361">
        <v>67</v>
      </c>
      <c r="N1042" s="355" t="s">
        <v>768</v>
      </c>
      <c r="O1042" s="355" t="s">
        <v>1390</v>
      </c>
      <c r="P1042" s="355"/>
      <c r="Q1042" s="363">
        <v>200</v>
      </c>
      <c r="R1042" s="428">
        <f t="shared" si="33"/>
        <v>-200</v>
      </c>
      <c r="S1042" s="239" t="str">
        <f>VLOOKUP(H1042,'Fund Utilization Report'!$A$4:$U$1800,13,FALSE)</f>
        <v>PS</v>
      </c>
      <c r="T1042" s="239" t="str">
        <f>VLOOKUP(H1042,'Fund Utilization Report'!$A$4:$U$1800,2,FALSE)</f>
        <v>SAA15</v>
      </c>
      <c r="U1042" s="239" t="str">
        <f>VLOOKUP(H1042,'Fund Utilization Report'!$A$4:$U$1800,3,FALSE)</f>
        <v>2021-01-0015</v>
      </c>
      <c r="V1042" s="239" t="str">
        <f>VLOOKUP(H1042,'Fund Utilization Report'!$A$4:$U$1800,4,FALSE)</f>
        <v>CARP</v>
      </c>
      <c r="W1042" s="239" t="str">
        <f>VLOOKUP(H1042,'Fund Utilization Report'!$A$4:$U$1800,5,FALSE)</f>
        <v>01101101</v>
      </c>
      <c r="X1042" s="239" t="str">
        <f>VLOOKUP(H1042,'Fund Utilization Report'!$A$4:$U$1800,6,FALSE)</f>
        <v>GOP</v>
      </c>
      <c r="Y1042" s="440">
        <f>VLOOKUP(H1042,'Fund Utilization Report'!$A$4:$U$1800,7,FALSE)</f>
        <v>706</v>
      </c>
      <c r="Z1042" s="441" t="str">
        <f>VLOOKUP(H1042,'Fund Utilization Report'!$A$4:$U$1800,8,FALSE)</f>
        <v>50101020 00</v>
      </c>
      <c r="AA1042" s="239" t="str">
        <f>VLOOKUP(H1042,'Fund Utilization Report'!$A$4:$U$1800,14,FALSE)</f>
        <v>330100100003000</v>
      </c>
      <c r="AB1042" s="242" t="str">
        <f>VLOOKUP(H1042,'Fund Utilization Report'!$A$4:$U$1800,15,FALSE)</f>
        <v>MSME Development Program : Program Beneficiaries Development Component of the Comprehensive Agrarian Reform Program</v>
      </c>
      <c r="AC1042" s="51"/>
      <c r="AD1042" s="435"/>
      <c r="AE1042" s="51"/>
      <c r="AF1042" s="51"/>
      <c r="AG1042" s="442"/>
      <c r="AH1042" s="442"/>
      <c r="AI1042" s="443"/>
    </row>
    <row r="1043" spans="1:35" s="32" customFormat="1" ht="27.6">
      <c r="A1043" s="434" t="s">
        <v>942</v>
      </c>
      <c r="B1043" s="457" t="s">
        <v>946</v>
      </c>
      <c r="C1043" s="233">
        <v>44265</v>
      </c>
      <c r="D1043" s="435" t="s">
        <v>1267</v>
      </c>
      <c r="E1043" s="436" t="s">
        <v>1392</v>
      </c>
      <c r="F1043" s="338">
        <v>0.42499999999999999</v>
      </c>
      <c r="G1043" s="338">
        <v>0.42708333333333331</v>
      </c>
      <c r="H1043" s="338" t="s">
        <v>999</v>
      </c>
      <c r="I1043" s="353">
        <v>706</v>
      </c>
      <c r="J1043" s="338" t="str">
        <f>IFERROR(VLOOKUP(I1043,'Chart of accounts'!A:H,2,FALSE),"")</f>
        <v>50101020 00</v>
      </c>
      <c r="K1043" s="338" t="str">
        <f>IFERROR(VLOOKUP(I1043,'Chart of accounts'!A:H,3,FALSE),"")</f>
        <v>Basic Salary - Contractual</v>
      </c>
      <c r="L1043" s="338" t="str">
        <f>IFERROR(VLOOKUP(I1043,'Chart of accounts'!A:H,4,FALSE),"")</f>
        <v>50101020 00 - Basic Salary - Contractual (706)</v>
      </c>
      <c r="M1043" s="361">
        <v>3</v>
      </c>
      <c r="N1043" s="355" t="s">
        <v>867</v>
      </c>
      <c r="O1043" s="355" t="s">
        <v>1390</v>
      </c>
      <c r="P1043" s="355"/>
      <c r="Q1043" s="363">
        <v>33575</v>
      </c>
      <c r="R1043" s="428">
        <f t="shared" si="33"/>
        <v>-33575</v>
      </c>
      <c r="S1043" s="239" t="str">
        <f>VLOOKUP(H1043,'Fund Utilization Report'!$A$4:$U$1800,13,FALSE)</f>
        <v>PS</v>
      </c>
      <c r="T1043" s="239" t="str">
        <f>VLOOKUP(H1043,'Fund Utilization Report'!$A$4:$U$1800,2,FALSE)</f>
        <v>SAA15</v>
      </c>
      <c r="U1043" s="239" t="str">
        <f>VLOOKUP(H1043,'Fund Utilization Report'!$A$4:$U$1800,3,FALSE)</f>
        <v>2021-01-0015</v>
      </c>
      <c r="V1043" s="239" t="str">
        <f>VLOOKUP(H1043,'Fund Utilization Report'!$A$4:$U$1800,4,FALSE)</f>
        <v>CARP</v>
      </c>
      <c r="W1043" s="239" t="str">
        <f>VLOOKUP(H1043,'Fund Utilization Report'!$A$4:$U$1800,5,FALSE)</f>
        <v>01101101</v>
      </c>
      <c r="X1043" s="239" t="str">
        <f>VLOOKUP(H1043,'Fund Utilization Report'!$A$4:$U$1800,6,FALSE)</f>
        <v>GOP</v>
      </c>
      <c r="Y1043" s="440">
        <f>VLOOKUP(H1043,'Fund Utilization Report'!$A$4:$U$1800,7,FALSE)</f>
        <v>706</v>
      </c>
      <c r="Z1043" s="441" t="str">
        <f>VLOOKUP(H1043,'Fund Utilization Report'!$A$4:$U$1800,8,FALSE)</f>
        <v>50101020 00</v>
      </c>
      <c r="AA1043" s="239" t="str">
        <f>VLOOKUP(H1043,'Fund Utilization Report'!$A$4:$U$1800,14,FALSE)</f>
        <v>330100100003000</v>
      </c>
      <c r="AB1043" s="242" t="str">
        <f>VLOOKUP(H1043,'Fund Utilization Report'!$A$4:$U$1800,15,FALSE)</f>
        <v>MSME Development Program : Program Beneficiaries Development Component of the Comprehensive Agrarian Reform Program</v>
      </c>
      <c r="AC1043" s="51"/>
      <c r="AD1043" s="435"/>
      <c r="AE1043" s="51"/>
      <c r="AF1043" s="51"/>
      <c r="AG1043" s="442"/>
      <c r="AH1043" s="442"/>
      <c r="AI1043" s="443"/>
    </row>
    <row r="1044" spans="1:35" s="32" customFormat="1" ht="27.6">
      <c r="A1044" s="434" t="s">
        <v>942</v>
      </c>
      <c r="B1044" s="457" t="s">
        <v>946</v>
      </c>
      <c r="C1044" s="233">
        <v>44265</v>
      </c>
      <c r="D1044" s="435" t="s">
        <v>1267</v>
      </c>
      <c r="E1044" s="436" t="s">
        <v>1392</v>
      </c>
      <c r="F1044" s="338">
        <v>0.42499999999999999</v>
      </c>
      <c r="G1044" s="338">
        <v>0.42708333333333331</v>
      </c>
      <c r="H1044" s="338" t="s">
        <v>999</v>
      </c>
      <c r="I1044" s="353">
        <v>711</v>
      </c>
      <c r="J1044" s="338" t="str">
        <f>IFERROR(VLOOKUP(I1044,'Chart of accounts'!A:H,2,FALSE),"")</f>
        <v>50102010 01</v>
      </c>
      <c r="K1044" s="338" t="str">
        <f>IFERROR(VLOOKUP(I1044,'Chart of accounts'!A:H,3,FALSE),"")</f>
        <v>PERA - Civilian</v>
      </c>
      <c r="L1044" s="338" t="str">
        <f>IFERROR(VLOOKUP(I1044,'Chart of accounts'!A:H,4,FALSE),"")</f>
        <v>50102010 01 - PERA - Civilian (711)</v>
      </c>
      <c r="M1044" s="361">
        <v>3</v>
      </c>
      <c r="N1044" s="355" t="s">
        <v>867</v>
      </c>
      <c r="O1044" s="355" t="s">
        <v>1390</v>
      </c>
      <c r="P1044" s="355"/>
      <c r="Q1044" s="363">
        <v>2000</v>
      </c>
      <c r="R1044" s="428">
        <f t="shared" si="33"/>
        <v>-2000</v>
      </c>
      <c r="S1044" s="239" t="str">
        <f>VLOOKUP(H1044,'Fund Utilization Report'!$A$4:$U$1800,13,FALSE)</f>
        <v>PS</v>
      </c>
      <c r="T1044" s="239" t="str">
        <f>VLOOKUP(H1044,'Fund Utilization Report'!$A$4:$U$1800,2,FALSE)</f>
        <v>SAA15</v>
      </c>
      <c r="U1044" s="239" t="str">
        <f>VLOOKUP(H1044,'Fund Utilization Report'!$A$4:$U$1800,3,FALSE)</f>
        <v>2021-01-0015</v>
      </c>
      <c r="V1044" s="239" t="str">
        <f>VLOOKUP(H1044,'Fund Utilization Report'!$A$4:$U$1800,4,FALSE)</f>
        <v>CARP</v>
      </c>
      <c r="W1044" s="239" t="str">
        <f>VLOOKUP(H1044,'Fund Utilization Report'!$A$4:$U$1800,5,FALSE)</f>
        <v>01101101</v>
      </c>
      <c r="X1044" s="239" t="str">
        <f>VLOOKUP(H1044,'Fund Utilization Report'!$A$4:$U$1800,6,FALSE)</f>
        <v>GOP</v>
      </c>
      <c r="Y1044" s="440">
        <f>VLOOKUP(H1044,'Fund Utilization Report'!$A$4:$U$1800,7,FALSE)</f>
        <v>706</v>
      </c>
      <c r="Z1044" s="441" t="str">
        <f>VLOOKUP(H1044,'Fund Utilization Report'!$A$4:$U$1800,8,FALSE)</f>
        <v>50101020 00</v>
      </c>
      <c r="AA1044" s="239" t="str">
        <f>VLOOKUP(H1044,'Fund Utilization Report'!$A$4:$U$1800,14,FALSE)</f>
        <v>330100100003000</v>
      </c>
      <c r="AB1044" s="242" t="str">
        <f>VLOOKUP(H1044,'Fund Utilization Report'!$A$4:$U$1800,15,FALSE)</f>
        <v>MSME Development Program : Program Beneficiaries Development Component of the Comprehensive Agrarian Reform Program</v>
      </c>
      <c r="AC1044" s="51"/>
      <c r="AD1044" s="435"/>
      <c r="AE1044" s="51"/>
      <c r="AF1044" s="51"/>
      <c r="AG1044" s="442"/>
      <c r="AH1044" s="442"/>
      <c r="AI1044" s="443"/>
    </row>
    <row r="1045" spans="1:35" s="32" customFormat="1" ht="27.6">
      <c r="A1045" s="434" t="s">
        <v>942</v>
      </c>
      <c r="B1045" s="457" t="s">
        <v>946</v>
      </c>
      <c r="C1045" s="233">
        <v>44265</v>
      </c>
      <c r="D1045" s="435" t="s">
        <v>1267</v>
      </c>
      <c r="E1045" s="436" t="s">
        <v>1392</v>
      </c>
      <c r="F1045" s="338">
        <v>0.42499999999999999</v>
      </c>
      <c r="G1045" s="338">
        <v>0.42708333333333331</v>
      </c>
      <c r="H1045" s="338" t="s">
        <v>999</v>
      </c>
      <c r="I1045" s="353">
        <v>731</v>
      </c>
      <c r="J1045" s="338" t="str">
        <f>IFERROR(VLOOKUP(I1045,'Chart of accounts'!A:H,2,FALSE),"")</f>
        <v>50103010 00</v>
      </c>
      <c r="K1045" s="338" t="str">
        <f>IFERROR(VLOOKUP(I1045,'Chart of accounts'!A:H,3,FALSE),"")</f>
        <v>Retirement and Life Insurance Premiums</v>
      </c>
      <c r="L1045" s="338" t="str">
        <f>IFERROR(VLOOKUP(I1045,'Chart of accounts'!A:H,4,FALSE),"")</f>
        <v>50103010 00 - Retirement and Life Insurance Premiums (731)</v>
      </c>
      <c r="M1045" s="361">
        <v>3</v>
      </c>
      <c r="N1045" s="355" t="s">
        <v>867</v>
      </c>
      <c r="O1045" s="355" t="s">
        <v>1390</v>
      </c>
      <c r="P1045" s="355"/>
      <c r="Q1045" s="363">
        <v>4029</v>
      </c>
      <c r="R1045" s="428">
        <f t="shared" si="33"/>
        <v>-4029</v>
      </c>
      <c r="S1045" s="239" t="str">
        <f>VLOOKUP(H1045,'Fund Utilization Report'!$A$4:$U$1800,13,FALSE)</f>
        <v>PS</v>
      </c>
      <c r="T1045" s="239" t="str">
        <f>VLOOKUP(H1045,'Fund Utilization Report'!$A$4:$U$1800,2,FALSE)</f>
        <v>SAA15</v>
      </c>
      <c r="U1045" s="239" t="str">
        <f>VLOOKUP(H1045,'Fund Utilization Report'!$A$4:$U$1800,3,FALSE)</f>
        <v>2021-01-0015</v>
      </c>
      <c r="V1045" s="239" t="str">
        <f>VLOOKUP(H1045,'Fund Utilization Report'!$A$4:$U$1800,4,FALSE)</f>
        <v>CARP</v>
      </c>
      <c r="W1045" s="239" t="str">
        <f>VLOOKUP(H1045,'Fund Utilization Report'!$A$4:$U$1800,5,FALSE)</f>
        <v>01101101</v>
      </c>
      <c r="X1045" s="239" t="str">
        <f>VLOOKUP(H1045,'Fund Utilization Report'!$A$4:$U$1800,6,FALSE)</f>
        <v>GOP</v>
      </c>
      <c r="Y1045" s="440">
        <f>VLOOKUP(H1045,'Fund Utilization Report'!$A$4:$U$1800,7,FALSE)</f>
        <v>706</v>
      </c>
      <c r="Z1045" s="441" t="str">
        <f>VLOOKUP(H1045,'Fund Utilization Report'!$A$4:$U$1800,8,FALSE)</f>
        <v>50101020 00</v>
      </c>
      <c r="AA1045" s="239" t="str">
        <f>VLOOKUP(H1045,'Fund Utilization Report'!$A$4:$U$1800,14,FALSE)</f>
        <v>330100100003000</v>
      </c>
      <c r="AB1045" s="242" t="str">
        <f>VLOOKUP(H1045,'Fund Utilization Report'!$A$4:$U$1800,15,FALSE)</f>
        <v>MSME Development Program : Program Beneficiaries Development Component of the Comprehensive Agrarian Reform Program</v>
      </c>
      <c r="AC1045" s="51"/>
      <c r="AD1045" s="435"/>
      <c r="AE1045" s="51"/>
      <c r="AF1045" s="51"/>
      <c r="AG1045" s="442"/>
      <c r="AH1045" s="442"/>
      <c r="AI1045" s="443"/>
    </row>
    <row r="1046" spans="1:35" s="32" customFormat="1" ht="27.6">
      <c r="A1046" s="434" t="s">
        <v>942</v>
      </c>
      <c r="B1046" s="457" t="s">
        <v>946</v>
      </c>
      <c r="C1046" s="233">
        <v>44265</v>
      </c>
      <c r="D1046" s="435" t="s">
        <v>1267</v>
      </c>
      <c r="E1046" s="436" t="s">
        <v>1392</v>
      </c>
      <c r="F1046" s="338">
        <v>0.42499999999999999</v>
      </c>
      <c r="G1046" s="338">
        <v>0.42708333333333331</v>
      </c>
      <c r="H1046" s="338" t="s">
        <v>999</v>
      </c>
      <c r="I1046" s="353">
        <v>732</v>
      </c>
      <c r="J1046" s="338" t="str">
        <f>IFERROR(VLOOKUP(I1046,'Chart of accounts'!A:H,2,FALSE),"")</f>
        <v>50103020 01</v>
      </c>
      <c r="K1046" s="338" t="str">
        <f>IFERROR(VLOOKUP(I1046,'Chart of accounts'!A:H,3,FALSE),"")</f>
        <v>Pag-IBIG - Civilian</v>
      </c>
      <c r="L1046" s="338" t="str">
        <f>IFERROR(VLOOKUP(I1046,'Chart of accounts'!A:H,4,FALSE),"")</f>
        <v>50103020 01 - Pag-IBIG - Civilian (732)</v>
      </c>
      <c r="M1046" s="361">
        <v>3</v>
      </c>
      <c r="N1046" s="355" t="s">
        <v>867</v>
      </c>
      <c r="O1046" s="355" t="s">
        <v>1390</v>
      </c>
      <c r="P1046" s="355"/>
      <c r="Q1046" s="363">
        <v>100</v>
      </c>
      <c r="R1046" s="428">
        <f t="shared" si="33"/>
        <v>-100</v>
      </c>
      <c r="S1046" s="239" t="str">
        <f>VLOOKUP(H1046,'Fund Utilization Report'!$A$4:$U$1800,13,FALSE)</f>
        <v>PS</v>
      </c>
      <c r="T1046" s="239" t="str">
        <f>VLOOKUP(H1046,'Fund Utilization Report'!$A$4:$U$1800,2,FALSE)</f>
        <v>SAA15</v>
      </c>
      <c r="U1046" s="239" t="str">
        <f>VLOOKUP(H1046,'Fund Utilization Report'!$A$4:$U$1800,3,FALSE)</f>
        <v>2021-01-0015</v>
      </c>
      <c r="V1046" s="239" t="str">
        <f>VLOOKUP(H1046,'Fund Utilization Report'!$A$4:$U$1800,4,FALSE)</f>
        <v>CARP</v>
      </c>
      <c r="W1046" s="239" t="str">
        <f>VLOOKUP(H1046,'Fund Utilization Report'!$A$4:$U$1800,5,FALSE)</f>
        <v>01101101</v>
      </c>
      <c r="X1046" s="239" t="str">
        <f>VLOOKUP(H1046,'Fund Utilization Report'!$A$4:$U$1800,6,FALSE)</f>
        <v>GOP</v>
      </c>
      <c r="Y1046" s="440">
        <f>VLOOKUP(H1046,'Fund Utilization Report'!$A$4:$U$1800,7,FALSE)</f>
        <v>706</v>
      </c>
      <c r="Z1046" s="441" t="str">
        <f>VLOOKUP(H1046,'Fund Utilization Report'!$A$4:$U$1800,8,FALSE)</f>
        <v>50101020 00</v>
      </c>
      <c r="AA1046" s="239" t="str">
        <f>VLOOKUP(H1046,'Fund Utilization Report'!$A$4:$U$1800,14,FALSE)</f>
        <v>330100100003000</v>
      </c>
      <c r="AB1046" s="242" t="str">
        <f>VLOOKUP(H1046,'Fund Utilization Report'!$A$4:$U$1800,15,FALSE)</f>
        <v>MSME Development Program : Program Beneficiaries Development Component of the Comprehensive Agrarian Reform Program</v>
      </c>
      <c r="AC1046" s="51"/>
      <c r="AD1046" s="435"/>
      <c r="AE1046" s="51"/>
      <c r="AF1046" s="51"/>
      <c r="AG1046" s="442"/>
      <c r="AH1046" s="442"/>
      <c r="AI1046" s="443"/>
    </row>
    <row r="1047" spans="1:35" s="32" customFormat="1" ht="27.6">
      <c r="A1047" s="434" t="s">
        <v>942</v>
      </c>
      <c r="B1047" s="457" t="s">
        <v>946</v>
      </c>
      <c r="C1047" s="233">
        <v>44265</v>
      </c>
      <c r="D1047" s="435" t="s">
        <v>1267</v>
      </c>
      <c r="E1047" s="436" t="s">
        <v>1392</v>
      </c>
      <c r="F1047" s="338">
        <v>0.42499999999999999</v>
      </c>
      <c r="G1047" s="338">
        <v>0.42708333333333331</v>
      </c>
      <c r="H1047" s="338" t="s">
        <v>999</v>
      </c>
      <c r="I1047" s="353">
        <v>733</v>
      </c>
      <c r="J1047" s="338" t="str">
        <f>IFERROR(VLOOKUP(I1047,'Chart of accounts'!A:H,2,FALSE),"")</f>
        <v>50103030 01</v>
      </c>
      <c r="K1047" s="338" t="str">
        <f>IFERROR(VLOOKUP(I1047,'Chart of accounts'!A:H,3,FALSE),"")</f>
        <v>PhilHealth - Civilian</v>
      </c>
      <c r="L1047" s="338" t="str">
        <f>IFERROR(VLOOKUP(I1047,'Chart of accounts'!A:H,4,FALSE),"")</f>
        <v>50103030 01 - PhilHealth - Civilian (733)</v>
      </c>
      <c r="M1047" s="361">
        <v>3</v>
      </c>
      <c r="N1047" s="355" t="s">
        <v>867</v>
      </c>
      <c r="O1047" s="355" t="s">
        <v>1390</v>
      </c>
      <c r="P1047" s="355"/>
      <c r="Q1047" s="363">
        <v>503.63</v>
      </c>
      <c r="R1047" s="428">
        <f t="shared" si="33"/>
        <v>-503.63</v>
      </c>
      <c r="S1047" s="239" t="str">
        <f>VLOOKUP(H1047,'Fund Utilization Report'!$A$4:$U$1800,13,FALSE)</f>
        <v>PS</v>
      </c>
      <c r="T1047" s="239" t="str">
        <f>VLOOKUP(H1047,'Fund Utilization Report'!$A$4:$U$1800,2,FALSE)</f>
        <v>SAA15</v>
      </c>
      <c r="U1047" s="239" t="str">
        <f>VLOOKUP(H1047,'Fund Utilization Report'!$A$4:$U$1800,3,FALSE)</f>
        <v>2021-01-0015</v>
      </c>
      <c r="V1047" s="239" t="str">
        <f>VLOOKUP(H1047,'Fund Utilization Report'!$A$4:$U$1800,4,FALSE)</f>
        <v>CARP</v>
      </c>
      <c r="W1047" s="239" t="str">
        <f>VLOOKUP(H1047,'Fund Utilization Report'!$A$4:$U$1800,5,FALSE)</f>
        <v>01101101</v>
      </c>
      <c r="X1047" s="239" t="str">
        <f>VLOOKUP(H1047,'Fund Utilization Report'!$A$4:$U$1800,6,FALSE)</f>
        <v>GOP</v>
      </c>
      <c r="Y1047" s="440">
        <f>VLOOKUP(H1047,'Fund Utilization Report'!$A$4:$U$1800,7,FALSE)</f>
        <v>706</v>
      </c>
      <c r="Z1047" s="441" t="str">
        <f>VLOOKUP(H1047,'Fund Utilization Report'!$A$4:$U$1800,8,FALSE)</f>
        <v>50101020 00</v>
      </c>
      <c r="AA1047" s="239" t="str">
        <f>VLOOKUP(H1047,'Fund Utilization Report'!$A$4:$U$1800,14,FALSE)</f>
        <v>330100100003000</v>
      </c>
      <c r="AB1047" s="242" t="str">
        <f>VLOOKUP(H1047,'Fund Utilization Report'!$A$4:$U$1800,15,FALSE)</f>
        <v>MSME Development Program : Program Beneficiaries Development Component of the Comprehensive Agrarian Reform Program</v>
      </c>
      <c r="AC1047" s="51"/>
      <c r="AD1047" s="435"/>
      <c r="AE1047" s="51"/>
      <c r="AF1047" s="51"/>
      <c r="AG1047" s="442"/>
      <c r="AH1047" s="442"/>
      <c r="AI1047" s="443"/>
    </row>
    <row r="1048" spans="1:35" s="32" customFormat="1" ht="27.6">
      <c r="A1048" s="434" t="s">
        <v>942</v>
      </c>
      <c r="B1048" s="457" t="s">
        <v>946</v>
      </c>
      <c r="C1048" s="233">
        <v>44265</v>
      </c>
      <c r="D1048" s="435" t="s">
        <v>1267</v>
      </c>
      <c r="E1048" s="436" t="s">
        <v>1392</v>
      </c>
      <c r="F1048" s="338">
        <v>0.42499999999999999</v>
      </c>
      <c r="G1048" s="338">
        <v>0.42708333333333331</v>
      </c>
      <c r="H1048" s="338" t="s">
        <v>999</v>
      </c>
      <c r="I1048" s="353">
        <v>734</v>
      </c>
      <c r="J1048" s="338" t="str">
        <f>IFERROR(VLOOKUP(I1048,'Chart of accounts'!A:H,2,FALSE),"")</f>
        <v>50103040 01</v>
      </c>
      <c r="K1048" s="338" t="str">
        <f>IFERROR(VLOOKUP(I1048,'Chart of accounts'!A:H,3,FALSE),"")</f>
        <v>ECIP - Civilian</v>
      </c>
      <c r="L1048" s="338" t="str">
        <f>IFERROR(VLOOKUP(I1048,'Chart of accounts'!A:H,4,FALSE),"")</f>
        <v>50103040 01 - ECIP - Civilian (734)</v>
      </c>
      <c r="M1048" s="361">
        <v>3</v>
      </c>
      <c r="N1048" s="355" t="s">
        <v>867</v>
      </c>
      <c r="O1048" s="355" t="s">
        <v>1390</v>
      </c>
      <c r="P1048" s="355"/>
      <c r="Q1048" s="363">
        <v>100</v>
      </c>
      <c r="R1048" s="428">
        <f t="shared" si="33"/>
        <v>-100</v>
      </c>
      <c r="S1048" s="239" t="str">
        <f>VLOOKUP(H1048,'Fund Utilization Report'!$A$4:$U$1800,13,FALSE)</f>
        <v>PS</v>
      </c>
      <c r="T1048" s="239" t="str">
        <f>VLOOKUP(H1048,'Fund Utilization Report'!$A$4:$U$1800,2,FALSE)</f>
        <v>SAA15</v>
      </c>
      <c r="U1048" s="239" t="str">
        <f>VLOOKUP(H1048,'Fund Utilization Report'!$A$4:$U$1800,3,FALSE)</f>
        <v>2021-01-0015</v>
      </c>
      <c r="V1048" s="239" t="str">
        <f>VLOOKUP(H1048,'Fund Utilization Report'!$A$4:$U$1800,4,FALSE)</f>
        <v>CARP</v>
      </c>
      <c r="W1048" s="239" t="str">
        <f>VLOOKUP(H1048,'Fund Utilization Report'!$A$4:$U$1800,5,FALSE)</f>
        <v>01101101</v>
      </c>
      <c r="X1048" s="239" t="str">
        <f>VLOOKUP(H1048,'Fund Utilization Report'!$A$4:$U$1800,6,FALSE)</f>
        <v>GOP</v>
      </c>
      <c r="Y1048" s="440">
        <f>VLOOKUP(H1048,'Fund Utilization Report'!$A$4:$U$1800,7,FALSE)</f>
        <v>706</v>
      </c>
      <c r="Z1048" s="441" t="str">
        <f>VLOOKUP(H1048,'Fund Utilization Report'!$A$4:$U$1800,8,FALSE)</f>
        <v>50101020 00</v>
      </c>
      <c r="AA1048" s="239" t="str">
        <f>VLOOKUP(H1048,'Fund Utilization Report'!$A$4:$U$1800,14,FALSE)</f>
        <v>330100100003000</v>
      </c>
      <c r="AB1048" s="242" t="str">
        <f>VLOOKUP(H1048,'Fund Utilization Report'!$A$4:$U$1800,15,FALSE)</f>
        <v>MSME Development Program : Program Beneficiaries Development Component of the Comprehensive Agrarian Reform Program</v>
      </c>
      <c r="AC1048" s="51"/>
      <c r="AD1048" s="435"/>
      <c r="AE1048" s="51"/>
      <c r="AF1048" s="51"/>
      <c r="AG1048" s="442"/>
      <c r="AH1048" s="442"/>
      <c r="AI1048" s="443"/>
    </row>
    <row r="1049" spans="1:35" s="32" customFormat="1" ht="27.6">
      <c r="A1049" s="434" t="s">
        <v>942</v>
      </c>
      <c r="B1049" s="457" t="s">
        <v>946</v>
      </c>
      <c r="C1049" s="233">
        <v>44265</v>
      </c>
      <c r="D1049" s="435" t="s">
        <v>1267</v>
      </c>
      <c r="E1049" s="436" t="s">
        <v>1393</v>
      </c>
      <c r="F1049" s="338">
        <v>0.42708333333333331</v>
      </c>
      <c r="G1049" s="338">
        <v>0.4291666666666667</v>
      </c>
      <c r="H1049" s="338" t="s">
        <v>970</v>
      </c>
      <c r="I1049" s="353">
        <v>701</v>
      </c>
      <c r="J1049" s="338" t="str">
        <f>IFERROR(VLOOKUP(I1049,'Chart of accounts'!A:H,2,FALSE),"")</f>
        <v>50101010 01</v>
      </c>
      <c r="K1049" s="338" t="str">
        <f>IFERROR(VLOOKUP(I1049,'Chart of accounts'!A:H,3,FALSE),"")</f>
        <v>Basic Salary - Civilian</v>
      </c>
      <c r="L1049" s="338" t="str">
        <f>IFERROR(VLOOKUP(I1049,'Chart of accounts'!A:H,4,FALSE),"")</f>
        <v>50101010 01 - Basic Salary - Civilian (701)</v>
      </c>
      <c r="M1049" s="361">
        <v>1</v>
      </c>
      <c r="N1049" s="355" t="s">
        <v>1165</v>
      </c>
      <c r="O1049" s="355" t="s">
        <v>1394</v>
      </c>
      <c r="P1049" s="355"/>
      <c r="Q1049" s="363">
        <v>23877</v>
      </c>
      <c r="R1049" s="428">
        <f t="shared" si="33"/>
        <v>-23877</v>
      </c>
      <c r="S1049" s="239" t="str">
        <f>VLOOKUP(H1049,'Fund Utilization Report'!$A$4:$U$1800,13,FALSE)</f>
        <v>PS</v>
      </c>
      <c r="T1049" s="239" t="str">
        <f>VLOOKUP(H1049,'Fund Utilization Report'!$A$4:$U$1800,2,FALSE)</f>
        <v>GAA</v>
      </c>
      <c r="U1049" s="239" t="str">
        <f>VLOOKUP(H1049,'Fund Utilization Report'!$A$4:$U$1800,3,FALSE)</f>
        <v>FY2021, RA11518</v>
      </c>
      <c r="V1049" s="239" t="str">
        <f>VLOOKUP(H1049,'Fund Utilization Report'!$A$4:$U$1800,4,FALSE)</f>
        <v>OO3</v>
      </c>
      <c r="W1049" s="239" t="str">
        <f>VLOOKUP(H1049,'Fund Utilization Report'!$A$4:$U$1800,5,FALSE)</f>
        <v>01101101</v>
      </c>
      <c r="X1049" s="239" t="str">
        <f>VLOOKUP(H1049,'Fund Utilization Report'!$A$4:$U$1800,6,FALSE)</f>
        <v>GOP</v>
      </c>
      <c r="Y1049" s="440" t="str">
        <f>VLOOKUP(H1049,'Fund Utilization Report'!$A$4:$U$1800,7,FALSE)</f>
        <v>PS</v>
      </c>
      <c r="Z1049" s="441">
        <f>VLOOKUP(H1049,'Fund Utilization Report'!$A$4:$U$1800,8,FALSE)</f>
        <v>5010000000</v>
      </c>
      <c r="AA1049" s="239" t="str">
        <f>VLOOKUP(H1049,'Fund Utilization Report'!$A$4:$U$1800,14,FALSE)</f>
        <v>330100100002000</v>
      </c>
      <c r="AB1049" s="242" t="str">
        <f>VLOOKUP(H1049,'Fund Utilization Report'!$A$4:$U$1800,15,FALSE)</f>
        <v>Implementation of the MSME Development Plan and other initiatives to promote the growth of Micro, Small and Medium Enterprises</v>
      </c>
      <c r="AC1049" s="51"/>
      <c r="AD1049" s="435"/>
      <c r="AE1049" s="51"/>
      <c r="AF1049" s="51"/>
      <c r="AG1049" s="442"/>
      <c r="AH1049" s="442"/>
      <c r="AI1049" s="443"/>
    </row>
    <row r="1050" spans="1:35" s="32" customFormat="1" ht="27.6">
      <c r="A1050" s="434" t="s">
        <v>942</v>
      </c>
      <c r="B1050" s="457" t="s">
        <v>946</v>
      </c>
      <c r="C1050" s="233">
        <v>44265</v>
      </c>
      <c r="D1050" s="435" t="s">
        <v>1267</v>
      </c>
      <c r="E1050" s="436" t="s">
        <v>1393</v>
      </c>
      <c r="F1050" s="338">
        <v>0.42708333333333331</v>
      </c>
      <c r="G1050" s="338">
        <v>0.4291666666666667</v>
      </c>
      <c r="H1050" s="338" t="s">
        <v>970</v>
      </c>
      <c r="I1050" s="353">
        <v>711</v>
      </c>
      <c r="J1050" s="338" t="str">
        <f>IFERROR(VLOOKUP(I1050,'Chart of accounts'!A:H,2,FALSE),"")</f>
        <v>50102010 01</v>
      </c>
      <c r="K1050" s="338" t="str">
        <f>IFERROR(VLOOKUP(I1050,'Chart of accounts'!A:H,3,FALSE),"")</f>
        <v>PERA - Civilian</v>
      </c>
      <c r="L1050" s="338" t="str">
        <f>IFERROR(VLOOKUP(I1050,'Chart of accounts'!A:H,4,FALSE),"")</f>
        <v>50102010 01 - PERA - Civilian (711)</v>
      </c>
      <c r="M1050" s="361">
        <v>1</v>
      </c>
      <c r="N1050" s="355" t="s">
        <v>1165</v>
      </c>
      <c r="O1050" s="355" t="s">
        <v>1394</v>
      </c>
      <c r="P1050" s="355"/>
      <c r="Q1050" s="363">
        <v>2000</v>
      </c>
      <c r="R1050" s="428">
        <f t="shared" si="33"/>
        <v>-2000</v>
      </c>
      <c r="S1050" s="239" t="str">
        <f>VLOOKUP(H1050,'Fund Utilization Report'!$A$4:$U$1800,13,FALSE)</f>
        <v>PS</v>
      </c>
      <c r="T1050" s="239" t="str">
        <f>VLOOKUP(H1050,'Fund Utilization Report'!$A$4:$U$1800,2,FALSE)</f>
        <v>GAA</v>
      </c>
      <c r="U1050" s="239" t="str">
        <f>VLOOKUP(H1050,'Fund Utilization Report'!$A$4:$U$1800,3,FALSE)</f>
        <v>FY2021, RA11518</v>
      </c>
      <c r="V1050" s="239" t="str">
        <f>VLOOKUP(H1050,'Fund Utilization Report'!$A$4:$U$1800,4,FALSE)</f>
        <v>OO3</v>
      </c>
      <c r="W1050" s="239" t="str">
        <f>VLOOKUP(H1050,'Fund Utilization Report'!$A$4:$U$1800,5,FALSE)</f>
        <v>01101101</v>
      </c>
      <c r="X1050" s="239" t="str">
        <f>VLOOKUP(H1050,'Fund Utilization Report'!$A$4:$U$1800,6,FALSE)</f>
        <v>GOP</v>
      </c>
      <c r="Y1050" s="440" t="str">
        <f>VLOOKUP(H1050,'Fund Utilization Report'!$A$4:$U$1800,7,FALSE)</f>
        <v>PS</v>
      </c>
      <c r="Z1050" s="441">
        <f>VLOOKUP(H1050,'Fund Utilization Report'!$A$4:$U$1800,8,FALSE)</f>
        <v>5010000000</v>
      </c>
      <c r="AA1050" s="239" t="str">
        <f>VLOOKUP(H1050,'Fund Utilization Report'!$A$4:$U$1800,14,FALSE)</f>
        <v>330100100002000</v>
      </c>
      <c r="AB1050" s="242" t="str">
        <f>VLOOKUP(H1050,'Fund Utilization Report'!$A$4:$U$1800,15,FALSE)</f>
        <v>Implementation of the MSME Development Plan and other initiatives to promote the growth of Micro, Small and Medium Enterprises</v>
      </c>
      <c r="AC1050" s="51"/>
      <c r="AD1050" s="435"/>
      <c r="AE1050" s="51"/>
      <c r="AF1050" s="51"/>
      <c r="AG1050" s="442"/>
      <c r="AH1050" s="442"/>
      <c r="AI1050" s="443"/>
    </row>
    <row r="1051" spans="1:35" s="32" customFormat="1" ht="27.6">
      <c r="A1051" s="434" t="s">
        <v>942</v>
      </c>
      <c r="B1051" s="457" t="s">
        <v>946</v>
      </c>
      <c r="C1051" s="233">
        <v>44265</v>
      </c>
      <c r="D1051" s="435" t="s">
        <v>1267</v>
      </c>
      <c r="E1051" s="436" t="s">
        <v>1393</v>
      </c>
      <c r="F1051" s="338">
        <v>0.42708333333333331</v>
      </c>
      <c r="G1051" s="338">
        <v>0.4291666666666667</v>
      </c>
      <c r="H1051" s="338" t="s">
        <v>972</v>
      </c>
      <c r="I1051" s="353">
        <v>731</v>
      </c>
      <c r="J1051" s="338" t="str">
        <f>IFERROR(VLOOKUP(I1051,'Chart of accounts'!A:H,2,FALSE),"")</f>
        <v>50103010 00</v>
      </c>
      <c r="K1051" s="338" t="str">
        <f>IFERROR(VLOOKUP(I1051,'Chart of accounts'!A:H,3,FALSE),"")</f>
        <v>Retirement and Life Insurance Premiums</v>
      </c>
      <c r="L1051" s="338" t="str">
        <f>IFERROR(VLOOKUP(I1051,'Chart of accounts'!A:H,4,FALSE),"")</f>
        <v>50103010 00 - Retirement and Life Insurance Premiums (731)</v>
      </c>
      <c r="M1051" s="361">
        <v>1</v>
      </c>
      <c r="N1051" s="355" t="s">
        <v>1165</v>
      </c>
      <c r="O1051" s="355" t="s">
        <v>1394</v>
      </c>
      <c r="P1051" s="355"/>
      <c r="Q1051" s="363">
        <v>2865.24</v>
      </c>
      <c r="R1051" s="428">
        <f t="shared" si="33"/>
        <v>-2865.24</v>
      </c>
      <c r="S1051" s="239" t="str">
        <f>VLOOKUP(H1051,'Fund Utilization Report'!$A$4:$U$1800,13,FALSE)</f>
        <v>PS</v>
      </c>
      <c r="T1051" s="239" t="str">
        <f>VLOOKUP(H1051,'Fund Utilization Report'!$A$4:$U$1800,2,FALSE)</f>
        <v>GAA</v>
      </c>
      <c r="U1051" s="239" t="str">
        <f>VLOOKUP(H1051,'Fund Utilization Report'!$A$4:$U$1800,3,FALSE)</f>
        <v>FY2021, RA11518</v>
      </c>
      <c r="V1051" s="239" t="str">
        <f>VLOOKUP(H1051,'Fund Utilization Report'!$A$4:$U$1800,4,FALSE)</f>
        <v>OO3</v>
      </c>
      <c r="W1051" s="239" t="str">
        <f>VLOOKUP(H1051,'Fund Utilization Report'!$A$4:$U$1800,5,FALSE)</f>
        <v>01101101</v>
      </c>
      <c r="X1051" s="239" t="str">
        <f>VLOOKUP(H1051,'Fund Utilization Report'!$A$4:$U$1800,6,FALSE)</f>
        <v>GOP</v>
      </c>
      <c r="Y1051" s="440" t="str">
        <f>VLOOKUP(H1051,'Fund Utilization Report'!$A$4:$U$1800,7,FALSE)</f>
        <v>RLIP</v>
      </c>
      <c r="Z1051" s="441" t="str">
        <f>VLOOKUP(H1051,'Fund Utilization Report'!$A$4:$U$1800,8,FALSE)</f>
        <v>50103010-00</v>
      </c>
      <c r="AA1051" s="239" t="str">
        <f>VLOOKUP(H1051,'Fund Utilization Report'!$A$4:$U$1800,14,FALSE)</f>
        <v>330100100002000</v>
      </c>
      <c r="AB1051" s="242" t="str">
        <f>VLOOKUP(H1051,'Fund Utilization Report'!$A$4:$U$1800,15,FALSE)</f>
        <v>Implementation of the MSME Development Plan and other initiatives to promote the growth of Micro, Small and Medium Enterprises</v>
      </c>
      <c r="AC1051" s="51"/>
      <c r="AD1051" s="435"/>
      <c r="AE1051" s="51"/>
      <c r="AF1051" s="51"/>
      <c r="AG1051" s="442"/>
      <c r="AH1051" s="442"/>
      <c r="AI1051" s="443"/>
    </row>
    <row r="1052" spans="1:35" s="32" customFormat="1" ht="27.6">
      <c r="A1052" s="434" t="s">
        <v>942</v>
      </c>
      <c r="B1052" s="457" t="s">
        <v>946</v>
      </c>
      <c r="C1052" s="233">
        <v>44265</v>
      </c>
      <c r="D1052" s="435" t="s">
        <v>1267</v>
      </c>
      <c r="E1052" s="436" t="s">
        <v>1393</v>
      </c>
      <c r="F1052" s="338">
        <v>0.42708333333333331</v>
      </c>
      <c r="G1052" s="338">
        <v>0.4291666666666667</v>
      </c>
      <c r="H1052" s="338" t="s">
        <v>970</v>
      </c>
      <c r="I1052" s="353">
        <v>732</v>
      </c>
      <c r="J1052" s="338" t="str">
        <f>IFERROR(VLOOKUP(I1052,'Chart of accounts'!A:H,2,FALSE),"")</f>
        <v>50103020 01</v>
      </c>
      <c r="K1052" s="338" t="str">
        <f>IFERROR(VLOOKUP(I1052,'Chart of accounts'!A:H,3,FALSE),"")</f>
        <v>Pag-IBIG - Civilian</v>
      </c>
      <c r="L1052" s="338" t="str">
        <f>IFERROR(VLOOKUP(I1052,'Chart of accounts'!A:H,4,FALSE),"")</f>
        <v>50103020 01 - Pag-IBIG - Civilian (732)</v>
      </c>
      <c r="M1052" s="361">
        <v>1</v>
      </c>
      <c r="N1052" s="355" t="s">
        <v>1165</v>
      </c>
      <c r="O1052" s="355" t="s">
        <v>1394</v>
      </c>
      <c r="P1052" s="355"/>
      <c r="Q1052" s="363">
        <v>100</v>
      </c>
      <c r="R1052" s="428">
        <f t="shared" ref="R1052:R1058" si="34">P1052-Q1052</f>
        <v>-100</v>
      </c>
      <c r="S1052" s="239" t="str">
        <f>VLOOKUP(H1052,'Fund Utilization Report'!$A$4:$U$1800,13,FALSE)</f>
        <v>PS</v>
      </c>
      <c r="T1052" s="239" t="str">
        <f>VLOOKUP(H1052,'Fund Utilization Report'!$A$4:$U$1800,2,FALSE)</f>
        <v>GAA</v>
      </c>
      <c r="U1052" s="239" t="str">
        <f>VLOOKUP(H1052,'Fund Utilization Report'!$A$4:$U$1800,3,FALSE)</f>
        <v>FY2021, RA11518</v>
      </c>
      <c r="V1052" s="239" t="str">
        <f>VLOOKUP(H1052,'Fund Utilization Report'!$A$4:$U$1800,4,FALSE)</f>
        <v>OO3</v>
      </c>
      <c r="W1052" s="239" t="str">
        <f>VLOOKUP(H1052,'Fund Utilization Report'!$A$4:$U$1800,5,FALSE)</f>
        <v>01101101</v>
      </c>
      <c r="X1052" s="239" t="str">
        <f>VLOOKUP(H1052,'Fund Utilization Report'!$A$4:$U$1800,6,FALSE)</f>
        <v>GOP</v>
      </c>
      <c r="Y1052" s="440" t="str">
        <f>VLOOKUP(H1052,'Fund Utilization Report'!$A$4:$U$1800,7,FALSE)</f>
        <v>PS</v>
      </c>
      <c r="Z1052" s="441">
        <f>VLOOKUP(H1052,'Fund Utilization Report'!$A$4:$U$1800,8,FALSE)</f>
        <v>5010000000</v>
      </c>
      <c r="AA1052" s="239" t="str">
        <f>VLOOKUP(H1052,'Fund Utilization Report'!$A$4:$U$1800,14,FALSE)</f>
        <v>330100100002000</v>
      </c>
      <c r="AB1052" s="242" t="str">
        <f>VLOOKUP(H1052,'Fund Utilization Report'!$A$4:$U$1800,15,FALSE)</f>
        <v>Implementation of the MSME Development Plan and other initiatives to promote the growth of Micro, Small and Medium Enterprises</v>
      </c>
      <c r="AC1052" s="51"/>
      <c r="AD1052" s="435"/>
      <c r="AE1052" s="51"/>
      <c r="AF1052" s="51"/>
      <c r="AG1052" s="442"/>
      <c r="AH1052" s="442"/>
      <c r="AI1052" s="443"/>
    </row>
    <row r="1053" spans="1:35" s="32" customFormat="1" ht="27.6">
      <c r="A1053" s="434" t="s">
        <v>942</v>
      </c>
      <c r="B1053" s="457" t="s">
        <v>946</v>
      </c>
      <c r="C1053" s="233">
        <v>44265</v>
      </c>
      <c r="D1053" s="435" t="s">
        <v>1267</v>
      </c>
      <c r="E1053" s="436" t="s">
        <v>1393</v>
      </c>
      <c r="F1053" s="338">
        <v>0.42708333333333331</v>
      </c>
      <c r="G1053" s="338">
        <v>0.4291666666666667</v>
      </c>
      <c r="H1053" s="338" t="s">
        <v>970</v>
      </c>
      <c r="I1053" s="353">
        <v>733</v>
      </c>
      <c r="J1053" s="338" t="str">
        <f>IFERROR(VLOOKUP(I1053,'Chart of accounts'!A:H,2,FALSE),"")</f>
        <v>50103030 01</v>
      </c>
      <c r="K1053" s="338" t="str">
        <f>IFERROR(VLOOKUP(I1053,'Chart of accounts'!A:H,3,FALSE),"")</f>
        <v>PhilHealth - Civilian</v>
      </c>
      <c r="L1053" s="338" t="str">
        <f>IFERROR(VLOOKUP(I1053,'Chart of accounts'!A:H,4,FALSE),"")</f>
        <v>50103030 01 - PhilHealth - Civilian (733)</v>
      </c>
      <c r="M1053" s="361">
        <v>1</v>
      </c>
      <c r="N1053" s="355" t="s">
        <v>1165</v>
      </c>
      <c r="O1053" s="355" t="s">
        <v>1394</v>
      </c>
      <c r="P1053" s="355"/>
      <c r="Q1053" s="363">
        <v>358.16</v>
      </c>
      <c r="R1053" s="428">
        <f t="shared" si="34"/>
        <v>-358.16</v>
      </c>
      <c r="S1053" s="239" t="str">
        <f>VLOOKUP(H1053,'Fund Utilization Report'!$A$4:$U$1800,13,FALSE)</f>
        <v>PS</v>
      </c>
      <c r="T1053" s="239" t="str">
        <f>VLOOKUP(H1053,'Fund Utilization Report'!$A$4:$U$1800,2,FALSE)</f>
        <v>GAA</v>
      </c>
      <c r="U1053" s="239" t="str">
        <f>VLOOKUP(H1053,'Fund Utilization Report'!$A$4:$U$1800,3,FALSE)</f>
        <v>FY2021, RA11518</v>
      </c>
      <c r="V1053" s="239" t="str">
        <f>VLOOKUP(H1053,'Fund Utilization Report'!$A$4:$U$1800,4,FALSE)</f>
        <v>OO3</v>
      </c>
      <c r="W1053" s="239" t="str">
        <f>VLOOKUP(H1053,'Fund Utilization Report'!$A$4:$U$1800,5,FALSE)</f>
        <v>01101101</v>
      </c>
      <c r="X1053" s="239" t="str">
        <f>VLOOKUP(H1053,'Fund Utilization Report'!$A$4:$U$1800,6,FALSE)</f>
        <v>GOP</v>
      </c>
      <c r="Y1053" s="440" t="str">
        <f>VLOOKUP(H1053,'Fund Utilization Report'!$A$4:$U$1800,7,FALSE)</f>
        <v>PS</v>
      </c>
      <c r="Z1053" s="441">
        <f>VLOOKUP(H1053,'Fund Utilization Report'!$A$4:$U$1800,8,FALSE)</f>
        <v>5010000000</v>
      </c>
      <c r="AA1053" s="239" t="str">
        <f>VLOOKUP(H1053,'Fund Utilization Report'!$A$4:$U$1800,14,FALSE)</f>
        <v>330100100002000</v>
      </c>
      <c r="AB1053" s="242" t="str">
        <f>VLOOKUP(H1053,'Fund Utilization Report'!$A$4:$U$1800,15,FALSE)</f>
        <v>Implementation of the MSME Development Plan and other initiatives to promote the growth of Micro, Small and Medium Enterprises</v>
      </c>
      <c r="AC1053" s="51"/>
      <c r="AD1053" s="435"/>
      <c r="AE1053" s="51"/>
      <c r="AF1053" s="51"/>
      <c r="AG1053" s="442"/>
      <c r="AH1053" s="442"/>
      <c r="AI1053" s="443"/>
    </row>
    <row r="1054" spans="1:35" s="32" customFormat="1" ht="27.6">
      <c r="A1054" s="434" t="s">
        <v>942</v>
      </c>
      <c r="B1054" s="457" t="s">
        <v>946</v>
      </c>
      <c r="C1054" s="233">
        <v>44265</v>
      </c>
      <c r="D1054" s="435" t="s">
        <v>1267</v>
      </c>
      <c r="E1054" s="436" t="s">
        <v>1393</v>
      </c>
      <c r="F1054" s="338">
        <v>0.42708333333333331</v>
      </c>
      <c r="G1054" s="338">
        <v>0.4291666666666667</v>
      </c>
      <c r="H1054" s="338" t="s">
        <v>970</v>
      </c>
      <c r="I1054" s="353">
        <v>734</v>
      </c>
      <c r="J1054" s="338" t="str">
        <f>IFERROR(VLOOKUP(I1054,'Chart of accounts'!A:H,2,FALSE),"")</f>
        <v>50103040 01</v>
      </c>
      <c r="K1054" s="338" t="str">
        <f>IFERROR(VLOOKUP(I1054,'Chart of accounts'!A:H,3,FALSE),"")</f>
        <v>ECIP - Civilian</v>
      </c>
      <c r="L1054" s="338" t="str">
        <f>IFERROR(VLOOKUP(I1054,'Chart of accounts'!A:H,4,FALSE),"")</f>
        <v>50103040 01 - ECIP - Civilian (734)</v>
      </c>
      <c r="M1054" s="361">
        <v>1</v>
      </c>
      <c r="N1054" s="355" t="s">
        <v>1165</v>
      </c>
      <c r="O1054" s="355" t="s">
        <v>1394</v>
      </c>
      <c r="P1054" s="355"/>
      <c r="Q1054" s="363">
        <v>100</v>
      </c>
      <c r="R1054" s="428">
        <f t="shared" si="34"/>
        <v>-100</v>
      </c>
      <c r="S1054" s="239" t="str">
        <f>VLOOKUP(H1054,'Fund Utilization Report'!$A$4:$U$1800,13,FALSE)</f>
        <v>PS</v>
      </c>
      <c r="T1054" s="239" t="str">
        <f>VLOOKUP(H1054,'Fund Utilization Report'!$A$4:$U$1800,2,FALSE)</f>
        <v>GAA</v>
      </c>
      <c r="U1054" s="239" t="str">
        <f>VLOOKUP(H1054,'Fund Utilization Report'!$A$4:$U$1800,3,FALSE)</f>
        <v>FY2021, RA11518</v>
      </c>
      <c r="V1054" s="239" t="str">
        <f>VLOOKUP(H1054,'Fund Utilization Report'!$A$4:$U$1800,4,FALSE)</f>
        <v>OO3</v>
      </c>
      <c r="W1054" s="239" t="str">
        <f>VLOOKUP(H1054,'Fund Utilization Report'!$A$4:$U$1800,5,FALSE)</f>
        <v>01101101</v>
      </c>
      <c r="X1054" s="239" t="str">
        <f>VLOOKUP(H1054,'Fund Utilization Report'!$A$4:$U$1800,6,FALSE)</f>
        <v>GOP</v>
      </c>
      <c r="Y1054" s="440" t="str">
        <f>VLOOKUP(H1054,'Fund Utilization Report'!$A$4:$U$1800,7,FALSE)</f>
        <v>PS</v>
      </c>
      <c r="Z1054" s="441">
        <f>VLOOKUP(H1054,'Fund Utilization Report'!$A$4:$U$1800,8,FALSE)</f>
        <v>5010000000</v>
      </c>
      <c r="AA1054" s="239" t="str">
        <f>VLOOKUP(H1054,'Fund Utilization Report'!$A$4:$U$1800,14,FALSE)</f>
        <v>330100100002000</v>
      </c>
      <c r="AB1054" s="242" t="str">
        <f>VLOOKUP(H1054,'Fund Utilization Report'!$A$4:$U$1800,15,FALSE)</f>
        <v>Implementation of the MSME Development Plan and other initiatives to promote the growth of Micro, Small and Medium Enterprises</v>
      </c>
      <c r="AC1054" s="51"/>
      <c r="AD1054" s="435"/>
      <c r="AE1054" s="51"/>
      <c r="AF1054" s="51"/>
      <c r="AG1054" s="442"/>
      <c r="AH1054" s="442"/>
      <c r="AI1054" s="443"/>
    </row>
    <row r="1055" spans="1:35" s="32" customFormat="1" ht="27.6">
      <c r="A1055" s="434" t="s">
        <v>942</v>
      </c>
      <c r="B1055" s="457" t="s">
        <v>946</v>
      </c>
      <c r="C1055" s="233">
        <v>44265</v>
      </c>
      <c r="D1055" s="435" t="s">
        <v>1267</v>
      </c>
      <c r="E1055" s="436" t="s">
        <v>1395</v>
      </c>
      <c r="F1055" s="338">
        <v>0.4291666666666667</v>
      </c>
      <c r="G1055" s="338">
        <v>0.43055555555555558</v>
      </c>
      <c r="H1055" s="338" t="s">
        <v>970</v>
      </c>
      <c r="I1055" s="353">
        <v>701</v>
      </c>
      <c r="J1055" s="338" t="str">
        <f>IFERROR(VLOOKUP(I1055,'Chart of accounts'!A:H,2,FALSE),"")</f>
        <v>50101010 01</v>
      </c>
      <c r="K1055" s="338" t="str">
        <f>IFERROR(VLOOKUP(I1055,'Chart of accounts'!A:H,3,FALSE),"")</f>
        <v>Basic Salary - Civilian</v>
      </c>
      <c r="L1055" s="338" t="str">
        <f>IFERROR(VLOOKUP(I1055,'Chart of accounts'!A:H,4,FALSE),"")</f>
        <v>50101010 01 - Basic Salary - Civilian (701)</v>
      </c>
      <c r="M1055" s="361">
        <v>3</v>
      </c>
      <c r="N1055" s="355" t="s">
        <v>1170</v>
      </c>
      <c r="O1055" s="355" t="s">
        <v>1394</v>
      </c>
      <c r="P1055" s="355"/>
      <c r="Q1055" s="363">
        <v>23877</v>
      </c>
      <c r="R1055" s="428">
        <f t="shared" si="34"/>
        <v>-23877</v>
      </c>
      <c r="S1055" s="239" t="str">
        <f>VLOOKUP(H1055,'Fund Utilization Report'!$A$4:$U$1800,13,FALSE)</f>
        <v>PS</v>
      </c>
      <c r="T1055" s="239" t="str">
        <f>VLOOKUP(H1055,'Fund Utilization Report'!$A$4:$U$1800,2,FALSE)</f>
        <v>GAA</v>
      </c>
      <c r="U1055" s="239" t="str">
        <f>VLOOKUP(H1055,'Fund Utilization Report'!$A$4:$U$1800,3,FALSE)</f>
        <v>FY2021, RA11518</v>
      </c>
      <c r="V1055" s="239" t="str">
        <f>VLOOKUP(H1055,'Fund Utilization Report'!$A$4:$U$1800,4,FALSE)</f>
        <v>OO3</v>
      </c>
      <c r="W1055" s="239" t="str">
        <f>VLOOKUP(H1055,'Fund Utilization Report'!$A$4:$U$1800,5,FALSE)</f>
        <v>01101101</v>
      </c>
      <c r="X1055" s="239" t="str">
        <f>VLOOKUP(H1055,'Fund Utilization Report'!$A$4:$U$1800,6,FALSE)</f>
        <v>GOP</v>
      </c>
      <c r="Y1055" s="440" t="str">
        <f>VLOOKUP(H1055,'Fund Utilization Report'!$A$4:$U$1800,7,FALSE)</f>
        <v>PS</v>
      </c>
      <c r="Z1055" s="441">
        <f>VLOOKUP(H1055,'Fund Utilization Report'!$A$4:$U$1800,8,FALSE)</f>
        <v>5010000000</v>
      </c>
      <c r="AA1055" s="239" t="str">
        <f>VLOOKUP(H1055,'Fund Utilization Report'!$A$4:$U$1800,14,FALSE)</f>
        <v>330100100002000</v>
      </c>
      <c r="AB1055" s="242" t="str">
        <f>VLOOKUP(H1055,'Fund Utilization Report'!$A$4:$U$1800,15,FALSE)</f>
        <v>Implementation of the MSME Development Plan and other initiatives to promote the growth of Micro, Small and Medium Enterprises</v>
      </c>
      <c r="AC1055" s="51"/>
      <c r="AD1055" s="435"/>
      <c r="AE1055" s="51"/>
      <c r="AF1055" s="51"/>
      <c r="AG1055" s="442"/>
      <c r="AH1055" s="442"/>
      <c r="AI1055" s="443"/>
    </row>
    <row r="1056" spans="1:35" s="32" customFormat="1" ht="27.6">
      <c r="A1056" s="434" t="s">
        <v>942</v>
      </c>
      <c r="B1056" s="457" t="s">
        <v>946</v>
      </c>
      <c r="C1056" s="233">
        <v>44265</v>
      </c>
      <c r="D1056" s="435" t="s">
        <v>1267</v>
      </c>
      <c r="E1056" s="436" t="s">
        <v>1395</v>
      </c>
      <c r="F1056" s="338">
        <v>0.4291666666666667</v>
      </c>
      <c r="G1056" s="338">
        <v>0.43055555555555558</v>
      </c>
      <c r="H1056" s="338" t="s">
        <v>970</v>
      </c>
      <c r="I1056" s="353">
        <v>711</v>
      </c>
      <c r="J1056" s="338" t="str">
        <f>IFERROR(VLOOKUP(I1056,'Chart of accounts'!A:H,2,FALSE),"")</f>
        <v>50102010 01</v>
      </c>
      <c r="K1056" s="338" t="str">
        <f>IFERROR(VLOOKUP(I1056,'Chart of accounts'!A:H,3,FALSE),"")</f>
        <v>PERA - Civilian</v>
      </c>
      <c r="L1056" s="338" t="str">
        <f>IFERROR(VLOOKUP(I1056,'Chart of accounts'!A:H,4,FALSE),"")</f>
        <v>50102010 01 - PERA - Civilian (711)</v>
      </c>
      <c r="M1056" s="361">
        <v>3</v>
      </c>
      <c r="N1056" s="355" t="s">
        <v>1170</v>
      </c>
      <c r="O1056" s="355" t="s">
        <v>1394</v>
      </c>
      <c r="P1056" s="355"/>
      <c r="Q1056" s="363">
        <v>2000</v>
      </c>
      <c r="R1056" s="428">
        <f t="shared" si="34"/>
        <v>-2000</v>
      </c>
      <c r="S1056" s="239" t="str">
        <f>VLOOKUP(H1056,'Fund Utilization Report'!$A$4:$U$1800,13,FALSE)</f>
        <v>PS</v>
      </c>
      <c r="T1056" s="239" t="str">
        <f>VLOOKUP(H1056,'Fund Utilization Report'!$A$4:$U$1800,2,FALSE)</f>
        <v>GAA</v>
      </c>
      <c r="U1056" s="239" t="str">
        <f>VLOOKUP(H1056,'Fund Utilization Report'!$A$4:$U$1800,3,FALSE)</f>
        <v>FY2021, RA11518</v>
      </c>
      <c r="V1056" s="239" t="str">
        <f>VLOOKUP(H1056,'Fund Utilization Report'!$A$4:$U$1800,4,FALSE)</f>
        <v>OO3</v>
      </c>
      <c r="W1056" s="239" t="str">
        <f>VLOOKUP(H1056,'Fund Utilization Report'!$A$4:$U$1800,5,FALSE)</f>
        <v>01101101</v>
      </c>
      <c r="X1056" s="239" t="str">
        <f>VLOOKUP(H1056,'Fund Utilization Report'!$A$4:$U$1800,6,FALSE)</f>
        <v>GOP</v>
      </c>
      <c r="Y1056" s="440" t="str">
        <f>VLOOKUP(H1056,'Fund Utilization Report'!$A$4:$U$1800,7,FALSE)</f>
        <v>PS</v>
      </c>
      <c r="Z1056" s="441">
        <f>VLOOKUP(H1056,'Fund Utilization Report'!$A$4:$U$1800,8,FALSE)</f>
        <v>5010000000</v>
      </c>
      <c r="AA1056" s="239" t="str">
        <f>VLOOKUP(H1056,'Fund Utilization Report'!$A$4:$U$1800,14,FALSE)</f>
        <v>330100100002000</v>
      </c>
      <c r="AB1056" s="242" t="str">
        <f>VLOOKUP(H1056,'Fund Utilization Report'!$A$4:$U$1800,15,FALSE)</f>
        <v>Implementation of the MSME Development Plan and other initiatives to promote the growth of Micro, Small and Medium Enterprises</v>
      </c>
      <c r="AC1056" s="51"/>
      <c r="AD1056" s="435"/>
      <c r="AE1056" s="51"/>
      <c r="AF1056" s="51"/>
      <c r="AG1056" s="442"/>
      <c r="AH1056" s="442"/>
      <c r="AI1056" s="443"/>
    </row>
    <row r="1057" spans="1:35" s="32" customFormat="1" ht="27.6">
      <c r="A1057" s="434" t="s">
        <v>942</v>
      </c>
      <c r="B1057" s="457" t="s">
        <v>946</v>
      </c>
      <c r="C1057" s="233">
        <v>44265</v>
      </c>
      <c r="D1057" s="435" t="s">
        <v>1267</v>
      </c>
      <c r="E1057" s="436" t="s">
        <v>1395</v>
      </c>
      <c r="F1057" s="338">
        <v>0.4291666666666667</v>
      </c>
      <c r="G1057" s="338">
        <v>0.43055555555555558</v>
      </c>
      <c r="H1057" s="338" t="s">
        <v>972</v>
      </c>
      <c r="I1057" s="353">
        <v>731</v>
      </c>
      <c r="J1057" s="338" t="str">
        <f>IFERROR(VLOOKUP(I1057,'Chart of accounts'!A:H,2,FALSE),"")</f>
        <v>50103010 00</v>
      </c>
      <c r="K1057" s="338" t="str">
        <f>IFERROR(VLOOKUP(I1057,'Chart of accounts'!A:H,3,FALSE),"")</f>
        <v>Retirement and Life Insurance Premiums</v>
      </c>
      <c r="L1057" s="338" t="str">
        <f>IFERROR(VLOOKUP(I1057,'Chart of accounts'!A:H,4,FALSE),"")</f>
        <v>50103010 00 - Retirement and Life Insurance Premiums (731)</v>
      </c>
      <c r="M1057" s="361">
        <v>3</v>
      </c>
      <c r="N1057" s="355" t="s">
        <v>1170</v>
      </c>
      <c r="O1057" s="355" t="s">
        <v>1394</v>
      </c>
      <c r="P1057" s="355"/>
      <c r="Q1057" s="363">
        <v>2865.24</v>
      </c>
      <c r="R1057" s="428">
        <f t="shared" si="34"/>
        <v>-2865.24</v>
      </c>
      <c r="S1057" s="239" t="str">
        <f>VLOOKUP(H1057,'Fund Utilization Report'!$A$4:$U$1800,13,FALSE)</f>
        <v>PS</v>
      </c>
      <c r="T1057" s="239" t="str">
        <f>VLOOKUP(H1057,'Fund Utilization Report'!$A$4:$U$1800,2,FALSE)</f>
        <v>GAA</v>
      </c>
      <c r="U1057" s="239" t="str">
        <f>VLOOKUP(H1057,'Fund Utilization Report'!$A$4:$U$1800,3,FALSE)</f>
        <v>FY2021, RA11518</v>
      </c>
      <c r="V1057" s="239" t="str">
        <f>VLOOKUP(H1057,'Fund Utilization Report'!$A$4:$U$1800,4,FALSE)</f>
        <v>OO3</v>
      </c>
      <c r="W1057" s="239" t="str">
        <f>VLOOKUP(H1057,'Fund Utilization Report'!$A$4:$U$1800,5,FALSE)</f>
        <v>01101101</v>
      </c>
      <c r="X1057" s="239" t="str">
        <f>VLOOKUP(H1057,'Fund Utilization Report'!$A$4:$U$1800,6,FALSE)</f>
        <v>GOP</v>
      </c>
      <c r="Y1057" s="440" t="str">
        <f>VLOOKUP(H1057,'Fund Utilization Report'!$A$4:$U$1800,7,FALSE)</f>
        <v>RLIP</v>
      </c>
      <c r="Z1057" s="441" t="str">
        <f>VLOOKUP(H1057,'Fund Utilization Report'!$A$4:$U$1800,8,FALSE)</f>
        <v>50103010-00</v>
      </c>
      <c r="AA1057" s="239" t="str">
        <f>VLOOKUP(H1057,'Fund Utilization Report'!$A$4:$U$1800,14,FALSE)</f>
        <v>330100100002000</v>
      </c>
      <c r="AB1057" s="242" t="str">
        <f>VLOOKUP(H1057,'Fund Utilization Report'!$A$4:$U$1800,15,FALSE)</f>
        <v>Implementation of the MSME Development Plan and other initiatives to promote the growth of Micro, Small and Medium Enterprises</v>
      </c>
      <c r="AC1057" s="51"/>
      <c r="AD1057" s="435"/>
      <c r="AE1057" s="51"/>
      <c r="AF1057" s="51"/>
      <c r="AG1057" s="442"/>
      <c r="AH1057" s="442"/>
      <c r="AI1057" s="443"/>
    </row>
    <row r="1058" spans="1:35" s="32" customFormat="1" ht="27.6">
      <c r="A1058" s="434" t="s">
        <v>942</v>
      </c>
      <c r="B1058" s="457" t="s">
        <v>946</v>
      </c>
      <c r="C1058" s="233">
        <v>44265</v>
      </c>
      <c r="D1058" s="435" t="s">
        <v>1267</v>
      </c>
      <c r="E1058" s="436" t="s">
        <v>1395</v>
      </c>
      <c r="F1058" s="338">
        <v>0.4291666666666667</v>
      </c>
      <c r="G1058" s="338">
        <v>0.43055555555555558</v>
      </c>
      <c r="H1058" s="338" t="s">
        <v>970</v>
      </c>
      <c r="I1058" s="353">
        <v>732</v>
      </c>
      <c r="J1058" s="338" t="str">
        <f>IFERROR(VLOOKUP(I1058,'Chart of accounts'!A:H,2,FALSE),"")</f>
        <v>50103020 01</v>
      </c>
      <c r="K1058" s="338" t="str">
        <f>IFERROR(VLOOKUP(I1058,'Chart of accounts'!A:H,3,FALSE),"")</f>
        <v>Pag-IBIG - Civilian</v>
      </c>
      <c r="L1058" s="338" t="str">
        <f>IFERROR(VLOOKUP(I1058,'Chart of accounts'!A:H,4,FALSE),"")</f>
        <v>50103020 01 - Pag-IBIG - Civilian (732)</v>
      </c>
      <c r="M1058" s="361">
        <v>3</v>
      </c>
      <c r="N1058" s="355" t="s">
        <v>1170</v>
      </c>
      <c r="O1058" s="355" t="s">
        <v>1394</v>
      </c>
      <c r="P1058" s="355"/>
      <c r="Q1058" s="363">
        <v>100</v>
      </c>
      <c r="R1058" s="428">
        <f t="shared" si="34"/>
        <v>-100</v>
      </c>
      <c r="S1058" s="239" t="str">
        <f>VLOOKUP(H1058,'Fund Utilization Report'!$A$4:$U$1800,13,FALSE)</f>
        <v>PS</v>
      </c>
      <c r="T1058" s="239" t="str">
        <f>VLOOKUP(H1058,'Fund Utilization Report'!$A$4:$U$1800,2,FALSE)</f>
        <v>GAA</v>
      </c>
      <c r="U1058" s="239" t="str">
        <f>VLOOKUP(H1058,'Fund Utilization Report'!$A$4:$U$1800,3,FALSE)</f>
        <v>FY2021, RA11518</v>
      </c>
      <c r="V1058" s="239" t="str">
        <f>VLOOKUP(H1058,'Fund Utilization Report'!$A$4:$U$1800,4,FALSE)</f>
        <v>OO3</v>
      </c>
      <c r="W1058" s="239" t="str">
        <f>VLOOKUP(H1058,'Fund Utilization Report'!$A$4:$U$1800,5,FALSE)</f>
        <v>01101101</v>
      </c>
      <c r="X1058" s="239" t="str">
        <f>VLOOKUP(H1058,'Fund Utilization Report'!$A$4:$U$1800,6,FALSE)</f>
        <v>GOP</v>
      </c>
      <c r="Y1058" s="440" t="str">
        <f>VLOOKUP(H1058,'Fund Utilization Report'!$A$4:$U$1800,7,FALSE)</f>
        <v>PS</v>
      </c>
      <c r="Z1058" s="441">
        <f>VLOOKUP(H1058,'Fund Utilization Report'!$A$4:$U$1800,8,FALSE)</f>
        <v>5010000000</v>
      </c>
      <c r="AA1058" s="239" t="str">
        <f>VLOOKUP(H1058,'Fund Utilization Report'!$A$4:$U$1800,14,FALSE)</f>
        <v>330100100002000</v>
      </c>
      <c r="AB1058" s="242" t="str">
        <f>VLOOKUP(H1058,'Fund Utilization Report'!$A$4:$U$1800,15,FALSE)</f>
        <v>Implementation of the MSME Development Plan and other initiatives to promote the growth of Micro, Small and Medium Enterprises</v>
      </c>
      <c r="AC1058" s="51"/>
      <c r="AD1058" s="435"/>
      <c r="AE1058" s="51"/>
      <c r="AF1058" s="51"/>
      <c r="AG1058" s="442"/>
      <c r="AH1058" s="442"/>
      <c r="AI1058" s="443"/>
    </row>
    <row r="1059" spans="1:35" s="32" customFormat="1" ht="27.6">
      <c r="A1059" s="434" t="s">
        <v>942</v>
      </c>
      <c r="B1059" s="457" t="s">
        <v>946</v>
      </c>
      <c r="C1059" s="233">
        <v>44265</v>
      </c>
      <c r="D1059" s="435" t="s">
        <v>1267</v>
      </c>
      <c r="E1059" s="436" t="s">
        <v>1395</v>
      </c>
      <c r="F1059" s="338">
        <v>0.4291666666666667</v>
      </c>
      <c r="G1059" s="338">
        <v>0.43055555555555558</v>
      </c>
      <c r="H1059" s="338" t="s">
        <v>970</v>
      </c>
      <c r="I1059" s="353">
        <v>733</v>
      </c>
      <c r="J1059" s="338" t="str">
        <f>IFERROR(VLOOKUP(I1059,'Chart of accounts'!A:H,2,FALSE),"")</f>
        <v>50103030 01</v>
      </c>
      <c r="K1059" s="338" t="str">
        <f>IFERROR(VLOOKUP(I1059,'Chart of accounts'!A:H,3,FALSE),"")</f>
        <v>PhilHealth - Civilian</v>
      </c>
      <c r="L1059" s="338" t="str">
        <f>IFERROR(VLOOKUP(I1059,'Chart of accounts'!A:H,4,FALSE),"")</f>
        <v>50103030 01 - PhilHealth - Civilian (733)</v>
      </c>
      <c r="M1059" s="361">
        <v>3</v>
      </c>
      <c r="N1059" s="355" t="s">
        <v>1170</v>
      </c>
      <c r="O1059" s="355" t="s">
        <v>1394</v>
      </c>
      <c r="P1059" s="355"/>
      <c r="Q1059" s="363">
        <v>358.16</v>
      </c>
      <c r="R1059" s="428">
        <f>P1059-Q1059</f>
        <v>-358.16</v>
      </c>
      <c r="S1059" s="239" t="str">
        <f>VLOOKUP(H1059,'Fund Utilization Report'!$A$4:$U$1800,13,FALSE)</f>
        <v>PS</v>
      </c>
      <c r="T1059" s="239" t="str">
        <f>VLOOKUP(H1059,'Fund Utilization Report'!$A$4:$U$1800,2,FALSE)</f>
        <v>GAA</v>
      </c>
      <c r="U1059" s="239" t="str">
        <f>VLOOKUP(H1059,'Fund Utilization Report'!$A$4:$U$1800,3,FALSE)</f>
        <v>FY2021, RA11518</v>
      </c>
      <c r="V1059" s="239" t="str">
        <f>VLOOKUP(H1059,'Fund Utilization Report'!$A$4:$U$1800,4,FALSE)</f>
        <v>OO3</v>
      </c>
      <c r="W1059" s="239" t="str">
        <f>VLOOKUP(H1059,'Fund Utilization Report'!$A$4:$U$1800,5,FALSE)</f>
        <v>01101101</v>
      </c>
      <c r="X1059" s="239" t="str">
        <f>VLOOKUP(H1059,'Fund Utilization Report'!$A$4:$U$1800,6,FALSE)</f>
        <v>GOP</v>
      </c>
      <c r="Y1059" s="440" t="str">
        <f>VLOOKUP(H1059,'Fund Utilization Report'!$A$4:$U$1800,7,FALSE)</f>
        <v>PS</v>
      </c>
      <c r="Z1059" s="441">
        <f>VLOOKUP(H1059,'Fund Utilization Report'!$A$4:$U$1800,8,FALSE)</f>
        <v>5010000000</v>
      </c>
      <c r="AA1059" s="239" t="str">
        <f>VLOOKUP(H1059,'Fund Utilization Report'!$A$4:$U$1800,14,FALSE)</f>
        <v>330100100002000</v>
      </c>
      <c r="AB1059" s="242" t="str">
        <f>VLOOKUP(H1059,'Fund Utilization Report'!$A$4:$U$1800,15,FALSE)</f>
        <v>Implementation of the MSME Development Plan and other initiatives to promote the growth of Micro, Small and Medium Enterprises</v>
      </c>
      <c r="AC1059" s="51"/>
      <c r="AD1059" s="435"/>
      <c r="AE1059" s="51"/>
      <c r="AF1059" s="51"/>
      <c r="AG1059" s="442"/>
      <c r="AH1059" s="442"/>
      <c r="AI1059" s="443"/>
    </row>
    <row r="1060" spans="1:35" s="32" customFormat="1" ht="27.6">
      <c r="A1060" s="434" t="s">
        <v>942</v>
      </c>
      <c r="B1060" s="457" t="s">
        <v>946</v>
      </c>
      <c r="C1060" s="233">
        <v>44265</v>
      </c>
      <c r="D1060" s="435" t="s">
        <v>1267</v>
      </c>
      <c r="E1060" s="436" t="s">
        <v>1395</v>
      </c>
      <c r="F1060" s="338">
        <v>0.4291666666666667</v>
      </c>
      <c r="G1060" s="338">
        <v>0.43055555555555558</v>
      </c>
      <c r="H1060" s="338" t="s">
        <v>970</v>
      </c>
      <c r="I1060" s="353">
        <v>734</v>
      </c>
      <c r="J1060" s="338" t="str">
        <f>IFERROR(VLOOKUP(I1060,'Chart of accounts'!A:H,2,FALSE),"")</f>
        <v>50103040 01</v>
      </c>
      <c r="K1060" s="338" t="str">
        <f>IFERROR(VLOOKUP(I1060,'Chart of accounts'!A:H,3,FALSE),"")</f>
        <v>ECIP - Civilian</v>
      </c>
      <c r="L1060" s="338" t="str">
        <f>IFERROR(VLOOKUP(I1060,'Chart of accounts'!A:H,4,FALSE),"")</f>
        <v>50103040 01 - ECIP - Civilian (734)</v>
      </c>
      <c r="M1060" s="361">
        <v>3</v>
      </c>
      <c r="N1060" s="355" t="s">
        <v>1170</v>
      </c>
      <c r="O1060" s="355" t="s">
        <v>1394</v>
      </c>
      <c r="P1060" s="355"/>
      <c r="Q1060" s="363">
        <v>100</v>
      </c>
      <c r="R1060" s="428">
        <f>P1060-Q1060</f>
        <v>-100</v>
      </c>
      <c r="S1060" s="239" t="str">
        <f>VLOOKUP(H1060,'Fund Utilization Report'!$A$4:$U$1800,13,FALSE)</f>
        <v>PS</v>
      </c>
      <c r="T1060" s="239" t="str">
        <f>VLOOKUP(H1060,'Fund Utilization Report'!$A$4:$U$1800,2,FALSE)</f>
        <v>GAA</v>
      </c>
      <c r="U1060" s="239" t="str">
        <f>VLOOKUP(H1060,'Fund Utilization Report'!$A$4:$U$1800,3,FALSE)</f>
        <v>FY2021, RA11518</v>
      </c>
      <c r="V1060" s="239" t="str">
        <f>VLOOKUP(H1060,'Fund Utilization Report'!$A$4:$U$1800,4,FALSE)</f>
        <v>OO3</v>
      </c>
      <c r="W1060" s="239" t="str">
        <f>VLOOKUP(H1060,'Fund Utilization Report'!$A$4:$U$1800,5,FALSE)</f>
        <v>01101101</v>
      </c>
      <c r="X1060" s="239" t="str">
        <f>VLOOKUP(H1060,'Fund Utilization Report'!$A$4:$U$1800,6,FALSE)</f>
        <v>GOP</v>
      </c>
      <c r="Y1060" s="440" t="str">
        <f>VLOOKUP(H1060,'Fund Utilization Report'!$A$4:$U$1800,7,FALSE)</f>
        <v>PS</v>
      </c>
      <c r="Z1060" s="441">
        <f>VLOOKUP(H1060,'Fund Utilization Report'!$A$4:$U$1800,8,FALSE)</f>
        <v>5010000000</v>
      </c>
      <c r="AA1060" s="239" t="str">
        <f>VLOOKUP(H1060,'Fund Utilization Report'!$A$4:$U$1800,14,FALSE)</f>
        <v>330100100002000</v>
      </c>
      <c r="AB1060" s="242" t="str">
        <f>VLOOKUP(H1060,'Fund Utilization Report'!$A$4:$U$1800,15,FALSE)</f>
        <v>Implementation of the MSME Development Plan and other initiatives to promote the growth of Micro, Small and Medium Enterprises</v>
      </c>
      <c r="AC1060" s="51"/>
      <c r="AD1060" s="435"/>
      <c r="AE1060" s="51"/>
      <c r="AF1060" s="51"/>
      <c r="AG1060" s="442"/>
      <c r="AH1060" s="442"/>
      <c r="AI1060" s="443"/>
    </row>
    <row r="1061" spans="1:35" s="32" customFormat="1" ht="27.6">
      <c r="A1061" s="434" t="s">
        <v>942</v>
      </c>
      <c r="B1061" s="457" t="s">
        <v>946</v>
      </c>
      <c r="C1061" s="233">
        <v>44265</v>
      </c>
      <c r="D1061" s="435" t="s">
        <v>1267</v>
      </c>
      <c r="E1061" s="436" t="s">
        <v>1396</v>
      </c>
      <c r="F1061" s="338">
        <v>0.43055555555555558</v>
      </c>
      <c r="G1061" s="338">
        <v>0.43124999999999997</v>
      </c>
      <c r="H1061" s="338" t="s">
        <v>970</v>
      </c>
      <c r="I1061" s="353">
        <v>701</v>
      </c>
      <c r="J1061" s="338" t="str">
        <f>IFERROR(VLOOKUP(I1061,'Chart of accounts'!A:H,2,FALSE),"")</f>
        <v>50101010 01</v>
      </c>
      <c r="K1061" s="338" t="str">
        <f>IFERROR(VLOOKUP(I1061,'Chart of accounts'!A:H,3,FALSE),"")</f>
        <v>Basic Salary - Civilian</v>
      </c>
      <c r="L1061" s="338" t="str">
        <f>IFERROR(VLOOKUP(I1061,'Chart of accounts'!A:H,4,FALSE),"")</f>
        <v>50101010 01 - Basic Salary - Civilian (701)</v>
      </c>
      <c r="M1061" s="361">
        <v>85</v>
      </c>
      <c r="N1061" s="355" t="s">
        <v>1174</v>
      </c>
      <c r="O1061" s="355" t="s">
        <v>1394</v>
      </c>
      <c r="P1061" s="355"/>
      <c r="Q1061" s="363">
        <v>23877</v>
      </c>
      <c r="R1061" s="428">
        <f t="shared" ref="R1061:R1066" si="35">P1061-Q1061</f>
        <v>-23877</v>
      </c>
      <c r="S1061" s="239" t="str">
        <f>VLOOKUP(H1061,'Fund Utilization Report'!$A$4:$U$1800,13,FALSE)</f>
        <v>PS</v>
      </c>
      <c r="T1061" s="239" t="str">
        <f>VLOOKUP(H1061,'Fund Utilization Report'!$A$4:$U$1800,2,FALSE)</f>
        <v>GAA</v>
      </c>
      <c r="U1061" s="239" t="str">
        <f>VLOOKUP(H1061,'Fund Utilization Report'!$A$4:$U$1800,3,FALSE)</f>
        <v>FY2021, RA11518</v>
      </c>
      <c r="V1061" s="239" t="str">
        <f>VLOOKUP(H1061,'Fund Utilization Report'!$A$4:$U$1800,4,FALSE)</f>
        <v>OO3</v>
      </c>
      <c r="W1061" s="239" t="str">
        <f>VLOOKUP(H1061,'Fund Utilization Report'!$A$4:$U$1800,5,FALSE)</f>
        <v>01101101</v>
      </c>
      <c r="X1061" s="239" t="str">
        <f>VLOOKUP(H1061,'Fund Utilization Report'!$A$4:$U$1800,6,FALSE)</f>
        <v>GOP</v>
      </c>
      <c r="Y1061" s="440" t="str">
        <f>VLOOKUP(H1061,'Fund Utilization Report'!$A$4:$U$1800,7,FALSE)</f>
        <v>PS</v>
      </c>
      <c r="Z1061" s="441">
        <f>VLOOKUP(H1061,'Fund Utilization Report'!$A$4:$U$1800,8,FALSE)</f>
        <v>5010000000</v>
      </c>
      <c r="AA1061" s="239" t="str">
        <f>VLOOKUP(H1061,'Fund Utilization Report'!$A$4:$U$1800,14,FALSE)</f>
        <v>330100100002000</v>
      </c>
      <c r="AB1061" s="242" t="str">
        <f>VLOOKUP(H1061,'Fund Utilization Report'!$A$4:$U$1800,15,FALSE)</f>
        <v>Implementation of the MSME Development Plan and other initiatives to promote the growth of Micro, Small and Medium Enterprises</v>
      </c>
      <c r="AC1061" s="51"/>
      <c r="AD1061" s="435"/>
      <c r="AE1061" s="51"/>
      <c r="AF1061" s="51"/>
      <c r="AG1061" s="442"/>
      <c r="AH1061" s="442"/>
      <c r="AI1061" s="443"/>
    </row>
    <row r="1062" spans="1:35" s="32" customFormat="1" ht="27.6">
      <c r="A1062" s="434" t="s">
        <v>942</v>
      </c>
      <c r="B1062" s="457" t="s">
        <v>946</v>
      </c>
      <c r="C1062" s="233">
        <v>44265</v>
      </c>
      <c r="D1062" s="435" t="s">
        <v>1267</v>
      </c>
      <c r="E1062" s="436" t="s">
        <v>1396</v>
      </c>
      <c r="F1062" s="338">
        <v>0.43055555555555558</v>
      </c>
      <c r="G1062" s="338">
        <v>0.43124999999999997</v>
      </c>
      <c r="H1062" s="338" t="s">
        <v>970</v>
      </c>
      <c r="I1062" s="353">
        <v>711</v>
      </c>
      <c r="J1062" s="338" t="str">
        <f>IFERROR(VLOOKUP(I1062,'Chart of accounts'!A:H,2,FALSE),"")</f>
        <v>50102010 01</v>
      </c>
      <c r="K1062" s="338" t="str">
        <f>IFERROR(VLOOKUP(I1062,'Chart of accounts'!A:H,3,FALSE),"")</f>
        <v>PERA - Civilian</v>
      </c>
      <c r="L1062" s="338" t="str">
        <f>IFERROR(VLOOKUP(I1062,'Chart of accounts'!A:H,4,FALSE),"")</f>
        <v>50102010 01 - PERA - Civilian (711)</v>
      </c>
      <c r="M1062" s="361">
        <v>85</v>
      </c>
      <c r="N1062" s="355" t="s">
        <v>1174</v>
      </c>
      <c r="O1062" s="355" t="s">
        <v>1394</v>
      </c>
      <c r="P1062" s="355"/>
      <c r="Q1062" s="363">
        <v>2000</v>
      </c>
      <c r="R1062" s="428">
        <f t="shared" si="35"/>
        <v>-2000</v>
      </c>
      <c r="S1062" s="239" t="str">
        <f>VLOOKUP(H1062,'Fund Utilization Report'!$A$4:$U$1800,13,FALSE)</f>
        <v>PS</v>
      </c>
      <c r="T1062" s="239" t="str">
        <f>VLOOKUP(H1062,'Fund Utilization Report'!$A$4:$U$1800,2,FALSE)</f>
        <v>GAA</v>
      </c>
      <c r="U1062" s="239" t="str">
        <f>VLOOKUP(H1062,'Fund Utilization Report'!$A$4:$U$1800,3,FALSE)</f>
        <v>FY2021, RA11518</v>
      </c>
      <c r="V1062" s="239" t="str">
        <f>VLOOKUP(H1062,'Fund Utilization Report'!$A$4:$U$1800,4,FALSE)</f>
        <v>OO3</v>
      </c>
      <c r="W1062" s="239" t="str">
        <f>VLOOKUP(H1062,'Fund Utilization Report'!$A$4:$U$1800,5,FALSE)</f>
        <v>01101101</v>
      </c>
      <c r="X1062" s="239" t="str">
        <f>VLOOKUP(H1062,'Fund Utilization Report'!$A$4:$U$1800,6,FALSE)</f>
        <v>GOP</v>
      </c>
      <c r="Y1062" s="440" t="str">
        <f>VLOOKUP(H1062,'Fund Utilization Report'!$A$4:$U$1800,7,FALSE)</f>
        <v>PS</v>
      </c>
      <c r="Z1062" s="441">
        <f>VLOOKUP(H1062,'Fund Utilization Report'!$A$4:$U$1800,8,FALSE)</f>
        <v>5010000000</v>
      </c>
      <c r="AA1062" s="239" t="str">
        <f>VLOOKUP(H1062,'Fund Utilization Report'!$A$4:$U$1800,14,FALSE)</f>
        <v>330100100002000</v>
      </c>
      <c r="AB1062" s="242" t="str">
        <f>VLOOKUP(H1062,'Fund Utilization Report'!$A$4:$U$1800,15,FALSE)</f>
        <v>Implementation of the MSME Development Plan and other initiatives to promote the growth of Micro, Small and Medium Enterprises</v>
      </c>
      <c r="AC1062" s="51"/>
      <c r="AD1062" s="435"/>
      <c r="AE1062" s="51"/>
      <c r="AF1062" s="51"/>
      <c r="AG1062" s="442"/>
      <c r="AH1062" s="442"/>
      <c r="AI1062" s="443"/>
    </row>
    <row r="1063" spans="1:35" s="32" customFormat="1" ht="27.6">
      <c r="A1063" s="434" t="s">
        <v>942</v>
      </c>
      <c r="B1063" s="457" t="s">
        <v>946</v>
      </c>
      <c r="C1063" s="233">
        <v>44265</v>
      </c>
      <c r="D1063" s="435" t="s">
        <v>1267</v>
      </c>
      <c r="E1063" s="436" t="s">
        <v>1396</v>
      </c>
      <c r="F1063" s="338">
        <v>0.43055555555555558</v>
      </c>
      <c r="G1063" s="338">
        <v>0.43124999999999997</v>
      </c>
      <c r="H1063" s="338" t="s">
        <v>972</v>
      </c>
      <c r="I1063" s="353">
        <v>731</v>
      </c>
      <c r="J1063" s="338" t="str">
        <f>IFERROR(VLOOKUP(I1063,'Chart of accounts'!A:H,2,FALSE),"")</f>
        <v>50103010 00</v>
      </c>
      <c r="K1063" s="338" t="str">
        <f>IFERROR(VLOOKUP(I1063,'Chart of accounts'!A:H,3,FALSE),"")</f>
        <v>Retirement and Life Insurance Premiums</v>
      </c>
      <c r="L1063" s="338" t="str">
        <f>IFERROR(VLOOKUP(I1063,'Chart of accounts'!A:H,4,FALSE),"")</f>
        <v>50103010 00 - Retirement and Life Insurance Premiums (731)</v>
      </c>
      <c r="M1063" s="361">
        <v>85</v>
      </c>
      <c r="N1063" s="355" t="s">
        <v>1174</v>
      </c>
      <c r="O1063" s="355" t="s">
        <v>1394</v>
      </c>
      <c r="P1063" s="355"/>
      <c r="Q1063" s="363">
        <v>2865.24</v>
      </c>
      <c r="R1063" s="428">
        <f t="shared" si="35"/>
        <v>-2865.24</v>
      </c>
      <c r="S1063" s="239" t="str">
        <f>VLOOKUP(H1063,'Fund Utilization Report'!$A$4:$U$1800,13,FALSE)</f>
        <v>PS</v>
      </c>
      <c r="T1063" s="239" t="str">
        <f>VLOOKUP(H1063,'Fund Utilization Report'!$A$4:$U$1800,2,FALSE)</f>
        <v>GAA</v>
      </c>
      <c r="U1063" s="239" t="str">
        <f>VLOOKUP(H1063,'Fund Utilization Report'!$A$4:$U$1800,3,FALSE)</f>
        <v>FY2021, RA11518</v>
      </c>
      <c r="V1063" s="239" t="str">
        <f>VLOOKUP(H1063,'Fund Utilization Report'!$A$4:$U$1800,4,FALSE)</f>
        <v>OO3</v>
      </c>
      <c r="W1063" s="239" t="str">
        <f>VLOOKUP(H1063,'Fund Utilization Report'!$A$4:$U$1800,5,FALSE)</f>
        <v>01101101</v>
      </c>
      <c r="X1063" s="239" t="str">
        <f>VLOOKUP(H1063,'Fund Utilization Report'!$A$4:$U$1800,6,FALSE)</f>
        <v>GOP</v>
      </c>
      <c r="Y1063" s="440" t="str">
        <f>VLOOKUP(H1063,'Fund Utilization Report'!$A$4:$U$1800,7,FALSE)</f>
        <v>RLIP</v>
      </c>
      <c r="Z1063" s="441" t="str">
        <f>VLOOKUP(H1063,'Fund Utilization Report'!$A$4:$U$1800,8,FALSE)</f>
        <v>50103010-00</v>
      </c>
      <c r="AA1063" s="239" t="str">
        <f>VLOOKUP(H1063,'Fund Utilization Report'!$A$4:$U$1800,14,FALSE)</f>
        <v>330100100002000</v>
      </c>
      <c r="AB1063" s="242" t="str">
        <f>VLOOKUP(H1063,'Fund Utilization Report'!$A$4:$U$1800,15,FALSE)</f>
        <v>Implementation of the MSME Development Plan and other initiatives to promote the growth of Micro, Small and Medium Enterprises</v>
      </c>
      <c r="AC1063" s="51"/>
      <c r="AD1063" s="435"/>
      <c r="AE1063" s="51"/>
      <c r="AF1063" s="51"/>
      <c r="AG1063" s="442"/>
      <c r="AH1063" s="442"/>
      <c r="AI1063" s="443"/>
    </row>
    <row r="1064" spans="1:35" s="32" customFormat="1" ht="27.6">
      <c r="A1064" s="434" t="s">
        <v>942</v>
      </c>
      <c r="B1064" s="457" t="s">
        <v>946</v>
      </c>
      <c r="C1064" s="233">
        <v>44265</v>
      </c>
      <c r="D1064" s="435" t="s">
        <v>1267</v>
      </c>
      <c r="E1064" s="436" t="s">
        <v>1396</v>
      </c>
      <c r="F1064" s="338">
        <v>0.43055555555555558</v>
      </c>
      <c r="G1064" s="338">
        <v>0.43124999999999997</v>
      </c>
      <c r="H1064" s="338" t="s">
        <v>970</v>
      </c>
      <c r="I1064" s="353">
        <v>732</v>
      </c>
      <c r="J1064" s="338" t="str">
        <f>IFERROR(VLOOKUP(I1064,'Chart of accounts'!A:H,2,FALSE),"")</f>
        <v>50103020 01</v>
      </c>
      <c r="K1064" s="338" t="str">
        <f>IFERROR(VLOOKUP(I1064,'Chart of accounts'!A:H,3,FALSE),"")</f>
        <v>Pag-IBIG - Civilian</v>
      </c>
      <c r="L1064" s="338" t="str">
        <f>IFERROR(VLOOKUP(I1064,'Chart of accounts'!A:H,4,FALSE),"")</f>
        <v>50103020 01 - Pag-IBIG - Civilian (732)</v>
      </c>
      <c r="M1064" s="361">
        <v>85</v>
      </c>
      <c r="N1064" s="355" t="s">
        <v>1174</v>
      </c>
      <c r="O1064" s="355" t="s">
        <v>1394</v>
      </c>
      <c r="P1064" s="355"/>
      <c r="Q1064" s="363">
        <v>100</v>
      </c>
      <c r="R1064" s="428">
        <f t="shared" si="35"/>
        <v>-100</v>
      </c>
      <c r="S1064" s="239" t="str">
        <f>VLOOKUP(H1064,'Fund Utilization Report'!$A$4:$U$1800,13,FALSE)</f>
        <v>PS</v>
      </c>
      <c r="T1064" s="239" t="str">
        <f>VLOOKUP(H1064,'Fund Utilization Report'!$A$4:$U$1800,2,FALSE)</f>
        <v>GAA</v>
      </c>
      <c r="U1064" s="239" t="str">
        <f>VLOOKUP(H1064,'Fund Utilization Report'!$A$4:$U$1800,3,FALSE)</f>
        <v>FY2021, RA11518</v>
      </c>
      <c r="V1064" s="239" t="str">
        <f>VLOOKUP(H1064,'Fund Utilization Report'!$A$4:$U$1800,4,FALSE)</f>
        <v>OO3</v>
      </c>
      <c r="W1064" s="239" t="str">
        <f>VLOOKUP(H1064,'Fund Utilization Report'!$A$4:$U$1800,5,FALSE)</f>
        <v>01101101</v>
      </c>
      <c r="X1064" s="239" t="str">
        <f>VLOOKUP(H1064,'Fund Utilization Report'!$A$4:$U$1800,6,FALSE)</f>
        <v>GOP</v>
      </c>
      <c r="Y1064" s="440" t="str">
        <f>VLOOKUP(H1064,'Fund Utilization Report'!$A$4:$U$1800,7,FALSE)</f>
        <v>PS</v>
      </c>
      <c r="Z1064" s="441">
        <f>VLOOKUP(H1064,'Fund Utilization Report'!$A$4:$U$1800,8,FALSE)</f>
        <v>5010000000</v>
      </c>
      <c r="AA1064" s="239" t="str">
        <f>VLOOKUP(H1064,'Fund Utilization Report'!$A$4:$U$1800,14,FALSE)</f>
        <v>330100100002000</v>
      </c>
      <c r="AB1064" s="242" t="str">
        <f>VLOOKUP(H1064,'Fund Utilization Report'!$A$4:$U$1800,15,FALSE)</f>
        <v>Implementation of the MSME Development Plan and other initiatives to promote the growth of Micro, Small and Medium Enterprises</v>
      </c>
      <c r="AC1064" s="51"/>
      <c r="AD1064" s="435"/>
      <c r="AE1064" s="51"/>
      <c r="AF1064" s="51"/>
      <c r="AG1064" s="442"/>
      <c r="AH1064" s="442"/>
      <c r="AI1064" s="443"/>
    </row>
    <row r="1065" spans="1:35" s="32" customFormat="1" ht="27.6">
      <c r="A1065" s="434" t="s">
        <v>942</v>
      </c>
      <c r="B1065" s="457" t="s">
        <v>946</v>
      </c>
      <c r="C1065" s="233">
        <v>44265</v>
      </c>
      <c r="D1065" s="435" t="s">
        <v>1267</v>
      </c>
      <c r="E1065" s="436" t="s">
        <v>1396</v>
      </c>
      <c r="F1065" s="338">
        <v>0.43055555555555558</v>
      </c>
      <c r="G1065" s="338">
        <v>0.43124999999999997</v>
      </c>
      <c r="H1065" s="338" t="s">
        <v>970</v>
      </c>
      <c r="I1065" s="353">
        <v>733</v>
      </c>
      <c r="J1065" s="338" t="str">
        <f>IFERROR(VLOOKUP(I1065,'Chart of accounts'!A:H,2,FALSE),"")</f>
        <v>50103030 01</v>
      </c>
      <c r="K1065" s="338" t="str">
        <f>IFERROR(VLOOKUP(I1065,'Chart of accounts'!A:H,3,FALSE),"")</f>
        <v>PhilHealth - Civilian</v>
      </c>
      <c r="L1065" s="338" t="str">
        <f>IFERROR(VLOOKUP(I1065,'Chart of accounts'!A:H,4,FALSE),"")</f>
        <v>50103030 01 - PhilHealth - Civilian (733)</v>
      </c>
      <c r="M1065" s="361">
        <v>85</v>
      </c>
      <c r="N1065" s="355" t="s">
        <v>1174</v>
      </c>
      <c r="O1065" s="355" t="s">
        <v>1394</v>
      </c>
      <c r="P1065" s="355"/>
      <c r="Q1065" s="363">
        <v>358.16</v>
      </c>
      <c r="R1065" s="428">
        <f t="shared" si="35"/>
        <v>-358.16</v>
      </c>
      <c r="S1065" s="239" t="str">
        <f>VLOOKUP(H1065,'Fund Utilization Report'!$A$4:$U$1800,13,FALSE)</f>
        <v>PS</v>
      </c>
      <c r="T1065" s="239" t="str">
        <f>VLOOKUP(H1065,'Fund Utilization Report'!$A$4:$U$1800,2,FALSE)</f>
        <v>GAA</v>
      </c>
      <c r="U1065" s="239" t="str">
        <f>VLOOKUP(H1065,'Fund Utilization Report'!$A$4:$U$1800,3,FALSE)</f>
        <v>FY2021, RA11518</v>
      </c>
      <c r="V1065" s="239" t="str">
        <f>VLOOKUP(H1065,'Fund Utilization Report'!$A$4:$U$1800,4,FALSE)</f>
        <v>OO3</v>
      </c>
      <c r="W1065" s="239" t="str">
        <f>VLOOKUP(H1065,'Fund Utilization Report'!$A$4:$U$1800,5,FALSE)</f>
        <v>01101101</v>
      </c>
      <c r="X1065" s="239" t="str">
        <f>VLOOKUP(H1065,'Fund Utilization Report'!$A$4:$U$1800,6,FALSE)</f>
        <v>GOP</v>
      </c>
      <c r="Y1065" s="440" t="str">
        <f>VLOOKUP(H1065,'Fund Utilization Report'!$A$4:$U$1800,7,FALSE)</f>
        <v>PS</v>
      </c>
      <c r="Z1065" s="441">
        <f>VLOOKUP(H1065,'Fund Utilization Report'!$A$4:$U$1800,8,FALSE)</f>
        <v>5010000000</v>
      </c>
      <c r="AA1065" s="239" t="str">
        <f>VLOOKUP(H1065,'Fund Utilization Report'!$A$4:$U$1800,14,FALSE)</f>
        <v>330100100002000</v>
      </c>
      <c r="AB1065" s="242" t="str">
        <f>VLOOKUP(H1065,'Fund Utilization Report'!$A$4:$U$1800,15,FALSE)</f>
        <v>Implementation of the MSME Development Plan and other initiatives to promote the growth of Micro, Small and Medium Enterprises</v>
      </c>
      <c r="AC1065" s="51"/>
      <c r="AD1065" s="435"/>
      <c r="AE1065" s="51"/>
      <c r="AF1065" s="51"/>
      <c r="AG1065" s="442"/>
      <c r="AH1065" s="442"/>
      <c r="AI1065" s="443"/>
    </row>
    <row r="1066" spans="1:35" s="32" customFormat="1" ht="27.6">
      <c r="A1066" s="434" t="s">
        <v>942</v>
      </c>
      <c r="B1066" s="457" t="s">
        <v>946</v>
      </c>
      <c r="C1066" s="233">
        <v>44265</v>
      </c>
      <c r="D1066" s="435" t="s">
        <v>1267</v>
      </c>
      <c r="E1066" s="436" t="s">
        <v>1396</v>
      </c>
      <c r="F1066" s="338">
        <v>0.43055555555555558</v>
      </c>
      <c r="G1066" s="338">
        <v>0.43124999999999997</v>
      </c>
      <c r="H1066" s="338" t="s">
        <v>970</v>
      </c>
      <c r="I1066" s="353">
        <v>734</v>
      </c>
      <c r="J1066" s="338" t="str">
        <f>IFERROR(VLOOKUP(I1066,'Chart of accounts'!A:H,2,FALSE),"")</f>
        <v>50103040 01</v>
      </c>
      <c r="K1066" s="338" t="str">
        <f>IFERROR(VLOOKUP(I1066,'Chart of accounts'!A:H,3,FALSE),"")</f>
        <v>ECIP - Civilian</v>
      </c>
      <c r="L1066" s="338" t="str">
        <f>IFERROR(VLOOKUP(I1066,'Chart of accounts'!A:H,4,FALSE),"")</f>
        <v>50103040 01 - ECIP - Civilian (734)</v>
      </c>
      <c r="M1066" s="361">
        <v>85</v>
      </c>
      <c r="N1066" s="355" t="s">
        <v>1174</v>
      </c>
      <c r="O1066" s="355" t="s">
        <v>1394</v>
      </c>
      <c r="P1066" s="355"/>
      <c r="Q1066" s="363">
        <v>100</v>
      </c>
      <c r="R1066" s="428">
        <f t="shared" si="35"/>
        <v>-100</v>
      </c>
      <c r="S1066" s="239" t="str">
        <f>VLOOKUP(H1066,'Fund Utilization Report'!$A$4:$U$1800,13,FALSE)</f>
        <v>PS</v>
      </c>
      <c r="T1066" s="239" t="str">
        <f>VLOOKUP(H1066,'Fund Utilization Report'!$A$4:$U$1800,2,FALSE)</f>
        <v>GAA</v>
      </c>
      <c r="U1066" s="239" t="str">
        <f>VLOOKUP(H1066,'Fund Utilization Report'!$A$4:$U$1800,3,FALSE)</f>
        <v>FY2021, RA11518</v>
      </c>
      <c r="V1066" s="239" t="str">
        <f>VLOOKUP(H1066,'Fund Utilization Report'!$A$4:$U$1800,4,FALSE)</f>
        <v>OO3</v>
      </c>
      <c r="W1066" s="239" t="str">
        <f>VLOOKUP(H1066,'Fund Utilization Report'!$A$4:$U$1800,5,FALSE)</f>
        <v>01101101</v>
      </c>
      <c r="X1066" s="239" t="str">
        <f>VLOOKUP(H1066,'Fund Utilization Report'!$A$4:$U$1800,6,FALSE)</f>
        <v>GOP</v>
      </c>
      <c r="Y1066" s="440" t="str">
        <f>VLOOKUP(H1066,'Fund Utilization Report'!$A$4:$U$1800,7,FALSE)</f>
        <v>PS</v>
      </c>
      <c r="Z1066" s="441">
        <f>VLOOKUP(H1066,'Fund Utilization Report'!$A$4:$U$1800,8,FALSE)</f>
        <v>5010000000</v>
      </c>
      <c r="AA1066" s="239" t="str">
        <f>VLOOKUP(H1066,'Fund Utilization Report'!$A$4:$U$1800,14,FALSE)</f>
        <v>330100100002000</v>
      </c>
      <c r="AB1066" s="242" t="str">
        <f>VLOOKUP(H1066,'Fund Utilization Report'!$A$4:$U$1800,15,FALSE)</f>
        <v>Implementation of the MSME Development Plan and other initiatives to promote the growth of Micro, Small and Medium Enterprises</v>
      </c>
      <c r="AC1066" s="51"/>
      <c r="AD1066" s="435"/>
      <c r="AE1066" s="51"/>
      <c r="AF1066" s="51"/>
      <c r="AG1066" s="442"/>
      <c r="AH1066" s="442"/>
      <c r="AI1066" s="443"/>
    </row>
    <row r="1067" spans="1:35" s="32" customFormat="1" ht="27.6">
      <c r="A1067" s="434" t="s">
        <v>942</v>
      </c>
      <c r="B1067" s="457" t="s">
        <v>946</v>
      </c>
      <c r="C1067" s="233">
        <v>44265</v>
      </c>
      <c r="D1067" s="435" t="s">
        <v>1267</v>
      </c>
      <c r="E1067" s="436" t="s">
        <v>1397</v>
      </c>
      <c r="F1067" s="338">
        <v>0.43124999999999997</v>
      </c>
      <c r="G1067" s="338">
        <v>0.43333333333333335</v>
      </c>
      <c r="H1067" s="338" t="s">
        <v>970</v>
      </c>
      <c r="I1067" s="353">
        <v>701</v>
      </c>
      <c r="J1067" s="338" t="str">
        <f>IFERROR(VLOOKUP(I1067,'Chart of accounts'!A:H,2,FALSE),"")</f>
        <v>50101010 01</v>
      </c>
      <c r="K1067" s="338" t="str">
        <f>IFERROR(VLOOKUP(I1067,'Chart of accounts'!A:H,3,FALSE),"")</f>
        <v>Basic Salary - Civilian</v>
      </c>
      <c r="L1067" s="338" t="str">
        <f>IFERROR(VLOOKUP(I1067,'Chart of accounts'!A:H,4,FALSE),"")</f>
        <v>50101010 01 - Basic Salary - Civilian (701)</v>
      </c>
      <c r="M1067" s="361">
        <v>68</v>
      </c>
      <c r="N1067" s="355" t="s">
        <v>1176</v>
      </c>
      <c r="O1067" s="355" t="s">
        <v>1394</v>
      </c>
      <c r="P1067" s="355"/>
      <c r="Q1067" s="363">
        <v>23877</v>
      </c>
      <c r="R1067" s="428">
        <f t="shared" ref="R1067:R1072" si="36">P1067-Q1067</f>
        <v>-23877</v>
      </c>
      <c r="S1067" s="239" t="str">
        <f>VLOOKUP(H1067,'Fund Utilization Report'!$A$4:$U$1800,13,FALSE)</f>
        <v>PS</v>
      </c>
      <c r="T1067" s="239" t="str">
        <f>VLOOKUP(H1067,'Fund Utilization Report'!$A$4:$U$1800,2,FALSE)</f>
        <v>GAA</v>
      </c>
      <c r="U1067" s="239" t="str">
        <f>VLOOKUP(H1067,'Fund Utilization Report'!$A$4:$U$1800,3,FALSE)</f>
        <v>FY2021, RA11518</v>
      </c>
      <c r="V1067" s="239" t="str">
        <f>VLOOKUP(H1067,'Fund Utilization Report'!$A$4:$U$1800,4,FALSE)</f>
        <v>OO3</v>
      </c>
      <c r="W1067" s="239" t="str">
        <f>VLOOKUP(H1067,'Fund Utilization Report'!$A$4:$U$1800,5,FALSE)</f>
        <v>01101101</v>
      </c>
      <c r="X1067" s="239" t="str">
        <f>VLOOKUP(H1067,'Fund Utilization Report'!$A$4:$U$1800,6,FALSE)</f>
        <v>GOP</v>
      </c>
      <c r="Y1067" s="440" t="str">
        <f>VLOOKUP(H1067,'Fund Utilization Report'!$A$4:$U$1800,7,FALSE)</f>
        <v>PS</v>
      </c>
      <c r="Z1067" s="441">
        <f>VLOOKUP(H1067,'Fund Utilization Report'!$A$4:$U$1800,8,FALSE)</f>
        <v>5010000000</v>
      </c>
      <c r="AA1067" s="239" t="str">
        <f>VLOOKUP(H1067,'Fund Utilization Report'!$A$4:$U$1800,14,FALSE)</f>
        <v>330100100002000</v>
      </c>
      <c r="AB1067" s="242" t="str">
        <f>VLOOKUP(H1067,'Fund Utilization Report'!$A$4:$U$1800,15,FALSE)</f>
        <v>Implementation of the MSME Development Plan and other initiatives to promote the growth of Micro, Small and Medium Enterprises</v>
      </c>
      <c r="AC1067" s="51"/>
      <c r="AD1067" s="435"/>
      <c r="AE1067" s="51"/>
      <c r="AF1067" s="51"/>
      <c r="AG1067" s="442"/>
      <c r="AH1067" s="442"/>
      <c r="AI1067" s="443"/>
    </row>
    <row r="1068" spans="1:35" s="32" customFormat="1" ht="27.6">
      <c r="A1068" s="434" t="s">
        <v>942</v>
      </c>
      <c r="B1068" s="457" t="s">
        <v>946</v>
      </c>
      <c r="C1068" s="233">
        <v>44265</v>
      </c>
      <c r="D1068" s="435" t="s">
        <v>1267</v>
      </c>
      <c r="E1068" s="436" t="s">
        <v>1397</v>
      </c>
      <c r="F1068" s="338">
        <v>0.43124999999999997</v>
      </c>
      <c r="G1068" s="338">
        <v>0.43333333333333335</v>
      </c>
      <c r="H1068" s="338" t="s">
        <v>970</v>
      </c>
      <c r="I1068" s="353">
        <v>711</v>
      </c>
      <c r="J1068" s="338" t="str">
        <f>IFERROR(VLOOKUP(I1068,'Chart of accounts'!A:H,2,FALSE),"")</f>
        <v>50102010 01</v>
      </c>
      <c r="K1068" s="338" t="str">
        <f>IFERROR(VLOOKUP(I1068,'Chart of accounts'!A:H,3,FALSE),"")</f>
        <v>PERA - Civilian</v>
      </c>
      <c r="L1068" s="338" t="str">
        <f>IFERROR(VLOOKUP(I1068,'Chart of accounts'!A:H,4,FALSE),"")</f>
        <v>50102010 01 - PERA - Civilian (711)</v>
      </c>
      <c r="M1068" s="361">
        <v>68</v>
      </c>
      <c r="N1068" s="355" t="s">
        <v>1176</v>
      </c>
      <c r="O1068" s="355" t="s">
        <v>1394</v>
      </c>
      <c r="P1068" s="355"/>
      <c r="Q1068" s="363">
        <v>2000</v>
      </c>
      <c r="R1068" s="428">
        <f t="shared" si="36"/>
        <v>-2000</v>
      </c>
      <c r="S1068" s="239" t="str">
        <f>VLOOKUP(H1068,'Fund Utilization Report'!$A$4:$U$1800,13,FALSE)</f>
        <v>PS</v>
      </c>
      <c r="T1068" s="239" t="str">
        <f>VLOOKUP(H1068,'Fund Utilization Report'!$A$4:$U$1800,2,FALSE)</f>
        <v>GAA</v>
      </c>
      <c r="U1068" s="239" t="str">
        <f>VLOOKUP(H1068,'Fund Utilization Report'!$A$4:$U$1800,3,FALSE)</f>
        <v>FY2021, RA11518</v>
      </c>
      <c r="V1068" s="239" t="str">
        <f>VLOOKUP(H1068,'Fund Utilization Report'!$A$4:$U$1800,4,FALSE)</f>
        <v>OO3</v>
      </c>
      <c r="W1068" s="239" t="str">
        <f>VLOOKUP(H1068,'Fund Utilization Report'!$A$4:$U$1800,5,FALSE)</f>
        <v>01101101</v>
      </c>
      <c r="X1068" s="239" t="str">
        <f>VLOOKUP(H1068,'Fund Utilization Report'!$A$4:$U$1800,6,FALSE)</f>
        <v>GOP</v>
      </c>
      <c r="Y1068" s="440" t="str">
        <f>VLOOKUP(H1068,'Fund Utilization Report'!$A$4:$U$1800,7,FALSE)</f>
        <v>PS</v>
      </c>
      <c r="Z1068" s="441">
        <f>VLOOKUP(H1068,'Fund Utilization Report'!$A$4:$U$1800,8,FALSE)</f>
        <v>5010000000</v>
      </c>
      <c r="AA1068" s="239" t="str">
        <f>VLOOKUP(H1068,'Fund Utilization Report'!$A$4:$U$1800,14,FALSE)</f>
        <v>330100100002000</v>
      </c>
      <c r="AB1068" s="242" t="str">
        <f>VLOOKUP(H1068,'Fund Utilization Report'!$A$4:$U$1800,15,FALSE)</f>
        <v>Implementation of the MSME Development Plan and other initiatives to promote the growth of Micro, Small and Medium Enterprises</v>
      </c>
      <c r="AC1068" s="51"/>
      <c r="AD1068" s="435"/>
      <c r="AE1068" s="51"/>
      <c r="AF1068" s="51"/>
      <c r="AG1068" s="442"/>
      <c r="AH1068" s="442"/>
      <c r="AI1068" s="443"/>
    </row>
    <row r="1069" spans="1:35" s="32" customFormat="1" ht="27.6">
      <c r="A1069" s="434" t="s">
        <v>942</v>
      </c>
      <c r="B1069" s="457" t="s">
        <v>946</v>
      </c>
      <c r="C1069" s="233">
        <v>44265</v>
      </c>
      <c r="D1069" s="435" t="s">
        <v>1267</v>
      </c>
      <c r="E1069" s="436" t="s">
        <v>1397</v>
      </c>
      <c r="F1069" s="338">
        <v>0.43124999999999997</v>
      </c>
      <c r="G1069" s="338">
        <v>0.43333333333333335</v>
      </c>
      <c r="H1069" s="338" t="s">
        <v>972</v>
      </c>
      <c r="I1069" s="353">
        <v>731</v>
      </c>
      <c r="J1069" s="338" t="str">
        <f>IFERROR(VLOOKUP(I1069,'Chart of accounts'!A:H,2,FALSE),"")</f>
        <v>50103010 00</v>
      </c>
      <c r="K1069" s="338" t="str">
        <f>IFERROR(VLOOKUP(I1069,'Chart of accounts'!A:H,3,FALSE),"")</f>
        <v>Retirement and Life Insurance Premiums</v>
      </c>
      <c r="L1069" s="338" t="str">
        <f>IFERROR(VLOOKUP(I1069,'Chart of accounts'!A:H,4,FALSE),"")</f>
        <v>50103010 00 - Retirement and Life Insurance Premiums (731)</v>
      </c>
      <c r="M1069" s="361">
        <v>68</v>
      </c>
      <c r="N1069" s="355" t="s">
        <v>1176</v>
      </c>
      <c r="O1069" s="355" t="s">
        <v>1394</v>
      </c>
      <c r="P1069" s="355"/>
      <c r="Q1069" s="363">
        <v>2865.24</v>
      </c>
      <c r="R1069" s="428">
        <f t="shared" si="36"/>
        <v>-2865.24</v>
      </c>
      <c r="S1069" s="239" t="str">
        <f>VLOOKUP(H1069,'Fund Utilization Report'!$A$4:$U$1800,13,FALSE)</f>
        <v>PS</v>
      </c>
      <c r="T1069" s="239" t="str">
        <f>VLOOKUP(H1069,'Fund Utilization Report'!$A$4:$U$1800,2,FALSE)</f>
        <v>GAA</v>
      </c>
      <c r="U1069" s="239" t="str">
        <f>VLOOKUP(H1069,'Fund Utilization Report'!$A$4:$U$1800,3,FALSE)</f>
        <v>FY2021, RA11518</v>
      </c>
      <c r="V1069" s="239" t="str">
        <f>VLOOKUP(H1069,'Fund Utilization Report'!$A$4:$U$1800,4,FALSE)</f>
        <v>OO3</v>
      </c>
      <c r="W1069" s="239" t="str">
        <f>VLOOKUP(H1069,'Fund Utilization Report'!$A$4:$U$1800,5,FALSE)</f>
        <v>01101101</v>
      </c>
      <c r="X1069" s="239" t="str">
        <f>VLOOKUP(H1069,'Fund Utilization Report'!$A$4:$U$1800,6,FALSE)</f>
        <v>GOP</v>
      </c>
      <c r="Y1069" s="440" t="str">
        <f>VLOOKUP(H1069,'Fund Utilization Report'!$A$4:$U$1800,7,FALSE)</f>
        <v>RLIP</v>
      </c>
      <c r="Z1069" s="441" t="str">
        <f>VLOOKUP(H1069,'Fund Utilization Report'!$A$4:$U$1800,8,FALSE)</f>
        <v>50103010-00</v>
      </c>
      <c r="AA1069" s="239" t="str">
        <f>VLOOKUP(H1069,'Fund Utilization Report'!$A$4:$U$1800,14,FALSE)</f>
        <v>330100100002000</v>
      </c>
      <c r="AB1069" s="242" t="str">
        <f>VLOOKUP(H1069,'Fund Utilization Report'!$A$4:$U$1800,15,FALSE)</f>
        <v>Implementation of the MSME Development Plan and other initiatives to promote the growth of Micro, Small and Medium Enterprises</v>
      </c>
      <c r="AC1069" s="51"/>
      <c r="AD1069" s="435"/>
      <c r="AE1069" s="51"/>
      <c r="AF1069" s="51"/>
      <c r="AG1069" s="442"/>
      <c r="AH1069" s="442"/>
      <c r="AI1069" s="443"/>
    </row>
    <row r="1070" spans="1:35" s="32" customFormat="1" ht="27.6">
      <c r="A1070" s="434" t="s">
        <v>942</v>
      </c>
      <c r="B1070" s="457" t="s">
        <v>946</v>
      </c>
      <c r="C1070" s="233">
        <v>44265</v>
      </c>
      <c r="D1070" s="435" t="s">
        <v>1267</v>
      </c>
      <c r="E1070" s="436" t="s">
        <v>1397</v>
      </c>
      <c r="F1070" s="338">
        <v>0.43124999999999997</v>
      </c>
      <c r="G1070" s="338">
        <v>0.43333333333333335</v>
      </c>
      <c r="H1070" s="338" t="s">
        <v>970</v>
      </c>
      <c r="I1070" s="353">
        <v>732</v>
      </c>
      <c r="J1070" s="338" t="str">
        <f>IFERROR(VLOOKUP(I1070,'Chart of accounts'!A:H,2,FALSE),"")</f>
        <v>50103020 01</v>
      </c>
      <c r="K1070" s="338" t="str">
        <f>IFERROR(VLOOKUP(I1070,'Chart of accounts'!A:H,3,FALSE),"")</f>
        <v>Pag-IBIG - Civilian</v>
      </c>
      <c r="L1070" s="338" t="str">
        <f>IFERROR(VLOOKUP(I1070,'Chart of accounts'!A:H,4,FALSE),"")</f>
        <v>50103020 01 - Pag-IBIG - Civilian (732)</v>
      </c>
      <c r="M1070" s="361">
        <v>68</v>
      </c>
      <c r="N1070" s="355" t="s">
        <v>1176</v>
      </c>
      <c r="O1070" s="355" t="s">
        <v>1394</v>
      </c>
      <c r="P1070" s="355"/>
      <c r="Q1070" s="363">
        <v>100</v>
      </c>
      <c r="R1070" s="428">
        <f t="shared" si="36"/>
        <v>-100</v>
      </c>
      <c r="S1070" s="239" t="str">
        <f>VLOOKUP(H1070,'Fund Utilization Report'!$A$4:$U$1800,13,FALSE)</f>
        <v>PS</v>
      </c>
      <c r="T1070" s="239" t="str">
        <f>VLOOKUP(H1070,'Fund Utilization Report'!$A$4:$U$1800,2,FALSE)</f>
        <v>GAA</v>
      </c>
      <c r="U1070" s="239" t="str">
        <f>VLOOKUP(H1070,'Fund Utilization Report'!$A$4:$U$1800,3,FALSE)</f>
        <v>FY2021, RA11518</v>
      </c>
      <c r="V1070" s="239" t="str">
        <f>VLOOKUP(H1070,'Fund Utilization Report'!$A$4:$U$1800,4,FALSE)</f>
        <v>OO3</v>
      </c>
      <c r="W1070" s="239" t="str">
        <f>VLOOKUP(H1070,'Fund Utilization Report'!$A$4:$U$1800,5,FALSE)</f>
        <v>01101101</v>
      </c>
      <c r="X1070" s="239" t="str">
        <f>VLOOKUP(H1070,'Fund Utilization Report'!$A$4:$U$1800,6,FALSE)</f>
        <v>GOP</v>
      </c>
      <c r="Y1070" s="440" t="str">
        <f>VLOOKUP(H1070,'Fund Utilization Report'!$A$4:$U$1800,7,FALSE)</f>
        <v>PS</v>
      </c>
      <c r="Z1070" s="441">
        <f>VLOOKUP(H1070,'Fund Utilization Report'!$A$4:$U$1800,8,FALSE)</f>
        <v>5010000000</v>
      </c>
      <c r="AA1070" s="239" t="str">
        <f>VLOOKUP(H1070,'Fund Utilization Report'!$A$4:$U$1800,14,FALSE)</f>
        <v>330100100002000</v>
      </c>
      <c r="AB1070" s="242" t="str">
        <f>VLOOKUP(H1070,'Fund Utilization Report'!$A$4:$U$1800,15,FALSE)</f>
        <v>Implementation of the MSME Development Plan and other initiatives to promote the growth of Micro, Small and Medium Enterprises</v>
      </c>
      <c r="AC1070" s="51"/>
      <c r="AD1070" s="435"/>
      <c r="AE1070" s="51"/>
      <c r="AF1070" s="51"/>
      <c r="AG1070" s="442"/>
      <c r="AH1070" s="442"/>
      <c r="AI1070" s="443"/>
    </row>
    <row r="1071" spans="1:35" s="32" customFormat="1" ht="27.6">
      <c r="A1071" s="434" t="s">
        <v>942</v>
      </c>
      <c r="B1071" s="457" t="s">
        <v>946</v>
      </c>
      <c r="C1071" s="233">
        <v>44265</v>
      </c>
      <c r="D1071" s="435" t="s">
        <v>1267</v>
      </c>
      <c r="E1071" s="436" t="s">
        <v>1397</v>
      </c>
      <c r="F1071" s="338">
        <v>0.43124999999999997</v>
      </c>
      <c r="G1071" s="338">
        <v>0.43333333333333335</v>
      </c>
      <c r="H1071" s="338" t="s">
        <v>970</v>
      </c>
      <c r="I1071" s="353">
        <v>733</v>
      </c>
      <c r="J1071" s="338" t="str">
        <f>IFERROR(VLOOKUP(I1071,'Chart of accounts'!A:H,2,FALSE),"")</f>
        <v>50103030 01</v>
      </c>
      <c r="K1071" s="338" t="str">
        <f>IFERROR(VLOOKUP(I1071,'Chart of accounts'!A:H,3,FALSE),"")</f>
        <v>PhilHealth - Civilian</v>
      </c>
      <c r="L1071" s="338" t="str">
        <f>IFERROR(VLOOKUP(I1071,'Chart of accounts'!A:H,4,FALSE),"")</f>
        <v>50103030 01 - PhilHealth - Civilian (733)</v>
      </c>
      <c r="M1071" s="361">
        <v>68</v>
      </c>
      <c r="N1071" s="355" t="s">
        <v>1176</v>
      </c>
      <c r="O1071" s="355" t="s">
        <v>1394</v>
      </c>
      <c r="P1071" s="355"/>
      <c r="Q1071" s="363">
        <v>358.16</v>
      </c>
      <c r="R1071" s="428">
        <f t="shared" si="36"/>
        <v>-358.16</v>
      </c>
      <c r="S1071" s="239" t="str">
        <f>VLOOKUP(H1071,'Fund Utilization Report'!$A$4:$U$1800,13,FALSE)</f>
        <v>PS</v>
      </c>
      <c r="T1071" s="239" t="str">
        <f>VLOOKUP(H1071,'Fund Utilization Report'!$A$4:$U$1800,2,FALSE)</f>
        <v>GAA</v>
      </c>
      <c r="U1071" s="239" t="str">
        <f>VLOOKUP(H1071,'Fund Utilization Report'!$A$4:$U$1800,3,FALSE)</f>
        <v>FY2021, RA11518</v>
      </c>
      <c r="V1071" s="239" t="str">
        <f>VLOOKUP(H1071,'Fund Utilization Report'!$A$4:$U$1800,4,FALSE)</f>
        <v>OO3</v>
      </c>
      <c r="W1071" s="239" t="str">
        <f>VLOOKUP(H1071,'Fund Utilization Report'!$A$4:$U$1800,5,FALSE)</f>
        <v>01101101</v>
      </c>
      <c r="X1071" s="239" t="str">
        <f>VLOOKUP(H1071,'Fund Utilization Report'!$A$4:$U$1800,6,FALSE)</f>
        <v>GOP</v>
      </c>
      <c r="Y1071" s="440" t="str">
        <f>VLOOKUP(H1071,'Fund Utilization Report'!$A$4:$U$1800,7,FALSE)</f>
        <v>PS</v>
      </c>
      <c r="Z1071" s="441">
        <f>VLOOKUP(H1071,'Fund Utilization Report'!$A$4:$U$1800,8,FALSE)</f>
        <v>5010000000</v>
      </c>
      <c r="AA1071" s="239" t="str">
        <f>VLOOKUP(H1071,'Fund Utilization Report'!$A$4:$U$1800,14,FALSE)</f>
        <v>330100100002000</v>
      </c>
      <c r="AB1071" s="242" t="str">
        <f>VLOOKUP(H1071,'Fund Utilization Report'!$A$4:$U$1800,15,FALSE)</f>
        <v>Implementation of the MSME Development Plan and other initiatives to promote the growth of Micro, Small and Medium Enterprises</v>
      </c>
      <c r="AC1071" s="51"/>
      <c r="AD1071" s="435"/>
      <c r="AE1071" s="51"/>
      <c r="AF1071" s="51"/>
      <c r="AG1071" s="442"/>
      <c r="AH1071" s="442"/>
      <c r="AI1071" s="443"/>
    </row>
    <row r="1072" spans="1:35" s="32" customFormat="1" ht="27.6">
      <c r="A1072" s="434" t="s">
        <v>942</v>
      </c>
      <c r="B1072" s="457" t="s">
        <v>946</v>
      </c>
      <c r="C1072" s="233">
        <v>44265</v>
      </c>
      <c r="D1072" s="435" t="s">
        <v>1267</v>
      </c>
      <c r="E1072" s="436" t="s">
        <v>1397</v>
      </c>
      <c r="F1072" s="338">
        <v>0.43124999999999997</v>
      </c>
      <c r="G1072" s="338">
        <v>0.43333333333333335</v>
      </c>
      <c r="H1072" s="338" t="s">
        <v>970</v>
      </c>
      <c r="I1072" s="353">
        <v>734</v>
      </c>
      <c r="J1072" s="338" t="str">
        <f>IFERROR(VLOOKUP(I1072,'Chart of accounts'!A:H,2,FALSE),"")</f>
        <v>50103040 01</v>
      </c>
      <c r="K1072" s="338" t="str">
        <f>IFERROR(VLOOKUP(I1072,'Chart of accounts'!A:H,3,FALSE),"")</f>
        <v>ECIP - Civilian</v>
      </c>
      <c r="L1072" s="338" t="str">
        <f>IFERROR(VLOOKUP(I1072,'Chart of accounts'!A:H,4,FALSE),"")</f>
        <v>50103040 01 - ECIP - Civilian (734)</v>
      </c>
      <c r="M1072" s="361">
        <v>68</v>
      </c>
      <c r="N1072" s="355" t="s">
        <v>1176</v>
      </c>
      <c r="O1072" s="355" t="s">
        <v>1394</v>
      </c>
      <c r="P1072" s="355"/>
      <c r="Q1072" s="363">
        <v>100</v>
      </c>
      <c r="R1072" s="428">
        <f t="shared" si="36"/>
        <v>-100</v>
      </c>
      <c r="S1072" s="239" t="str">
        <f>VLOOKUP(H1072,'Fund Utilization Report'!$A$4:$U$1800,13,FALSE)</f>
        <v>PS</v>
      </c>
      <c r="T1072" s="239" t="str">
        <f>VLOOKUP(H1072,'Fund Utilization Report'!$A$4:$U$1800,2,FALSE)</f>
        <v>GAA</v>
      </c>
      <c r="U1072" s="239" t="str">
        <f>VLOOKUP(H1072,'Fund Utilization Report'!$A$4:$U$1800,3,FALSE)</f>
        <v>FY2021, RA11518</v>
      </c>
      <c r="V1072" s="239" t="str">
        <f>VLOOKUP(H1072,'Fund Utilization Report'!$A$4:$U$1800,4,FALSE)</f>
        <v>OO3</v>
      </c>
      <c r="W1072" s="239" t="str">
        <f>VLOOKUP(H1072,'Fund Utilization Report'!$A$4:$U$1800,5,FALSE)</f>
        <v>01101101</v>
      </c>
      <c r="X1072" s="239" t="str">
        <f>VLOOKUP(H1072,'Fund Utilization Report'!$A$4:$U$1800,6,FALSE)</f>
        <v>GOP</v>
      </c>
      <c r="Y1072" s="440" t="str">
        <f>VLOOKUP(H1072,'Fund Utilization Report'!$A$4:$U$1800,7,FALSE)</f>
        <v>PS</v>
      </c>
      <c r="Z1072" s="441">
        <f>VLOOKUP(H1072,'Fund Utilization Report'!$A$4:$U$1800,8,FALSE)</f>
        <v>5010000000</v>
      </c>
      <c r="AA1072" s="239" t="str">
        <f>VLOOKUP(H1072,'Fund Utilization Report'!$A$4:$U$1800,14,FALSE)</f>
        <v>330100100002000</v>
      </c>
      <c r="AB1072" s="242" t="str">
        <f>VLOOKUP(H1072,'Fund Utilization Report'!$A$4:$U$1800,15,FALSE)</f>
        <v>Implementation of the MSME Development Plan and other initiatives to promote the growth of Micro, Small and Medium Enterprises</v>
      </c>
      <c r="AC1072" s="51"/>
      <c r="AD1072" s="435"/>
      <c r="AE1072" s="51"/>
      <c r="AF1072" s="51"/>
      <c r="AG1072" s="442"/>
      <c r="AH1072" s="442"/>
      <c r="AI1072" s="443"/>
    </row>
    <row r="1073" spans="1:35" s="32" customFormat="1" ht="27.6">
      <c r="A1073" s="434" t="s">
        <v>942</v>
      </c>
      <c r="B1073" s="457" t="s">
        <v>946</v>
      </c>
      <c r="C1073" s="233">
        <v>44265</v>
      </c>
      <c r="D1073" s="435" t="s">
        <v>1267</v>
      </c>
      <c r="E1073" s="436" t="s">
        <v>1398</v>
      </c>
      <c r="F1073" s="338">
        <v>0.43333333333333335</v>
      </c>
      <c r="G1073" s="338">
        <v>0.4375</v>
      </c>
      <c r="H1073" s="338" t="s">
        <v>970</v>
      </c>
      <c r="I1073" s="353">
        <v>701</v>
      </c>
      <c r="J1073" s="338" t="str">
        <f>IFERROR(VLOOKUP(I1073,'Chart of accounts'!A:H,2,FALSE),"")</f>
        <v>50101010 01</v>
      </c>
      <c r="K1073" s="338" t="str">
        <f>IFERROR(VLOOKUP(I1073,'Chart of accounts'!A:H,3,FALSE),"")</f>
        <v>Basic Salary - Civilian</v>
      </c>
      <c r="L1073" s="338" t="str">
        <f>IFERROR(VLOOKUP(I1073,'Chart of accounts'!A:H,4,FALSE),"")</f>
        <v>50101010 01 - Basic Salary - Civilian (701)</v>
      </c>
      <c r="M1073" s="361">
        <v>67</v>
      </c>
      <c r="N1073" s="355" t="s">
        <v>1382</v>
      </c>
      <c r="O1073" s="355" t="s">
        <v>1399</v>
      </c>
      <c r="P1073" s="355"/>
      <c r="Q1073" s="363">
        <v>23877</v>
      </c>
      <c r="R1073" s="428">
        <f t="shared" ref="R1073:R1078" si="37">P1073-Q1073</f>
        <v>-23877</v>
      </c>
      <c r="S1073" s="239" t="str">
        <f>VLOOKUP(H1073,'Fund Utilization Report'!$A$4:$U$1800,13,FALSE)</f>
        <v>PS</v>
      </c>
      <c r="T1073" s="239" t="str">
        <f>VLOOKUP(H1073,'Fund Utilization Report'!$A$4:$U$1800,2,FALSE)</f>
        <v>GAA</v>
      </c>
      <c r="U1073" s="239" t="str">
        <f>VLOOKUP(H1073,'Fund Utilization Report'!$A$4:$U$1800,3,FALSE)</f>
        <v>FY2021, RA11518</v>
      </c>
      <c r="V1073" s="239" t="str">
        <f>VLOOKUP(H1073,'Fund Utilization Report'!$A$4:$U$1800,4,FALSE)</f>
        <v>OO3</v>
      </c>
      <c r="W1073" s="239" t="str">
        <f>VLOOKUP(H1073,'Fund Utilization Report'!$A$4:$U$1800,5,FALSE)</f>
        <v>01101101</v>
      </c>
      <c r="X1073" s="239" t="str">
        <f>VLOOKUP(H1073,'Fund Utilization Report'!$A$4:$U$1800,6,FALSE)</f>
        <v>GOP</v>
      </c>
      <c r="Y1073" s="440" t="str">
        <f>VLOOKUP(H1073,'Fund Utilization Report'!$A$4:$U$1800,7,FALSE)</f>
        <v>PS</v>
      </c>
      <c r="Z1073" s="441">
        <f>VLOOKUP(H1073,'Fund Utilization Report'!$A$4:$U$1800,8,FALSE)</f>
        <v>5010000000</v>
      </c>
      <c r="AA1073" s="239" t="str">
        <f>VLOOKUP(H1073,'Fund Utilization Report'!$A$4:$U$1800,14,FALSE)</f>
        <v>330100100002000</v>
      </c>
      <c r="AB1073" s="242" t="str">
        <f>VLOOKUP(H1073,'Fund Utilization Report'!$A$4:$U$1800,15,FALSE)</f>
        <v>Implementation of the MSME Development Plan and other initiatives to promote the growth of Micro, Small and Medium Enterprises</v>
      </c>
      <c r="AC1073" s="51"/>
      <c r="AD1073" s="435"/>
      <c r="AE1073" s="51"/>
      <c r="AF1073" s="51"/>
      <c r="AG1073" s="442"/>
      <c r="AH1073" s="442"/>
      <c r="AI1073" s="443"/>
    </row>
    <row r="1074" spans="1:35" s="32" customFormat="1" ht="27.6">
      <c r="A1074" s="434" t="s">
        <v>942</v>
      </c>
      <c r="B1074" s="457" t="s">
        <v>946</v>
      </c>
      <c r="C1074" s="233">
        <v>44265</v>
      </c>
      <c r="D1074" s="435" t="s">
        <v>1267</v>
      </c>
      <c r="E1074" s="436" t="s">
        <v>1398</v>
      </c>
      <c r="F1074" s="338">
        <v>0.43333333333333335</v>
      </c>
      <c r="G1074" s="338">
        <v>0.4375</v>
      </c>
      <c r="H1074" s="338" t="s">
        <v>970</v>
      </c>
      <c r="I1074" s="353">
        <v>711</v>
      </c>
      <c r="J1074" s="338" t="str">
        <f>IFERROR(VLOOKUP(I1074,'Chart of accounts'!A:H,2,FALSE),"")</f>
        <v>50102010 01</v>
      </c>
      <c r="K1074" s="338" t="str">
        <f>IFERROR(VLOOKUP(I1074,'Chart of accounts'!A:H,3,FALSE),"")</f>
        <v>PERA - Civilian</v>
      </c>
      <c r="L1074" s="338" t="str">
        <f>IFERROR(VLOOKUP(I1074,'Chart of accounts'!A:H,4,FALSE),"")</f>
        <v>50102010 01 - PERA - Civilian (711)</v>
      </c>
      <c r="M1074" s="361">
        <v>67</v>
      </c>
      <c r="N1074" s="355" t="s">
        <v>1382</v>
      </c>
      <c r="O1074" s="355" t="s">
        <v>1399</v>
      </c>
      <c r="P1074" s="355"/>
      <c r="Q1074" s="363">
        <v>2000</v>
      </c>
      <c r="R1074" s="428">
        <f t="shared" si="37"/>
        <v>-2000</v>
      </c>
      <c r="S1074" s="239" t="str">
        <f>VLOOKUP(H1074,'Fund Utilization Report'!$A$4:$U$1800,13,FALSE)</f>
        <v>PS</v>
      </c>
      <c r="T1074" s="239" t="str">
        <f>VLOOKUP(H1074,'Fund Utilization Report'!$A$4:$U$1800,2,FALSE)</f>
        <v>GAA</v>
      </c>
      <c r="U1074" s="239" t="str">
        <f>VLOOKUP(H1074,'Fund Utilization Report'!$A$4:$U$1800,3,FALSE)</f>
        <v>FY2021, RA11518</v>
      </c>
      <c r="V1074" s="239" t="str">
        <f>VLOOKUP(H1074,'Fund Utilization Report'!$A$4:$U$1800,4,FALSE)</f>
        <v>OO3</v>
      </c>
      <c r="W1074" s="239" t="str">
        <f>VLOOKUP(H1074,'Fund Utilization Report'!$A$4:$U$1800,5,FALSE)</f>
        <v>01101101</v>
      </c>
      <c r="X1074" s="239" t="str">
        <f>VLOOKUP(H1074,'Fund Utilization Report'!$A$4:$U$1800,6,FALSE)</f>
        <v>GOP</v>
      </c>
      <c r="Y1074" s="440" t="str">
        <f>VLOOKUP(H1074,'Fund Utilization Report'!$A$4:$U$1800,7,FALSE)</f>
        <v>PS</v>
      </c>
      <c r="Z1074" s="441">
        <f>VLOOKUP(H1074,'Fund Utilization Report'!$A$4:$U$1800,8,FALSE)</f>
        <v>5010000000</v>
      </c>
      <c r="AA1074" s="239" t="str">
        <f>VLOOKUP(H1074,'Fund Utilization Report'!$A$4:$U$1800,14,FALSE)</f>
        <v>330100100002000</v>
      </c>
      <c r="AB1074" s="242" t="str">
        <f>VLOOKUP(H1074,'Fund Utilization Report'!$A$4:$U$1800,15,FALSE)</f>
        <v>Implementation of the MSME Development Plan and other initiatives to promote the growth of Micro, Small and Medium Enterprises</v>
      </c>
      <c r="AC1074" s="51"/>
      <c r="AD1074" s="435"/>
      <c r="AE1074" s="51"/>
      <c r="AF1074" s="51"/>
      <c r="AG1074" s="442"/>
      <c r="AH1074" s="442"/>
      <c r="AI1074" s="443"/>
    </row>
    <row r="1075" spans="1:35" s="32" customFormat="1" ht="27.6">
      <c r="A1075" s="434" t="s">
        <v>942</v>
      </c>
      <c r="B1075" s="457" t="s">
        <v>946</v>
      </c>
      <c r="C1075" s="233">
        <v>44265</v>
      </c>
      <c r="D1075" s="435" t="s">
        <v>1267</v>
      </c>
      <c r="E1075" s="436" t="s">
        <v>1398</v>
      </c>
      <c r="F1075" s="338">
        <v>0.43333333333333335</v>
      </c>
      <c r="G1075" s="338">
        <v>0.4375</v>
      </c>
      <c r="H1075" s="338" t="s">
        <v>972</v>
      </c>
      <c r="I1075" s="353">
        <v>731</v>
      </c>
      <c r="J1075" s="338" t="str">
        <f>IFERROR(VLOOKUP(I1075,'Chart of accounts'!A:H,2,FALSE),"")</f>
        <v>50103010 00</v>
      </c>
      <c r="K1075" s="338" t="str">
        <f>IFERROR(VLOOKUP(I1075,'Chart of accounts'!A:H,3,FALSE),"")</f>
        <v>Retirement and Life Insurance Premiums</v>
      </c>
      <c r="L1075" s="338" t="str">
        <f>IFERROR(VLOOKUP(I1075,'Chart of accounts'!A:H,4,FALSE),"")</f>
        <v>50103010 00 - Retirement and Life Insurance Premiums (731)</v>
      </c>
      <c r="M1075" s="361">
        <v>67</v>
      </c>
      <c r="N1075" s="355" t="s">
        <v>1382</v>
      </c>
      <c r="O1075" s="355" t="s">
        <v>1399</v>
      </c>
      <c r="P1075" s="355"/>
      <c r="Q1075" s="363">
        <v>2865.24</v>
      </c>
      <c r="R1075" s="428">
        <f t="shared" si="37"/>
        <v>-2865.24</v>
      </c>
      <c r="S1075" s="239" t="str">
        <f>VLOOKUP(H1075,'Fund Utilization Report'!$A$4:$U$1800,13,FALSE)</f>
        <v>PS</v>
      </c>
      <c r="T1075" s="239" t="str">
        <f>VLOOKUP(H1075,'Fund Utilization Report'!$A$4:$U$1800,2,FALSE)</f>
        <v>GAA</v>
      </c>
      <c r="U1075" s="239" t="str">
        <f>VLOOKUP(H1075,'Fund Utilization Report'!$A$4:$U$1800,3,FALSE)</f>
        <v>FY2021, RA11518</v>
      </c>
      <c r="V1075" s="239" t="str">
        <f>VLOOKUP(H1075,'Fund Utilization Report'!$A$4:$U$1800,4,FALSE)</f>
        <v>OO3</v>
      </c>
      <c r="W1075" s="239" t="str">
        <f>VLOOKUP(H1075,'Fund Utilization Report'!$A$4:$U$1800,5,FALSE)</f>
        <v>01101101</v>
      </c>
      <c r="X1075" s="239" t="str">
        <f>VLOOKUP(H1075,'Fund Utilization Report'!$A$4:$U$1800,6,FALSE)</f>
        <v>GOP</v>
      </c>
      <c r="Y1075" s="440" t="str">
        <f>VLOOKUP(H1075,'Fund Utilization Report'!$A$4:$U$1800,7,FALSE)</f>
        <v>RLIP</v>
      </c>
      <c r="Z1075" s="441" t="str">
        <f>VLOOKUP(H1075,'Fund Utilization Report'!$A$4:$U$1800,8,FALSE)</f>
        <v>50103010-00</v>
      </c>
      <c r="AA1075" s="239" t="str">
        <f>VLOOKUP(H1075,'Fund Utilization Report'!$A$4:$U$1800,14,FALSE)</f>
        <v>330100100002000</v>
      </c>
      <c r="AB1075" s="242" t="str">
        <f>VLOOKUP(H1075,'Fund Utilization Report'!$A$4:$U$1800,15,FALSE)</f>
        <v>Implementation of the MSME Development Plan and other initiatives to promote the growth of Micro, Small and Medium Enterprises</v>
      </c>
      <c r="AC1075" s="51"/>
      <c r="AD1075" s="435"/>
      <c r="AE1075" s="51"/>
      <c r="AF1075" s="51"/>
      <c r="AG1075" s="442"/>
      <c r="AH1075" s="442"/>
      <c r="AI1075" s="443"/>
    </row>
    <row r="1076" spans="1:35" s="32" customFormat="1" ht="27.6">
      <c r="A1076" s="434" t="s">
        <v>942</v>
      </c>
      <c r="B1076" s="457" t="s">
        <v>946</v>
      </c>
      <c r="C1076" s="233">
        <v>44265</v>
      </c>
      <c r="D1076" s="435" t="s">
        <v>1267</v>
      </c>
      <c r="E1076" s="436" t="s">
        <v>1398</v>
      </c>
      <c r="F1076" s="338">
        <v>0.43333333333333335</v>
      </c>
      <c r="G1076" s="338">
        <v>0.4375</v>
      </c>
      <c r="H1076" s="338" t="s">
        <v>970</v>
      </c>
      <c r="I1076" s="353">
        <v>732</v>
      </c>
      <c r="J1076" s="338" t="str">
        <f>IFERROR(VLOOKUP(I1076,'Chart of accounts'!A:H,2,FALSE),"")</f>
        <v>50103020 01</v>
      </c>
      <c r="K1076" s="338" t="str">
        <f>IFERROR(VLOOKUP(I1076,'Chart of accounts'!A:H,3,FALSE),"")</f>
        <v>Pag-IBIG - Civilian</v>
      </c>
      <c r="L1076" s="338" t="str">
        <f>IFERROR(VLOOKUP(I1076,'Chart of accounts'!A:H,4,FALSE),"")</f>
        <v>50103020 01 - Pag-IBIG - Civilian (732)</v>
      </c>
      <c r="M1076" s="361">
        <v>67</v>
      </c>
      <c r="N1076" s="355" t="s">
        <v>1382</v>
      </c>
      <c r="O1076" s="355" t="s">
        <v>1399</v>
      </c>
      <c r="P1076" s="355"/>
      <c r="Q1076" s="363">
        <v>100</v>
      </c>
      <c r="R1076" s="428">
        <f t="shared" si="37"/>
        <v>-100</v>
      </c>
      <c r="S1076" s="239" t="str">
        <f>VLOOKUP(H1076,'Fund Utilization Report'!$A$4:$U$1800,13,FALSE)</f>
        <v>PS</v>
      </c>
      <c r="T1076" s="239" t="str">
        <f>VLOOKUP(H1076,'Fund Utilization Report'!$A$4:$U$1800,2,FALSE)</f>
        <v>GAA</v>
      </c>
      <c r="U1076" s="239" t="str">
        <f>VLOOKUP(H1076,'Fund Utilization Report'!$A$4:$U$1800,3,FALSE)</f>
        <v>FY2021, RA11518</v>
      </c>
      <c r="V1076" s="239" t="str">
        <f>VLOOKUP(H1076,'Fund Utilization Report'!$A$4:$U$1800,4,FALSE)</f>
        <v>OO3</v>
      </c>
      <c r="W1076" s="239" t="str">
        <f>VLOOKUP(H1076,'Fund Utilization Report'!$A$4:$U$1800,5,FALSE)</f>
        <v>01101101</v>
      </c>
      <c r="X1076" s="239" t="str">
        <f>VLOOKUP(H1076,'Fund Utilization Report'!$A$4:$U$1800,6,FALSE)</f>
        <v>GOP</v>
      </c>
      <c r="Y1076" s="440" t="str">
        <f>VLOOKUP(H1076,'Fund Utilization Report'!$A$4:$U$1800,7,FALSE)</f>
        <v>PS</v>
      </c>
      <c r="Z1076" s="441">
        <f>VLOOKUP(H1076,'Fund Utilization Report'!$A$4:$U$1800,8,FALSE)</f>
        <v>5010000000</v>
      </c>
      <c r="AA1076" s="239" t="str">
        <f>VLOOKUP(H1076,'Fund Utilization Report'!$A$4:$U$1800,14,FALSE)</f>
        <v>330100100002000</v>
      </c>
      <c r="AB1076" s="242" t="str">
        <f>VLOOKUP(H1076,'Fund Utilization Report'!$A$4:$U$1800,15,FALSE)</f>
        <v>Implementation of the MSME Development Plan and other initiatives to promote the growth of Micro, Small and Medium Enterprises</v>
      </c>
      <c r="AC1076" s="51"/>
      <c r="AD1076" s="435"/>
      <c r="AE1076" s="51"/>
      <c r="AF1076" s="51"/>
      <c r="AG1076" s="442"/>
      <c r="AH1076" s="442"/>
      <c r="AI1076" s="443"/>
    </row>
    <row r="1077" spans="1:35" s="32" customFormat="1" ht="27.6">
      <c r="A1077" s="434" t="s">
        <v>942</v>
      </c>
      <c r="B1077" s="457" t="s">
        <v>946</v>
      </c>
      <c r="C1077" s="233">
        <v>44265</v>
      </c>
      <c r="D1077" s="435" t="s">
        <v>1267</v>
      </c>
      <c r="E1077" s="436" t="s">
        <v>1398</v>
      </c>
      <c r="F1077" s="338">
        <v>0.43333333333333335</v>
      </c>
      <c r="G1077" s="338">
        <v>0.4375</v>
      </c>
      <c r="H1077" s="338" t="s">
        <v>970</v>
      </c>
      <c r="I1077" s="353">
        <v>733</v>
      </c>
      <c r="J1077" s="338" t="str">
        <f>IFERROR(VLOOKUP(I1077,'Chart of accounts'!A:H,2,FALSE),"")</f>
        <v>50103030 01</v>
      </c>
      <c r="K1077" s="338" t="str">
        <f>IFERROR(VLOOKUP(I1077,'Chart of accounts'!A:H,3,FALSE),"")</f>
        <v>PhilHealth - Civilian</v>
      </c>
      <c r="L1077" s="338" t="str">
        <f>IFERROR(VLOOKUP(I1077,'Chart of accounts'!A:H,4,FALSE),"")</f>
        <v>50103030 01 - PhilHealth - Civilian (733)</v>
      </c>
      <c r="M1077" s="361">
        <v>67</v>
      </c>
      <c r="N1077" s="355" t="s">
        <v>1382</v>
      </c>
      <c r="O1077" s="355" t="s">
        <v>1399</v>
      </c>
      <c r="P1077" s="355"/>
      <c r="Q1077" s="363">
        <v>358.16</v>
      </c>
      <c r="R1077" s="428">
        <f t="shared" si="37"/>
        <v>-358.16</v>
      </c>
      <c r="S1077" s="239" t="str">
        <f>VLOOKUP(H1077,'Fund Utilization Report'!$A$4:$U$1800,13,FALSE)</f>
        <v>PS</v>
      </c>
      <c r="T1077" s="239" t="str">
        <f>VLOOKUP(H1077,'Fund Utilization Report'!$A$4:$U$1800,2,FALSE)</f>
        <v>GAA</v>
      </c>
      <c r="U1077" s="239" t="str">
        <f>VLOOKUP(H1077,'Fund Utilization Report'!$A$4:$U$1800,3,FALSE)</f>
        <v>FY2021, RA11518</v>
      </c>
      <c r="V1077" s="239" t="str">
        <f>VLOOKUP(H1077,'Fund Utilization Report'!$A$4:$U$1800,4,FALSE)</f>
        <v>OO3</v>
      </c>
      <c r="W1077" s="239" t="str">
        <f>VLOOKUP(H1077,'Fund Utilization Report'!$A$4:$U$1800,5,FALSE)</f>
        <v>01101101</v>
      </c>
      <c r="X1077" s="239" t="str">
        <f>VLOOKUP(H1077,'Fund Utilization Report'!$A$4:$U$1800,6,FALSE)</f>
        <v>GOP</v>
      </c>
      <c r="Y1077" s="440" t="str">
        <f>VLOOKUP(H1077,'Fund Utilization Report'!$A$4:$U$1800,7,FALSE)</f>
        <v>PS</v>
      </c>
      <c r="Z1077" s="441">
        <f>VLOOKUP(H1077,'Fund Utilization Report'!$A$4:$U$1800,8,FALSE)</f>
        <v>5010000000</v>
      </c>
      <c r="AA1077" s="239" t="str">
        <f>VLOOKUP(H1077,'Fund Utilization Report'!$A$4:$U$1800,14,FALSE)</f>
        <v>330100100002000</v>
      </c>
      <c r="AB1077" s="242" t="str">
        <f>VLOOKUP(H1077,'Fund Utilization Report'!$A$4:$U$1800,15,FALSE)</f>
        <v>Implementation of the MSME Development Plan and other initiatives to promote the growth of Micro, Small and Medium Enterprises</v>
      </c>
      <c r="AC1077" s="51"/>
      <c r="AD1077" s="435"/>
      <c r="AE1077" s="51"/>
      <c r="AF1077" s="51"/>
      <c r="AG1077" s="442"/>
      <c r="AH1077" s="442"/>
      <c r="AI1077" s="443"/>
    </row>
    <row r="1078" spans="1:35" s="32" customFormat="1" ht="27.6">
      <c r="A1078" s="434" t="s">
        <v>942</v>
      </c>
      <c r="B1078" s="457" t="s">
        <v>946</v>
      </c>
      <c r="C1078" s="233">
        <v>44265</v>
      </c>
      <c r="D1078" s="435" t="s">
        <v>1267</v>
      </c>
      <c r="E1078" s="436" t="s">
        <v>1398</v>
      </c>
      <c r="F1078" s="338">
        <v>0.43333333333333335</v>
      </c>
      <c r="G1078" s="338">
        <v>0.4375</v>
      </c>
      <c r="H1078" s="338" t="s">
        <v>970</v>
      </c>
      <c r="I1078" s="353">
        <v>734</v>
      </c>
      <c r="J1078" s="338" t="str">
        <f>IFERROR(VLOOKUP(I1078,'Chart of accounts'!A:H,2,FALSE),"")</f>
        <v>50103040 01</v>
      </c>
      <c r="K1078" s="338" t="str">
        <f>IFERROR(VLOOKUP(I1078,'Chart of accounts'!A:H,3,FALSE),"")</f>
        <v>ECIP - Civilian</v>
      </c>
      <c r="L1078" s="338" t="str">
        <f>IFERROR(VLOOKUP(I1078,'Chart of accounts'!A:H,4,FALSE),"")</f>
        <v>50103040 01 - ECIP - Civilian (734)</v>
      </c>
      <c r="M1078" s="361">
        <v>67</v>
      </c>
      <c r="N1078" s="355" t="s">
        <v>1382</v>
      </c>
      <c r="O1078" s="355" t="s">
        <v>1399</v>
      </c>
      <c r="P1078" s="355"/>
      <c r="Q1078" s="363">
        <v>100</v>
      </c>
      <c r="R1078" s="428">
        <f t="shared" si="37"/>
        <v>-100</v>
      </c>
      <c r="S1078" s="239" t="str">
        <f>VLOOKUP(H1078,'Fund Utilization Report'!$A$4:$U$1800,13,FALSE)</f>
        <v>PS</v>
      </c>
      <c r="T1078" s="239" t="str">
        <f>VLOOKUP(H1078,'Fund Utilization Report'!$A$4:$U$1800,2,FALSE)</f>
        <v>GAA</v>
      </c>
      <c r="U1078" s="239" t="str">
        <f>VLOOKUP(H1078,'Fund Utilization Report'!$A$4:$U$1800,3,FALSE)</f>
        <v>FY2021, RA11518</v>
      </c>
      <c r="V1078" s="239" t="str">
        <f>VLOOKUP(H1078,'Fund Utilization Report'!$A$4:$U$1800,4,FALSE)</f>
        <v>OO3</v>
      </c>
      <c r="W1078" s="239" t="str">
        <f>VLOOKUP(H1078,'Fund Utilization Report'!$A$4:$U$1800,5,FALSE)</f>
        <v>01101101</v>
      </c>
      <c r="X1078" s="239" t="str">
        <f>VLOOKUP(H1078,'Fund Utilization Report'!$A$4:$U$1800,6,FALSE)</f>
        <v>GOP</v>
      </c>
      <c r="Y1078" s="440" t="str">
        <f>VLOOKUP(H1078,'Fund Utilization Report'!$A$4:$U$1800,7,FALSE)</f>
        <v>PS</v>
      </c>
      <c r="Z1078" s="441">
        <f>VLOOKUP(H1078,'Fund Utilization Report'!$A$4:$U$1800,8,FALSE)</f>
        <v>5010000000</v>
      </c>
      <c r="AA1078" s="239" t="str">
        <f>VLOOKUP(H1078,'Fund Utilization Report'!$A$4:$U$1800,14,FALSE)</f>
        <v>330100100002000</v>
      </c>
      <c r="AB1078" s="242" t="str">
        <f>VLOOKUP(H1078,'Fund Utilization Report'!$A$4:$U$1800,15,FALSE)</f>
        <v>Implementation of the MSME Development Plan and other initiatives to promote the growth of Micro, Small and Medium Enterprises</v>
      </c>
      <c r="AC1078" s="51"/>
      <c r="AD1078" s="435"/>
      <c r="AE1078" s="51"/>
      <c r="AF1078" s="51"/>
      <c r="AG1078" s="442"/>
      <c r="AH1078" s="442"/>
      <c r="AI1078" s="443"/>
    </row>
    <row r="1079" spans="1:35" s="32" customFormat="1" ht="27.6">
      <c r="A1079" s="434" t="s">
        <v>942</v>
      </c>
      <c r="B1079" s="457" t="s">
        <v>946</v>
      </c>
      <c r="C1079" s="233">
        <v>44265</v>
      </c>
      <c r="D1079" s="435" t="s">
        <v>1267</v>
      </c>
      <c r="E1079" s="436" t="s">
        <v>1400</v>
      </c>
      <c r="F1079" s="338">
        <v>0.4375</v>
      </c>
      <c r="G1079" s="338">
        <v>0.44027777777777777</v>
      </c>
      <c r="H1079" s="338" t="s">
        <v>970</v>
      </c>
      <c r="I1079" s="353">
        <v>701</v>
      </c>
      <c r="J1079" s="338" t="str">
        <f>IFERROR(VLOOKUP(I1079,'Chart of accounts'!A:H,2,FALSE),"")</f>
        <v>50101010 01</v>
      </c>
      <c r="K1079" s="338" t="str">
        <f>IFERROR(VLOOKUP(I1079,'Chart of accounts'!A:H,3,FALSE),"")</f>
        <v>Basic Salary - Civilian</v>
      </c>
      <c r="L1079" s="338" t="str">
        <f>IFERROR(VLOOKUP(I1079,'Chart of accounts'!A:H,4,FALSE),"")</f>
        <v>50101010 01 - Basic Salary - Civilian (701)</v>
      </c>
      <c r="M1079" s="361">
        <v>67</v>
      </c>
      <c r="N1079" s="355" t="s">
        <v>1382</v>
      </c>
      <c r="O1079" s="355" t="s">
        <v>1394</v>
      </c>
      <c r="P1079" s="355"/>
      <c r="Q1079" s="363">
        <v>23877</v>
      </c>
      <c r="R1079" s="428">
        <f t="shared" ref="R1079:R1084" si="38">P1079-Q1079</f>
        <v>-23877</v>
      </c>
      <c r="S1079" s="239" t="str">
        <f>VLOOKUP(H1079,'Fund Utilization Report'!$A$4:$U$1800,13,FALSE)</f>
        <v>PS</v>
      </c>
      <c r="T1079" s="239" t="str">
        <f>VLOOKUP(H1079,'Fund Utilization Report'!$A$4:$U$1800,2,FALSE)</f>
        <v>GAA</v>
      </c>
      <c r="U1079" s="239" t="str">
        <f>VLOOKUP(H1079,'Fund Utilization Report'!$A$4:$U$1800,3,FALSE)</f>
        <v>FY2021, RA11518</v>
      </c>
      <c r="V1079" s="239" t="str">
        <f>VLOOKUP(H1079,'Fund Utilization Report'!$A$4:$U$1800,4,FALSE)</f>
        <v>OO3</v>
      </c>
      <c r="W1079" s="239" t="str">
        <f>VLOOKUP(H1079,'Fund Utilization Report'!$A$4:$U$1800,5,FALSE)</f>
        <v>01101101</v>
      </c>
      <c r="X1079" s="239" t="str">
        <f>VLOOKUP(H1079,'Fund Utilization Report'!$A$4:$U$1800,6,FALSE)</f>
        <v>GOP</v>
      </c>
      <c r="Y1079" s="440" t="str">
        <f>VLOOKUP(H1079,'Fund Utilization Report'!$A$4:$U$1800,7,FALSE)</f>
        <v>PS</v>
      </c>
      <c r="Z1079" s="441">
        <f>VLOOKUP(H1079,'Fund Utilization Report'!$A$4:$U$1800,8,FALSE)</f>
        <v>5010000000</v>
      </c>
      <c r="AA1079" s="239" t="str">
        <f>VLOOKUP(H1079,'Fund Utilization Report'!$A$4:$U$1800,14,FALSE)</f>
        <v>330100100002000</v>
      </c>
      <c r="AB1079" s="242" t="str">
        <f>VLOOKUP(H1079,'Fund Utilization Report'!$A$4:$U$1800,15,FALSE)</f>
        <v>Implementation of the MSME Development Plan and other initiatives to promote the growth of Micro, Small and Medium Enterprises</v>
      </c>
      <c r="AC1079" s="51"/>
      <c r="AD1079" s="435"/>
      <c r="AE1079" s="51"/>
      <c r="AF1079" s="51"/>
      <c r="AG1079" s="442"/>
      <c r="AH1079" s="442"/>
      <c r="AI1079" s="443"/>
    </row>
    <row r="1080" spans="1:35" s="32" customFormat="1" ht="27.6">
      <c r="A1080" s="434" t="s">
        <v>942</v>
      </c>
      <c r="B1080" s="457" t="s">
        <v>946</v>
      </c>
      <c r="C1080" s="233">
        <v>44265</v>
      </c>
      <c r="D1080" s="435" t="s">
        <v>1267</v>
      </c>
      <c r="E1080" s="436" t="s">
        <v>1400</v>
      </c>
      <c r="F1080" s="338">
        <v>0.4375</v>
      </c>
      <c r="G1080" s="338">
        <v>0.44027777777777777</v>
      </c>
      <c r="H1080" s="338" t="s">
        <v>970</v>
      </c>
      <c r="I1080" s="353">
        <v>711</v>
      </c>
      <c r="J1080" s="338" t="str">
        <f>IFERROR(VLOOKUP(I1080,'Chart of accounts'!A:H,2,FALSE),"")</f>
        <v>50102010 01</v>
      </c>
      <c r="K1080" s="338" t="str">
        <f>IFERROR(VLOOKUP(I1080,'Chart of accounts'!A:H,3,FALSE),"")</f>
        <v>PERA - Civilian</v>
      </c>
      <c r="L1080" s="338" t="str">
        <f>IFERROR(VLOOKUP(I1080,'Chart of accounts'!A:H,4,FALSE),"")</f>
        <v>50102010 01 - PERA - Civilian (711)</v>
      </c>
      <c r="M1080" s="361">
        <v>67</v>
      </c>
      <c r="N1080" s="355" t="s">
        <v>1382</v>
      </c>
      <c r="O1080" s="355" t="s">
        <v>1394</v>
      </c>
      <c r="P1080" s="355"/>
      <c r="Q1080" s="363">
        <v>2000</v>
      </c>
      <c r="R1080" s="428">
        <f t="shared" si="38"/>
        <v>-2000</v>
      </c>
      <c r="S1080" s="239" t="str">
        <f>VLOOKUP(H1080,'Fund Utilization Report'!$A$4:$U$1800,13,FALSE)</f>
        <v>PS</v>
      </c>
      <c r="T1080" s="239" t="str">
        <f>VLOOKUP(H1080,'Fund Utilization Report'!$A$4:$U$1800,2,FALSE)</f>
        <v>GAA</v>
      </c>
      <c r="U1080" s="239" t="str">
        <f>VLOOKUP(H1080,'Fund Utilization Report'!$A$4:$U$1800,3,FALSE)</f>
        <v>FY2021, RA11518</v>
      </c>
      <c r="V1080" s="239" t="str">
        <f>VLOOKUP(H1080,'Fund Utilization Report'!$A$4:$U$1800,4,FALSE)</f>
        <v>OO3</v>
      </c>
      <c r="W1080" s="239" t="str">
        <f>VLOOKUP(H1080,'Fund Utilization Report'!$A$4:$U$1800,5,FALSE)</f>
        <v>01101101</v>
      </c>
      <c r="X1080" s="239" t="str">
        <f>VLOOKUP(H1080,'Fund Utilization Report'!$A$4:$U$1800,6,FALSE)</f>
        <v>GOP</v>
      </c>
      <c r="Y1080" s="440" t="str">
        <f>VLOOKUP(H1080,'Fund Utilization Report'!$A$4:$U$1800,7,FALSE)</f>
        <v>PS</v>
      </c>
      <c r="Z1080" s="441">
        <f>VLOOKUP(H1080,'Fund Utilization Report'!$A$4:$U$1800,8,FALSE)</f>
        <v>5010000000</v>
      </c>
      <c r="AA1080" s="239" t="str">
        <f>VLOOKUP(H1080,'Fund Utilization Report'!$A$4:$U$1800,14,FALSE)</f>
        <v>330100100002000</v>
      </c>
      <c r="AB1080" s="242" t="str">
        <f>VLOOKUP(H1080,'Fund Utilization Report'!$A$4:$U$1800,15,FALSE)</f>
        <v>Implementation of the MSME Development Plan and other initiatives to promote the growth of Micro, Small and Medium Enterprises</v>
      </c>
      <c r="AC1080" s="51"/>
      <c r="AD1080" s="435"/>
      <c r="AE1080" s="51"/>
      <c r="AF1080" s="51"/>
      <c r="AG1080" s="442"/>
      <c r="AH1080" s="442"/>
      <c r="AI1080" s="443"/>
    </row>
    <row r="1081" spans="1:35" s="32" customFormat="1" ht="27.6">
      <c r="A1081" s="434" t="s">
        <v>942</v>
      </c>
      <c r="B1081" s="457" t="s">
        <v>946</v>
      </c>
      <c r="C1081" s="233">
        <v>44265</v>
      </c>
      <c r="D1081" s="435" t="s">
        <v>1267</v>
      </c>
      <c r="E1081" s="436" t="s">
        <v>1400</v>
      </c>
      <c r="F1081" s="338">
        <v>0.4375</v>
      </c>
      <c r="G1081" s="338">
        <v>0.44027777777777777</v>
      </c>
      <c r="H1081" s="338" t="s">
        <v>972</v>
      </c>
      <c r="I1081" s="353">
        <v>731</v>
      </c>
      <c r="J1081" s="338" t="str">
        <f>IFERROR(VLOOKUP(I1081,'Chart of accounts'!A:H,2,FALSE),"")</f>
        <v>50103010 00</v>
      </c>
      <c r="K1081" s="338" t="str">
        <f>IFERROR(VLOOKUP(I1081,'Chart of accounts'!A:H,3,FALSE),"")</f>
        <v>Retirement and Life Insurance Premiums</v>
      </c>
      <c r="L1081" s="338" t="str">
        <f>IFERROR(VLOOKUP(I1081,'Chart of accounts'!A:H,4,FALSE),"")</f>
        <v>50103010 00 - Retirement and Life Insurance Premiums (731)</v>
      </c>
      <c r="M1081" s="361">
        <v>67</v>
      </c>
      <c r="N1081" s="355" t="s">
        <v>1382</v>
      </c>
      <c r="O1081" s="355" t="s">
        <v>1394</v>
      </c>
      <c r="P1081" s="355"/>
      <c r="Q1081" s="363">
        <v>2865.24</v>
      </c>
      <c r="R1081" s="428">
        <f t="shared" si="38"/>
        <v>-2865.24</v>
      </c>
      <c r="S1081" s="239" t="str">
        <f>VLOOKUP(H1081,'Fund Utilization Report'!$A$4:$U$1800,13,FALSE)</f>
        <v>PS</v>
      </c>
      <c r="T1081" s="239" t="str">
        <f>VLOOKUP(H1081,'Fund Utilization Report'!$A$4:$U$1800,2,FALSE)</f>
        <v>GAA</v>
      </c>
      <c r="U1081" s="239" t="str">
        <f>VLOOKUP(H1081,'Fund Utilization Report'!$A$4:$U$1800,3,FALSE)</f>
        <v>FY2021, RA11518</v>
      </c>
      <c r="V1081" s="239" t="str">
        <f>VLOOKUP(H1081,'Fund Utilization Report'!$A$4:$U$1800,4,FALSE)</f>
        <v>OO3</v>
      </c>
      <c r="W1081" s="239" t="str">
        <f>VLOOKUP(H1081,'Fund Utilization Report'!$A$4:$U$1800,5,FALSE)</f>
        <v>01101101</v>
      </c>
      <c r="X1081" s="239" t="str">
        <f>VLOOKUP(H1081,'Fund Utilization Report'!$A$4:$U$1800,6,FALSE)</f>
        <v>GOP</v>
      </c>
      <c r="Y1081" s="440" t="str">
        <f>VLOOKUP(H1081,'Fund Utilization Report'!$A$4:$U$1800,7,FALSE)</f>
        <v>RLIP</v>
      </c>
      <c r="Z1081" s="441" t="str">
        <f>VLOOKUP(H1081,'Fund Utilization Report'!$A$4:$U$1800,8,FALSE)</f>
        <v>50103010-00</v>
      </c>
      <c r="AA1081" s="239" t="str">
        <f>VLOOKUP(H1081,'Fund Utilization Report'!$A$4:$U$1800,14,FALSE)</f>
        <v>330100100002000</v>
      </c>
      <c r="AB1081" s="242" t="str">
        <f>VLOOKUP(H1081,'Fund Utilization Report'!$A$4:$U$1800,15,FALSE)</f>
        <v>Implementation of the MSME Development Plan and other initiatives to promote the growth of Micro, Small and Medium Enterprises</v>
      </c>
      <c r="AC1081" s="51"/>
      <c r="AD1081" s="435"/>
      <c r="AE1081" s="51"/>
      <c r="AF1081" s="51"/>
      <c r="AG1081" s="442"/>
      <c r="AH1081" s="442"/>
      <c r="AI1081" s="443"/>
    </row>
    <row r="1082" spans="1:35" s="32" customFormat="1" ht="27.6">
      <c r="A1082" s="434" t="s">
        <v>942</v>
      </c>
      <c r="B1082" s="457" t="s">
        <v>946</v>
      </c>
      <c r="C1082" s="233">
        <v>44265</v>
      </c>
      <c r="D1082" s="435" t="s">
        <v>1267</v>
      </c>
      <c r="E1082" s="436" t="s">
        <v>1400</v>
      </c>
      <c r="F1082" s="338">
        <v>0.4375</v>
      </c>
      <c r="G1082" s="338">
        <v>0.44027777777777777</v>
      </c>
      <c r="H1082" s="338" t="s">
        <v>970</v>
      </c>
      <c r="I1082" s="353">
        <v>732</v>
      </c>
      <c r="J1082" s="338" t="str">
        <f>IFERROR(VLOOKUP(I1082,'Chart of accounts'!A:H,2,FALSE),"")</f>
        <v>50103020 01</v>
      </c>
      <c r="K1082" s="338" t="str">
        <f>IFERROR(VLOOKUP(I1082,'Chart of accounts'!A:H,3,FALSE),"")</f>
        <v>Pag-IBIG - Civilian</v>
      </c>
      <c r="L1082" s="338" t="str">
        <f>IFERROR(VLOOKUP(I1082,'Chart of accounts'!A:H,4,FALSE),"")</f>
        <v>50103020 01 - Pag-IBIG - Civilian (732)</v>
      </c>
      <c r="M1082" s="361">
        <v>67</v>
      </c>
      <c r="N1082" s="355" t="s">
        <v>1382</v>
      </c>
      <c r="O1082" s="355" t="s">
        <v>1394</v>
      </c>
      <c r="P1082" s="355"/>
      <c r="Q1082" s="363">
        <v>100</v>
      </c>
      <c r="R1082" s="428">
        <f t="shared" si="38"/>
        <v>-100</v>
      </c>
      <c r="S1082" s="239" t="str">
        <f>VLOOKUP(H1082,'Fund Utilization Report'!$A$4:$U$1800,13,FALSE)</f>
        <v>PS</v>
      </c>
      <c r="T1082" s="239" t="str">
        <f>VLOOKUP(H1082,'Fund Utilization Report'!$A$4:$U$1800,2,FALSE)</f>
        <v>GAA</v>
      </c>
      <c r="U1082" s="239" t="str">
        <f>VLOOKUP(H1082,'Fund Utilization Report'!$A$4:$U$1800,3,FALSE)</f>
        <v>FY2021, RA11518</v>
      </c>
      <c r="V1082" s="239" t="str">
        <f>VLOOKUP(H1082,'Fund Utilization Report'!$A$4:$U$1800,4,FALSE)</f>
        <v>OO3</v>
      </c>
      <c r="W1082" s="239" t="str">
        <f>VLOOKUP(H1082,'Fund Utilization Report'!$A$4:$U$1800,5,FALSE)</f>
        <v>01101101</v>
      </c>
      <c r="X1082" s="239" t="str">
        <f>VLOOKUP(H1082,'Fund Utilization Report'!$A$4:$U$1800,6,FALSE)</f>
        <v>GOP</v>
      </c>
      <c r="Y1082" s="440" t="str">
        <f>VLOOKUP(H1082,'Fund Utilization Report'!$A$4:$U$1800,7,FALSE)</f>
        <v>PS</v>
      </c>
      <c r="Z1082" s="441">
        <f>VLOOKUP(H1082,'Fund Utilization Report'!$A$4:$U$1800,8,FALSE)</f>
        <v>5010000000</v>
      </c>
      <c r="AA1082" s="239" t="str">
        <f>VLOOKUP(H1082,'Fund Utilization Report'!$A$4:$U$1800,14,FALSE)</f>
        <v>330100100002000</v>
      </c>
      <c r="AB1082" s="242" t="str">
        <f>VLOOKUP(H1082,'Fund Utilization Report'!$A$4:$U$1800,15,FALSE)</f>
        <v>Implementation of the MSME Development Plan and other initiatives to promote the growth of Micro, Small and Medium Enterprises</v>
      </c>
      <c r="AC1082" s="51"/>
      <c r="AD1082" s="435"/>
      <c r="AE1082" s="51"/>
      <c r="AF1082" s="51"/>
      <c r="AG1082" s="442"/>
      <c r="AH1082" s="442"/>
      <c r="AI1082" s="443"/>
    </row>
    <row r="1083" spans="1:35" s="32" customFormat="1" ht="27.6">
      <c r="A1083" s="434" t="s">
        <v>942</v>
      </c>
      <c r="B1083" s="457" t="s">
        <v>946</v>
      </c>
      <c r="C1083" s="233">
        <v>44265</v>
      </c>
      <c r="D1083" s="435" t="s">
        <v>1267</v>
      </c>
      <c r="E1083" s="436" t="s">
        <v>1400</v>
      </c>
      <c r="F1083" s="338">
        <v>0.4375</v>
      </c>
      <c r="G1083" s="338">
        <v>0.44027777777777777</v>
      </c>
      <c r="H1083" s="338" t="s">
        <v>970</v>
      </c>
      <c r="I1083" s="353">
        <v>733</v>
      </c>
      <c r="J1083" s="338" t="str">
        <f>IFERROR(VLOOKUP(I1083,'Chart of accounts'!A:H,2,FALSE),"")</f>
        <v>50103030 01</v>
      </c>
      <c r="K1083" s="338" t="str">
        <f>IFERROR(VLOOKUP(I1083,'Chart of accounts'!A:H,3,FALSE),"")</f>
        <v>PhilHealth - Civilian</v>
      </c>
      <c r="L1083" s="338" t="str">
        <f>IFERROR(VLOOKUP(I1083,'Chart of accounts'!A:H,4,FALSE),"")</f>
        <v>50103030 01 - PhilHealth - Civilian (733)</v>
      </c>
      <c r="M1083" s="361">
        <v>67</v>
      </c>
      <c r="N1083" s="355" t="s">
        <v>1382</v>
      </c>
      <c r="O1083" s="355" t="s">
        <v>1394</v>
      </c>
      <c r="P1083" s="355"/>
      <c r="Q1083" s="363">
        <v>358.16</v>
      </c>
      <c r="R1083" s="428">
        <f t="shared" si="38"/>
        <v>-358.16</v>
      </c>
      <c r="S1083" s="239" t="str">
        <f>VLOOKUP(H1083,'Fund Utilization Report'!$A$4:$U$1800,13,FALSE)</f>
        <v>PS</v>
      </c>
      <c r="T1083" s="239" t="str">
        <f>VLOOKUP(H1083,'Fund Utilization Report'!$A$4:$U$1800,2,FALSE)</f>
        <v>GAA</v>
      </c>
      <c r="U1083" s="239" t="str">
        <f>VLOOKUP(H1083,'Fund Utilization Report'!$A$4:$U$1800,3,FALSE)</f>
        <v>FY2021, RA11518</v>
      </c>
      <c r="V1083" s="239" t="str">
        <f>VLOOKUP(H1083,'Fund Utilization Report'!$A$4:$U$1800,4,FALSE)</f>
        <v>OO3</v>
      </c>
      <c r="W1083" s="239" t="str">
        <f>VLOOKUP(H1083,'Fund Utilization Report'!$A$4:$U$1800,5,FALSE)</f>
        <v>01101101</v>
      </c>
      <c r="X1083" s="239" t="str">
        <f>VLOOKUP(H1083,'Fund Utilization Report'!$A$4:$U$1800,6,FALSE)</f>
        <v>GOP</v>
      </c>
      <c r="Y1083" s="440" t="str">
        <f>VLOOKUP(H1083,'Fund Utilization Report'!$A$4:$U$1800,7,FALSE)</f>
        <v>PS</v>
      </c>
      <c r="Z1083" s="441">
        <f>VLOOKUP(H1083,'Fund Utilization Report'!$A$4:$U$1800,8,FALSE)</f>
        <v>5010000000</v>
      </c>
      <c r="AA1083" s="239" t="str">
        <f>VLOOKUP(H1083,'Fund Utilization Report'!$A$4:$U$1800,14,FALSE)</f>
        <v>330100100002000</v>
      </c>
      <c r="AB1083" s="242" t="str">
        <f>VLOOKUP(H1083,'Fund Utilization Report'!$A$4:$U$1800,15,FALSE)</f>
        <v>Implementation of the MSME Development Plan and other initiatives to promote the growth of Micro, Small and Medium Enterprises</v>
      </c>
      <c r="AC1083" s="51"/>
      <c r="AD1083" s="435"/>
      <c r="AE1083" s="51"/>
      <c r="AF1083" s="51"/>
      <c r="AG1083" s="442"/>
      <c r="AH1083" s="442"/>
      <c r="AI1083" s="443"/>
    </row>
    <row r="1084" spans="1:35" s="32" customFormat="1" ht="27.6">
      <c r="A1084" s="434" t="s">
        <v>942</v>
      </c>
      <c r="B1084" s="457" t="s">
        <v>946</v>
      </c>
      <c r="C1084" s="233">
        <v>44265</v>
      </c>
      <c r="D1084" s="435" t="s">
        <v>1267</v>
      </c>
      <c r="E1084" s="436" t="s">
        <v>1400</v>
      </c>
      <c r="F1084" s="338">
        <v>0.4375</v>
      </c>
      <c r="G1084" s="338">
        <v>0.44027777777777777</v>
      </c>
      <c r="H1084" s="338" t="s">
        <v>970</v>
      </c>
      <c r="I1084" s="353">
        <v>734</v>
      </c>
      <c r="J1084" s="338" t="str">
        <f>IFERROR(VLOOKUP(I1084,'Chart of accounts'!A:H,2,FALSE),"")</f>
        <v>50103040 01</v>
      </c>
      <c r="K1084" s="338" t="str">
        <f>IFERROR(VLOOKUP(I1084,'Chart of accounts'!A:H,3,FALSE),"")</f>
        <v>ECIP - Civilian</v>
      </c>
      <c r="L1084" s="338" t="str">
        <f>IFERROR(VLOOKUP(I1084,'Chart of accounts'!A:H,4,FALSE),"")</f>
        <v>50103040 01 - ECIP - Civilian (734)</v>
      </c>
      <c r="M1084" s="361">
        <v>67</v>
      </c>
      <c r="N1084" s="355" t="s">
        <v>1382</v>
      </c>
      <c r="O1084" s="355" t="s">
        <v>1394</v>
      </c>
      <c r="P1084" s="355"/>
      <c r="Q1084" s="363">
        <v>100</v>
      </c>
      <c r="R1084" s="428">
        <f t="shared" si="38"/>
        <v>-100</v>
      </c>
      <c r="S1084" s="239" t="str">
        <f>VLOOKUP(H1084,'Fund Utilization Report'!$A$4:$U$1800,13,FALSE)</f>
        <v>PS</v>
      </c>
      <c r="T1084" s="239" t="str">
        <f>VLOOKUP(H1084,'Fund Utilization Report'!$A$4:$U$1800,2,FALSE)</f>
        <v>GAA</v>
      </c>
      <c r="U1084" s="239" t="str">
        <f>VLOOKUP(H1084,'Fund Utilization Report'!$A$4:$U$1800,3,FALSE)</f>
        <v>FY2021, RA11518</v>
      </c>
      <c r="V1084" s="239" t="str">
        <f>VLOOKUP(H1084,'Fund Utilization Report'!$A$4:$U$1800,4,FALSE)</f>
        <v>OO3</v>
      </c>
      <c r="W1084" s="239" t="str">
        <f>VLOOKUP(H1084,'Fund Utilization Report'!$A$4:$U$1800,5,FALSE)</f>
        <v>01101101</v>
      </c>
      <c r="X1084" s="239" t="str">
        <f>VLOOKUP(H1084,'Fund Utilization Report'!$A$4:$U$1800,6,FALSE)</f>
        <v>GOP</v>
      </c>
      <c r="Y1084" s="440" t="str">
        <f>VLOOKUP(H1084,'Fund Utilization Report'!$A$4:$U$1800,7,FALSE)</f>
        <v>PS</v>
      </c>
      <c r="Z1084" s="441">
        <f>VLOOKUP(H1084,'Fund Utilization Report'!$A$4:$U$1800,8,FALSE)</f>
        <v>5010000000</v>
      </c>
      <c r="AA1084" s="239" t="str">
        <f>VLOOKUP(H1084,'Fund Utilization Report'!$A$4:$U$1800,14,FALSE)</f>
        <v>330100100002000</v>
      </c>
      <c r="AB1084" s="242" t="str">
        <f>VLOOKUP(H1084,'Fund Utilization Report'!$A$4:$U$1800,15,FALSE)</f>
        <v>Implementation of the MSME Development Plan and other initiatives to promote the growth of Micro, Small and Medium Enterprises</v>
      </c>
      <c r="AC1084" s="51"/>
      <c r="AD1084" s="435"/>
      <c r="AE1084" s="51"/>
      <c r="AF1084" s="51"/>
      <c r="AG1084" s="442"/>
      <c r="AH1084" s="442"/>
      <c r="AI1084" s="443"/>
    </row>
    <row r="1085" spans="1:35" s="32" customFormat="1" ht="27.6">
      <c r="A1085" s="434" t="s">
        <v>942</v>
      </c>
      <c r="B1085" s="457" t="s">
        <v>946</v>
      </c>
      <c r="C1085" s="233">
        <v>44265</v>
      </c>
      <c r="D1085" s="435" t="s">
        <v>1267</v>
      </c>
      <c r="E1085" s="436" t="s">
        <v>1401</v>
      </c>
      <c r="F1085" s="338">
        <v>0.44027777777777777</v>
      </c>
      <c r="G1085" s="338">
        <v>0.44375000000000003</v>
      </c>
      <c r="H1085" s="338" t="s">
        <v>960</v>
      </c>
      <c r="I1085" s="353">
        <v>701</v>
      </c>
      <c r="J1085" s="338" t="str">
        <f>IFERROR(VLOOKUP(I1085,'Chart of accounts'!A:H,2,FALSE),"")</f>
        <v>50101010 01</v>
      </c>
      <c r="K1085" s="338" t="str">
        <f>IFERROR(VLOOKUP(I1085,'Chart of accounts'!A:H,3,FALSE),"")</f>
        <v>Basic Salary - Civilian</v>
      </c>
      <c r="L1085" s="338" t="str">
        <f>IFERROR(VLOOKUP(I1085,'Chart of accounts'!A:H,4,FALSE),"")</f>
        <v>50101010 01 - Basic Salary - Civilian (701)</v>
      </c>
      <c r="M1085" s="361">
        <v>1</v>
      </c>
      <c r="N1085" s="355" t="s">
        <v>10</v>
      </c>
      <c r="O1085" s="355" t="s">
        <v>1384</v>
      </c>
      <c r="P1085" s="355"/>
      <c r="Q1085" s="363">
        <v>1057756</v>
      </c>
      <c r="R1085" s="428">
        <f>P1085-Q1085</f>
        <v>-1057756</v>
      </c>
      <c r="S1085" s="239" t="str">
        <f>VLOOKUP(H1085,'Fund Utilization Report'!$A$4:$U$1800,13,FALSE)</f>
        <v>PS</v>
      </c>
      <c r="T1085" s="239" t="str">
        <f>VLOOKUP(H1085,'Fund Utilization Report'!$A$4:$U$1800,2,FALSE)</f>
        <v>GAA</v>
      </c>
      <c r="U1085" s="239" t="str">
        <f>VLOOKUP(H1085,'Fund Utilization Report'!$A$4:$U$1800,3,FALSE)</f>
        <v>FY2021, RA11518</v>
      </c>
      <c r="V1085" s="239" t="str">
        <f>VLOOKUP(H1085,'Fund Utilization Report'!$A$4:$U$1800,4,FALSE)</f>
        <v>GAS(GMS)</v>
      </c>
      <c r="W1085" s="239" t="str">
        <f>VLOOKUP(H1085,'Fund Utilization Report'!$A$4:$U$1800,5,FALSE)</f>
        <v>01101101</v>
      </c>
      <c r="X1085" s="239" t="str">
        <f>VLOOKUP(H1085,'Fund Utilization Report'!$A$4:$U$1800,6,FALSE)</f>
        <v>GOP</v>
      </c>
      <c r="Y1085" s="440" t="str">
        <f>VLOOKUP(H1085,'Fund Utilization Report'!$A$4:$U$1800,7,FALSE)</f>
        <v>PS</v>
      </c>
      <c r="Z1085" s="441">
        <f>VLOOKUP(H1085,'Fund Utilization Report'!$A$4:$U$1800,8,FALSE)</f>
        <v>5010000000</v>
      </c>
      <c r="AA1085" s="239" t="str">
        <f>VLOOKUP(H1085,'Fund Utilization Report'!$A$4:$U$1800,14,FALSE)</f>
        <v>100000100001000</v>
      </c>
      <c r="AB1085" s="242" t="str">
        <f>VLOOKUP(H1085,'Fund Utilization Report'!$A$4:$U$1800,15,FALSE)</f>
        <v>General Administration and Supervision - General Management and Supervision</v>
      </c>
      <c r="AC1085" s="51"/>
      <c r="AD1085" s="435"/>
      <c r="AE1085" s="51"/>
      <c r="AF1085" s="51"/>
      <c r="AG1085" s="442"/>
      <c r="AH1085" s="442"/>
      <c r="AI1085" s="443"/>
    </row>
    <row r="1086" spans="1:35" s="32" customFormat="1" ht="27.6">
      <c r="A1086" s="434" t="s">
        <v>942</v>
      </c>
      <c r="B1086" s="457" t="s">
        <v>946</v>
      </c>
      <c r="C1086" s="233">
        <v>44265</v>
      </c>
      <c r="D1086" s="435" t="s">
        <v>1267</v>
      </c>
      <c r="E1086" s="436" t="s">
        <v>1401</v>
      </c>
      <c r="F1086" s="338">
        <v>0.44027777777777777</v>
      </c>
      <c r="G1086" s="338">
        <v>0.44375000000000003</v>
      </c>
      <c r="H1086" s="338" t="s">
        <v>960</v>
      </c>
      <c r="I1086" s="353">
        <v>711</v>
      </c>
      <c r="J1086" s="338" t="str">
        <f>IFERROR(VLOOKUP(I1086,'Chart of accounts'!A:H,2,FALSE),"")</f>
        <v>50102010 01</v>
      </c>
      <c r="K1086" s="338" t="str">
        <f>IFERROR(VLOOKUP(I1086,'Chart of accounts'!A:H,3,FALSE),"")</f>
        <v>PERA - Civilian</v>
      </c>
      <c r="L1086" s="338" t="str">
        <f>IFERROR(VLOOKUP(I1086,'Chart of accounts'!A:H,4,FALSE),"")</f>
        <v>50102010 01 - PERA - Civilian (711)</v>
      </c>
      <c r="M1086" s="361">
        <v>1</v>
      </c>
      <c r="N1086" s="355" t="s">
        <v>10</v>
      </c>
      <c r="O1086" s="355" t="s">
        <v>1384</v>
      </c>
      <c r="P1086" s="355"/>
      <c r="Q1086" s="363">
        <v>44000</v>
      </c>
      <c r="R1086" s="428">
        <f>P1086-Q1086</f>
        <v>-44000</v>
      </c>
      <c r="S1086" s="239" t="str">
        <f>VLOOKUP(H1086,'Fund Utilization Report'!$A$4:$U$1800,13,FALSE)</f>
        <v>PS</v>
      </c>
      <c r="T1086" s="239" t="str">
        <f>VLOOKUP(H1086,'Fund Utilization Report'!$A$4:$U$1800,2,FALSE)</f>
        <v>GAA</v>
      </c>
      <c r="U1086" s="239" t="str">
        <f>VLOOKUP(H1086,'Fund Utilization Report'!$A$4:$U$1800,3,FALSE)</f>
        <v>FY2021, RA11518</v>
      </c>
      <c r="V1086" s="239" t="str">
        <f>VLOOKUP(H1086,'Fund Utilization Report'!$A$4:$U$1800,4,FALSE)</f>
        <v>GAS(GMS)</v>
      </c>
      <c r="W1086" s="239" t="str">
        <f>VLOOKUP(H1086,'Fund Utilization Report'!$A$4:$U$1800,5,FALSE)</f>
        <v>01101101</v>
      </c>
      <c r="X1086" s="239" t="str">
        <f>VLOOKUP(H1086,'Fund Utilization Report'!$A$4:$U$1800,6,FALSE)</f>
        <v>GOP</v>
      </c>
      <c r="Y1086" s="440" t="str">
        <f>VLOOKUP(H1086,'Fund Utilization Report'!$A$4:$U$1800,7,FALSE)</f>
        <v>PS</v>
      </c>
      <c r="Z1086" s="441">
        <f>VLOOKUP(H1086,'Fund Utilization Report'!$A$4:$U$1800,8,FALSE)</f>
        <v>5010000000</v>
      </c>
      <c r="AA1086" s="239" t="str">
        <f>VLOOKUP(H1086,'Fund Utilization Report'!$A$4:$U$1800,14,FALSE)</f>
        <v>100000100001000</v>
      </c>
      <c r="AB1086" s="242" t="str">
        <f>VLOOKUP(H1086,'Fund Utilization Report'!$A$4:$U$1800,15,FALSE)</f>
        <v>General Administration and Supervision - General Management and Supervision</v>
      </c>
      <c r="AC1086" s="51"/>
      <c r="AD1086" s="435"/>
      <c r="AE1086" s="51"/>
      <c r="AF1086" s="51"/>
      <c r="AG1086" s="442"/>
      <c r="AH1086" s="442"/>
      <c r="AI1086" s="443"/>
    </row>
    <row r="1087" spans="1:35" s="32" customFormat="1" ht="27.6">
      <c r="A1087" s="434" t="s">
        <v>942</v>
      </c>
      <c r="B1087" s="457" t="s">
        <v>946</v>
      </c>
      <c r="C1087" s="233">
        <v>44265</v>
      </c>
      <c r="D1087" s="435" t="s">
        <v>1267</v>
      </c>
      <c r="E1087" s="436" t="s">
        <v>1401</v>
      </c>
      <c r="F1087" s="338">
        <v>0.44027777777777777</v>
      </c>
      <c r="G1087" s="338">
        <v>0.44375000000000003</v>
      </c>
      <c r="H1087" s="338" t="s">
        <v>962</v>
      </c>
      <c r="I1087" s="353">
        <v>731</v>
      </c>
      <c r="J1087" s="338" t="str">
        <f>IFERROR(VLOOKUP(I1087,'Chart of accounts'!A:H,2,FALSE),"")</f>
        <v>50103010 00</v>
      </c>
      <c r="K1087" s="338" t="str">
        <f>IFERROR(VLOOKUP(I1087,'Chart of accounts'!A:H,3,FALSE),"")</f>
        <v>Retirement and Life Insurance Premiums</v>
      </c>
      <c r="L1087" s="338" t="str">
        <f>IFERROR(VLOOKUP(I1087,'Chart of accounts'!A:H,4,FALSE),"")</f>
        <v>50103010 00 - Retirement and Life Insurance Premiums (731)</v>
      </c>
      <c r="M1087" s="361">
        <v>1</v>
      </c>
      <c r="N1087" s="355" t="s">
        <v>10</v>
      </c>
      <c r="O1087" s="355" t="s">
        <v>1384</v>
      </c>
      <c r="P1087" s="355"/>
      <c r="Q1087" s="363">
        <v>126930.72</v>
      </c>
      <c r="R1087" s="428">
        <f>P1087-Q1087</f>
        <v>-126930.72</v>
      </c>
      <c r="S1087" s="239" t="str">
        <f>VLOOKUP(H1087,'Fund Utilization Report'!$A$4:$U$1800,13,FALSE)</f>
        <v>PS</v>
      </c>
      <c r="T1087" s="239" t="str">
        <f>VLOOKUP(H1087,'Fund Utilization Report'!$A$4:$U$1800,2,FALSE)</f>
        <v>GAA</v>
      </c>
      <c r="U1087" s="239" t="str">
        <f>VLOOKUP(H1087,'Fund Utilization Report'!$A$4:$U$1800,3,FALSE)</f>
        <v>FY2021, RA11518</v>
      </c>
      <c r="V1087" s="239" t="str">
        <f>VLOOKUP(H1087,'Fund Utilization Report'!$A$4:$U$1800,4,FALSE)</f>
        <v>GAS(GMS)</v>
      </c>
      <c r="W1087" s="239" t="str">
        <f>VLOOKUP(H1087,'Fund Utilization Report'!$A$4:$U$1800,5,FALSE)</f>
        <v>01101101</v>
      </c>
      <c r="X1087" s="239" t="str">
        <f>VLOOKUP(H1087,'Fund Utilization Report'!$A$4:$U$1800,6,FALSE)</f>
        <v>GOP</v>
      </c>
      <c r="Y1087" s="440" t="str">
        <f>VLOOKUP(H1087,'Fund Utilization Report'!$A$4:$U$1800,7,FALSE)</f>
        <v>RLIP</v>
      </c>
      <c r="Z1087" s="441" t="str">
        <f>VLOOKUP(H1087,'Fund Utilization Report'!$A$4:$U$1800,8,FALSE)</f>
        <v>50103010-00</v>
      </c>
      <c r="AA1087" s="239" t="str">
        <f>VLOOKUP(H1087,'Fund Utilization Report'!$A$4:$U$1800,14,FALSE)</f>
        <v>100000100001000</v>
      </c>
      <c r="AB1087" s="242" t="str">
        <f>VLOOKUP(H1087,'Fund Utilization Report'!$A$4:$U$1800,15,FALSE)</f>
        <v>General Administration and Supervision - General Management and Supervision</v>
      </c>
      <c r="AC1087" s="51"/>
      <c r="AD1087" s="435"/>
      <c r="AE1087" s="51"/>
      <c r="AF1087" s="51"/>
      <c r="AG1087" s="442"/>
      <c r="AH1087" s="442"/>
      <c r="AI1087" s="443"/>
    </row>
    <row r="1088" spans="1:35" s="32" customFormat="1" ht="27.6">
      <c r="A1088" s="434" t="s">
        <v>942</v>
      </c>
      <c r="B1088" s="457" t="s">
        <v>946</v>
      </c>
      <c r="C1088" s="233">
        <v>44265</v>
      </c>
      <c r="D1088" s="435" t="s">
        <v>1267</v>
      </c>
      <c r="E1088" s="436" t="s">
        <v>1401</v>
      </c>
      <c r="F1088" s="338">
        <v>0.44027777777777777</v>
      </c>
      <c r="G1088" s="338">
        <v>0.44375000000000003</v>
      </c>
      <c r="H1088" s="338" t="s">
        <v>960</v>
      </c>
      <c r="I1088" s="353">
        <v>732</v>
      </c>
      <c r="J1088" s="338" t="str">
        <f>IFERROR(VLOOKUP(I1088,'Chart of accounts'!A:H,2,FALSE),"")</f>
        <v>50103020 01</v>
      </c>
      <c r="K1088" s="338" t="str">
        <f>IFERROR(VLOOKUP(I1088,'Chart of accounts'!A:H,3,FALSE),"")</f>
        <v>Pag-IBIG - Civilian</v>
      </c>
      <c r="L1088" s="338" t="str">
        <f>IFERROR(VLOOKUP(I1088,'Chart of accounts'!A:H,4,FALSE),"")</f>
        <v>50103020 01 - Pag-IBIG - Civilian (732)</v>
      </c>
      <c r="M1088" s="361">
        <v>1</v>
      </c>
      <c r="N1088" s="355" t="s">
        <v>10</v>
      </c>
      <c r="O1088" s="355" t="s">
        <v>1384</v>
      </c>
      <c r="P1088" s="355"/>
      <c r="Q1088" s="363">
        <v>2200</v>
      </c>
      <c r="R1088" s="428">
        <f t="shared" ref="R1088:R1094" si="39">P1088-Q1088</f>
        <v>-2200</v>
      </c>
      <c r="S1088" s="239" t="str">
        <f>VLOOKUP(H1088,'Fund Utilization Report'!$A$4:$U$1800,13,FALSE)</f>
        <v>PS</v>
      </c>
      <c r="T1088" s="239" t="str">
        <f>VLOOKUP(H1088,'Fund Utilization Report'!$A$4:$U$1800,2,FALSE)</f>
        <v>GAA</v>
      </c>
      <c r="U1088" s="239" t="str">
        <f>VLOOKUP(H1088,'Fund Utilization Report'!$A$4:$U$1800,3,FALSE)</f>
        <v>FY2021, RA11518</v>
      </c>
      <c r="V1088" s="239" t="str">
        <f>VLOOKUP(H1088,'Fund Utilization Report'!$A$4:$U$1800,4,FALSE)</f>
        <v>GAS(GMS)</v>
      </c>
      <c r="W1088" s="239" t="str">
        <f>VLOOKUP(H1088,'Fund Utilization Report'!$A$4:$U$1800,5,FALSE)</f>
        <v>01101101</v>
      </c>
      <c r="X1088" s="239" t="str">
        <f>VLOOKUP(H1088,'Fund Utilization Report'!$A$4:$U$1800,6,FALSE)</f>
        <v>GOP</v>
      </c>
      <c r="Y1088" s="440" t="str">
        <f>VLOOKUP(H1088,'Fund Utilization Report'!$A$4:$U$1800,7,FALSE)</f>
        <v>PS</v>
      </c>
      <c r="Z1088" s="441">
        <f>VLOOKUP(H1088,'Fund Utilization Report'!$A$4:$U$1800,8,FALSE)</f>
        <v>5010000000</v>
      </c>
      <c r="AA1088" s="239" t="str">
        <f>VLOOKUP(H1088,'Fund Utilization Report'!$A$4:$U$1800,14,FALSE)</f>
        <v>100000100001000</v>
      </c>
      <c r="AB1088" s="242" t="str">
        <f>VLOOKUP(H1088,'Fund Utilization Report'!$A$4:$U$1800,15,FALSE)</f>
        <v>General Administration and Supervision - General Management and Supervision</v>
      </c>
      <c r="AC1088" s="51"/>
      <c r="AD1088" s="435"/>
      <c r="AE1088" s="51"/>
      <c r="AF1088" s="51"/>
      <c r="AG1088" s="442"/>
      <c r="AH1088" s="442"/>
      <c r="AI1088" s="443"/>
    </row>
    <row r="1089" spans="1:35" s="32" customFormat="1" ht="27.6">
      <c r="A1089" s="434" t="s">
        <v>942</v>
      </c>
      <c r="B1089" s="457" t="s">
        <v>946</v>
      </c>
      <c r="C1089" s="233">
        <v>44265</v>
      </c>
      <c r="D1089" s="435" t="s">
        <v>1267</v>
      </c>
      <c r="E1089" s="436" t="s">
        <v>1401</v>
      </c>
      <c r="F1089" s="338">
        <v>0.44027777777777777</v>
      </c>
      <c r="G1089" s="338">
        <v>0.44375000000000003</v>
      </c>
      <c r="H1089" s="338" t="s">
        <v>960</v>
      </c>
      <c r="I1089" s="353">
        <v>733</v>
      </c>
      <c r="J1089" s="338" t="str">
        <f>IFERROR(VLOOKUP(I1089,'Chart of accounts'!A:H,2,FALSE),"")</f>
        <v>50103030 01</v>
      </c>
      <c r="K1089" s="338" t="str">
        <f>IFERROR(VLOOKUP(I1089,'Chart of accounts'!A:H,3,FALSE),"")</f>
        <v>PhilHealth - Civilian</v>
      </c>
      <c r="L1089" s="338" t="str">
        <f>IFERROR(VLOOKUP(I1089,'Chart of accounts'!A:H,4,FALSE),"")</f>
        <v>50103030 01 - PhilHealth - Civilian (733)</v>
      </c>
      <c r="M1089" s="361">
        <v>1</v>
      </c>
      <c r="N1089" s="355" t="s">
        <v>10</v>
      </c>
      <c r="O1089" s="355" t="s">
        <v>1384</v>
      </c>
      <c r="P1089" s="355"/>
      <c r="Q1089" s="363">
        <v>12310.77</v>
      </c>
      <c r="R1089" s="428">
        <f t="shared" si="39"/>
        <v>-12310.77</v>
      </c>
      <c r="S1089" s="239" t="str">
        <f>VLOOKUP(H1089,'Fund Utilization Report'!$A$4:$U$1800,13,FALSE)</f>
        <v>PS</v>
      </c>
      <c r="T1089" s="239" t="str">
        <f>VLOOKUP(H1089,'Fund Utilization Report'!$A$4:$U$1800,2,FALSE)</f>
        <v>GAA</v>
      </c>
      <c r="U1089" s="239" t="str">
        <f>VLOOKUP(H1089,'Fund Utilization Report'!$A$4:$U$1800,3,FALSE)</f>
        <v>FY2021, RA11518</v>
      </c>
      <c r="V1089" s="239" t="str">
        <f>VLOOKUP(H1089,'Fund Utilization Report'!$A$4:$U$1800,4,FALSE)</f>
        <v>GAS(GMS)</v>
      </c>
      <c r="W1089" s="239" t="str">
        <f>VLOOKUP(H1089,'Fund Utilization Report'!$A$4:$U$1800,5,FALSE)</f>
        <v>01101101</v>
      </c>
      <c r="X1089" s="239" t="str">
        <f>VLOOKUP(H1089,'Fund Utilization Report'!$A$4:$U$1800,6,FALSE)</f>
        <v>GOP</v>
      </c>
      <c r="Y1089" s="440" t="str">
        <f>VLOOKUP(H1089,'Fund Utilization Report'!$A$4:$U$1800,7,FALSE)</f>
        <v>PS</v>
      </c>
      <c r="Z1089" s="441">
        <f>VLOOKUP(H1089,'Fund Utilization Report'!$A$4:$U$1800,8,FALSE)</f>
        <v>5010000000</v>
      </c>
      <c r="AA1089" s="239" t="str">
        <f>VLOOKUP(H1089,'Fund Utilization Report'!$A$4:$U$1800,14,FALSE)</f>
        <v>100000100001000</v>
      </c>
      <c r="AB1089" s="242" t="str">
        <f>VLOOKUP(H1089,'Fund Utilization Report'!$A$4:$U$1800,15,FALSE)</f>
        <v>General Administration and Supervision - General Management and Supervision</v>
      </c>
      <c r="AC1089" s="51"/>
      <c r="AD1089" s="435"/>
      <c r="AE1089" s="51"/>
      <c r="AF1089" s="51"/>
      <c r="AG1089" s="442"/>
      <c r="AH1089" s="442"/>
      <c r="AI1089" s="443"/>
    </row>
    <row r="1090" spans="1:35" s="32" customFormat="1" ht="27.6">
      <c r="A1090" s="434" t="s">
        <v>942</v>
      </c>
      <c r="B1090" s="457" t="s">
        <v>946</v>
      </c>
      <c r="C1090" s="233">
        <v>44265</v>
      </c>
      <c r="D1090" s="435" t="s">
        <v>1267</v>
      </c>
      <c r="E1090" s="436" t="s">
        <v>1401</v>
      </c>
      <c r="F1090" s="338">
        <v>0.44027777777777777</v>
      </c>
      <c r="G1090" s="338">
        <v>0.44375000000000003</v>
      </c>
      <c r="H1090" s="338" t="s">
        <v>960</v>
      </c>
      <c r="I1090" s="353">
        <v>734</v>
      </c>
      <c r="J1090" s="338" t="str">
        <f>IFERROR(VLOOKUP(I1090,'Chart of accounts'!A:H,2,FALSE),"")</f>
        <v>50103040 01</v>
      </c>
      <c r="K1090" s="338" t="str">
        <f>IFERROR(VLOOKUP(I1090,'Chart of accounts'!A:H,3,FALSE),"")</f>
        <v>ECIP - Civilian</v>
      </c>
      <c r="L1090" s="338" t="str">
        <f>IFERROR(VLOOKUP(I1090,'Chart of accounts'!A:H,4,FALSE),"")</f>
        <v>50103040 01 - ECIP - Civilian (734)</v>
      </c>
      <c r="M1090" s="361">
        <v>1</v>
      </c>
      <c r="N1090" s="355" t="s">
        <v>10</v>
      </c>
      <c r="O1090" s="355" t="s">
        <v>1384</v>
      </c>
      <c r="P1090" s="355"/>
      <c r="Q1090" s="363">
        <v>2200</v>
      </c>
      <c r="R1090" s="428">
        <f t="shared" si="39"/>
        <v>-2200</v>
      </c>
      <c r="S1090" s="239" t="str">
        <f>VLOOKUP(H1090,'Fund Utilization Report'!$A$4:$U$1800,13,FALSE)</f>
        <v>PS</v>
      </c>
      <c r="T1090" s="239" t="str">
        <f>VLOOKUP(H1090,'Fund Utilization Report'!$A$4:$U$1800,2,FALSE)</f>
        <v>GAA</v>
      </c>
      <c r="U1090" s="239" t="str">
        <f>VLOOKUP(H1090,'Fund Utilization Report'!$A$4:$U$1800,3,FALSE)</f>
        <v>FY2021, RA11518</v>
      </c>
      <c r="V1090" s="239" t="str">
        <f>VLOOKUP(H1090,'Fund Utilization Report'!$A$4:$U$1800,4,FALSE)</f>
        <v>GAS(GMS)</v>
      </c>
      <c r="W1090" s="239" t="str">
        <f>VLOOKUP(H1090,'Fund Utilization Report'!$A$4:$U$1800,5,FALSE)</f>
        <v>01101101</v>
      </c>
      <c r="X1090" s="239" t="str">
        <f>VLOOKUP(H1090,'Fund Utilization Report'!$A$4:$U$1800,6,FALSE)</f>
        <v>GOP</v>
      </c>
      <c r="Y1090" s="440" t="str">
        <f>VLOOKUP(H1090,'Fund Utilization Report'!$A$4:$U$1800,7,FALSE)</f>
        <v>PS</v>
      </c>
      <c r="Z1090" s="441">
        <f>VLOOKUP(H1090,'Fund Utilization Report'!$A$4:$U$1800,8,FALSE)</f>
        <v>5010000000</v>
      </c>
      <c r="AA1090" s="239" t="str">
        <f>VLOOKUP(H1090,'Fund Utilization Report'!$A$4:$U$1800,14,FALSE)</f>
        <v>100000100001000</v>
      </c>
      <c r="AB1090" s="242" t="str">
        <f>VLOOKUP(H1090,'Fund Utilization Report'!$A$4:$U$1800,15,FALSE)</f>
        <v>General Administration and Supervision - General Management and Supervision</v>
      </c>
      <c r="AC1090" s="51"/>
      <c r="AD1090" s="435"/>
      <c r="AE1090" s="51"/>
      <c r="AF1090" s="51"/>
      <c r="AG1090" s="442"/>
      <c r="AH1090" s="442"/>
      <c r="AI1090" s="443"/>
    </row>
    <row r="1091" spans="1:35" s="32" customFormat="1" ht="27.6">
      <c r="A1091" s="434" t="s">
        <v>942</v>
      </c>
      <c r="B1091" s="457" t="s">
        <v>946</v>
      </c>
      <c r="C1091" s="233">
        <v>44265</v>
      </c>
      <c r="D1091" s="435" t="s">
        <v>1267</v>
      </c>
      <c r="E1091" s="436" t="s">
        <v>1401</v>
      </c>
      <c r="F1091" s="338">
        <v>0.44027777777777777</v>
      </c>
      <c r="G1091" s="338">
        <v>0.44375000000000003</v>
      </c>
      <c r="H1091" s="338" t="s">
        <v>964</v>
      </c>
      <c r="I1091" s="353">
        <v>701</v>
      </c>
      <c r="J1091" s="338" t="str">
        <f>IFERROR(VLOOKUP(I1091,'Chart of accounts'!A:H,2,FALSE),"")</f>
        <v>50101010 01</v>
      </c>
      <c r="K1091" s="338" t="str">
        <f>IFERROR(VLOOKUP(I1091,'Chart of accounts'!A:H,3,FALSE),"")</f>
        <v>Basic Salary - Civilian</v>
      </c>
      <c r="L1091" s="338" t="str">
        <f>IFERROR(VLOOKUP(I1091,'Chart of accounts'!A:H,4,FALSE),"")</f>
        <v>50101010 01 - Basic Salary - Civilian (701)</v>
      </c>
      <c r="M1091" s="361">
        <v>1</v>
      </c>
      <c r="N1091" s="355" t="s">
        <v>10</v>
      </c>
      <c r="O1091" s="355" t="s">
        <v>1384</v>
      </c>
      <c r="P1091" s="355"/>
      <c r="Q1091" s="363">
        <v>80214</v>
      </c>
      <c r="R1091" s="428">
        <f t="shared" si="39"/>
        <v>-80214</v>
      </c>
      <c r="S1091" s="239" t="str">
        <f>VLOOKUP(H1091,'Fund Utilization Report'!$A$4:$U$1800,13,FALSE)</f>
        <v>PS</v>
      </c>
      <c r="T1091" s="239" t="str">
        <f>VLOOKUP(H1091,'Fund Utilization Report'!$A$4:$U$1800,2,FALSE)</f>
        <v>GAA</v>
      </c>
      <c r="U1091" s="239" t="str">
        <f>VLOOKUP(H1091,'Fund Utilization Report'!$A$4:$U$1800,3,FALSE)</f>
        <v>FY2021, RA11518</v>
      </c>
      <c r="V1091" s="239" t="str">
        <f>VLOOKUP(H1091,'Fund Utilization Report'!$A$4:$U$1800,4,FALSE)</f>
        <v>OO1</v>
      </c>
      <c r="W1091" s="239" t="str">
        <f>VLOOKUP(H1091,'Fund Utilization Report'!$A$4:$U$1800,5,FALSE)</f>
        <v>01101101</v>
      </c>
      <c r="X1091" s="239" t="str">
        <f>VLOOKUP(H1091,'Fund Utilization Report'!$A$4:$U$1800,6,FALSE)</f>
        <v>GOP</v>
      </c>
      <c r="Y1091" s="440" t="str">
        <f>VLOOKUP(H1091,'Fund Utilization Report'!$A$4:$U$1800,7,FALSE)</f>
        <v>PS</v>
      </c>
      <c r="Z1091" s="441">
        <f>VLOOKUP(H1091,'Fund Utilization Report'!$A$4:$U$1800,8,FALSE)</f>
        <v>5010000000</v>
      </c>
      <c r="AA1091" s="239" t="str">
        <f>VLOOKUP(H1091,'Fund Utilization Report'!$A$4:$U$1800,14,FALSE)</f>
        <v>310100100002000</v>
      </c>
      <c r="AB1091" s="242" t="str">
        <f>VLOOKUP(H1091,'Fund Utilization Report'!$A$4:$U$1800,15,FALSE)</f>
        <v>Development,Facilitation, and promotion of exports and investment, domestic and foreign</v>
      </c>
      <c r="AC1091" s="51"/>
      <c r="AD1091" s="435"/>
      <c r="AE1091" s="51"/>
      <c r="AF1091" s="51"/>
      <c r="AG1091" s="442"/>
      <c r="AH1091" s="442"/>
      <c r="AI1091" s="443"/>
    </row>
    <row r="1092" spans="1:35" s="32" customFormat="1" ht="27.6">
      <c r="A1092" s="434" t="s">
        <v>942</v>
      </c>
      <c r="B1092" s="457" t="s">
        <v>946</v>
      </c>
      <c r="C1092" s="233">
        <v>44265</v>
      </c>
      <c r="D1092" s="435" t="s">
        <v>1267</v>
      </c>
      <c r="E1092" s="436" t="s">
        <v>1401</v>
      </c>
      <c r="F1092" s="338">
        <v>0.44027777777777777</v>
      </c>
      <c r="G1092" s="338">
        <v>0.44375000000000003</v>
      </c>
      <c r="H1092" s="338" t="s">
        <v>964</v>
      </c>
      <c r="I1092" s="353">
        <v>711</v>
      </c>
      <c r="J1092" s="338" t="str">
        <f>IFERROR(VLOOKUP(I1092,'Chart of accounts'!A:H,2,FALSE),"")</f>
        <v>50102010 01</v>
      </c>
      <c r="K1092" s="338" t="str">
        <f>IFERROR(VLOOKUP(I1092,'Chart of accounts'!A:H,3,FALSE),"")</f>
        <v>PERA - Civilian</v>
      </c>
      <c r="L1092" s="338" t="str">
        <f>IFERROR(VLOOKUP(I1092,'Chart of accounts'!A:H,4,FALSE),"")</f>
        <v>50102010 01 - PERA - Civilian (711)</v>
      </c>
      <c r="M1092" s="361">
        <v>1</v>
      </c>
      <c r="N1092" s="355" t="s">
        <v>10</v>
      </c>
      <c r="O1092" s="355" t="s">
        <v>1384</v>
      </c>
      <c r="P1092" s="355"/>
      <c r="Q1092" s="363">
        <v>4000</v>
      </c>
      <c r="R1092" s="428">
        <f t="shared" si="39"/>
        <v>-4000</v>
      </c>
      <c r="S1092" s="239" t="str">
        <f>VLOOKUP(H1092,'Fund Utilization Report'!$A$4:$U$1800,13,FALSE)</f>
        <v>PS</v>
      </c>
      <c r="T1092" s="239" t="str">
        <f>VLOOKUP(H1092,'Fund Utilization Report'!$A$4:$U$1800,2,FALSE)</f>
        <v>GAA</v>
      </c>
      <c r="U1092" s="239" t="str">
        <f>VLOOKUP(H1092,'Fund Utilization Report'!$A$4:$U$1800,3,FALSE)</f>
        <v>FY2021, RA11518</v>
      </c>
      <c r="V1092" s="239" t="str">
        <f>VLOOKUP(H1092,'Fund Utilization Report'!$A$4:$U$1800,4,FALSE)</f>
        <v>OO1</v>
      </c>
      <c r="W1092" s="239" t="str">
        <f>VLOOKUP(H1092,'Fund Utilization Report'!$A$4:$U$1800,5,FALSE)</f>
        <v>01101101</v>
      </c>
      <c r="X1092" s="239" t="str">
        <f>VLOOKUP(H1092,'Fund Utilization Report'!$A$4:$U$1800,6,FALSE)</f>
        <v>GOP</v>
      </c>
      <c r="Y1092" s="440" t="str">
        <f>VLOOKUP(H1092,'Fund Utilization Report'!$A$4:$U$1800,7,FALSE)</f>
        <v>PS</v>
      </c>
      <c r="Z1092" s="441">
        <f>VLOOKUP(H1092,'Fund Utilization Report'!$A$4:$U$1800,8,FALSE)</f>
        <v>5010000000</v>
      </c>
      <c r="AA1092" s="239" t="str">
        <f>VLOOKUP(H1092,'Fund Utilization Report'!$A$4:$U$1800,14,FALSE)</f>
        <v>310100100002000</v>
      </c>
      <c r="AB1092" s="242" t="str">
        <f>VLOOKUP(H1092,'Fund Utilization Report'!$A$4:$U$1800,15,FALSE)</f>
        <v>Development,Facilitation, and promotion of exports and investment, domestic and foreign</v>
      </c>
      <c r="AC1092" s="51"/>
      <c r="AD1092" s="435"/>
      <c r="AE1092" s="51"/>
      <c r="AF1092" s="51"/>
      <c r="AG1092" s="442"/>
      <c r="AH1092" s="442"/>
      <c r="AI1092" s="443"/>
    </row>
    <row r="1093" spans="1:35" s="32" customFormat="1" ht="27.6">
      <c r="A1093" s="434" t="s">
        <v>942</v>
      </c>
      <c r="B1093" s="457" t="s">
        <v>946</v>
      </c>
      <c r="C1093" s="233">
        <v>44265</v>
      </c>
      <c r="D1093" s="435" t="s">
        <v>1267</v>
      </c>
      <c r="E1093" s="436" t="s">
        <v>1401</v>
      </c>
      <c r="F1093" s="338">
        <v>0.44027777777777777</v>
      </c>
      <c r="G1093" s="338">
        <v>0.44375000000000003</v>
      </c>
      <c r="H1093" s="338" t="s">
        <v>966</v>
      </c>
      <c r="I1093" s="353">
        <v>731</v>
      </c>
      <c r="J1093" s="338" t="str">
        <f>IFERROR(VLOOKUP(I1093,'Chart of accounts'!A:H,2,FALSE),"")</f>
        <v>50103010 00</v>
      </c>
      <c r="K1093" s="338" t="str">
        <f>IFERROR(VLOOKUP(I1093,'Chart of accounts'!A:H,3,FALSE),"")</f>
        <v>Retirement and Life Insurance Premiums</v>
      </c>
      <c r="L1093" s="338" t="str">
        <f>IFERROR(VLOOKUP(I1093,'Chart of accounts'!A:H,4,FALSE),"")</f>
        <v>50103010 00 - Retirement and Life Insurance Premiums (731)</v>
      </c>
      <c r="M1093" s="361">
        <v>1</v>
      </c>
      <c r="N1093" s="355" t="s">
        <v>10</v>
      </c>
      <c r="O1093" s="355" t="s">
        <v>1384</v>
      </c>
      <c r="P1093" s="355"/>
      <c r="Q1093" s="363">
        <v>9625.68</v>
      </c>
      <c r="R1093" s="428">
        <f t="shared" si="39"/>
        <v>-9625.68</v>
      </c>
      <c r="S1093" s="239" t="str">
        <f>VLOOKUP(H1093,'Fund Utilization Report'!$A$4:$U$1800,13,FALSE)</f>
        <v>PS</v>
      </c>
      <c r="T1093" s="239" t="str">
        <f>VLOOKUP(H1093,'Fund Utilization Report'!$A$4:$U$1800,2,FALSE)</f>
        <v>GAA</v>
      </c>
      <c r="U1093" s="239" t="str">
        <f>VLOOKUP(H1093,'Fund Utilization Report'!$A$4:$U$1800,3,FALSE)</f>
        <v>FY2021, RA11518</v>
      </c>
      <c r="V1093" s="239" t="str">
        <f>VLOOKUP(H1093,'Fund Utilization Report'!$A$4:$U$1800,4,FALSE)</f>
        <v>OO1</v>
      </c>
      <c r="W1093" s="239" t="str">
        <f>VLOOKUP(H1093,'Fund Utilization Report'!$A$4:$U$1800,5,FALSE)</f>
        <v>01101101</v>
      </c>
      <c r="X1093" s="239" t="str">
        <f>VLOOKUP(H1093,'Fund Utilization Report'!$A$4:$U$1800,6,FALSE)</f>
        <v>GOP</v>
      </c>
      <c r="Y1093" s="440" t="str">
        <f>VLOOKUP(H1093,'Fund Utilization Report'!$A$4:$U$1800,7,FALSE)</f>
        <v>RLIP</v>
      </c>
      <c r="Z1093" s="441" t="str">
        <f>VLOOKUP(H1093,'Fund Utilization Report'!$A$4:$U$1800,8,FALSE)</f>
        <v>50103010-00</v>
      </c>
      <c r="AA1093" s="239" t="str">
        <f>VLOOKUP(H1093,'Fund Utilization Report'!$A$4:$U$1800,14,FALSE)</f>
        <v>310100100002000</v>
      </c>
      <c r="AB1093" s="242" t="str">
        <f>VLOOKUP(H1093,'Fund Utilization Report'!$A$4:$U$1800,15,FALSE)</f>
        <v>Development,Facilitation, and promotion of exports and investment, domestic and foreign</v>
      </c>
      <c r="AC1093" s="51"/>
      <c r="AD1093" s="435"/>
      <c r="AE1093" s="51"/>
      <c r="AF1093" s="51"/>
      <c r="AG1093" s="442"/>
      <c r="AH1093" s="442"/>
      <c r="AI1093" s="443"/>
    </row>
    <row r="1094" spans="1:35" s="32" customFormat="1" ht="27.6">
      <c r="A1094" s="434" t="s">
        <v>942</v>
      </c>
      <c r="B1094" s="457" t="s">
        <v>946</v>
      </c>
      <c r="C1094" s="233">
        <v>44265</v>
      </c>
      <c r="D1094" s="435" t="s">
        <v>1267</v>
      </c>
      <c r="E1094" s="436" t="s">
        <v>1401</v>
      </c>
      <c r="F1094" s="338">
        <v>0.44027777777777777</v>
      </c>
      <c r="G1094" s="338">
        <v>0.44375000000000003</v>
      </c>
      <c r="H1094" s="338" t="s">
        <v>964</v>
      </c>
      <c r="I1094" s="353">
        <v>732</v>
      </c>
      <c r="J1094" s="338" t="str">
        <f>IFERROR(VLOOKUP(I1094,'Chart of accounts'!A:H,2,FALSE),"")</f>
        <v>50103020 01</v>
      </c>
      <c r="K1094" s="338" t="str">
        <f>IFERROR(VLOOKUP(I1094,'Chart of accounts'!A:H,3,FALSE),"")</f>
        <v>Pag-IBIG - Civilian</v>
      </c>
      <c r="L1094" s="338" t="str">
        <f>IFERROR(VLOOKUP(I1094,'Chart of accounts'!A:H,4,FALSE),"")</f>
        <v>50103020 01 - Pag-IBIG - Civilian (732)</v>
      </c>
      <c r="M1094" s="361">
        <v>1</v>
      </c>
      <c r="N1094" s="355" t="s">
        <v>10</v>
      </c>
      <c r="O1094" s="355" t="s">
        <v>1384</v>
      </c>
      <c r="P1094" s="355"/>
      <c r="Q1094" s="363">
        <v>200</v>
      </c>
      <c r="R1094" s="428">
        <f t="shared" si="39"/>
        <v>-200</v>
      </c>
      <c r="S1094" s="239" t="str">
        <f>VLOOKUP(H1094,'Fund Utilization Report'!$A$4:$U$1800,13,FALSE)</f>
        <v>PS</v>
      </c>
      <c r="T1094" s="239" t="str">
        <f>VLOOKUP(H1094,'Fund Utilization Report'!$A$4:$U$1800,2,FALSE)</f>
        <v>GAA</v>
      </c>
      <c r="U1094" s="239" t="str">
        <f>VLOOKUP(H1094,'Fund Utilization Report'!$A$4:$U$1800,3,FALSE)</f>
        <v>FY2021, RA11518</v>
      </c>
      <c r="V1094" s="239" t="str">
        <f>VLOOKUP(H1094,'Fund Utilization Report'!$A$4:$U$1800,4,FALSE)</f>
        <v>OO1</v>
      </c>
      <c r="W1094" s="239" t="str">
        <f>VLOOKUP(H1094,'Fund Utilization Report'!$A$4:$U$1800,5,FALSE)</f>
        <v>01101101</v>
      </c>
      <c r="X1094" s="239" t="str">
        <f>VLOOKUP(H1094,'Fund Utilization Report'!$A$4:$U$1800,6,FALSE)</f>
        <v>GOP</v>
      </c>
      <c r="Y1094" s="440" t="str">
        <f>VLOOKUP(H1094,'Fund Utilization Report'!$A$4:$U$1800,7,FALSE)</f>
        <v>PS</v>
      </c>
      <c r="Z1094" s="441">
        <f>VLOOKUP(H1094,'Fund Utilization Report'!$A$4:$U$1800,8,FALSE)</f>
        <v>5010000000</v>
      </c>
      <c r="AA1094" s="239" t="str">
        <f>VLOOKUP(H1094,'Fund Utilization Report'!$A$4:$U$1800,14,FALSE)</f>
        <v>310100100002000</v>
      </c>
      <c r="AB1094" s="242" t="str">
        <f>VLOOKUP(H1094,'Fund Utilization Report'!$A$4:$U$1800,15,FALSE)</f>
        <v>Development,Facilitation, and promotion of exports and investment, domestic and foreign</v>
      </c>
      <c r="AC1094" s="51"/>
      <c r="AD1094" s="435"/>
      <c r="AE1094" s="51"/>
      <c r="AF1094" s="51"/>
      <c r="AG1094" s="442"/>
      <c r="AH1094" s="442"/>
      <c r="AI1094" s="443"/>
    </row>
    <row r="1095" spans="1:35" s="32" customFormat="1" ht="27.6">
      <c r="A1095" s="434" t="s">
        <v>942</v>
      </c>
      <c r="B1095" s="457" t="s">
        <v>946</v>
      </c>
      <c r="C1095" s="233">
        <v>44265</v>
      </c>
      <c r="D1095" s="435" t="s">
        <v>1267</v>
      </c>
      <c r="E1095" s="436" t="s">
        <v>1401</v>
      </c>
      <c r="F1095" s="338">
        <v>0.44027777777777777</v>
      </c>
      <c r="G1095" s="338">
        <v>0.44375000000000003</v>
      </c>
      <c r="H1095" s="338" t="s">
        <v>964</v>
      </c>
      <c r="I1095" s="353">
        <v>733</v>
      </c>
      <c r="J1095" s="338" t="str">
        <f>IFERROR(VLOOKUP(I1095,'Chart of accounts'!A:H,2,FALSE),"")</f>
        <v>50103030 01</v>
      </c>
      <c r="K1095" s="338" t="str">
        <f>IFERROR(VLOOKUP(I1095,'Chart of accounts'!A:H,3,FALSE),"")</f>
        <v>PhilHealth - Civilian</v>
      </c>
      <c r="L1095" s="338" t="str">
        <f>IFERROR(VLOOKUP(I1095,'Chart of accounts'!A:H,4,FALSE),"")</f>
        <v>50103030 01 - PhilHealth - Civilian (733)</v>
      </c>
      <c r="M1095" s="361">
        <v>1</v>
      </c>
      <c r="N1095" s="355" t="s">
        <v>10</v>
      </c>
      <c r="O1095" s="355" t="s">
        <v>1384</v>
      </c>
      <c r="P1095" s="355"/>
      <c r="Q1095" s="363">
        <v>1203.22</v>
      </c>
      <c r="R1095" s="428">
        <f t="shared" ref="R1095:R1101" si="40">P1095-Q1095</f>
        <v>-1203.22</v>
      </c>
      <c r="S1095" s="239" t="str">
        <f>VLOOKUP(H1095,'Fund Utilization Report'!$A$4:$U$1800,13,FALSE)</f>
        <v>PS</v>
      </c>
      <c r="T1095" s="239" t="str">
        <f>VLOOKUP(H1095,'Fund Utilization Report'!$A$4:$U$1800,2,FALSE)</f>
        <v>GAA</v>
      </c>
      <c r="U1095" s="239" t="str">
        <f>VLOOKUP(H1095,'Fund Utilization Report'!$A$4:$U$1800,3,FALSE)</f>
        <v>FY2021, RA11518</v>
      </c>
      <c r="V1095" s="239" t="str">
        <f>VLOOKUP(H1095,'Fund Utilization Report'!$A$4:$U$1800,4,FALSE)</f>
        <v>OO1</v>
      </c>
      <c r="W1095" s="239" t="str">
        <f>VLOOKUP(H1095,'Fund Utilization Report'!$A$4:$U$1800,5,FALSE)</f>
        <v>01101101</v>
      </c>
      <c r="X1095" s="239" t="str">
        <f>VLOOKUP(H1095,'Fund Utilization Report'!$A$4:$U$1800,6,FALSE)</f>
        <v>GOP</v>
      </c>
      <c r="Y1095" s="440" t="str">
        <f>VLOOKUP(H1095,'Fund Utilization Report'!$A$4:$U$1800,7,FALSE)</f>
        <v>PS</v>
      </c>
      <c r="Z1095" s="441">
        <f>VLOOKUP(H1095,'Fund Utilization Report'!$A$4:$U$1800,8,FALSE)</f>
        <v>5010000000</v>
      </c>
      <c r="AA1095" s="239" t="str">
        <f>VLOOKUP(H1095,'Fund Utilization Report'!$A$4:$U$1800,14,FALSE)</f>
        <v>310100100002000</v>
      </c>
      <c r="AB1095" s="242" t="str">
        <f>VLOOKUP(H1095,'Fund Utilization Report'!$A$4:$U$1800,15,FALSE)</f>
        <v>Development,Facilitation, and promotion of exports and investment, domestic and foreign</v>
      </c>
      <c r="AC1095" s="51"/>
      <c r="AD1095" s="435"/>
      <c r="AE1095" s="51"/>
      <c r="AF1095" s="51"/>
      <c r="AG1095" s="442"/>
      <c r="AH1095" s="442"/>
      <c r="AI1095" s="443"/>
    </row>
    <row r="1096" spans="1:35" s="32" customFormat="1" ht="27.6">
      <c r="A1096" s="434" t="s">
        <v>942</v>
      </c>
      <c r="B1096" s="457" t="s">
        <v>946</v>
      </c>
      <c r="C1096" s="233">
        <v>44265</v>
      </c>
      <c r="D1096" s="435" t="s">
        <v>1267</v>
      </c>
      <c r="E1096" s="436" t="s">
        <v>1401</v>
      </c>
      <c r="F1096" s="338">
        <v>0.44027777777777777</v>
      </c>
      <c r="G1096" s="338">
        <v>0.44375000000000003</v>
      </c>
      <c r="H1096" s="338" t="s">
        <v>964</v>
      </c>
      <c r="I1096" s="353">
        <v>734</v>
      </c>
      <c r="J1096" s="338" t="str">
        <f>IFERROR(VLOOKUP(I1096,'Chart of accounts'!A:H,2,FALSE),"")</f>
        <v>50103040 01</v>
      </c>
      <c r="K1096" s="338" t="str">
        <f>IFERROR(VLOOKUP(I1096,'Chart of accounts'!A:H,3,FALSE),"")</f>
        <v>ECIP - Civilian</v>
      </c>
      <c r="L1096" s="338" t="str">
        <f>IFERROR(VLOOKUP(I1096,'Chart of accounts'!A:H,4,FALSE),"")</f>
        <v>50103040 01 - ECIP - Civilian (734)</v>
      </c>
      <c r="M1096" s="361">
        <v>1</v>
      </c>
      <c r="N1096" s="355" t="s">
        <v>10</v>
      </c>
      <c r="O1096" s="355" t="s">
        <v>1384</v>
      </c>
      <c r="P1096" s="355"/>
      <c r="Q1096" s="363">
        <v>200</v>
      </c>
      <c r="R1096" s="428">
        <f t="shared" si="40"/>
        <v>-200</v>
      </c>
      <c r="S1096" s="239" t="str">
        <f>VLOOKUP(H1096,'Fund Utilization Report'!$A$4:$U$1800,13,FALSE)</f>
        <v>PS</v>
      </c>
      <c r="T1096" s="239" t="str">
        <f>VLOOKUP(H1096,'Fund Utilization Report'!$A$4:$U$1800,2,FALSE)</f>
        <v>GAA</v>
      </c>
      <c r="U1096" s="239" t="str">
        <f>VLOOKUP(H1096,'Fund Utilization Report'!$A$4:$U$1800,3,FALSE)</f>
        <v>FY2021, RA11518</v>
      </c>
      <c r="V1096" s="239" t="str">
        <f>VLOOKUP(H1096,'Fund Utilization Report'!$A$4:$U$1800,4,FALSE)</f>
        <v>OO1</v>
      </c>
      <c r="W1096" s="239" t="str">
        <f>VLOOKUP(H1096,'Fund Utilization Report'!$A$4:$U$1800,5,FALSE)</f>
        <v>01101101</v>
      </c>
      <c r="X1096" s="239" t="str">
        <f>VLOOKUP(H1096,'Fund Utilization Report'!$A$4:$U$1800,6,FALSE)</f>
        <v>GOP</v>
      </c>
      <c r="Y1096" s="440" t="str">
        <f>VLOOKUP(H1096,'Fund Utilization Report'!$A$4:$U$1800,7,FALSE)</f>
        <v>PS</v>
      </c>
      <c r="Z1096" s="441">
        <f>VLOOKUP(H1096,'Fund Utilization Report'!$A$4:$U$1800,8,FALSE)</f>
        <v>5010000000</v>
      </c>
      <c r="AA1096" s="239" t="str">
        <f>VLOOKUP(H1096,'Fund Utilization Report'!$A$4:$U$1800,14,FALSE)</f>
        <v>310100100002000</v>
      </c>
      <c r="AB1096" s="242" t="str">
        <f>VLOOKUP(H1096,'Fund Utilization Report'!$A$4:$U$1800,15,FALSE)</f>
        <v>Development,Facilitation, and promotion of exports and investment, domestic and foreign</v>
      </c>
      <c r="AC1096" s="51"/>
      <c r="AD1096" s="435"/>
      <c r="AE1096" s="51"/>
      <c r="AF1096" s="51"/>
      <c r="AG1096" s="442"/>
      <c r="AH1096" s="442"/>
      <c r="AI1096" s="443"/>
    </row>
    <row r="1097" spans="1:35" s="32" customFormat="1" ht="27.6">
      <c r="A1097" s="434" t="s">
        <v>942</v>
      </c>
      <c r="B1097" s="457" t="s">
        <v>946</v>
      </c>
      <c r="C1097" s="233">
        <v>44265</v>
      </c>
      <c r="D1097" s="435" t="s">
        <v>1267</v>
      </c>
      <c r="E1097" s="436" t="s">
        <v>1401</v>
      </c>
      <c r="F1097" s="338">
        <v>0.44027777777777777</v>
      </c>
      <c r="G1097" s="338">
        <v>0.44375000000000003</v>
      </c>
      <c r="H1097" s="338" t="s">
        <v>967</v>
      </c>
      <c r="I1097" s="353">
        <v>701</v>
      </c>
      <c r="J1097" s="338" t="str">
        <f>IFERROR(VLOOKUP(I1097,'Chart of accounts'!A:H,2,FALSE),"")</f>
        <v>50101010 01</v>
      </c>
      <c r="K1097" s="338" t="str">
        <f>IFERROR(VLOOKUP(I1097,'Chart of accounts'!A:H,3,FALSE),"")</f>
        <v>Basic Salary - Civilian</v>
      </c>
      <c r="L1097" s="338" t="str">
        <f>IFERROR(VLOOKUP(I1097,'Chart of accounts'!A:H,4,FALSE),"")</f>
        <v>50101010 01 - Basic Salary - Civilian (701)</v>
      </c>
      <c r="M1097" s="361">
        <v>1</v>
      </c>
      <c r="N1097" s="355" t="s">
        <v>10</v>
      </c>
      <c r="O1097" s="355" t="s">
        <v>1384</v>
      </c>
      <c r="P1097" s="355"/>
      <c r="Q1097" s="363">
        <v>199631</v>
      </c>
      <c r="R1097" s="428">
        <f t="shared" si="40"/>
        <v>-199631</v>
      </c>
      <c r="S1097" s="239" t="str">
        <f>VLOOKUP(H1097,'Fund Utilization Report'!$A$4:$U$1800,13,FALSE)</f>
        <v>PS</v>
      </c>
      <c r="T1097" s="239" t="str">
        <f>VLOOKUP(H1097,'Fund Utilization Report'!$A$4:$U$1800,2,FALSE)</f>
        <v>GAA</v>
      </c>
      <c r="U1097" s="239" t="str">
        <f>VLOOKUP(H1097,'Fund Utilization Report'!$A$4:$U$1800,3,FALSE)</f>
        <v>FY2021, RA11518</v>
      </c>
      <c r="V1097" s="239" t="str">
        <f>VLOOKUP(H1097,'Fund Utilization Report'!$A$4:$U$1800,4,FALSE)</f>
        <v>OO2</v>
      </c>
      <c r="W1097" s="239" t="str">
        <f>VLOOKUP(H1097,'Fund Utilization Report'!$A$4:$U$1800,5,FALSE)</f>
        <v>01101101</v>
      </c>
      <c r="X1097" s="239" t="str">
        <f>VLOOKUP(H1097,'Fund Utilization Report'!$A$4:$U$1800,6,FALSE)</f>
        <v>GOP</v>
      </c>
      <c r="Y1097" s="440" t="str">
        <f>VLOOKUP(H1097,'Fund Utilization Report'!$A$4:$U$1800,7,FALSE)</f>
        <v>PS</v>
      </c>
      <c r="Z1097" s="441">
        <f>VLOOKUP(H1097,'Fund Utilization Report'!$A$4:$U$1800,8,FALSE)</f>
        <v>5010000000</v>
      </c>
      <c r="AA1097" s="239" t="str">
        <f>VLOOKUP(H1097,'Fund Utilization Report'!$A$4:$U$1800,14,FALSE)</f>
        <v>320100100001000</v>
      </c>
      <c r="AB1097" s="242" t="str">
        <f>VLOOKUP(H1097,'Fund Utilization Report'!$A$4:$U$1800,15,FALSE)</f>
        <v>Formulation of Strategic plans,programs, and policies to develop competitve industries</v>
      </c>
      <c r="AC1097" s="51"/>
      <c r="AD1097" s="435"/>
      <c r="AE1097" s="51"/>
      <c r="AF1097" s="51"/>
      <c r="AG1097" s="442"/>
      <c r="AH1097" s="442"/>
      <c r="AI1097" s="443"/>
    </row>
    <row r="1098" spans="1:35" s="32" customFormat="1" ht="27.6">
      <c r="A1098" s="434" t="s">
        <v>942</v>
      </c>
      <c r="B1098" s="457" t="s">
        <v>946</v>
      </c>
      <c r="C1098" s="233">
        <v>44265</v>
      </c>
      <c r="D1098" s="435" t="s">
        <v>1267</v>
      </c>
      <c r="E1098" s="436" t="s">
        <v>1401</v>
      </c>
      <c r="F1098" s="338">
        <v>0.44027777777777777</v>
      </c>
      <c r="G1098" s="338">
        <v>0.44375000000000003</v>
      </c>
      <c r="H1098" s="338" t="s">
        <v>967</v>
      </c>
      <c r="I1098" s="353">
        <v>711</v>
      </c>
      <c r="J1098" s="338" t="str">
        <f>IFERROR(VLOOKUP(I1098,'Chart of accounts'!A:H,2,FALSE),"")</f>
        <v>50102010 01</v>
      </c>
      <c r="K1098" s="338" t="str">
        <f>IFERROR(VLOOKUP(I1098,'Chart of accounts'!A:H,3,FALSE),"")</f>
        <v>PERA - Civilian</v>
      </c>
      <c r="L1098" s="338" t="str">
        <f>IFERROR(VLOOKUP(I1098,'Chart of accounts'!A:H,4,FALSE),"")</f>
        <v>50102010 01 - PERA - Civilian (711)</v>
      </c>
      <c r="M1098" s="361">
        <v>1</v>
      </c>
      <c r="N1098" s="355" t="s">
        <v>10</v>
      </c>
      <c r="O1098" s="355" t="s">
        <v>1384</v>
      </c>
      <c r="P1098" s="355"/>
      <c r="Q1098" s="363">
        <v>10000</v>
      </c>
      <c r="R1098" s="428">
        <f t="shared" si="40"/>
        <v>-10000</v>
      </c>
      <c r="S1098" s="239" t="str">
        <f>VLOOKUP(H1098,'Fund Utilization Report'!$A$4:$U$1800,13,FALSE)</f>
        <v>PS</v>
      </c>
      <c r="T1098" s="239" t="str">
        <f>VLOOKUP(H1098,'Fund Utilization Report'!$A$4:$U$1800,2,FALSE)</f>
        <v>GAA</v>
      </c>
      <c r="U1098" s="239" t="str">
        <f>VLOOKUP(H1098,'Fund Utilization Report'!$A$4:$U$1800,3,FALSE)</f>
        <v>FY2021, RA11518</v>
      </c>
      <c r="V1098" s="239" t="str">
        <f>VLOOKUP(H1098,'Fund Utilization Report'!$A$4:$U$1800,4,FALSE)</f>
        <v>OO2</v>
      </c>
      <c r="W1098" s="239" t="str">
        <f>VLOOKUP(H1098,'Fund Utilization Report'!$A$4:$U$1800,5,FALSE)</f>
        <v>01101101</v>
      </c>
      <c r="X1098" s="239" t="str">
        <f>VLOOKUP(H1098,'Fund Utilization Report'!$A$4:$U$1800,6,FALSE)</f>
        <v>GOP</v>
      </c>
      <c r="Y1098" s="440" t="str">
        <f>VLOOKUP(H1098,'Fund Utilization Report'!$A$4:$U$1800,7,FALSE)</f>
        <v>PS</v>
      </c>
      <c r="Z1098" s="441">
        <f>VLOOKUP(H1098,'Fund Utilization Report'!$A$4:$U$1800,8,FALSE)</f>
        <v>5010000000</v>
      </c>
      <c r="AA1098" s="239" t="str">
        <f>VLOOKUP(H1098,'Fund Utilization Report'!$A$4:$U$1800,14,FALSE)</f>
        <v>320100100001000</v>
      </c>
      <c r="AB1098" s="242" t="str">
        <f>VLOOKUP(H1098,'Fund Utilization Report'!$A$4:$U$1800,15,FALSE)</f>
        <v>Formulation of Strategic plans,programs, and policies to develop competitve industries</v>
      </c>
      <c r="AC1098" s="51"/>
      <c r="AD1098" s="435"/>
      <c r="AE1098" s="51"/>
      <c r="AF1098" s="51"/>
      <c r="AG1098" s="442"/>
      <c r="AH1098" s="442"/>
      <c r="AI1098" s="443"/>
    </row>
    <row r="1099" spans="1:35" s="32" customFormat="1" ht="27.6">
      <c r="A1099" s="434" t="s">
        <v>942</v>
      </c>
      <c r="B1099" s="457" t="s">
        <v>946</v>
      </c>
      <c r="C1099" s="233">
        <v>44265</v>
      </c>
      <c r="D1099" s="435" t="s">
        <v>1267</v>
      </c>
      <c r="E1099" s="436" t="s">
        <v>1401</v>
      </c>
      <c r="F1099" s="338">
        <v>0.44027777777777777</v>
      </c>
      <c r="G1099" s="338">
        <v>0.44375000000000003</v>
      </c>
      <c r="H1099" s="338" t="s">
        <v>969</v>
      </c>
      <c r="I1099" s="353">
        <v>731</v>
      </c>
      <c r="J1099" s="338" t="str">
        <f>IFERROR(VLOOKUP(I1099,'Chart of accounts'!A:H,2,FALSE),"")</f>
        <v>50103010 00</v>
      </c>
      <c r="K1099" s="338" t="str">
        <f>IFERROR(VLOOKUP(I1099,'Chart of accounts'!A:H,3,FALSE),"")</f>
        <v>Retirement and Life Insurance Premiums</v>
      </c>
      <c r="L1099" s="338" t="str">
        <f>IFERROR(VLOOKUP(I1099,'Chart of accounts'!A:H,4,FALSE),"")</f>
        <v>50103010 00 - Retirement and Life Insurance Premiums (731)</v>
      </c>
      <c r="M1099" s="361">
        <v>1</v>
      </c>
      <c r="N1099" s="355" t="s">
        <v>10</v>
      </c>
      <c r="O1099" s="355" t="s">
        <v>1384</v>
      </c>
      <c r="P1099" s="355"/>
      <c r="Q1099" s="363">
        <v>23955.72</v>
      </c>
      <c r="R1099" s="428">
        <f t="shared" si="40"/>
        <v>-23955.72</v>
      </c>
      <c r="S1099" s="239" t="str">
        <f>VLOOKUP(H1099,'Fund Utilization Report'!$A$4:$U$1800,13,FALSE)</f>
        <v>PS</v>
      </c>
      <c r="T1099" s="239" t="str">
        <f>VLOOKUP(H1099,'Fund Utilization Report'!$A$4:$U$1800,2,FALSE)</f>
        <v>GAA</v>
      </c>
      <c r="U1099" s="239" t="str">
        <f>VLOOKUP(H1099,'Fund Utilization Report'!$A$4:$U$1800,3,FALSE)</f>
        <v>FY2021, RA11518</v>
      </c>
      <c r="V1099" s="239" t="str">
        <f>VLOOKUP(H1099,'Fund Utilization Report'!$A$4:$U$1800,4,FALSE)</f>
        <v>OO2</v>
      </c>
      <c r="W1099" s="239" t="str">
        <f>VLOOKUP(H1099,'Fund Utilization Report'!$A$4:$U$1800,5,FALSE)</f>
        <v>01101101</v>
      </c>
      <c r="X1099" s="239" t="str">
        <f>VLOOKUP(H1099,'Fund Utilization Report'!$A$4:$U$1800,6,FALSE)</f>
        <v>GOP</v>
      </c>
      <c r="Y1099" s="440" t="str">
        <f>VLOOKUP(H1099,'Fund Utilization Report'!$A$4:$U$1800,7,FALSE)</f>
        <v>RLIP</v>
      </c>
      <c r="Z1099" s="441" t="str">
        <f>VLOOKUP(H1099,'Fund Utilization Report'!$A$4:$U$1800,8,FALSE)</f>
        <v>50103010-00</v>
      </c>
      <c r="AA1099" s="239" t="str">
        <f>VLOOKUP(H1099,'Fund Utilization Report'!$A$4:$U$1800,14,FALSE)</f>
        <v>320100100001000</v>
      </c>
      <c r="AB1099" s="242" t="str">
        <f>VLOOKUP(H1099,'Fund Utilization Report'!$A$4:$U$1800,15,FALSE)</f>
        <v>Formulation of Strategic plans,programs, and policies to develop competitve industries</v>
      </c>
      <c r="AC1099" s="51"/>
      <c r="AD1099" s="435"/>
      <c r="AE1099" s="51"/>
      <c r="AF1099" s="51"/>
      <c r="AG1099" s="442"/>
      <c r="AH1099" s="442"/>
      <c r="AI1099" s="443"/>
    </row>
    <row r="1100" spans="1:35" s="32" customFormat="1" ht="27.6">
      <c r="A1100" s="434" t="s">
        <v>942</v>
      </c>
      <c r="B1100" s="457" t="s">
        <v>946</v>
      </c>
      <c r="C1100" s="233">
        <v>44265</v>
      </c>
      <c r="D1100" s="435" t="s">
        <v>1267</v>
      </c>
      <c r="E1100" s="436" t="s">
        <v>1401</v>
      </c>
      <c r="F1100" s="338">
        <v>0.44027777777777777</v>
      </c>
      <c r="G1100" s="338">
        <v>0.44375000000000003</v>
      </c>
      <c r="H1100" s="338" t="s">
        <v>967</v>
      </c>
      <c r="I1100" s="353">
        <v>732</v>
      </c>
      <c r="J1100" s="338" t="str">
        <f>IFERROR(VLOOKUP(I1100,'Chart of accounts'!A:H,2,FALSE),"")</f>
        <v>50103020 01</v>
      </c>
      <c r="K1100" s="338" t="str">
        <f>IFERROR(VLOOKUP(I1100,'Chart of accounts'!A:H,3,FALSE),"")</f>
        <v>Pag-IBIG - Civilian</v>
      </c>
      <c r="L1100" s="338" t="str">
        <f>IFERROR(VLOOKUP(I1100,'Chart of accounts'!A:H,4,FALSE),"")</f>
        <v>50103020 01 - Pag-IBIG - Civilian (732)</v>
      </c>
      <c r="M1100" s="361">
        <v>1</v>
      </c>
      <c r="N1100" s="355" t="s">
        <v>10</v>
      </c>
      <c r="O1100" s="355" t="s">
        <v>1384</v>
      </c>
      <c r="P1100" s="355"/>
      <c r="Q1100" s="363">
        <v>500</v>
      </c>
      <c r="R1100" s="428">
        <f t="shared" si="40"/>
        <v>-500</v>
      </c>
      <c r="S1100" s="239" t="str">
        <f>VLOOKUP(H1100,'Fund Utilization Report'!$A$4:$U$1800,13,FALSE)</f>
        <v>PS</v>
      </c>
      <c r="T1100" s="239" t="str">
        <f>VLOOKUP(H1100,'Fund Utilization Report'!$A$4:$U$1800,2,FALSE)</f>
        <v>GAA</v>
      </c>
      <c r="U1100" s="239" t="str">
        <f>VLOOKUP(H1100,'Fund Utilization Report'!$A$4:$U$1800,3,FALSE)</f>
        <v>FY2021, RA11518</v>
      </c>
      <c r="V1100" s="239" t="str">
        <f>VLOOKUP(H1100,'Fund Utilization Report'!$A$4:$U$1800,4,FALSE)</f>
        <v>OO2</v>
      </c>
      <c r="W1100" s="239" t="str">
        <f>VLOOKUP(H1100,'Fund Utilization Report'!$A$4:$U$1800,5,FALSE)</f>
        <v>01101101</v>
      </c>
      <c r="X1100" s="239" t="str">
        <f>VLOOKUP(H1100,'Fund Utilization Report'!$A$4:$U$1800,6,FALSE)</f>
        <v>GOP</v>
      </c>
      <c r="Y1100" s="440" t="str">
        <f>VLOOKUP(H1100,'Fund Utilization Report'!$A$4:$U$1800,7,FALSE)</f>
        <v>PS</v>
      </c>
      <c r="Z1100" s="441">
        <f>VLOOKUP(H1100,'Fund Utilization Report'!$A$4:$U$1800,8,FALSE)</f>
        <v>5010000000</v>
      </c>
      <c r="AA1100" s="239" t="str">
        <f>VLOOKUP(H1100,'Fund Utilization Report'!$A$4:$U$1800,14,FALSE)</f>
        <v>320100100001000</v>
      </c>
      <c r="AB1100" s="242" t="str">
        <f>VLOOKUP(H1100,'Fund Utilization Report'!$A$4:$U$1800,15,FALSE)</f>
        <v>Formulation of Strategic plans,programs, and policies to develop competitve industries</v>
      </c>
      <c r="AC1100" s="51"/>
      <c r="AD1100" s="435"/>
      <c r="AE1100" s="51"/>
      <c r="AF1100" s="51"/>
      <c r="AG1100" s="442"/>
      <c r="AH1100" s="442"/>
      <c r="AI1100" s="443"/>
    </row>
    <row r="1101" spans="1:35" s="32" customFormat="1" ht="27.6">
      <c r="A1101" s="434" t="s">
        <v>942</v>
      </c>
      <c r="B1101" s="457" t="s">
        <v>946</v>
      </c>
      <c r="C1101" s="233">
        <v>44265</v>
      </c>
      <c r="D1101" s="435" t="s">
        <v>1267</v>
      </c>
      <c r="E1101" s="436" t="s">
        <v>1401</v>
      </c>
      <c r="F1101" s="338">
        <v>0.44027777777777777</v>
      </c>
      <c r="G1101" s="338">
        <v>0.44375000000000003</v>
      </c>
      <c r="H1101" s="338" t="s">
        <v>967</v>
      </c>
      <c r="I1101" s="353">
        <v>733</v>
      </c>
      <c r="J1101" s="338" t="str">
        <f>IFERROR(VLOOKUP(I1101,'Chart of accounts'!A:H,2,FALSE),"")</f>
        <v>50103030 01</v>
      </c>
      <c r="K1101" s="338" t="str">
        <f>IFERROR(VLOOKUP(I1101,'Chart of accounts'!A:H,3,FALSE),"")</f>
        <v>PhilHealth - Civilian</v>
      </c>
      <c r="L1101" s="338" t="str">
        <f>IFERROR(VLOOKUP(I1101,'Chart of accounts'!A:H,4,FALSE),"")</f>
        <v>50103030 01 - PhilHealth - Civilian (733)</v>
      </c>
      <c r="M1101" s="361">
        <v>1</v>
      </c>
      <c r="N1101" s="355" t="s">
        <v>10</v>
      </c>
      <c r="O1101" s="355" t="s">
        <v>1384</v>
      </c>
      <c r="P1101" s="355"/>
      <c r="Q1101" s="363">
        <v>2593.35</v>
      </c>
      <c r="R1101" s="428">
        <f t="shared" si="40"/>
        <v>-2593.35</v>
      </c>
      <c r="S1101" s="239" t="str">
        <f>VLOOKUP(H1101,'Fund Utilization Report'!$A$4:$U$1800,13,FALSE)</f>
        <v>PS</v>
      </c>
      <c r="T1101" s="239" t="str">
        <f>VLOOKUP(H1101,'Fund Utilization Report'!$A$4:$U$1800,2,FALSE)</f>
        <v>GAA</v>
      </c>
      <c r="U1101" s="239" t="str">
        <f>VLOOKUP(H1101,'Fund Utilization Report'!$A$4:$U$1800,3,FALSE)</f>
        <v>FY2021, RA11518</v>
      </c>
      <c r="V1101" s="239" t="str">
        <f>VLOOKUP(H1101,'Fund Utilization Report'!$A$4:$U$1800,4,FALSE)</f>
        <v>OO2</v>
      </c>
      <c r="W1101" s="239" t="str">
        <f>VLOOKUP(H1101,'Fund Utilization Report'!$A$4:$U$1800,5,FALSE)</f>
        <v>01101101</v>
      </c>
      <c r="X1101" s="239" t="str">
        <f>VLOOKUP(H1101,'Fund Utilization Report'!$A$4:$U$1800,6,FALSE)</f>
        <v>GOP</v>
      </c>
      <c r="Y1101" s="440" t="str">
        <f>VLOOKUP(H1101,'Fund Utilization Report'!$A$4:$U$1800,7,FALSE)</f>
        <v>PS</v>
      </c>
      <c r="Z1101" s="441">
        <f>VLOOKUP(H1101,'Fund Utilization Report'!$A$4:$U$1800,8,FALSE)</f>
        <v>5010000000</v>
      </c>
      <c r="AA1101" s="239" t="str">
        <f>VLOOKUP(H1101,'Fund Utilization Report'!$A$4:$U$1800,14,FALSE)</f>
        <v>320100100001000</v>
      </c>
      <c r="AB1101" s="242" t="str">
        <f>VLOOKUP(H1101,'Fund Utilization Report'!$A$4:$U$1800,15,FALSE)</f>
        <v>Formulation of Strategic plans,programs, and policies to develop competitve industries</v>
      </c>
      <c r="AC1101" s="51"/>
      <c r="AD1101" s="435"/>
      <c r="AE1101" s="51"/>
      <c r="AF1101" s="51"/>
      <c r="AG1101" s="442"/>
      <c r="AH1101" s="442"/>
      <c r="AI1101" s="443"/>
    </row>
    <row r="1102" spans="1:35" s="32" customFormat="1" ht="27.6">
      <c r="A1102" s="434" t="s">
        <v>942</v>
      </c>
      <c r="B1102" s="457" t="s">
        <v>946</v>
      </c>
      <c r="C1102" s="233">
        <v>44265</v>
      </c>
      <c r="D1102" s="435" t="s">
        <v>1267</v>
      </c>
      <c r="E1102" s="436" t="s">
        <v>1401</v>
      </c>
      <c r="F1102" s="338">
        <v>0.44027777777777777</v>
      </c>
      <c r="G1102" s="338">
        <v>0.44375000000000003</v>
      </c>
      <c r="H1102" s="338" t="s">
        <v>967</v>
      </c>
      <c r="I1102" s="353">
        <v>734</v>
      </c>
      <c r="J1102" s="338" t="str">
        <f>IFERROR(VLOOKUP(I1102,'Chart of accounts'!A:H,2,FALSE),"")</f>
        <v>50103040 01</v>
      </c>
      <c r="K1102" s="338" t="str">
        <f>IFERROR(VLOOKUP(I1102,'Chart of accounts'!A:H,3,FALSE),"")</f>
        <v>ECIP - Civilian</v>
      </c>
      <c r="L1102" s="338" t="str">
        <f>IFERROR(VLOOKUP(I1102,'Chart of accounts'!A:H,4,FALSE),"")</f>
        <v>50103040 01 - ECIP - Civilian (734)</v>
      </c>
      <c r="M1102" s="361">
        <v>1</v>
      </c>
      <c r="N1102" s="355" t="s">
        <v>10</v>
      </c>
      <c r="O1102" s="355" t="s">
        <v>1384</v>
      </c>
      <c r="P1102" s="355"/>
      <c r="Q1102" s="363">
        <v>500</v>
      </c>
      <c r="R1102" s="428">
        <f t="shared" ref="R1102:R1108" si="41">P1102-Q1102</f>
        <v>-500</v>
      </c>
      <c r="S1102" s="239" t="str">
        <f>VLOOKUP(H1102,'Fund Utilization Report'!$A$4:$U$1800,13,FALSE)</f>
        <v>PS</v>
      </c>
      <c r="T1102" s="239" t="str">
        <f>VLOOKUP(H1102,'Fund Utilization Report'!$A$4:$U$1800,2,FALSE)</f>
        <v>GAA</v>
      </c>
      <c r="U1102" s="239" t="str">
        <f>VLOOKUP(H1102,'Fund Utilization Report'!$A$4:$U$1800,3,FALSE)</f>
        <v>FY2021, RA11518</v>
      </c>
      <c r="V1102" s="239" t="str">
        <f>VLOOKUP(H1102,'Fund Utilization Report'!$A$4:$U$1800,4,FALSE)</f>
        <v>OO2</v>
      </c>
      <c r="W1102" s="239" t="str">
        <f>VLOOKUP(H1102,'Fund Utilization Report'!$A$4:$U$1800,5,FALSE)</f>
        <v>01101101</v>
      </c>
      <c r="X1102" s="239" t="str">
        <f>VLOOKUP(H1102,'Fund Utilization Report'!$A$4:$U$1800,6,FALSE)</f>
        <v>GOP</v>
      </c>
      <c r="Y1102" s="440" t="str">
        <f>VLOOKUP(H1102,'Fund Utilization Report'!$A$4:$U$1800,7,FALSE)</f>
        <v>PS</v>
      </c>
      <c r="Z1102" s="441">
        <f>VLOOKUP(H1102,'Fund Utilization Report'!$A$4:$U$1800,8,FALSE)</f>
        <v>5010000000</v>
      </c>
      <c r="AA1102" s="239" t="str">
        <f>VLOOKUP(H1102,'Fund Utilization Report'!$A$4:$U$1800,14,FALSE)</f>
        <v>320100100001000</v>
      </c>
      <c r="AB1102" s="242" t="str">
        <f>VLOOKUP(H1102,'Fund Utilization Report'!$A$4:$U$1800,15,FALSE)</f>
        <v>Formulation of Strategic plans,programs, and policies to develop competitve industries</v>
      </c>
      <c r="AC1102" s="51"/>
      <c r="AD1102" s="435"/>
      <c r="AE1102" s="51"/>
      <c r="AF1102" s="51"/>
      <c r="AG1102" s="442"/>
      <c r="AH1102" s="442"/>
      <c r="AI1102" s="443"/>
    </row>
    <row r="1103" spans="1:35" s="32" customFormat="1" ht="27.6">
      <c r="A1103" s="434" t="s">
        <v>942</v>
      </c>
      <c r="B1103" s="457" t="s">
        <v>946</v>
      </c>
      <c r="C1103" s="233">
        <v>44265</v>
      </c>
      <c r="D1103" s="435" t="s">
        <v>1267</v>
      </c>
      <c r="E1103" s="436" t="s">
        <v>1401</v>
      </c>
      <c r="F1103" s="338">
        <v>0.44027777777777777</v>
      </c>
      <c r="G1103" s="338">
        <v>0.44375000000000003</v>
      </c>
      <c r="H1103" s="338" t="s">
        <v>970</v>
      </c>
      <c r="I1103" s="353">
        <v>701</v>
      </c>
      <c r="J1103" s="338" t="str">
        <f>IFERROR(VLOOKUP(I1103,'Chart of accounts'!A:H,2,FALSE),"")</f>
        <v>50101010 01</v>
      </c>
      <c r="K1103" s="338" t="str">
        <f>IFERROR(VLOOKUP(I1103,'Chart of accounts'!A:H,3,FALSE),"")</f>
        <v>Basic Salary - Civilian</v>
      </c>
      <c r="L1103" s="338" t="str">
        <f>IFERROR(VLOOKUP(I1103,'Chart of accounts'!A:H,4,FALSE),"")</f>
        <v>50101010 01 - Basic Salary - Civilian (701)</v>
      </c>
      <c r="M1103" s="361">
        <v>1</v>
      </c>
      <c r="N1103" s="355" t="s">
        <v>10</v>
      </c>
      <c r="O1103" s="355" t="s">
        <v>1384</v>
      </c>
      <c r="P1103" s="355"/>
      <c r="Q1103" s="363">
        <v>190370</v>
      </c>
      <c r="R1103" s="428">
        <f t="shared" si="41"/>
        <v>-190370</v>
      </c>
      <c r="S1103" s="239" t="str">
        <f>VLOOKUP(H1103,'Fund Utilization Report'!$A$4:$U$1800,13,FALSE)</f>
        <v>PS</v>
      </c>
      <c r="T1103" s="239" t="str">
        <f>VLOOKUP(H1103,'Fund Utilization Report'!$A$4:$U$1800,2,FALSE)</f>
        <v>GAA</v>
      </c>
      <c r="U1103" s="239" t="str">
        <f>VLOOKUP(H1103,'Fund Utilization Report'!$A$4:$U$1800,3,FALSE)</f>
        <v>FY2021, RA11518</v>
      </c>
      <c r="V1103" s="239" t="str">
        <f>VLOOKUP(H1103,'Fund Utilization Report'!$A$4:$U$1800,4,FALSE)</f>
        <v>OO3</v>
      </c>
      <c r="W1103" s="239" t="str">
        <f>VLOOKUP(H1103,'Fund Utilization Report'!$A$4:$U$1800,5,FALSE)</f>
        <v>01101101</v>
      </c>
      <c r="X1103" s="239" t="str">
        <f>VLOOKUP(H1103,'Fund Utilization Report'!$A$4:$U$1800,6,FALSE)</f>
        <v>GOP</v>
      </c>
      <c r="Y1103" s="440" t="str">
        <f>VLOOKUP(H1103,'Fund Utilization Report'!$A$4:$U$1800,7,FALSE)</f>
        <v>PS</v>
      </c>
      <c r="Z1103" s="441">
        <f>VLOOKUP(H1103,'Fund Utilization Report'!$A$4:$U$1800,8,FALSE)</f>
        <v>5010000000</v>
      </c>
      <c r="AA1103" s="239" t="str">
        <f>VLOOKUP(H1103,'Fund Utilization Report'!$A$4:$U$1800,14,FALSE)</f>
        <v>330100100002000</v>
      </c>
      <c r="AB1103" s="242" t="str">
        <f>VLOOKUP(H1103,'Fund Utilization Report'!$A$4:$U$1800,15,FALSE)</f>
        <v>Implementation of the MSME Development Plan and other initiatives to promote the growth of Micro, Small and Medium Enterprises</v>
      </c>
      <c r="AC1103" s="51"/>
      <c r="AD1103" s="435"/>
      <c r="AE1103" s="51"/>
      <c r="AF1103" s="51"/>
      <c r="AG1103" s="442"/>
      <c r="AH1103" s="442"/>
      <c r="AI1103" s="443"/>
    </row>
    <row r="1104" spans="1:35" s="32" customFormat="1" ht="27.6">
      <c r="A1104" s="434" t="s">
        <v>942</v>
      </c>
      <c r="B1104" s="457" t="s">
        <v>946</v>
      </c>
      <c r="C1104" s="233">
        <v>44265</v>
      </c>
      <c r="D1104" s="435" t="s">
        <v>1267</v>
      </c>
      <c r="E1104" s="436" t="s">
        <v>1401</v>
      </c>
      <c r="F1104" s="338">
        <v>0.44027777777777777</v>
      </c>
      <c r="G1104" s="338">
        <v>0.44375000000000003</v>
      </c>
      <c r="H1104" s="338" t="s">
        <v>970</v>
      </c>
      <c r="I1104" s="353">
        <v>711</v>
      </c>
      <c r="J1104" s="338" t="str">
        <f>IFERROR(VLOOKUP(I1104,'Chart of accounts'!A:H,2,FALSE),"")</f>
        <v>50102010 01</v>
      </c>
      <c r="K1104" s="338" t="str">
        <f>IFERROR(VLOOKUP(I1104,'Chart of accounts'!A:H,3,FALSE),"")</f>
        <v>PERA - Civilian</v>
      </c>
      <c r="L1104" s="338" t="str">
        <f>IFERROR(VLOOKUP(I1104,'Chart of accounts'!A:H,4,FALSE),"")</f>
        <v>50102010 01 - PERA - Civilian (711)</v>
      </c>
      <c r="M1104" s="361">
        <v>1</v>
      </c>
      <c r="N1104" s="355" t="s">
        <v>10</v>
      </c>
      <c r="O1104" s="355" t="s">
        <v>1384</v>
      </c>
      <c r="P1104" s="355"/>
      <c r="Q1104" s="363">
        <v>10000</v>
      </c>
      <c r="R1104" s="428">
        <f t="shared" si="41"/>
        <v>-10000</v>
      </c>
      <c r="S1104" s="239" t="str">
        <f>VLOOKUP(H1104,'Fund Utilization Report'!$A$4:$U$1800,13,FALSE)</f>
        <v>PS</v>
      </c>
      <c r="T1104" s="239" t="str">
        <f>VLOOKUP(H1104,'Fund Utilization Report'!$A$4:$U$1800,2,FALSE)</f>
        <v>GAA</v>
      </c>
      <c r="U1104" s="239" t="str">
        <f>VLOOKUP(H1104,'Fund Utilization Report'!$A$4:$U$1800,3,FALSE)</f>
        <v>FY2021, RA11518</v>
      </c>
      <c r="V1104" s="239" t="str">
        <f>VLOOKUP(H1104,'Fund Utilization Report'!$A$4:$U$1800,4,FALSE)</f>
        <v>OO3</v>
      </c>
      <c r="W1104" s="239" t="str">
        <f>VLOOKUP(H1104,'Fund Utilization Report'!$A$4:$U$1800,5,FALSE)</f>
        <v>01101101</v>
      </c>
      <c r="X1104" s="239" t="str">
        <f>VLOOKUP(H1104,'Fund Utilization Report'!$A$4:$U$1800,6,FALSE)</f>
        <v>GOP</v>
      </c>
      <c r="Y1104" s="440" t="str">
        <f>VLOOKUP(H1104,'Fund Utilization Report'!$A$4:$U$1800,7,FALSE)</f>
        <v>PS</v>
      </c>
      <c r="Z1104" s="441">
        <f>VLOOKUP(H1104,'Fund Utilization Report'!$A$4:$U$1800,8,FALSE)</f>
        <v>5010000000</v>
      </c>
      <c r="AA1104" s="239" t="str">
        <f>VLOOKUP(H1104,'Fund Utilization Report'!$A$4:$U$1800,14,FALSE)</f>
        <v>330100100002000</v>
      </c>
      <c r="AB1104" s="242" t="str">
        <f>VLOOKUP(H1104,'Fund Utilization Report'!$A$4:$U$1800,15,FALSE)</f>
        <v>Implementation of the MSME Development Plan and other initiatives to promote the growth of Micro, Small and Medium Enterprises</v>
      </c>
      <c r="AC1104" s="51"/>
      <c r="AD1104" s="435"/>
      <c r="AE1104" s="51"/>
      <c r="AF1104" s="51"/>
      <c r="AG1104" s="442"/>
      <c r="AH1104" s="442"/>
      <c r="AI1104" s="443"/>
    </row>
    <row r="1105" spans="1:35" s="32" customFormat="1" ht="27.6">
      <c r="A1105" s="434" t="s">
        <v>942</v>
      </c>
      <c r="B1105" s="457" t="s">
        <v>946</v>
      </c>
      <c r="C1105" s="233">
        <v>44265</v>
      </c>
      <c r="D1105" s="435" t="s">
        <v>1267</v>
      </c>
      <c r="E1105" s="436" t="s">
        <v>1401</v>
      </c>
      <c r="F1105" s="338">
        <v>0.44027777777777777</v>
      </c>
      <c r="G1105" s="338">
        <v>0.44375000000000003</v>
      </c>
      <c r="H1105" s="338" t="s">
        <v>972</v>
      </c>
      <c r="I1105" s="353">
        <v>731</v>
      </c>
      <c r="J1105" s="338" t="str">
        <f>IFERROR(VLOOKUP(I1105,'Chart of accounts'!A:H,2,FALSE),"")</f>
        <v>50103010 00</v>
      </c>
      <c r="K1105" s="338" t="str">
        <f>IFERROR(VLOOKUP(I1105,'Chart of accounts'!A:H,3,FALSE),"")</f>
        <v>Retirement and Life Insurance Premiums</v>
      </c>
      <c r="L1105" s="338" t="str">
        <f>IFERROR(VLOOKUP(I1105,'Chart of accounts'!A:H,4,FALSE),"")</f>
        <v>50103010 00 - Retirement and Life Insurance Premiums (731)</v>
      </c>
      <c r="M1105" s="361">
        <v>1</v>
      </c>
      <c r="N1105" s="355" t="s">
        <v>10</v>
      </c>
      <c r="O1105" s="355" t="s">
        <v>1384</v>
      </c>
      <c r="P1105" s="355"/>
      <c r="Q1105" s="363">
        <v>22844.400000000001</v>
      </c>
      <c r="R1105" s="428">
        <f t="shared" si="41"/>
        <v>-22844.400000000001</v>
      </c>
      <c r="S1105" s="239" t="str">
        <f>VLOOKUP(H1105,'Fund Utilization Report'!$A$4:$U$1800,13,FALSE)</f>
        <v>PS</v>
      </c>
      <c r="T1105" s="239" t="str">
        <f>VLOOKUP(H1105,'Fund Utilization Report'!$A$4:$U$1800,2,FALSE)</f>
        <v>GAA</v>
      </c>
      <c r="U1105" s="239" t="str">
        <f>VLOOKUP(H1105,'Fund Utilization Report'!$A$4:$U$1800,3,FALSE)</f>
        <v>FY2021, RA11518</v>
      </c>
      <c r="V1105" s="239" t="str">
        <f>VLOOKUP(H1105,'Fund Utilization Report'!$A$4:$U$1800,4,FALSE)</f>
        <v>OO3</v>
      </c>
      <c r="W1105" s="239" t="str">
        <f>VLOOKUP(H1105,'Fund Utilization Report'!$A$4:$U$1800,5,FALSE)</f>
        <v>01101101</v>
      </c>
      <c r="X1105" s="239" t="str">
        <f>VLOOKUP(H1105,'Fund Utilization Report'!$A$4:$U$1800,6,FALSE)</f>
        <v>GOP</v>
      </c>
      <c r="Y1105" s="440" t="str">
        <f>VLOOKUP(H1105,'Fund Utilization Report'!$A$4:$U$1800,7,FALSE)</f>
        <v>RLIP</v>
      </c>
      <c r="Z1105" s="441" t="str">
        <f>VLOOKUP(H1105,'Fund Utilization Report'!$A$4:$U$1800,8,FALSE)</f>
        <v>50103010-00</v>
      </c>
      <c r="AA1105" s="239" t="str">
        <f>VLOOKUP(H1105,'Fund Utilization Report'!$A$4:$U$1800,14,FALSE)</f>
        <v>330100100002000</v>
      </c>
      <c r="AB1105" s="242" t="str">
        <f>VLOOKUP(H1105,'Fund Utilization Report'!$A$4:$U$1800,15,FALSE)</f>
        <v>Implementation of the MSME Development Plan and other initiatives to promote the growth of Micro, Small and Medium Enterprises</v>
      </c>
      <c r="AC1105" s="51"/>
      <c r="AD1105" s="435"/>
      <c r="AE1105" s="51"/>
      <c r="AF1105" s="51"/>
      <c r="AG1105" s="442"/>
      <c r="AH1105" s="442"/>
      <c r="AI1105" s="443"/>
    </row>
    <row r="1106" spans="1:35" s="32" customFormat="1" ht="27.6">
      <c r="A1106" s="434" t="s">
        <v>942</v>
      </c>
      <c r="B1106" s="457" t="s">
        <v>946</v>
      </c>
      <c r="C1106" s="233">
        <v>44265</v>
      </c>
      <c r="D1106" s="435" t="s">
        <v>1267</v>
      </c>
      <c r="E1106" s="436" t="s">
        <v>1401</v>
      </c>
      <c r="F1106" s="338">
        <v>0.44027777777777777</v>
      </c>
      <c r="G1106" s="338">
        <v>0.44375000000000003</v>
      </c>
      <c r="H1106" s="338" t="s">
        <v>970</v>
      </c>
      <c r="I1106" s="353">
        <v>732</v>
      </c>
      <c r="J1106" s="338" t="str">
        <f>IFERROR(VLOOKUP(I1106,'Chart of accounts'!A:H,2,FALSE),"")</f>
        <v>50103020 01</v>
      </c>
      <c r="K1106" s="338" t="str">
        <f>IFERROR(VLOOKUP(I1106,'Chart of accounts'!A:H,3,FALSE),"")</f>
        <v>Pag-IBIG - Civilian</v>
      </c>
      <c r="L1106" s="338" t="str">
        <f>IFERROR(VLOOKUP(I1106,'Chart of accounts'!A:H,4,FALSE),"")</f>
        <v>50103020 01 - Pag-IBIG - Civilian (732)</v>
      </c>
      <c r="M1106" s="361">
        <v>1</v>
      </c>
      <c r="N1106" s="355" t="s">
        <v>10</v>
      </c>
      <c r="O1106" s="355" t="s">
        <v>1384</v>
      </c>
      <c r="P1106" s="355"/>
      <c r="Q1106" s="363">
        <v>500</v>
      </c>
      <c r="R1106" s="428">
        <f t="shared" si="41"/>
        <v>-500</v>
      </c>
      <c r="S1106" s="239" t="str">
        <f>VLOOKUP(H1106,'Fund Utilization Report'!$A$4:$U$1800,13,FALSE)</f>
        <v>PS</v>
      </c>
      <c r="T1106" s="239" t="str">
        <f>VLOOKUP(H1106,'Fund Utilization Report'!$A$4:$U$1800,2,FALSE)</f>
        <v>GAA</v>
      </c>
      <c r="U1106" s="239" t="str">
        <f>VLOOKUP(H1106,'Fund Utilization Report'!$A$4:$U$1800,3,FALSE)</f>
        <v>FY2021, RA11518</v>
      </c>
      <c r="V1106" s="239" t="str">
        <f>VLOOKUP(H1106,'Fund Utilization Report'!$A$4:$U$1800,4,FALSE)</f>
        <v>OO3</v>
      </c>
      <c r="W1106" s="239" t="str">
        <f>VLOOKUP(H1106,'Fund Utilization Report'!$A$4:$U$1800,5,FALSE)</f>
        <v>01101101</v>
      </c>
      <c r="X1106" s="239" t="str">
        <f>VLOOKUP(H1106,'Fund Utilization Report'!$A$4:$U$1800,6,FALSE)</f>
        <v>GOP</v>
      </c>
      <c r="Y1106" s="440" t="str">
        <f>VLOOKUP(H1106,'Fund Utilization Report'!$A$4:$U$1800,7,FALSE)</f>
        <v>PS</v>
      </c>
      <c r="Z1106" s="441">
        <f>VLOOKUP(H1106,'Fund Utilization Report'!$A$4:$U$1800,8,FALSE)</f>
        <v>5010000000</v>
      </c>
      <c r="AA1106" s="239" t="str">
        <f>VLOOKUP(H1106,'Fund Utilization Report'!$A$4:$U$1800,14,FALSE)</f>
        <v>330100100002000</v>
      </c>
      <c r="AB1106" s="242" t="str">
        <f>VLOOKUP(H1106,'Fund Utilization Report'!$A$4:$U$1800,15,FALSE)</f>
        <v>Implementation of the MSME Development Plan and other initiatives to promote the growth of Micro, Small and Medium Enterprises</v>
      </c>
      <c r="AC1106" s="51"/>
      <c r="AD1106" s="435"/>
      <c r="AE1106" s="51"/>
      <c r="AF1106" s="51"/>
      <c r="AG1106" s="442"/>
      <c r="AH1106" s="442"/>
      <c r="AI1106" s="443"/>
    </row>
    <row r="1107" spans="1:35" s="32" customFormat="1" ht="27.6">
      <c r="A1107" s="434" t="s">
        <v>942</v>
      </c>
      <c r="B1107" s="457" t="s">
        <v>946</v>
      </c>
      <c r="C1107" s="233">
        <v>44265</v>
      </c>
      <c r="D1107" s="435" t="s">
        <v>1267</v>
      </c>
      <c r="E1107" s="436" t="s">
        <v>1401</v>
      </c>
      <c r="F1107" s="338">
        <v>0.44027777777777777</v>
      </c>
      <c r="G1107" s="338">
        <v>0.44375000000000003</v>
      </c>
      <c r="H1107" s="338" t="s">
        <v>970</v>
      </c>
      <c r="I1107" s="353">
        <v>733</v>
      </c>
      <c r="J1107" s="338" t="str">
        <f>IFERROR(VLOOKUP(I1107,'Chart of accounts'!A:H,2,FALSE),"")</f>
        <v>50103030 01</v>
      </c>
      <c r="K1107" s="338" t="str">
        <f>IFERROR(VLOOKUP(I1107,'Chart of accounts'!A:H,3,FALSE),"")</f>
        <v>PhilHealth - Civilian</v>
      </c>
      <c r="L1107" s="338" t="str">
        <f>IFERROR(VLOOKUP(I1107,'Chart of accounts'!A:H,4,FALSE),"")</f>
        <v>50103030 01 - PhilHealth - Civilian (733)</v>
      </c>
      <c r="M1107" s="361">
        <v>1</v>
      </c>
      <c r="N1107" s="355" t="s">
        <v>10</v>
      </c>
      <c r="O1107" s="355" t="s">
        <v>1384</v>
      </c>
      <c r="P1107" s="355"/>
      <c r="Q1107" s="363">
        <v>2855.56</v>
      </c>
      <c r="R1107" s="428">
        <f t="shared" si="41"/>
        <v>-2855.56</v>
      </c>
      <c r="S1107" s="239" t="str">
        <f>VLOOKUP(H1107,'Fund Utilization Report'!$A$4:$U$1800,13,FALSE)</f>
        <v>PS</v>
      </c>
      <c r="T1107" s="239" t="str">
        <f>VLOOKUP(H1107,'Fund Utilization Report'!$A$4:$U$1800,2,FALSE)</f>
        <v>GAA</v>
      </c>
      <c r="U1107" s="239" t="str">
        <f>VLOOKUP(H1107,'Fund Utilization Report'!$A$4:$U$1800,3,FALSE)</f>
        <v>FY2021, RA11518</v>
      </c>
      <c r="V1107" s="239" t="str">
        <f>VLOOKUP(H1107,'Fund Utilization Report'!$A$4:$U$1800,4,FALSE)</f>
        <v>OO3</v>
      </c>
      <c r="W1107" s="239" t="str">
        <f>VLOOKUP(H1107,'Fund Utilization Report'!$A$4:$U$1800,5,FALSE)</f>
        <v>01101101</v>
      </c>
      <c r="X1107" s="239" t="str">
        <f>VLOOKUP(H1107,'Fund Utilization Report'!$A$4:$U$1800,6,FALSE)</f>
        <v>GOP</v>
      </c>
      <c r="Y1107" s="440" t="str">
        <f>VLOOKUP(H1107,'Fund Utilization Report'!$A$4:$U$1800,7,FALSE)</f>
        <v>PS</v>
      </c>
      <c r="Z1107" s="441">
        <f>VLOOKUP(H1107,'Fund Utilization Report'!$A$4:$U$1800,8,FALSE)</f>
        <v>5010000000</v>
      </c>
      <c r="AA1107" s="239" t="str">
        <f>VLOOKUP(H1107,'Fund Utilization Report'!$A$4:$U$1800,14,FALSE)</f>
        <v>330100100002000</v>
      </c>
      <c r="AB1107" s="242" t="str">
        <f>VLOOKUP(H1107,'Fund Utilization Report'!$A$4:$U$1800,15,FALSE)</f>
        <v>Implementation of the MSME Development Plan and other initiatives to promote the growth of Micro, Small and Medium Enterprises</v>
      </c>
      <c r="AC1107" s="51"/>
      <c r="AD1107" s="435"/>
      <c r="AE1107" s="51"/>
      <c r="AF1107" s="51"/>
      <c r="AG1107" s="442"/>
      <c r="AH1107" s="442"/>
      <c r="AI1107" s="443"/>
    </row>
    <row r="1108" spans="1:35" s="32" customFormat="1" ht="27.6">
      <c r="A1108" s="434" t="s">
        <v>942</v>
      </c>
      <c r="B1108" s="457" t="s">
        <v>946</v>
      </c>
      <c r="C1108" s="233">
        <v>44265</v>
      </c>
      <c r="D1108" s="435" t="s">
        <v>1267</v>
      </c>
      <c r="E1108" s="436" t="s">
        <v>1401</v>
      </c>
      <c r="F1108" s="338">
        <v>0.44027777777777777</v>
      </c>
      <c r="G1108" s="338">
        <v>0.44375000000000003</v>
      </c>
      <c r="H1108" s="338" t="s">
        <v>970</v>
      </c>
      <c r="I1108" s="353">
        <v>734</v>
      </c>
      <c r="J1108" s="338" t="str">
        <f>IFERROR(VLOOKUP(I1108,'Chart of accounts'!A:H,2,FALSE),"")</f>
        <v>50103040 01</v>
      </c>
      <c r="K1108" s="338" t="str">
        <f>IFERROR(VLOOKUP(I1108,'Chart of accounts'!A:H,3,FALSE),"")</f>
        <v>ECIP - Civilian</v>
      </c>
      <c r="L1108" s="338" t="str">
        <f>IFERROR(VLOOKUP(I1108,'Chart of accounts'!A:H,4,FALSE),"")</f>
        <v>50103040 01 - ECIP - Civilian (734)</v>
      </c>
      <c r="M1108" s="361">
        <v>1</v>
      </c>
      <c r="N1108" s="355" t="s">
        <v>10</v>
      </c>
      <c r="O1108" s="355" t="s">
        <v>1384</v>
      </c>
      <c r="P1108" s="355"/>
      <c r="Q1108" s="363">
        <v>500</v>
      </c>
      <c r="R1108" s="428">
        <f t="shared" si="41"/>
        <v>-500</v>
      </c>
      <c r="S1108" s="239" t="str">
        <f>VLOOKUP(H1108,'Fund Utilization Report'!$A$4:$U$1800,13,FALSE)</f>
        <v>PS</v>
      </c>
      <c r="T1108" s="239" t="str">
        <f>VLOOKUP(H1108,'Fund Utilization Report'!$A$4:$U$1800,2,FALSE)</f>
        <v>GAA</v>
      </c>
      <c r="U1108" s="239" t="str">
        <f>VLOOKUP(H1108,'Fund Utilization Report'!$A$4:$U$1800,3,FALSE)</f>
        <v>FY2021, RA11518</v>
      </c>
      <c r="V1108" s="239" t="str">
        <f>VLOOKUP(H1108,'Fund Utilization Report'!$A$4:$U$1800,4,FALSE)</f>
        <v>OO3</v>
      </c>
      <c r="W1108" s="239" t="str">
        <f>VLOOKUP(H1108,'Fund Utilization Report'!$A$4:$U$1800,5,FALSE)</f>
        <v>01101101</v>
      </c>
      <c r="X1108" s="239" t="str">
        <f>VLOOKUP(H1108,'Fund Utilization Report'!$A$4:$U$1800,6,FALSE)</f>
        <v>GOP</v>
      </c>
      <c r="Y1108" s="440" t="str">
        <f>VLOOKUP(H1108,'Fund Utilization Report'!$A$4:$U$1800,7,FALSE)</f>
        <v>PS</v>
      </c>
      <c r="Z1108" s="441">
        <f>VLOOKUP(H1108,'Fund Utilization Report'!$A$4:$U$1800,8,FALSE)</f>
        <v>5010000000</v>
      </c>
      <c r="AA1108" s="239" t="str">
        <f>VLOOKUP(H1108,'Fund Utilization Report'!$A$4:$U$1800,14,FALSE)</f>
        <v>330100100002000</v>
      </c>
      <c r="AB1108" s="242" t="str">
        <f>VLOOKUP(H1108,'Fund Utilization Report'!$A$4:$U$1800,15,FALSE)</f>
        <v>Implementation of the MSME Development Plan and other initiatives to promote the growth of Micro, Small and Medium Enterprises</v>
      </c>
      <c r="AC1108" s="51"/>
      <c r="AD1108" s="435"/>
      <c r="AE1108" s="51"/>
      <c r="AF1108" s="51"/>
      <c r="AG1108" s="442"/>
      <c r="AH1108" s="442"/>
      <c r="AI1108" s="443"/>
    </row>
    <row r="1109" spans="1:35" s="32" customFormat="1" ht="27.6">
      <c r="A1109" s="434" t="s">
        <v>942</v>
      </c>
      <c r="B1109" s="457" t="s">
        <v>946</v>
      </c>
      <c r="C1109" s="233">
        <v>44265</v>
      </c>
      <c r="D1109" s="435" t="s">
        <v>1267</v>
      </c>
      <c r="E1109" s="436" t="s">
        <v>1401</v>
      </c>
      <c r="F1109" s="338">
        <v>0.44027777777777777</v>
      </c>
      <c r="G1109" s="338">
        <v>0.44375000000000003</v>
      </c>
      <c r="H1109" s="338" t="s">
        <v>973</v>
      </c>
      <c r="I1109" s="353">
        <v>701</v>
      </c>
      <c r="J1109" s="338" t="str">
        <f>IFERROR(VLOOKUP(I1109,'Chart of accounts'!A:H,2,FALSE),"")</f>
        <v>50101010 01</v>
      </c>
      <c r="K1109" s="338" t="str">
        <f>IFERROR(VLOOKUP(I1109,'Chart of accounts'!A:H,3,FALSE),"")</f>
        <v>Basic Salary - Civilian</v>
      </c>
      <c r="L1109" s="338" t="str">
        <f>IFERROR(VLOOKUP(I1109,'Chart of accounts'!A:H,4,FALSE),"")</f>
        <v>50101010 01 - Basic Salary - Civilian (701)</v>
      </c>
      <c r="M1109" s="361">
        <v>1</v>
      </c>
      <c r="N1109" s="355" t="s">
        <v>10</v>
      </c>
      <c r="O1109" s="355" t="s">
        <v>1384</v>
      </c>
      <c r="P1109" s="355"/>
      <c r="Q1109" s="363">
        <v>206068</v>
      </c>
      <c r="R1109" s="428">
        <f t="shared" ref="R1109:R1115" si="42">P1109-Q1109</f>
        <v>-206068</v>
      </c>
      <c r="S1109" s="239" t="str">
        <f>VLOOKUP(H1109,'Fund Utilization Report'!$A$4:$U$1800,13,FALSE)</f>
        <v>PS</v>
      </c>
      <c r="T1109" s="239" t="str">
        <f>VLOOKUP(H1109,'Fund Utilization Report'!$A$4:$U$1800,2,FALSE)</f>
        <v>GAA</v>
      </c>
      <c r="U1109" s="239" t="str">
        <f>VLOOKUP(H1109,'Fund Utilization Report'!$A$4:$U$1800,3,FALSE)</f>
        <v>FY2021, RA11518</v>
      </c>
      <c r="V1109" s="239" t="str">
        <f>VLOOKUP(H1109,'Fund Utilization Report'!$A$4:$U$1800,4,FALSE)</f>
        <v>OO4.1(FTL)</v>
      </c>
      <c r="W1109" s="239" t="str">
        <f>VLOOKUP(H1109,'Fund Utilization Report'!$A$4:$U$1800,5,FALSE)</f>
        <v>01101101</v>
      </c>
      <c r="X1109" s="239" t="str">
        <f>VLOOKUP(H1109,'Fund Utilization Report'!$A$4:$U$1800,6,FALSE)</f>
        <v>GOP</v>
      </c>
      <c r="Y1109" s="440" t="str">
        <f>VLOOKUP(H1109,'Fund Utilization Report'!$A$4:$U$1800,7,FALSE)</f>
        <v>PS</v>
      </c>
      <c r="Z1109" s="441">
        <f>VLOOKUP(H1109,'Fund Utilization Report'!$A$4:$U$1800,8,FALSE)</f>
        <v>5010000000</v>
      </c>
      <c r="AA1109" s="239" t="str">
        <f>VLOOKUP(H1109,'Fund Utilization Report'!$A$4:$U$1800,14,FALSE)</f>
        <v>340100100002000</v>
      </c>
      <c r="AB1109" s="242" t="str">
        <f>VLOOKUP(H1109,'Fund Utilization Report'!$A$4:$U$1800,15,FALSE)</f>
        <v>Monitoring and Enforcement of FTL including consumer complaints handling</v>
      </c>
      <c r="AC1109" s="51"/>
      <c r="AD1109" s="435"/>
      <c r="AE1109" s="51"/>
      <c r="AF1109" s="51"/>
      <c r="AG1109" s="442"/>
      <c r="AH1109" s="442"/>
      <c r="AI1109" s="443"/>
    </row>
    <row r="1110" spans="1:35" s="32" customFormat="1" ht="27.6">
      <c r="A1110" s="434" t="s">
        <v>942</v>
      </c>
      <c r="B1110" s="457" t="s">
        <v>946</v>
      </c>
      <c r="C1110" s="233">
        <v>44265</v>
      </c>
      <c r="D1110" s="435" t="s">
        <v>1267</v>
      </c>
      <c r="E1110" s="436" t="s">
        <v>1401</v>
      </c>
      <c r="F1110" s="338">
        <v>0.44027777777777777</v>
      </c>
      <c r="G1110" s="338">
        <v>0.44375000000000003</v>
      </c>
      <c r="H1110" s="338" t="s">
        <v>973</v>
      </c>
      <c r="I1110" s="353">
        <v>711</v>
      </c>
      <c r="J1110" s="338" t="str">
        <f>IFERROR(VLOOKUP(I1110,'Chart of accounts'!A:H,2,FALSE),"")</f>
        <v>50102010 01</v>
      </c>
      <c r="K1110" s="338" t="str">
        <f>IFERROR(VLOOKUP(I1110,'Chart of accounts'!A:H,3,FALSE),"")</f>
        <v>PERA - Civilian</v>
      </c>
      <c r="L1110" s="338" t="str">
        <f>IFERROR(VLOOKUP(I1110,'Chart of accounts'!A:H,4,FALSE),"")</f>
        <v>50102010 01 - PERA - Civilian (711)</v>
      </c>
      <c r="M1110" s="361">
        <v>1</v>
      </c>
      <c r="N1110" s="355" t="s">
        <v>10</v>
      </c>
      <c r="O1110" s="355" t="s">
        <v>1384</v>
      </c>
      <c r="P1110" s="355"/>
      <c r="Q1110" s="363">
        <v>10000</v>
      </c>
      <c r="R1110" s="428">
        <f t="shared" si="42"/>
        <v>-10000</v>
      </c>
      <c r="S1110" s="239" t="str">
        <f>VLOOKUP(H1110,'Fund Utilization Report'!$A$4:$U$1800,13,FALSE)</f>
        <v>PS</v>
      </c>
      <c r="T1110" s="239" t="str">
        <f>VLOOKUP(H1110,'Fund Utilization Report'!$A$4:$U$1800,2,FALSE)</f>
        <v>GAA</v>
      </c>
      <c r="U1110" s="239" t="str">
        <f>VLOOKUP(H1110,'Fund Utilization Report'!$A$4:$U$1800,3,FALSE)</f>
        <v>FY2021, RA11518</v>
      </c>
      <c r="V1110" s="239" t="str">
        <f>VLOOKUP(H1110,'Fund Utilization Report'!$A$4:$U$1800,4,FALSE)</f>
        <v>OO4.1(FTL)</v>
      </c>
      <c r="W1110" s="239" t="str">
        <f>VLOOKUP(H1110,'Fund Utilization Report'!$A$4:$U$1800,5,FALSE)</f>
        <v>01101101</v>
      </c>
      <c r="X1110" s="239" t="str">
        <f>VLOOKUP(H1110,'Fund Utilization Report'!$A$4:$U$1800,6,FALSE)</f>
        <v>GOP</v>
      </c>
      <c r="Y1110" s="440" t="str">
        <f>VLOOKUP(H1110,'Fund Utilization Report'!$A$4:$U$1800,7,FALSE)</f>
        <v>PS</v>
      </c>
      <c r="Z1110" s="441">
        <f>VLOOKUP(H1110,'Fund Utilization Report'!$A$4:$U$1800,8,FALSE)</f>
        <v>5010000000</v>
      </c>
      <c r="AA1110" s="239" t="str">
        <f>VLOOKUP(H1110,'Fund Utilization Report'!$A$4:$U$1800,14,FALSE)</f>
        <v>340100100002000</v>
      </c>
      <c r="AB1110" s="242" t="str">
        <f>VLOOKUP(H1110,'Fund Utilization Report'!$A$4:$U$1800,15,FALSE)</f>
        <v>Monitoring and Enforcement of FTL including consumer complaints handling</v>
      </c>
      <c r="AC1110" s="51"/>
      <c r="AD1110" s="435"/>
      <c r="AE1110" s="51"/>
      <c r="AF1110" s="51"/>
      <c r="AG1110" s="442"/>
      <c r="AH1110" s="442"/>
      <c r="AI1110" s="443"/>
    </row>
    <row r="1111" spans="1:35" s="32" customFormat="1" ht="27.6">
      <c r="A1111" s="434" t="s">
        <v>942</v>
      </c>
      <c r="B1111" s="457" t="s">
        <v>946</v>
      </c>
      <c r="C1111" s="233">
        <v>44265</v>
      </c>
      <c r="D1111" s="435" t="s">
        <v>1267</v>
      </c>
      <c r="E1111" s="436" t="s">
        <v>1401</v>
      </c>
      <c r="F1111" s="338">
        <v>0.44027777777777777</v>
      </c>
      <c r="G1111" s="338">
        <v>0.44375000000000003</v>
      </c>
      <c r="H1111" s="338" t="s">
        <v>975</v>
      </c>
      <c r="I1111" s="353">
        <v>731</v>
      </c>
      <c r="J1111" s="338" t="str">
        <f>IFERROR(VLOOKUP(I1111,'Chart of accounts'!A:H,2,FALSE),"")</f>
        <v>50103010 00</v>
      </c>
      <c r="K1111" s="338" t="str">
        <f>IFERROR(VLOOKUP(I1111,'Chart of accounts'!A:H,3,FALSE),"")</f>
        <v>Retirement and Life Insurance Premiums</v>
      </c>
      <c r="L1111" s="338" t="str">
        <f>IFERROR(VLOOKUP(I1111,'Chart of accounts'!A:H,4,FALSE),"")</f>
        <v>50103010 00 - Retirement and Life Insurance Premiums (731)</v>
      </c>
      <c r="M1111" s="361">
        <v>1</v>
      </c>
      <c r="N1111" s="355" t="s">
        <v>10</v>
      </c>
      <c r="O1111" s="355" t="s">
        <v>1384</v>
      </c>
      <c r="P1111" s="355"/>
      <c r="Q1111" s="363">
        <v>24728.16</v>
      </c>
      <c r="R1111" s="428">
        <f t="shared" si="42"/>
        <v>-24728.16</v>
      </c>
      <c r="S1111" s="239" t="str">
        <f>VLOOKUP(H1111,'Fund Utilization Report'!$A$4:$U$1800,13,FALSE)</f>
        <v>PS</v>
      </c>
      <c r="T1111" s="239" t="str">
        <f>VLOOKUP(H1111,'Fund Utilization Report'!$A$4:$U$1800,2,FALSE)</f>
        <v>GAA</v>
      </c>
      <c r="U1111" s="239" t="str">
        <f>VLOOKUP(H1111,'Fund Utilization Report'!$A$4:$U$1800,3,FALSE)</f>
        <v>FY2021, RA11518</v>
      </c>
      <c r="V1111" s="239" t="str">
        <f>VLOOKUP(H1111,'Fund Utilization Report'!$A$4:$U$1800,4,FALSE)</f>
        <v>OO4.1(FTL)</v>
      </c>
      <c r="W1111" s="239" t="str">
        <f>VLOOKUP(H1111,'Fund Utilization Report'!$A$4:$U$1800,5,FALSE)</f>
        <v>01101101</v>
      </c>
      <c r="X1111" s="239" t="str">
        <f>VLOOKUP(H1111,'Fund Utilization Report'!$A$4:$U$1800,6,FALSE)</f>
        <v>GOP</v>
      </c>
      <c r="Y1111" s="440" t="str">
        <f>VLOOKUP(H1111,'Fund Utilization Report'!$A$4:$U$1800,7,FALSE)</f>
        <v>RLIP</v>
      </c>
      <c r="Z1111" s="441" t="str">
        <f>VLOOKUP(H1111,'Fund Utilization Report'!$A$4:$U$1800,8,FALSE)</f>
        <v>50103010-00</v>
      </c>
      <c r="AA1111" s="239" t="str">
        <f>VLOOKUP(H1111,'Fund Utilization Report'!$A$4:$U$1800,14,FALSE)</f>
        <v>340100100002000</v>
      </c>
      <c r="AB1111" s="242" t="str">
        <f>VLOOKUP(H1111,'Fund Utilization Report'!$A$4:$U$1800,15,FALSE)</f>
        <v>Monitoring and Enforcement of FTL including consumer complaints handling</v>
      </c>
      <c r="AC1111" s="51"/>
      <c r="AD1111" s="435"/>
      <c r="AE1111" s="51"/>
      <c r="AF1111" s="51"/>
      <c r="AG1111" s="442"/>
      <c r="AH1111" s="442"/>
      <c r="AI1111" s="443"/>
    </row>
    <row r="1112" spans="1:35" s="32" customFormat="1" ht="27.6">
      <c r="A1112" s="434" t="s">
        <v>942</v>
      </c>
      <c r="B1112" s="457" t="s">
        <v>946</v>
      </c>
      <c r="C1112" s="233">
        <v>44265</v>
      </c>
      <c r="D1112" s="435" t="s">
        <v>1267</v>
      </c>
      <c r="E1112" s="436" t="s">
        <v>1401</v>
      </c>
      <c r="F1112" s="338">
        <v>0.44027777777777777</v>
      </c>
      <c r="G1112" s="338">
        <v>0.44375000000000003</v>
      </c>
      <c r="H1112" s="338" t="s">
        <v>973</v>
      </c>
      <c r="I1112" s="353">
        <v>732</v>
      </c>
      <c r="J1112" s="338" t="str">
        <f>IFERROR(VLOOKUP(I1112,'Chart of accounts'!A:H,2,FALSE),"")</f>
        <v>50103020 01</v>
      </c>
      <c r="K1112" s="338" t="str">
        <f>IFERROR(VLOOKUP(I1112,'Chart of accounts'!A:H,3,FALSE),"")</f>
        <v>Pag-IBIG - Civilian</v>
      </c>
      <c r="L1112" s="338" t="str">
        <f>IFERROR(VLOOKUP(I1112,'Chart of accounts'!A:H,4,FALSE),"")</f>
        <v>50103020 01 - Pag-IBIG - Civilian (732)</v>
      </c>
      <c r="M1112" s="361">
        <v>1</v>
      </c>
      <c r="N1112" s="355" t="s">
        <v>10</v>
      </c>
      <c r="O1112" s="355" t="s">
        <v>1384</v>
      </c>
      <c r="P1112" s="355"/>
      <c r="Q1112" s="363">
        <v>500</v>
      </c>
      <c r="R1112" s="428">
        <f t="shared" si="42"/>
        <v>-500</v>
      </c>
      <c r="S1112" s="239" t="str">
        <f>VLOOKUP(H1112,'Fund Utilization Report'!$A$4:$U$1800,13,FALSE)</f>
        <v>PS</v>
      </c>
      <c r="T1112" s="239" t="str">
        <f>VLOOKUP(H1112,'Fund Utilization Report'!$A$4:$U$1800,2,FALSE)</f>
        <v>GAA</v>
      </c>
      <c r="U1112" s="239" t="str">
        <f>VLOOKUP(H1112,'Fund Utilization Report'!$A$4:$U$1800,3,FALSE)</f>
        <v>FY2021, RA11518</v>
      </c>
      <c r="V1112" s="239" t="str">
        <f>VLOOKUP(H1112,'Fund Utilization Report'!$A$4:$U$1800,4,FALSE)</f>
        <v>OO4.1(FTL)</v>
      </c>
      <c r="W1112" s="239" t="str">
        <f>VLOOKUP(H1112,'Fund Utilization Report'!$A$4:$U$1800,5,FALSE)</f>
        <v>01101101</v>
      </c>
      <c r="X1112" s="239" t="str">
        <f>VLOOKUP(H1112,'Fund Utilization Report'!$A$4:$U$1800,6,FALSE)</f>
        <v>GOP</v>
      </c>
      <c r="Y1112" s="440" t="str">
        <f>VLOOKUP(H1112,'Fund Utilization Report'!$A$4:$U$1800,7,FALSE)</f>
        <v>PS</v>
      </c>
      <c r="Z1112" s="441">
        <f>VLOOKUP(H1112,'Fund Utilization Report'!$A$4:$U$1800,8,FALSE)</f>
        <v>5010000000</v>
      </c>
      <c r="AA1112" s="239" t="str">
        <f>VLOOKUP(H1112,'Fund Utilization Report'!$A$4:$U$1800,14,FALSE)</f>
        <v>340100100002000</v>
      </c>
      <c r="AB1112" s="242" t="str">
        <f>VLOOKUP(H1112,'Fund Utilization Report'!$A$4:$U$1800,15,FALSE)</f>
        <v>Monitoring and Enforcement of FTL including consumer complaints handling</v>
      </c>
      <c r="AC1112" s="51"/>
      <c r="AD1112" s="435"/>
      <c r="AE1112" s="51"/>
      <c r="AF1112" s="51"/>
      <c r="AG1112" s="442"/>
      <c r="AH1112" s="442"/>
      <c r="AI1112" s="443"/>
    </row>
    <row r="1113" spans="1:35" s="32" customFormat="1" ht="27.6">
      <c r="A1113" s="434" t="s">
        <v>942</v>
      </c>
      <c r="B1113" s="457" t="s">
        <v>946</v>
      </c>
      <c r="C1113" s="233">
        <v>44265</v>
      </c>
      <c r="D1113" s="435" t="s">
        <v>1267</v>
      </c>
      <c r="E1113" s="436" t="s">
        <v>1401</v>
      </c>
      <c r="F1113" s="338">
        <v>0.44027777777777777</v>
      </c>
      <c r="G1113" s="338">
        <v>0.44375000000000003</v>
      </c>
      <c r="H1113" s="338" t="s">
        <v>973</v>
      </c>
      <c r="I1113" s="353">
        <v>733</v>
      </c>
      <c r="J1113" s="338" t="str">
        <f>IFERROR(VLOOKUP(I1113,'Chart of accounts'!A:H,2,FALSE),"")</f>
        <v>50103030 01</v>
      </c>
      <c r="K1113" s="338" t="str">
        <f>IFERROR(VLOOKUP(I1113,'Chart of accounts'!A:H,3,FALSE),"")</f>
        <v>PhilHealth - Civilian</v>
      </c>
      <c r="L1113" s="338" t="str">
        <f>IFERROR(VLOOKUP(I1113,'Chart of accounts'!A:H,4,FALSE),"")</f>
        <v>50103030 01 - PhilHealth - Civilian (733)</v>
      </c>
      <c r="M1113" s="361">
        <v>1</v>
      </c>
      <c r="N1113" s="355" t="s">
        <v>10</v>
      </c>
      <c r="O1113" s="355" t="s">
        <v>1384</v>
      </c>
      <c r="P1113" s="355"/>
      <c r="Q1113" s="363">
        <v>3077.52</v>
      </c>
      <c r="R1113" s="428">
        <f t="shared" si="42"/>
        <v>-3077.52</v>
      </c>
      <c r="S1113" s="239" t="str">
        <f>VLOOKUP(H1113,'Fund Utilization Report'!$A$4:$U$1800,13,FALSE)</f>
        <v>PS</v>
      </c>
      <c r="T1113" s="239" t="str">
        <f>VLOOKUP(H1113,'Fund Utilization Report'!$A$4:$U$1800,2,FALSE)</f>
        <v>GAA</v>
      </c>
      <c r="U1113" s="239" t="str">
        <f>VLOOKUP(H1113,'Fund Utilization Report'!$A$4:$U$1800,3,FALSE)</f>
        <v>FY2021, RA11518</v>
      </c>
      <c r="V1113" s="239" t="str">
        <f>VLOOKUP(H1113,'Fund Utilization Report'!$A$4:$U$1800,4,FALSE)</f>
        <v>OO4.1(FTL)</v>
      </c>
      <c r="W1113" s="239" t="str">
        <f>VLOOKUP(H1113,'Fund Utilization Report'!$A$4:$U$1800,5,FALSE)</f>
        <v>01101101</v>
      </c>
      <c r="X1113" s="239" t="str">
        <f>VLOOKUP(H1113,'Fund Utilization Report'!$A$4:$U$1800,6,FALSE)</f>
        <v>GOP</v>
      </c>
      <c r="Y1113" s="440" t="str">
        <f>VLOOKUP(H1113,'Fund Utilization Report'!$A$4:$U$1800,7,FALSE)</f>
        <v>PS</v>
      </c>
      <c r="Z1113" s="441">
        <f>VLOOKUP(H1113,'Fund Utilization Report'!$A$4:$U$1800,8,FALSE)</f>
        <v>5010000000</v>
      </c>
      <c r="AA1113" s="239" t="str">
        <f>VLOOKUP(H1113,'Fund Utilization Report'!$A$4:$U$1800,14,FALSE)</f>
        <v>340100100002000</v>
      </c>
      <c r="AB1113" s="242" t="str">
        <f>VLOOKUP(H1113,'Fund Utilization Report'!$A$4:$U$1800,15,FALSE)</f>
        <v>Monitoring and Enforcement of FTL including consumer complaints handling</v>
      </c>
      <c r="AC1113" s="51"/>
      <c r="AD1113" s="435"/>
      <c r="AE1113" s="51"/>
      <c r="AF1113" s="51"/>
      <c r="AG1113" s="442"/>
      <c r="AH1113" s="442"/>
      <c r="AI1113" s="443"/>
    </row>
    <row r="1114" spans="1:35" s="32" customFormat="1" ht="27.6">
      <c r="A1114" s="434" t="s">
        <v>942</v>
      </c>
      <c r="B1114" s="457" t="s">
        <v>946</v>
      </c>
      <c r="C1114" s="233">
        <v>44265</v>
      </c>
      <c r="D1114" s="435" t="s">
        <v>1267</v>
      </c>
      <c r="E1114" s="436" t="s">
        <v>1401</v>
      </c>
      <c r="F1114" s="338">
        <v>0.44027777777777777</v>
      </c>
      <c r="G1114" s="338">
        <v>0.44375000000000003</v>
      </c>
      <c r="H1114" s="338" t="s">
        <v>973</v>
      </c>
      <c r="I1114" s="353">
        <v>734</v>
      </c>
      <c r="J1114" s="338" t="str">
        <f>IFERROR(VLOOKUP(I1114,'Chart of accounts'!A:H,2,FALSE),"")</f>
        <v>50103040 01</v>
      </c>
      <c r="K1114" s="338" t="str">
        <f>IFERROR(VLOOKUP(I1114,'Chart of accounts'!A:H,3,FALSE),"")</f>
        <v>ECIP - Civilian</v>
      </c>
      <c r="L1114" s="338" t="str">
        <f>IFERROR(VLOOKUP(I1114,'Chart of accounts'!A:H,4,FALSE),"")</f>
        <v>50103040 01 - ECIP - Civilian (734)</v>
      </c>
      <c r="M1114" s="361">
        <v>1</v>
      </c>
      <c r="N1114" s="355" t="s">
        <v>10</v>
      </c>
      <c r="O1114" s="355" t="s">
        <v>1384</v>
      </c>
      <c r="P1114" s="355"/>
      <c r="Q1114" s="363">
        <v>500</v>
      </c>
      <c r="R1114" s="428">
        <f t="shared" si="42"/>
        <v>-500</v>
      </c>
      <c r="S1114" s="239" t="str">
        <f>VLOOKUP(H1114,'Fund Utilization Report'!$A$4:$U$1800,13,FALSE)</f>
        <v>PS</v>
      </c>
      <c r="T1114" s="239" t="str">
        <f>VLOOKUP(H1114,'Fund Utilization Report'!$A$4:$U$1800,2,FALSE)</f>
        <v>GAA</v>
      </c>
      <c r="U1114" s="239" t="str">
        <f>VLOOKUP(H1114,'Fund Utilization Report'!$A$4:$U$1800,3,FALSE)</f>
        <v>FY2021, RA11518</v>
      </c>
      <c r="V1114" s="239" t="str">
        <f>VLOOKUP(H1114,'Fund Utilization Report'!$A$4:$U$1800,4,FALSE)</f>
        <v>OO4.1(FTL)</v>
      </c>
      <c r="W1114" s="239" t="str">
        <f>VLOOKUP(H1114,'Fund Utilization Report'!$A$4:$U$1800,5,FALSE)</f>
        <v>01101101</v>
      </c>
      <c r="X1114" s="239" t="str">
        <f>VLOOKUP(H1114,'Fund Utilization Report'!$A$4:$U$1800,6,FALSE)</f>
        <v>GOP</v>
      </c>
      <c r="Y1114" s="440" t="str">
        <f>VLOOKUP(H1114,'Fund Utilization Report'!$A$4:$U$1800,7,FALSE)</f>
        <v>PS</v>
      </c>
      <c r="Z1114" s="441">
        <f>VLOOKUP(H1114,'Fund Utilization Report'!$A$4:$U$1800,8,FALSE)</f>
        <v>5010000000</v>
      </c>
      <c r="AA1114" s="239" t="str">
        <f>VLOOKUP(H1114,'Fund Utilization Report'!$A$4:$U$1800,14,FALSE)</f>
        <v>340100100002000</v>
      </c>
      <c r="AB1114" s="242" t="str">
        <f>VLOOKUP(H1114,'Fund Utilization Report'!$A$4:$U$1800,15,FALSE)</f>
        <v>Monitoring and Enforcement of FTL including consumer complaints handling</v>
      </c>
      <c r="AC1114" s="51"/>
      <c r="AD1114" s="435"/>
      <c r="AE1114" s="51"/>
      <c r="AF1114" s="51"/>
      <c r="AG1114" s="442"/>
      <c r="AH1114" s="442"/>
      <c r="AI1114" s="443"/>
    </row>
    <row r="1115" spans="1:35" s="32" customFormat="1" ht="27.6">
      <c r="A1115" s="434" t="s">
        <v>942</v>
      </c>
      <c r="B1115" s="457" t="s">
        <v>946</v>
      </c>
      <c r="C1115" s="233">
        <v>44265</v>
      </c>
      <c r="D1115" s="435" t="s">
        <v>1267</v>
      </c>
      <c r="E1115" s="436" t="s">
        <v>1402</v>
      </c>
      <c r="F1115" s="338">
        <v>0.44375000000000003</v>
      </c>
      <c r="G1115" s="338">
        <v>0.44513888888888892</v>
      </c>
      <c r="H1115" s="338" t="s">
        <v>960</v>
      </c>
      <c r="I1115" s="353">
        <v>701</v>
      </c>
      <c r="J1115" s="338" t="str">
        <f>IFERROR(VLOOKUP(I1115,'Chart of accounts'!A:H,2,FALSE),"")</f>
        <v>50101010 01</v>
      </c>
      <c r="K1115" s="338" t="str">
        <f>IFERROR(VLOOKUP(I1115,'Chart of accounts'!A:H,3,FALSE),"")</f>
        <v>Basic Salary - Civilian</v>
      </c>
      <c r="L1115" s="338" t="str">
        <f>IFERROR(VLOOKUP(I1115,'Chart of accounts'!A:H,4,FALSE),"")</f>
        <v>50101010 01 - Basic Salary - Civilian (701)</v>
      </c>
      <c r="M1115" s="361">
        <v>68</v>
      </c>
      <c r="N1115" s="355" t="s">
        <v>764</v>
      </c>
      <c r="O1115" s="355" t="s">
        <v>1384</v>
      </c>
      <c r="P1115" s="355"/>
      <c r="Q1115" s="363">
        <v>99206</v>
      </c>
      <c r="R1115" s="428">
        <f t="shared" si="42"/>
        <v>-99206</v>
      </c>
      <c r="S1115" s="239" t="str">
        <f>VLOOKUP(H1115,'Fund Utilization Report'!$A$4:$U$1800,13,FALSE)</f>
        <v>PS</v>
      </c>
      <c r="T1115" s="239" t="str">
        <f>VLOOKUP(H1115,'Fund Utilization Report'!$A$4:$U$1800,2,FALSE)</f>
        <v>GAA</v>
      </c>
      <c r="U1115" s="239" t="str">
        <f>VLOOKUP(H1115,'Fund Utilization Report'!$A$4:$U$1800,3,FALSE)</f>
        <v>FY2021, RA11518</v>
      </c>
      <c r="V1115" s="239" t="str">
        <f>VLOOKUP(H1115,'Fund Utilization Report'!$A$4:$U$1800,4,FALSE)</f>
        <v>GAS(GMS)</v>
      </c>
      <c r="W1115" s="239" t="str">
        <f>VLOOKUP(H1115,'Fund Utilization Report'!$A$4:$U$1800,5,FALSE)</f>
        <v>01101101</v>
      </c>
      <c r="X1115" s="239" t="str">
        <f>VLOOKUP(H1115,'Fund Utilization Report'!$A$4:$U$1800,6,FALSE)</f>
        <v>GOP</v>
      </c>
      <c r="Y1115" s="440" t="str">
        <f>VLOOKUP(H1115,'Fund Utilization Report'!$A$4:$U$1800,7,FALSE)</f>
        <v>PS</v>
      </c>
      <c r="Z1115" s="441">
        <f>VLOOKUP(H1115,'Fund Utilization Report'!$A$4:$U$1800,8,FALSE)</f>
        <v>5010000000</v>
      </c>
      <c r="AA1115" s="239" t="str">
        <f>VLOOKUP(H1115,'Fund Utilization Report'!$A$4:$U$1800,14,FALSE)</f>
        <v>100000100001000</v>
      </c>
      <c r="AB1115" s="242" t="str">
        <f>VLOOKUP(H1115,'Fund Utilization Report'!$A$4:$U$1800,15,FALSE)</f>
        <v>General Administration and Supervision - General Management and Supervision</v>
      </c>
      <c r="AC1115" s="51"/>
      <c r="AD1115" s="435"/>
      <c r="AE1115" s="51"/>
      <c r="AF1115" s="51"/>
      <c r="AG1115" s="442"/>
      <c r="AH1115" s="442"/>
      <c r="AI1115" s="443"/>
    </row>
    <row r="1116" spans="1:35" s="32" customFormat="1" ht="27.6">
      <c r="A1116" s="434" t="s">
        <v>942</v>
      </c>
      <c r="B1116" s="457" t="s">
        <v>946</v>
      </c>
      <c r="C1116" s="233">
        <v>44265</v>
      </c>
      <c r="D1116" s="435" t="s">
        <v>1267</v>
      </c>
      <c r="E1116" s="436" t="s">
        <v>1402</v>
      </c>
      <c r="F1116" s="338">
        <v>0.44375000000000003</v>
      </c>
      <c r="G1116" s="338">
        <v>0.44513888888888892</v>
      </c>
      <c r="H1116" s="338" t="s">
        <v>960</v>
      </c>
      <c r="I1116" s="353">
        <v>711</v>
      </c>
      <c r="J1116" s="338" t="str">
        <f>IFERROR(VLOOKUP(I1116,'Chart of accounts'!A:H,2,FALSE),"")</f>
        <v>50102010 01</v>
      </c>
      <c r="K1116" s="338" t="str">
        <f>IFERROR(VLOOKUP(I1116,'Chart of accounts'!A:H,3,FALSE),"")</f>
        <v>PERA - Civilian</v>
      </c>
      <c r="L1116" s="338" t="str">
        <f>IFERROR(VLOOKUP(I1116,'Chart of accounts'!A:H,4,FALSE),"")</f>
        <v>50102010 01 - PERA - Civilian (711)</v>
      </c>
      <c r="M1116" s="361">
        <v>68</v>
      </c>
      <c r="N1116" s="355" t="s">
        <v>764</v>
      </c>
      <c r="O1116" s="355" t="s">
        <v>1384</v>
      </c>
      <c r="P1116" s="355"/>
      <c r="Q1116" s="363">
        <v>8000</v>
      </c>
      <c r="R1116" s="428">
        <f t="shared" ref="R1116:R1147" si="43">P1116-Q1116</f>
        <v>-8000</v>
      </c>
      <c r="S1116" s="239" t="str">
        <f>VLOOKUP(H1116,'Fund Utilization Report'!$A$4:$U$1800,13,FALSE)</f>
        <v>PS</v>
      </c>
      <c r="T1116" s="239" t="str">
        <f>VLOOKUP(H1116,'Fund Utilization Report'!$A$4:$U$1800,2,FALSE)</f>
        <v>GAA</v>
      </c>
      <c r="U1116" s="239" t="str">
        <f>VLOOKUP(H1116,'Fund Utilization Report'!$A$4:$U$1800,3,FALSE)</f>
        <v>FY2021, RA11518</v>
      </c>
      <c r="V1116" s="239" t="str">
        <f>VLOOKUP(H1116,'Fund Utilization Report'!$A$4:$U$1800,4,FALSE)</f>
        <v>GAS(GMS)</v>
      </c>
      <c r="W1116" s="239" t="str">
        <f>VLOOKUP(H1116,'Fund Utilization Report'!$A$4:$U$1800,5,FALSE)</f>
        <v>01101101</v>
      </c>
      <c r="X1116" s="239" t="str">
        <f>VLOOKUP(H1116,'Fund Utilization Report'!$A$4:$U$1800,6,FALSE)</f>
        <v>GOP</v>
      </c>
      <c r="Y1116" s="440" t="str">
        <f>VLOOKUP(H1116,'Fund Utilization Report'!$A$4:$U$1800,7,FALSE)</f>
        <v>PS</v>
      </c>
      <c r="Z1116" s="441">
        <f>VLOOKUP(H1116,'Fund Utilization Report'!$A$4:$U$1800,8,FALSE)</f>
        <v>5010000000</v>
      </c>
      <c r="AA1116" s="239" t="str">
        <f>VLOOKUP(H1116,'Fund Utilization Report'!$A$4:$U$1800,14,FALSE)</f>
        <v>100000100001000</v>
      </c>
      <c r="AB1116" s="242" t="str">
        <f>VLOOKUP(H1116,'Fund Utilization Report'!$A$4:$U$1800,15,FALSE)</f>
        <v>General Administration and Supervision - General Management and Supervision</v>
      </c>
      <c r="AC1116" s="51"/>
      <c r="AD1116" s="435"/>
      <c r="AE1116" s="51"/>
      <c r="AF1116" s="51"/>
      <c r="AG1116" s="442"/>
      <c r="AH1116" s="442"/>
      <c r="AI1116" s="443"/>
    </row>
    <row r="1117" spans="1:35" s="32" customFormat="1" ht="27.6">
      <c r="A1117" s="434" t="s">
        <v>942</v>
      </c>
      <c r="B1117" s="457" t="s">
        <v>946</v>
      </c>
      <c r="C1117" s="233">
        <v>44265</v>
      </c>
      <c r="D1117" s="435" t="s">
        <v>1267</v>
      </c>
      <c r="E1117" s="436" t="s">
        <v>1402</v>
      </c>
      <c r="F1117" s="338">
        <v>0.44375000000000003</v>
      </c>
      <c r="G1117" s="338">
        <v>0.44513888888888892</v>
      </c>
      <c r="H1117" s="338" t="s">
        <v>962</v>
      </c>
      <c r="I1117" s="353">
        <v>731</v>
      </c>
      <c r="J1117" s="338" t="str">
        <f>IFERROR(VLOOKUP(I1117,'Chart of accounts'!A:H,2,FALSE),"")</f>
        <v>50103010 00</v>
      </c>
      <c r="K1117" s="338" t="str">
        <f>IFERROR(VLOOKUP(I1117,'Chart of accounts'!A:H,3,FALSE),"")</f>
        <v>Retirement and Life Insurance Premiums</v>
      </c>
      <c r="L1117" s="338" t="str">
        <f>IFERROR(VLOOKUP(I1117,'Chart of accounts'!A:H,4,FALSE),"")</f>
        <v>50103010 00 - Retirement and Life Insurance Premiums (731)</v>
      </c>
      <c r="M1117" s="361">
        <v>68</v>
      </c>
      <c r="N1117" s="355" t="s">
        <v>764</v>
      </c>
      <c r="O1117" s="355" t="s">
        <v>1384</v>
      </c>
      <c r="P1117" s="355"/>
      <c r="Q1117" s="363">
        <v>11904.72</v>
      </c>
      <c r="R1117" s="428">
        <f t="shared" si="43"/>
        <v>-11904.72</v>
      </c>
      <c r="S1117" s="239" t="str">
        <f>VLOOKUP(H1117,'Fund Utilization Report'!$A$4:$U$1800,13,FALSE)</f>
        <v>PS</v>
      </c>
      <c r="T1117" s="239" t="str">
        <f>VLOOKUP(H1117,'Fund Utilization Report'!$A$4:$U$1800,2,FALSE)</f>
        <v>GAA</v>
      </c>
      <c r="U1117" s="239" t="str">
        <f>VLOOKUP(H1117,'Fund Utilization Report'!$A$4:$U$1800,3,FALSE)</f>
        <v>FY2021, RA11518</v>
      </c>
      <c r="V1117" s="239" t="str">
        <f>VLOOKUP(H1117,'Fund Utilization Report'!$A$4:$U$1800,4,FALSE)</f>
        <v>GAS(GMS)</v>
      </c>
      <c r="W1117" s="239" t="str">
        <f>VLOOKUP(H1117,'Fund Utilization Report'!$A$4:$U$1800,5,FALSE)</f>
        <v>01101101</v>
      </c>
      <c r="X1117" s="239" t="str">
        <f>VLOOKUP(H1117,'Fund Utilization Report'!$A$4:$U$1800,6,FALSE)</f>
        <v>GOP</v>
      </c>
      <c r="Y1117" s="440" t="str">
        <f>VLOOKUP(H1117,'Fund Utilization Report'!$A$4:$U$1800,7,FALSE)</f>
        <v>RLIP</v>
      </c>
      <c r="Z1117" s="441" t="str">
        <f>VLOOKUP(H1117,'Fund Utilization Report'!$A$4:$U$1800,8,FALSE)</f>
        <v>50103010-00</v>
      </c>
      <c r="AA1117" s="239" t="str">
        <f>VLOOKUP(H1117,'Fund Utilization Report'!$A$4:$U$1800,14,FALSE)</f>
        <v>100000100001000</v>
      </c>
      <c r="AB1117" s="242" t="str">
        <f>VLOOKUP(H1117,'Fund Utilization Report'!$A$4:$U$1800,15,FALSE)</f>
        <v>General Administration and Supervision - General Management and Supervision</v>
      </c>
      <c r="AC1117" s="51"/>
      <c r="AD1117" s="435"/>
      <c r="AE1117" s="51"/>
      <c r="AF1117" s="51"/>
      <c r="AG1117" s="442"/>
      <c r="AH1117" s="442"/>
      <c r="AI1117" s="443"/>
    </row>
    <row r="1118" spans="1:35" s="32" customFormat="1" ht="27.6">
      <c r="A1118" s="434" t="s">
        <v>942</v>
      </c>
      <c r="B1118" s="457" t="s">
        <v>946</v>
      </c>
      <c r="C1118" s="233">
        <v>44265</v>
      </c>
      <c r="D1118" s="435" t="s">
        <v>1267</v>
      </c>
      <c r="E1118" s="436" t="s">
        <v>1402</v>
      </c>
      <c r="F1118" s="338">
        <v>0.44375000000000003</v>
      </c>
      <c r="G1118" s="338">
        <v>0.44513888888888892</v>
      </c>
      <c r="H1118" s="338" t="s">
        <v>960</v>
      </c>
      <c r="I1118" s="353">
        <v>732</v>
      </c>
      <c r="J1118" s="338" t="str">
        <f>IFERROR(VLOOKUP(I1118,'Chart of accounts'!A:H,2,FALSE),"")</f>
        <v>50103020 01</v>
      </c>
      <c r="K1118" s="338" t="str">
        <f>IFERROR(VLOOKUP(I1118,'Chart of accounts'!A:H,3,FALSE),"")</f>
        <v>Pag-IBIG - Civilian</v>
      </c>
      <c r="L1118" s="338" t="str">
        <f>IFERROR(VLOOKUP(I1118,'Chart of accounts'!A:H,4,FALSE),"")</f>
        <v>50103020 01 - Pag-IBIG - Civilian (732)</v>
      </c>
      <c r="M1118" s="361">
        <v>68</v>
      </c>
      <c r="N1118" s="355" t="s">
        <v>764</v>
      </c>
      <c r="O1118" s="355" t="s">
        <v>1384</v>
      </c>
      <c r="P1118" s="355"/>
      <c r="Q1118" s="363">
        <v>400</v>
      </c>
      <c r="R1118" s="428">
        <f t="shared" si="43"/>
        <v>-400</v>
      </c>
      <c r="S1118" s="239" t="str">
        <f>VLOOKUP(H1118,'Fund Utilization Report'!$A$4:$U$1800,13,FALSE)</f>
        <v>PS</v>
      </c>
      <c r="T1118" s="239" t="str">
        <f>VLOOKUP(H1118,'Fund Utilization Report'!$A$4:$U$1800,2,FALSE)</f>
        <v>GAA</v>
      </c>
      <c r="U1118" s="239" t="str">
        <f>VLOOKUP(H1118,'Fund Utilization Report'!$A$4:$U$1800,3,FALSE)</f>
        <v>FY2021, RA11518</v>
      </c>
      <c r="V1118" s="239" t="str">
        <f>VLOOKUP(H1118,'Fund Utilization Report'!$A$4:$U$1800,4,FALSE)</f>
        <v>GAS(GMS)</v>
      </c>
      <c r="W1118" s="239" t="str">
        <f>VLOOKUP(H1118,'Fund Utilization Report'!$A$4:$U$1800,5,FALSE)</f>
        <v>01101101</v>
      </c>
      <c r="X1118" s="239" t="str">
        <f>VLOOKUP(H1118,'Fund Utilization Report'!$A$4:$U$1800,6,FALSE)</f>
        <v>GOP</v>
      </c>
      <c r="Y1118" s="440" t="str">
        <f>VLOOKUP(H1118,'Fund Utilization Report'!$A$4:$U$1800,7,FALSE)</f>
        <v>PS</v>
      </c>
      <c r="Z1118" s="441">
        <f>VLOOKUP(H1118,'Fund Utilization Report'!$A$4:$U$1800,8,FALSE)</f>
        <v>5010000000</v>
      </c>
      <c r="AA1118" s="239" t="str">
        <f>VLOOKUP(H1118,'Fund Utilization Report'!$A$4:$U$1800,14,FALSE)</f>
        <v>100000100001000</v>
      </c>
      <c r="AB1118" s="242" t="str">
        <f>VLOOKUP(H1118,'Fund Utilization Report'!$A$4:$U$1800,15,FALSE)</f>
        <v>General Administration and Supervision - General Management and Supervision</v>
      </c>
      <c r="AC1118" s="51"/>
      <c r="AD1118" s="435"/>
      <c r="AE1118" s="51"/>
      <c r="AF1118" s="51"/>
      <c r="AG1118" s="442"/>
      <c r="AH1118" s="442"/>
      <c r="AI1118" s="443"/>
    </row>
    <row r="1119" spans="1:35" s="32" customFormat="1" ht="27.6">
      <c r="A1119" s="434" t="s">
        <v>942</v>
      </c>
      <c r="B1119" s="457" t="s">
        <v>946</v>
      </c>
      <c r="C1119" s="233">
        <v>44265</v>
      </c>
      <c r="D1119" s="435" t="s">
        <v>1267</v>
      </c>
      <c r="E1119" s="436" t="s">
        <v>1402</v>
      </c>
      <c r="F1119" s="338">
        <v>0.44375000000000003</v>
      </c>
      <c r="G1119" s="338">
        <v>0.44513888888888892</v>
      </c>
      <c r="H1119" s="338" t="s">
        <v>960</v>
      </c>
      <c r="I1119" s="353">
        <v>733</v>
      </c>
      <c r="J1119" s="338" t="str">
        <f>IFERROR(VLOOKUP(I1119,'Chart of accounts'!A:H,2,FALSE),"")</f>
        <v>50103030 01</v>
      </c>
      <c r="K1119" s="338" t="str">
        <f>IFERROR(VLOOKUP(I1119,'Chart of accounts'!A:H,3,FALSE),"")</f>
        <v>PhilHealth - Civilian</v>
      </c>
      <c r="L1119" s="338" t="str">
        <f>IFERROR(VLOOKUP(I1119,'Chart of accounts'!A:H,4,FALSE),"")</f>
        <v>50103030 01 - PhilHealth - Civilian (733)</v>
      </c>
      <c r="M1119" s="361">
        <v>68</v>
      </c>
      <c r="N1119" s="355" t="s">
        <v>764</v>
      </c>
      <c r="O1119" s="355" t="s">
        <v>1384</v>
      </c>
      <c r="P1119" s="355"/>
      <c r="Q1119" s="363">
        <v>1488.1</v>
      </c>
      <c r="R1119" s="428">
        <f t="shared" si="43"/>
        <v>-1488.1</v>
      </c>
      <c r="S1119" s="239" t="str">
        <f>VLOOKUP(H1119,'Fund Utilization Report'!$A$4:$U$1800,13,FALSE)</f>
        <v>PS</v>
      </c>
      <c r="T1119" s="239" t="str">
        <f>VLOOKUP(H1119,'Fund Utilization Report'!$A$4:$U$1800,2,FALSE)</f>
        <v>GAA</v>
      </c>
      <c r="U1119" s="239" t="str">
        <f>VLOOKUP(H1119,'Fund Utilization Report'!$A$4:$U$1800,3,FALSE)</f>
        <v>FY2021, RA11518</v>
      </c>
      <c r="V1119" s="239" t="str">
        <f>VLOOKUP(H1119,'Fund Utilization Report'!$A$4:$U$1800,4,FALSE)</f>
        <v>GAS(GMS)</v>
      </c>
      <c r="W1119" s="239" t="str">
        <f>VLOOKUP(H1119,'Fund Utilization Report'!$A$4:$U$1800,5,FALSE)</f>
        <v>01101101</v>
      </c>
      <c r="X1119" s="239" t="str">
        <f>VLOOKUP(H1119,'Fund Utilization Report'!$A$4:$U$1800,6,FALSE)</f>
        <v>GOP</v>
      </c>
      <c r="Y1119" s="440" t="str">
        <f>VLOOKUP(H1119,'Fund Utilization Report'!$A$4:$U$1800,7,FALSE)</f>
        <v>PS</v>
      </c>
      <c r="Z1119" s="441">
        <f>VLOOKUP(H1119,'Fund Utilization Report'!$A$4:$U$1800,8,FALSE)</f>
        <v>5010000000</v>
      </c>
      <c r="AA1119" s="239" t="str">
        <f>VLOOKUP(H1119,'Fund Utilization Report'!$A$4:$U$1800,14,FALSE)</f>
        <v>100000100001000</v>
      </c>
      <c r="AB1119" s="242" t="str">
        <f>VLOOKUP(H1119,'Fund Utilization Report'!$A$4:$U$1800,15,FALSE)</f>
        <v>General Administration and Supervision - General Management and Supervision</v>
      </c>
      <c r="AC1119" s="51"/>
      <c r="AD1119" s="435"/>
      <c r="AE1119" s="51"/>
      <c r="AF1119" s="51"/>
      <c r="AG1119" s="442"/>
      <c r="AH1119" s="442"/>
      <c r="AI1119" s="443"/>
    </row>
    <row r="1120" spans="1:35" s="32" customFormat="1" ht="27.6">
      <c r="A1120" s="434" t="s">
        <v>942</v>
      </c>
      <c r="B1120" s="457" t="s">
        <v>946</v>
      </c>
      <c r="C1120" s="233">
        <v>44265</v>
      </c>
      <c r="D1120" s="435" t="s">
        <v>1267</v>
      </c>
      <c r="E1120" s="436" t="s">
        <v>1402</v>
      </c>
      <c r="F1120" s="338">
        <v>0.44375000000000003</v>
      </c>
      <c r="G1120" s="338">
        <v>0.44513888888888892</v>
      </c>
      <c r="H1120" s="338" t="s">
        <v>960</v>
      </c>
      <c r="I1120" s="353">
        <v>734</v>
      </c>
      <c r="J1120" s="338" t="str">
        <f>IFERROR(VLOOKUP(I1120,'Chart of accounts'!A:H,2,FALSE),"")</f>
        <v>50103040 01</v>
      </c>
      <c r="K1120" s="338" t="str">
        <f>IFERROR(VLOOKUP(I1120,'Chart of accounts'!A:H,3,FALSE),"")</f>
        <v>ECIP - Civilian</v>
      </c>
      <c r="L1120" s="338" t="str">
        <f>IFERROR(VLOOKUP(I1120,'Chart of accounts'!A:H,4,FALSE),"")</f>
        <v>50103040 01 - ECIP - Civilian (734)</v>
      </c>
      <c r="M1120" s="361">
        <v>68</v>
      </c>
      <c r="N1120" s="355" t="s">
        <v>764</v>
      </c>
      <c r="O1120" s="355" t="s">
        <v>1384</v>
      </c>
      <c r="P1120" s="355"/>
      <c r="Q1120" s="363">
        <v>400</v>
      </c>
      <c r="R1120" s="428">
        <f t="shared" si="43"/>
        <v>-400</v>
      </c>
      <c r="S1120" s="239" t="str">
        <f>VLOOKUP(H1120,'Fund Utilization Report'!$A$4:$U$1800,13,FALSE)</f>
        <v>PS</v>
      </c>
      <c r="T1120" s="239" t="str">
        <f>VLOOKUP(H1120,'Fund Utilization Report'!$A$4:$U$1800,2,FALSE)</f>
        <v>GAA</v>
      </c>
      <c r="U1120" s="239" t="str">
        <f>VLOOKUP(H1120,'Fund Utilization Report'!$A$4:$U$1800,3,FALSE)</f>
        <v>FY2021, RA11518</v>
      </c>
      <c r="V1120" s="239" t="str">
        <f>VLOOKUP(H1120,'Fund Utilization Report'!$A$4:$U$1800,4,FALSE)</f>
        <v>GAS(GMS)</v>
      </c>
      <c r="W1120" s="239" t="str">
        <f>VLOOKUP(H1120,'Fund Utilization Report'!$A$4:$U$1800,5,FALSE)</f>
        <v>01101101</v>
      </c>
      <c r="X1120" s="239" t="str">
        <f>VLOOKUP(H1120,'Fund Utilization Report'!$A$4:$U$1800,6,FALSE)</f>
        <v>GOP</v>
      </c>
      <c r="Y1120" s="440" t="str">
        <f>VLOOKUP(H1120,'Fund Utilization Report'!$A$4:$U$1800,7,FALSE)</f>
        <v>PS</v>
      </c>
      <c r="Z1120" s="441">
        <f>VLOOKUP(H1120,'Fund Utilization Report'!$A$4:$U$1800,8,FALSE)</f>
        <v>5010000000</v>
      </c>
      <c r="AA1120" s="239" t="str">
        <f>VLOOKUP(H1120,'Fund Utilization Report'!$A$4:$U$1800,14,FALSE)</f>
        <v>100000100001000</v>
      </c>
      <c r="AB1120" s="242" t="str">
        <f>VLOOKUP(H1120,'Fund Utilization Report'!$A$4:$U$1800,15,FALSE)</f>
        <v>General Administration and Supervision - General Management and Supervision</v>
      </c>
      <c r="AC1120" s="51"/>
      <c r="AD1120" s="435"/>
      <c r="AE1120" s="51"/>
      <c r="AF1120" s="51"/>
      <c r="AG1120" s="442"/>
      <c r="AH1120" s="442"/>
      <c r="AI1120" s="443"/>
    </row>
    <row r="1121" spans="1:35" s="32" customFormat="1" ht="27.6">
      <c r="A1121" s="434" t="s">
        <v>942</v>
      </c>
      <c r="B1121" s="457" t="s">
        <v>946</v>
      </c>
      <c r="C1121" s="233">
        <v>44265</v>
      </c>
      <c r="D1121" s="435" t="s">
        <v>1267</v>
      </c>
      <c r="E1121" s="436" t="s">
        <v>1402</v>
      </c>
      <c r="F1121" s="338">
        <v>0.44375000000000003</v>
      </c>
      <c r="G1121" s="338">
        <v>0.44513888888888892</v>
      </c>
      <c r="H1121" s="338" t="s">
        <v>964</v>
      </c>
      <c r="I1121" s="353">
        <v>701</v>
      </c>
      <c r="J1121" s="338" t="str">
        <f>IFERROR(VLOOKUP(I1121,'Chart of accounts'!A:H,2,FALSE),"")</f>
        <v>50101010 01</v>
      </c>
      <c r="K1121" s="338" t="str">
        <f>IFERROR(VLOOKUP(I1121,'Chart of accounts'!A:H,3,FALSE),"")</f>
        <v>Basic Salary - Civilian</v>
      </c>
      <c r="L1121" s="338" t="str">
        <f>IFERROR(VLOOKUP(I1121,'Chart of accounts'!A:H,4,FALSE),"")</f>
        <v>50101010 01 - Basic Salary - Civilian (701)</v>
      </c>
      <c r="M1121" s="361">
        <v>68</v>
      </c>
      <c r="N1121" s="355" t="s">
        <v>764</v>
      </c>
      <c r="O1121" s="355" t="s">
        <v>1384</v>
      </c>
      <c r="P1121" s="355"/>
      <c r="Q1121" s="363">
        <v>44184</v>
      </c>
      <c r="R1121" s="428">
        <f t="shared" si="43"/>
        <v>-44184</v>
      </c>
      <c r="S1121" s="239" t="str">
        <f>VLOOKUP(H1121,'Fund Utilization Report'!$A$4:$U$1800,13,FALSE)</f>
        <v>PS</v>
      </c>
      <c r="T1121" s="239" t="str">
        <f>VLOOKUP(H1121,'Fund Utilization Report'!$A$4:$U$1800,2,FALSE)</f>
        <v>GAA</v>
      </c>
      <c r="U1121" s="239" t="str">
        <f>VLOOKUP(H1121,'Fund Utilization Report'!$A$4:$U$1800,3,FALSE)</f>
        <v>FY2021, RA11518</v>
      </c>
      <c r="V1121" s="239" t="str">
        <f>VLOOKUP(H1121,'Fund Utilization Report'!$A$4:$U$1800,4,FALSE)</f>
        <v>OO1</v>
      </c>
      <c r="W1121" s="239" t="str">
        <f>VLOOKUP(H1121,'Fund Utilization Report'!$A$4:$U$1800,5,FALSE)</f>
        <v>01101101</v>
      </c>
      <c r="X1121" s="239" t="str">
        <f>VLOOKUP(H1121,'Fund Utilization Report'!$A$4:$U$1800,6,FALSE)</f>
        <v>GOP</v>
      </c>
      <c r="Y1121" s="440" t="str">
        <f>VLOOKUP(H1121,'Fund Utilization Report'!$A$4:$U$1800,7,FALSE)</f>
        <v>PS</v>
      </c>
      <c r="Z1121" s="441">
        <f>VLOOKUP(H1121,'Fund Utilization Report'!$A$4:$U$1800,8,FALSE)</f>
        <v>5010000000</v>
      </c>
      <c r="AA1121" s="239" t="str">
        <f>VLOOKUP(H1121,'Fund Utilization Report'!$A$4:$U$1800,14,FALSE)</f>
        <v>310100100002000</v>
      </c>
      <c r="AB1121" s="242" t="str">
        <f>VLOOKUP(H1121,'Fund Utilization Report'!$A$4:$U$1800,15,FALSE)</f>
        <v>Development,Facilitation, and promotion of exports and investment, domestic and foreign</v>
      </c>
      <c r="AC1121" s="51"/>
      <c r="AD1121" s="435"/>
      <c r="AE1121" s="51"/>
      <c r="AF1121" s="51"/>
      <c r="AG1121" s="442"/>
      <c r="AH1121" s="442"/>
      <c r="AI1121" s="443"/>
    </row>
    <row r="1122" spans="1:35" s="32" customFormat="1" ht="27.6">
      <c r="A1122" s="434" t="s">
        <v>942</v>
      </c>
      <c r="B1122" s="457" t="s">
        <v>946</v>
      </c>
      <c r="C1122" s="233">
        <v>44265</v>
      </c>
      <c r="D1122" s="435" t="s">
        <v>1267</v>
      </c>
      <c r="E1122" s="436" t="s">
        <v>1402</v>
      </c>
      <c r="F1122" s="338">
        <v>0.44375000000000003</v>
      </c>
      <c r="G1122" s="338">
        <v>0.44513888888888892</v>
      </c>
      <c r="H1122" s="338" t="s">
        <v>964</v>
      </c>
      <c r="I1122" s="353">
        <v>711</v>
      </c>
      <c r="J1122" s="338" t="str">
        <f>IFERROR(VLOOKUP(I1122,'Chart of accounts'!A:H,2,FALSE),"")</f>
        <v>50102010 01</v>
      </c>
      <c r="K1122" s="338" t="str">
        <f>IFERROR(VLOOKUP(I1122,'Chart of accounts'!A:H,3,FALSE),"")</f>
        <v>PERA - Civilian</v>
      </c>
      <c r="L1122" s="338" t="str">
        <f>IFERROR(VLOOKUP(I1122,'Chart of accounts'!A:H,4,FALSE),"")</f>
        <v>50102010 01 - PERA - Civilian (711)</v>
      </c>
      <c r="M1122" s="361">
        <v>68</v>
      </c>
      <c r="N1122" s="355" t="s">
        <v>764</v>
      </c>
      <c r="O1122" s="355" t="s">
        <v>1384</v>
      </c>
      <c r="P1122" s="355"/>
      <c r="Q1122" s="363">
        <v>2000</v>
      </c>
      <c r="R1122" s="428">
        <f t="shared" si="43"/>
        <v>-2000</v>
      </c>
      <c r="S1122" s="239" t="str">
        <f>VLOOKUP(H1122,'Fund Utilization Report'!$A$4:$U$1800,13,FALSE)</f>
        <v>PS</v>
      </c>
      <c r="T1122" s="239" t="str">
        <f>VLOOKUP(H1122,'Fund Utilization Report'!$A$4:$U$1800,2,FALSE)</f>
        <v>GAA</v>
      </c>
      <c r="U1122" s="239" t="str">
        <f>VLOOKUP(H1122,'Fund Utilization Report'!$A$4:$U$1800,3,FALSE)</f>
        <v>FY2021, RA11518</v>
      </c>
      <c r="V1122" s="239" t="str">
        <f>VLOOKUP(H1122,'Fund Utilization Report'!$A$4:$U$1800,4,FALSE)</f>
        <v>OO1</v>
      </c>
      <c r="W1122" s="239" t="str">
        <f>VLOOKUP(H1122,'Fund Utilization Report'!$A$4:$U$1800,5,FALSE)</f>
        <v>01101101</v>
      </c>
      <c r="X1122" s="239" t="str">
        <f>VLOOKUP(H1122,'Fund Utilization Report'!$A$4:$U$1800,6,FALSE)</f>
        <v>GOP</v>
      </c>
      <c r="Y1122" s="440" t="str">
        <f>VLOOKUP(H1122,'Fund Utilization Report'!$A$4:$U$1800,7,FALSE)</f>
        <v>PS</v>
      </c>
      <c r="Z1122" s="441">
        <f>VLOOKUP(H1122,'Fund Utilization Report'!$A$4:$U$1800,8,FALSE)</f>
        <v>5010000000</v>
      </c>
      <c r="AA1122" s="239" t="str">
        <f>VLOOKUP(H1122,'Fund Utilization Report'!$A$4:$U$1800,14,FALSE)</f>
        <v>310100100002000</v>
      </c>
      <c r="AB1122" s="242" t="str">
        <f>VLOOKUP(H1122,'Fund Utilization Report'!$A$4:$U$1800,15,FALSE)</f>
        <v>Development,Facilitation, and promotion of exports and investment, domestic and foreign</v>
      </c>
      <c r="AC1122" s="51"/>
      <c r="AD1122" s="435"/>
      <c r="AE1122" s="51"/>
      <c r="AF1122" s="51"/>
      <c r="AG1122" s="442"/>
      <c r="AH1122" s="442"/>
      <c r="AI1122" s="443"/>
    </row>
    <row r="1123" spans="1:35" s="32" customFormat="1" ht="27.6">
      <c r="A1123" s="434" t="s">
        <v>942</v>
      </c>
      <c r="B1123" s="457" t="s">
        <v>946</v>
      </c>
      <c r="C1123" s="233">
        <v>44265</v>
      </c>
      <c r="D1123" s="435" t="s">
        <v>1267</v>
      </c>
      <c r="E1123" s="436" t="s">
        <v>1402</v>
      </c>
      <c r="F1123" s="338">
        <v>0.44375000000000003</v>
      </c>
      <c r="G1123" s="338">
        <v>0.44513888888888892</v>
      </c>
      <c r="H1123" s="338" t="s">
        <v>966</v>
      </c>
      <c r="I1123" s="353">
        <v>731</v>
      </c>
      <c r="J1123" s="338" t="str">
        <f>IFERROR(VLOOKUP(I1123,'Chart of accounts'!A:H,2,FALSE),"")</f>
        <v>50103010 00</v>
      </c>
      <c r="K1123" s="338" t="str">
        <f>IFERROR(VLOOKUP(I1123,'Chart of accounts'!A:H,3,FALSE),"")</f>
        <v>Retirement and Life Insurance Premiums</v>
      </c>
      <c r="L1123" s="338" t="str">
        <f>IFERROR(VLOOKUP(I1123,'Chart of accounts'!A:H,4,FALSE),"")</f>
        <v>50103010 00 - Retirement and Life Insurance Premiums (731)</v>
      </c>
      <c r="M1123" s="361">
        <v>68</v>
      </c>
      <c r="N1123" s="355" t="s">
        <v>764</v>
      </c>
      <c r="O1123" s="355" t="s">
        <v>1384</v>
      </c>
      <c r="P1123" s="355"/>
      <c r="Q1123" s="363">
        <v>5302.08</v>
      </c>
      <c r="R1123" s="428">
        <f t="shared" si="43"/>
        <v>-5302.08</v>
      </c>
      <c r="S1123" s="239" t="str">
        <f>VLOOKUP(H1123,'Fund Utilization Report'!$A$4:$U$1800,13,FALSE)</f>
        <v>PS</v>
      </c>
      <c r="T1123" s="239" t="str">
        <f>VLOOKUP(H1123,'Fund Utilization Report'!$A$4:$U$1800,2,FALSE)</f>
        <v>GAA</v>
      </c>
      <c r="U1123" s="239" t="str">
        <f>VLOOKUP(H1123,'Fund Utilization Report'!$A$4:$U$1800,3,FALSE)</f>
        <v>FY2021, RA11518</v>
      </c>
      <c r="V1123" s="239" t="str">
        <f>VLOOKUP(H1123,'Fund Utilization Report'!$A$4:$U$1800,4,FALSE)</f>
        <v>OO1</v>
      </c>
      <c r="W1123" s="239" t="str">
        <f>VLOOKUP(H1123,'Fund Utilization Report'!$A$4:$U$1800,5,FALSE)</f>
        <v>01101101</v>
      </c>
      <c r="X1123" s="239" t="str">
        <f>VLOOKUP(H1123,'Fund Utilization Report'!$A$4:$U$1800,6,FALSE)</f>
        <v>GOP</v>
      </c>
      <c r="Y1123" s="440" t="str">
        <f>VLOOKUP(H1123,'Fund Utilization Report'!$A$4:$U$1800,7,FALSE)</f>
        <v>RLIP</v>
      </c>
      <c r="Z1123" s="441" t="str">
        <f>VLOOKUP(H1123,'Fund Utilization Report'!$A$4:$U$1800,8,FALSE)</f>
        <v>50103010-00</v>
      </c>
      <c r="AA1123" s="239" t="str">
        <f>VLOOKUP(H1123,'Fund Utilization Report'!$A$4:$U$1800,14,FALSE)</f>
        <v>310100100002000</v>
      </c>
      <c r="AB1123" s="242" t="str">
        <f>VLOOKUP(H1123,'Fund Utilization Report'!$A$4:$U$1800,15,FALSE)</f>
        <v>Development,Facilitation, and promotion of exports and investment, domestic and foreign</v>
      </c>
      <c r="AC1123" s="51"/>
      <c r="AD1123" s="435"/>
      <c r="AE1123" s="51"/>
      <c r="AF1123" s="51"/>
      <c r="AG1123" s="442"/>
      <c r="AH1123" s="442"/>
      <c r="AI1123" s="443"/>
    </row>
    <row r="1124" spans="1:35" s="32" customFormat="1" ht="27.6">
      <c r="A1124" s="434" t="s">
        <v>942</v>
      </c>
      <c r="B1124" s="457" t="s">
        <v>946</v>
      </c>
      <c r="C1124" s="233">
        <v>44265</v>
      </c>
      <c r="D1124" s="435" t="s">
        <v>1267</v>
      </c>
      <c r="E1124" s="436" t="s">
        <v>1402</v>
      </c>
      <c r="F1124" s="338">
        <v>0.44375000000000003</v>
      </c>
      <c r="G1124" s="338">
        <v>0.44513888888888892</v>
      </c>
      <c r="H1124" s="338" t="s">
        <v>964</v>
      </c>
      <c r="I1124" s="353">
        <v>732</v>
      </c>
      <c r="J1124" s="338" t="str">
        <f>IFERROR(VLOOKUP(I1124,'Chart of accounts'!A:H,2,FALSE),"")</f>
        <v>50103020 01</v>
      </c>
      <c r="K1124" s="338" t="str">
        <f>IFERROR(VLOOKUP(I1124,'Chart of accounts'!A:H,3,FALSE),"")</f>
        <v>Pag-IBIG - Civilian</v>
      </c>
      <c r="L1124" s="338" t="str">
        <f>IFERROR(VLOOKUP(I1124,'Chart of accounts'!A:H,4,FALSE),"")</f>
        <v>50103020 01 - Pag-IBIG - Civilian (732)</v>
      </c>
      <c r="M1124" s="361">
        <v>68</v>
      </c>
      <c r="N1124" s="355" t="s">
        <v>764</v>
      </c>
      <c r="O1124" s="355" t="s">
        <v>1384</v>
      </c>
      <c r="P1124" s="355"/>
      <c r="Q1124" s="363">
        <v>100</v>
      </c>
      <c r="R1124" s="319">
        <f t="shared" si="43"/>
        <v>-100</v>
      </c>
      <c r="S1124" s="239" t="str">
        <f>VLOOKUP(H1124,'Fund Utilization Report'!$A$4:$U$1800,13,FALSE)</f>
        <v>PS</v>
      </c>
      <c r="T1124" s="239" t="str">
        <f>VLOOKUP(H1124,'Fund Utilization Report'!$A$4:$U$1800,2,FALSE)</f>
        <v>GAA</v>
      </c>
      <c r="U1124" s="239" t="str">
        <f>VLOOKUP(H1124,'Fund Utilization Report'!$A$4:$U$1800,3,FALSE)</f>
        <v>FY2021, RA11518</v>
      </c>
      <c r="V1124" s="239" t="str">
        <f>VLOOKUP(H1124,'Fund Utilization Report'!$A$4:$U$1800,4,FALSE)</f>
        <v>OO1</v>
      </c>
      <c r="W1124" s="239" t="str">
        <f>VLOOKUP(H1124,'Fund Utilization Report'!$A$4:$U$1800,5,FALSE)</f>
        <v>01101101</v>
      </c>
      <c r="X1124" s="239" t="str">
        <f>VLOOKUP(H1124,'Fund Utilization Report'!$A$4:$U$1800,6,FALSE)</f>
        <v>GOP</v>
      </c>
      <c r="Y1124" s="440" t="str">
        <f>VLOOKUP(H1124,'Fund Utilization Report'!$A$4:$U$1800,7,FALSE)</f>
        <v>PS</v>
      </c>
      <c r="Z1124" s="441">
        <f>VLOOKUP(H1124,'Fund Utilization Report'!$A$4:$U$1800,8,FALSE)</f>
        <v>5010000000</v>
      </c>
      <c r="AA1124" s="239" t="str">
        <f>VLOOKUP(H1124,'Fund Utilization Report'!$A$4:$U$1800,14,FALSE)</f>
        <v>310100100002000</v>
      </c>
      <c r="AB1124" s="242" t="str">
        <f>VLOOKUP(H1124,'Fund Utilization Report'!$A$4:$U$1800,15,FALSE)</f>
        <v>Development,Facilitation, and promotion of exports and investment, domestic and foreign</v>
      </c>
      <c r="AC1124" s="51"/>
      <c r="AD1124" s="435"/>
      <c r="AE1124" s="51"/>
      <c r="AF1124" s="51"/>
      <c r="AG1124" s="442"/>
      <c r="AH1124" s="442"/>
      <c r="AI1124" s="443"/>
    </row>
    <row r="1125" spans="1:35" s="32" customFormat="1" ht="27.6">
      <c r="A1125" s="434" t="s">
        <v>942</v>
      </c>
      <c r="B1125" s="457" t="s">
        <v>946</v>
      </c>
      <c r="C1125" s="233">
        <v>44265</v>
      </c>
      <c r="D1125" s="435" t="s">
        <v>1267</v>
      </c>
      <c r="E1125" s="436" t="s">
        <v>1402</v>
      </c>
      <c r="F1125" s="338">
        <v>0.44375000000000003</v>
      </c>
      <c r="G1125" s="338">
        <v>0.44513888888888892</v>
      </c>
      <c r="H1125" s="338" t="s">
        <v>964</v>
      </c>
      <c r="I1125" s="353">
        <v>733</v>
      </c>
      <c r="J1125" s="338" t="str">
        <f>IFERROR(VLOOKUP(I1125,'Chart of accounts'!A:H,2,FALSE),"")</f>
        <v>50103030 01</v>
      </c>
      <c r="K1125" s="338" t="str">
        <f>IFERROR(VLOOKUP(I1125,'Chart of accounts'!A:H,3,FALSE),"")</f>
        <v>PhilHealth - Civilian</v>
      </c>
      <c r="L1125" s="338" t="str">
        <f>IFERROR(VLOOKUP(I1125,'Chart of accounts'!A:H,4,FALSE),"")</f>
        <v>50103030 01 - PhilHealth - Civilian (733)</v>
      </c>
      <c r="M1125" s="361">
        <v>68</v>
      </c>
      <c r="N1125" s="355" t="s">
        <v>764</v>
      </c>
      <c r="O1125" s="355" t="s">
        <v>1384</v>
      </c>
      <c r="P1125" s="355"/>
      <c r="Q1125" s="363">
        <v>662.76</v>
      </c>
      <c r="R1125" s="319">
        <f t="shared" si="43"/>
        <v>-662.76</v>
      </c>
      <c r="S1125" s="239" t="str">
        <f>VLOOKUP(H1125,'Fund Utilization Report'!$A$4:$U$1800,13,FALSE)</f>
        <v>PS</v>
      </c>
      <c r="T1125" s="239" t="str">
        <f>VLOOKUP(H1125,'Fund Utilization Report'!$A$4:$U$1800,2,FALSE)</f>
        <v>GAA</v>
      </c>
      <c r="U1125" s="239" t="str">
        <f>VLOOKUP(H1125,'Fund Utilization Report'!$A$4:$U$1800,3,FALSE)</f>
        <v>FY2021, RA11518</v>
      </c>
      <c r="V1125" s="239" t="str">
        <f>VLOOKUP(H1125,'Fund Utilization Report'!$A$4:$U$1800,4,FALSE)</f>
        <v>OO1</v>
      </c>
      <c r="W1125" s="239" t="str">
        <f>VLOOKUP(H1125,'Fund Utilization Report'!$A$4:$U$1800,5,FALSE)</f>
        <v>01101101</v>
      </c>
      <c r="X1125" s="239" t="str">
        <f>VLOOKUP(H1125,'Fund Utilization Report'!$A$4:$U$1800,6,FALSE)</f>
        <v>GOP</v>
      </c>
      <c r="Y1125" s="440" t="str">
        <f>VLOOKUP(H1125,'Fund Utilization Report'!$A$4:$U$1800,7,FALSE)</f>
        <v>PS</v>
      </c>
      <c r="Z1125" s="441">
        <f>VLOOKUP(H1125,'Fund Utilization Report'!$A$4:$U$1800,8,FALSE)</f>
        <v>5010000000</v>
      </c>
      <c r="AA1125" s="239" t="str">
        <f>VLOOKUP(H1125,'Fund Utilization Report'!$A$4:$U$1800,14,FALSE)</f>
        <v>310100100002000</v>
      </c>
      <c r="AB1125" s="242" t="str">
        <f>VLOOKUP(H1125,'Fund Utilization Report'!$A$4:$U$1800,15,FALSE)</f>
        <v>Development,Facilitation, and promotion of exports and investment, domestic and foreign</v>
      </c>
      <c r="AC1125" s="51"/>
      <c r="AD1125" s="435"/>
      <c r="AE1125" s="51"/>
      <c r="AF1125" s="51"/>
      <c r="AG1125" s="442"/>
      <c r="AH1125" s="442"/>
      <c r="AI1125" s="443"/>
    </row>
    <row r="1126" spans="1:35" s="32" customFormat="1" ht="27.6">
      <c r="A1126" s="434" t="s">
        <v>942</v>
      </c>
      <c r="B1126" s="457" t="s">
        <v>946</v>
      </c>
      <c r="C1126" s="233">
        <v>44265</v>
      </c>
      <c r="D1126" s="435" t="s">
        <v>1267</v>
      </c>
      <c r="E1126" s="436" t="s">
        <v>1402</v>
      </c>
      <c r="F1126" s="338">
        <v>0.44375000000000003</v>
      </c>
      <c r="G1126" s="338">
        <v>0.44513888888888892</v>
      </c>
      <c r="H1126" s="338" t="s">
        <v>964</v>
      </c>
      <c r="I1126" s="353">
        <v>734</v>
      </c>
      <c r="J1126" s="338" t="str">
        <f>IFERROR(VLOOKUP(I1126,'Chart of accounts'!A:H,2,FALSE),"")</f>
        <v>50103040 01</v>
      </c>
      <c r="K1126" s="338" t="str">
        <f>IFERROR(VLOOKUP(I1126,'Chart of accounts'!A:H,3,FALSE),"")</f>
        <v>ECIP - Civilian</v>
      </c>
      <c r="L1126" s="338" t="str">
        <f>IFERROR(VLOOKUP(I1126,'Chart of accounts'!A:H,4,FALSE),"")</f>
        <v>50103040 01 - ECIP - Civilian (734)</v>
      </c>
      <c r="M1126" s="361">
        <v>68</v>
      </c>
      <c r="N1126" s="355" t="s">
        <v>764</v>
      </c>
      <c r="O1126" s="355" t="s">
        <v>1384</v>
      </c>
      <c r="P1126" s="355"/>
      <c r="Q1126" s="363">
        <v>100</v>
      </c>
      <c r="R1126" s="319">
        <f t="shared" si="43"/>
        <v>-100</v>
      </c>
      <c r="S1126" s="239" t="str">
        <f>VLOOKUP(H1126,'Fund Utilization Report'!$A$4:$U$1800,13,FALSE)</f>
        <v>PS</v>
      </c>
      <c r="T1126" s="239" t="str">
        <f>VLOOKUP(H1126,'Fund Utilization Report'!$A$4:$U$1800,2,FALSE)</f>
        <v>GAA</v>
      </c>
      <c r="U1126" s="239" t="str">
        <f>VLOOKUP(H1126,'Fund Utilization Report'!$A$4:$U$1800,3,FALSE)</f>
        <v>FY2021, RA11518</v>
      </c>
      <c r="V1126" s="239" t="str">
        <f>VLOOKUP(H1126,'Fund Utilization Report'!$A$4:$U$1800,4,FALSE)</f>
        <v>OO1</v>
      </c>
      <c r="W1126" s="239" t="str">
        <f>VLOOKUP(H1126,'Fund Utilization Report'!$A$4:$U$1800,5,FALSE)</f>
        <v>01101101</v>
      </c>
      <c r="X1126" s="239" t="str">
        <f>VLOOKUP(H1126,'Fund Utilization Report'!$A$4:$U$1800,6,FALSE)</f>
        <v>GOP</v>
      </c>
      <c r="Y1126" s="440" t="str">
        <f>VLOOKUP(H1126,'Fund Utilization Report'!$A$4:$U$1800,7,FALSE)</f>
        <v>PS</v>
      </c>
      <c r="Z1126" s="441">
        <f>VLOOKUP(H1126,'Fund Utilization Report'!$A$4:$U$1800,8,FALSE)</f>
        <v>5010000000</v>
      </c>
      <c r="AA1126" s="239" t="str">
        <f>VLOOKUP(H1126,'Fund Utilization Report'!$A$4:$U$1800,14,FALSE)</f>
        <v>310100100002000</v>
      </c>
      <c r="AB1126" s="242" t="str">
        <f>VLOOKUP(H1126,'Fund Utilization Report'!$A$4:$U$1800,15,FALSE)</f>
        <v>Development,Facilitation, and promotion of exports and investment, domestic and foreign</v>
      </c>
      <c r="AC1126" s="51"/>
      <c r="AD1126" s="435"/>
      <c r="AE1126" s="51"/>
      <c r="AF1126" s="51"/>
      <c r="AG1126" s="442"/>
      <c r="AH1126" s="442"/>
      <c r="AI1126" s="443"/>
    </row>
    <row r="1127" spans="1:35" s="32" customFormat="1" ht="27.6">
      <c r="A1127" s="434" t="s">
        <v>942</v>
      </c>
      <c r="B1127" s="457" t="s">
        <v>946</v>
      </c>
      <c r="C1127" s="233">
        <v>44265</v>
      </c>
      <c r="D1127" s="435" t="s">
        <v>1267</v>
      </c>
      <c r="E1127" s="436" t="s">
        <v>1402</v>
      </c>
      <c r="F1127" s="338">
        <v>0.44375000000000003</v>
      </c>
      <c r="G1127" s="338">
        <v>0.44513888888888892</v>
      </c>
      <c r="H1127" s="338" t="s">
        <v>970</v>
      </c>
      <c r="I1127" s="353">
        <v>701</v>
      </c>
      <c r="J1127" s="338" t="str">
        <f>IFERROR(VLOOKUP(I1127,'Chart of accounts'!A:H,2,FALSE),"")</f>
        <v>50101010 01</v>
      </c>
      <c r="K1127" s="338" t="str">
        <f>IFERROR(VLOOKUP(I1127,'Chart of accounts'!A:H,3,FALSE),"")</f>
        <v>Basic Salary - Civilian</v>
      </c>
      <c r="L1127" s="338" t="str">
        <f>IFERROR(VLOOKUP(I1127,'Chart of accounts'!A:H,4,FALSE),"")</f>
        <v>50101010 01 - Basic Salary - Civilian (701)</v>
      </c>
      <c r="M1127" s="361">
        <v>68</v>
      </c>
      <c r="N1127" s="355" t="s">
        <v>764</v>
      </c>
      <c r="O1127" s="355" t="s">
        <v>1384</v>
      </c>
      <c r="P1127" s="355"/>
      <c r="Q1127" s="363">
        <v>113498</v>
      </c>
      <c r="R1127" s="319">
        <f t="shared" si="43"/>
        <v>-113498</v>
      </c>
      <c r="S1127" s="239" t="str">
        <f>VLOOKUP(H1127,'Fund Utilization Report'!$A$4:$U$1800,13,FALSE)</f>
        <v>PS</v>
      </c>
      <c r="T1127" s="239" t="str">
        <f>VLOOKUP(H1127,'Fund Utilization Report'!$A$4:$U$1800,2,FALSE)</f>
        <v>GAA</v>
      </c>
      <c r="U1127" s="239" t="str">
        <f>VLOOKUP(H1127,'Fund Utilization Report'!$A$4:$U$1800,3,FALSE)</f>
        <v>FY2021, RA11518</v>
      </c>
      <c r="V1127" s="239" t="str">
        <f>VLOOKUP(H1127,'Fund Utilization Report'!$A$4:$U$1800,4,FALSE)</f>
        <v>OO3</v>
      </c>
      <c r="W1127" s="239" t="str">
        <f>VLOOKUP(H1127,'Fund Utilization Report'!$A$4:$U$1800,5,FALSE)</f>
        <v>01101101</v>
      </c>
      <c r="X1127" s="239" t="str">
        <f>VLOOKUP(H1127,'Fund Utilization Report'!$A$4:$U$1800,6,FALSE)</f>
        <v>GOP</v>
      </c>
      <c r="Y1127" s="440" t="str">
        <f>VLOOKUP(H1127,'Fund Utilization Report'!$A$4:$U$1800,7,FALSE)</f>
        <v>PS</v>
      </c>
      <c r="Z1127" s="441">
        <f>VLOOKUP(H1127,'Fund Utilization Report'!$A$4:$U$1800,8,FALSE)</f>
        <v>5010000000</v>
      </c>
      <c r="AA1127" s="239" t="str">
        <f>VLOOKUP(H1127,'Fund Utilization Report'!$A$4:$U$1800,14,FALSE)</f>
        <v>330100100002000</v>
      </c>
      <c r="AB1127" s="242" t="str">
        <f>VLOOKUP(H1127,'Fund Utilization Report'!$A$4:$U$1800,15,FALSE)</f>
        <v>Implementation of the MSME Development Plan and other initiatives to promote the growth of Micro, Small and Medium Enterprises</v>
      </c>
      <c r="AC1127" s="51"/>
      <c r="AD1127" s="435"/>
      <c r="AE1127" s="51"/>
      <c r="AF1127" s="51"/>
      <c r="AG1127" s="442"/>
      <c r="AH1127" s="442"/>
      <c r="AI1127" s="443"/>
    </row>
    <row r="1128" spans="1:35" s="32" customFormat="1" ht="27.6">
      <c r="A1128" s="434" t="s">
        <v>942</v>
      </c>
      <c r="B1128" s="457" t="s">
        <v>946</v>
      </c>
      <c r="C1128" s="233">
        <v>44265</v>
      </c>
      <c r="D1128" s="435" t="s">
        <v>1267</v>
      </c>
      <c r="E1128" s="436" t="s">
        <v>1402</v>
      </c>
      <c r="F1128" s="338">
        <v>0.44375000000000003</v>
      </c>
      <c r="G1128" s="338">
        <v>0.44513888888888892</v>
      </c>
      <c r="H1128" s="338" t="s">
        <v>970</v>
      </c>
      <c r="I1128" s="353">
        <v>711</v>
      </c>
      <c r="J1128" s="338" t="str">
        <f>IFERROR(VLOOKUP(I1128,'Chart of accounts'!A:H,2,FALSE),"")</f>
        <v>50102010 01</v>
      </c>
      <c r="K1128" s="338" t="str">
        <f>IFERROR(VLOOKUP(I1128,'Chart of accounts'!A:H,3,FALSE),"")</f>
        <v>PERA - Civilian</v>
      </c>
      <c r="L1128" s="338" t="str">
        <f>IFERROR(VLOOKUP(I1128,'Chart of accounts'!A:H,4,FALSE),"")</f>
        <v>50102010 01 - PERA - Civilian (711)</v>
      </c>
      <c r="M1128" s="361">
        <v>68</v>
      </c>
      <c r="N1128" s="355" t="s">
        <v>764</v>
      </c>
      <c r="O1128" s="355" t="s">
        <v>1384</v>
      </c>
      <c r="P1128" s="355"/>
      <c r="Q1128" s="363">
        <v>6000</v>
      </c>
      <c r="R1128" s="319">
        <f t="shared" si="43"/>
        <v>-6000</v>
      </c>
      <c r="S1128" s="239" t="str">
        <f>VLOOKUP(H1128,'Fund Utilization Report'!$A$4:$U$1800,13,FALSE)</f>
        <v>PS</v>
      </c>
      <c r="T1128" s="239" t="str">
        <f>VLOOKUP(H1128,'Fund Utilization Report'!$A$4:$U$1800,2,FALSE)</f>
        <v>GAA</v>
      </c>
      <c r="U1128" s="239" t="str">
        <f>VLOOKUP(H1128,'Fund Utilization Report'!$A$4:$U$1800,3,FALSE)</f>
        <v>FY2021, RA11518</v>
      </c>
      <c r="V1128" s="239" t="str">
        <f>VLOOKUP(H1128,'Fund Utilization Report'!$A$4:$U$1800,4,FALSE)</f>
        <v>OO3</v>
      </c>
      <c r="W1128" s="239" t="str">
        <f>VLOOKUP(H1128,'Fund Utilization Report'!$A$4:$U$1800,5,FALSE)</f>
        <v>01101101</v>
      </c>
      <c r="X1128" s="239" t="str">
        <f>VLOOKUP(H1128,'Fund Utilization Report'!$A$4:$U$1800,6,FALSE)</f>
        <v>GOP</v>
      </c>
      <c r="Y1128" s="440" t="str">
        <f>VLOOKUP(H1128,'Fund Utilization Report'!$A$4:$U$1800,7,FALSE)</f>
        <v>PS</v>
      </c>
      <c r="Z1128" s="441">
        <f>VLOOKUP(H1128,'Fund Utilization Report'!$A$4:$U$1800,8,FALSE)</f>
        <v>5010000000</v>
      </c>
      <c r="AA1128" s="239" t="str">
        <f>VLOOKUP(H1128,'Fund Utilization Report'!$A$4:$U$1800,14,FALSE)</f>
        <v>330100100002000</v>
      </c>
      <c r="AB1128" s="242" t="str">
        <f>VLOOKUP(H1128,'Fund Utilization Report'!$A$4:$U$1800,15,FALSE)</f>
        <v>Implementation of the MSME Development Plan and other initiatives to promote the growth of Micro, Small and Medium Enterprises</v>
      </c>
      <c r="AC1128" s="51"/>
      <c r="AD1128" s="435"/>
      <c r="AE1128" s="51"/>
      <c r="AF1128" s="51"/>
      <c r="AG1128" s="442"/>
      <c r="AH1128" s="442"/>
      <c r="AI1128" s="443"/>
    </row>
    <row r="1129" spans="1:35" s="32" customFormat="1" ht="27.6">
      <c r="A1129" s="434" t="s">
        <v>942</v>
      </c>
      <c r="B1129" s="457" t="s">
        <v>946</v>
      </c>
      <c r="C1129" s="233">
        <v>44265</v>
      </c>
      <c r="D1129" s="435" t="s">
        <v>1267</v>
      </c>
      <c r="E1129" s="436" t="s">
        <v>1402</v>
      </c>
      <c r="F1129" s="338">
        <v>0.44375000000000003</v>
      </c>
      <c r="G1129" s="338">
        <v>0.44513888888888892</v>
      </c>
      <c r="H1129" s="338" t="s">
        <v>972</v>
      </c>
      <c r="I1129" s="353">
        <v>731</v>
      </c>
      <c r="J1129" s="338" t="str">
        <f>IFERROR(VLOOKUP(I1129,'Chart of accounts'!A:H,2,FALSE),"")</f>
        <v>50103010 00</v>
      </c>
      <c r="K1129" s="338" t="str">
        <f>IFERROR(VLOOKUP(I1129,'Chart of accounts'!A:H,3,FALSE),"")</f>
        <v>Retirement and Life Insurance Premiums</v>
      </c>
      <c r="L1129" s="338" t="str">
        <f>IFERROR(VLOOKUP(I1129,'Chart of accounts'!A:H,4,FALSE),"")</f>
        <v>50103010 00 - Retirement and Life Insurance Premiums (731)</v>
      </c>
      <c r="M1129" s="361">
        <v>68</v>
      </c>
      <c r="N1129" s="355" t="s">
        <v>764</v>
      </c>
      <c r="O1129" s="355" t="s">
        <v>1384</v>
      </c>
      <c r="P1129" s="355"/>
      <c r="Q1129" s="363">
        <v>13619.76</v>
      </c>
      <c r="R1129" s="319">
        <f t="shared" si="43"/>
        <v>-13619.76</v>
      </c>
      <c r="S1129" s="239" t="str">
        <f>VLOOKUP(H1129,'Fund Utilization Report'!$A$4:$U$1800,13,FALSE)</f>
        <v>PS</v>
      </c>
      <c r="T1129" s="239" t="str">
        <f>VLOOKUP(H1129,'Fund Utilization Report'!$A$4:$U$1800,2,FALSE)</f>
        <v>GAA</v>
      </c>
      <c r="U1129" s="239" t="str">
        <f>VLOOKUP(H1129,'Fund Utilization Report'!$A$4:$U$1800,3,FALSE)</f>
        <v>FY2021, RA11518</v>
      </c>
      <c r="V1129" s="239" t="str">
        <f>VLOOKUP(H1129,'Fund Utilization Report'!$A$4:$U$1800,4,FALSE)</f>
        <v>OO3</v>
      </c>
      <c r="W1129" s="239" t="str">
        <f>VLOOKUP(H1129,'Fund Utilization Report'!$A$4:$U$1800,5,FALSE)</f>
        <v>01101101</v>
      </c>
      <c r="X1129" s="239" t="str">
        <f>VLOOKUP(H1129,'Fund Utilization Report'!$A$4:$U$1800,6,FALSE)</f>
        <v>GOP</v>
      </c>
      <c r="Y1129" s="440" t="str">
        <f>VLOOKUP(H1129,'Fund Utilization Report'!$A$4:$U$1800,7,FALSE)</f>
        <v>RLIP</v>
      </c>
      <c r="Z1129" s="441" t="str">
        <f>VLOOKUP(H1129,'Fund Utilization Report'!$A$4:$U$1800,8,FALSE)</f>
        <v>50103010-00</v>
      </c>
      <c r="AA1129" s="239" t="str">
        <f>VLOOKUP(H1129,'Fund Utilization Report'!$A$4:$U$1800,14,FALSE)</f>
        <v>330100100002000</v>
      </c>
      <c r="AB1129" s="242" t="str">
        <f>VLOOKUP(H1129,'Fund Utilization Report'!$A$4:$U$1800,15,FALSE)</f>
        <v>Implementation of the MSME Development Plan and other initiatives to promote the growth of Micro, Small and Medium Enterprises</v>
      </c>
      <c r="AC1129" s="51"/>
      <c r="AD1129" s="435"/>
      <c r="AE1129" s="51"/>
      <c r="AF1129" s="51"/>
      <c r="AG1129" s="442"/>
      <c r="AH1129" s="442"/>
      <c r="AI1129" s="443"/>
    </row>
    <row r="1130" spans="1:35" s="32" customFormat="1" ht="27.6">
      <c r="A1130" s="434" t="s">
        <v>942</v>
      </c>
      <c r="B1130" s="457" t="s">
        <v>946</v>
      </c>
      <c r="C1130" s="233">
        <v>44265</v>
      </c>
      <c r="D1130" s="435" t="s">
        <v>1267</v>
      </c>
      <c r="E1130" s="436" t="s">
        <v>1402</v>
      </c>
      <c r="F1130" s="338">
        <v>0.44375000000000003</v>
      </c>
      <c r="G1130" s="338">
        <v>0.44513888888888892</v>
      </c>
      <c r="H1130" s="338" t="s">
        <v>970</v>
      </c>
      <c r="I1130" s="353">
        <v>732</v>
      </c>
      <c r="J1130" s="338" t="str">
        <f>IFERROR(VLOOKUP(I1130,'Chart of accounts'!A:H,2,FALSE),"")</f>
        <v>50103020 01</v>
      </c>
      <c r="K1130" s="338" t="str">
        <f>IFERROR(VLOOKUP(I1130,'Chart of accounts'!A:H,3,FALSE),"")</f>
        <v>Pag-IBIG - Civilian</v>
      </c>
      <c r="L1130" s="338" t="str">
        <f>IFERROR(VLOOKUP(I1130,'Chart of accounts'!A:H,4,FALSE),"")</f>
        <v>50103020 01 - Pag-IBIG - Civilian (732)</v>
      </c>
      <c r="M1130" s="361">
        <v>68</v>
      </c>
      <c r="N1130" s="355" t="s">
        <v>764</v>
      </c>
      <c r="O1130" s="355" t="s">
        <v>1384</v>
      </c>
      <c r="P1130" s="355"/>
      <c r="Q1130" s="363">
        <v>300</v>
      </c>
      <c r="R1130" s="319">
        <f t="shared" si="43"/>
        <v>-300</v>
      </c>
      <c r="S1130" s="239" t="str">
        <f>VLOOKUP(H1130,'Fund Utilization Report'!$A$4:$U$1800,13,FALSE)</f>
        <v>PS</v>
      </c>
      <c r="T1130" s="239" t="str">
        <f>VLOOKUP(H1130,'Fund Utilization Report'!$A$4:$U$1800,2,FALSE)</f>
        <v>GAA</v>
      </c>
      <c r="U1130" s="239" t="str">
        <f>VLOOKUP(H1130,'Fund Utilization Report'!$A$4:$U$1800,3,FALSE)</f>
        <v>FY2021, RA11518</v>
      </c>
      <c r="V1130" s="239" t="str">
        <f>VLOOKUP(H1130,'Fund Utilization Report'!$A$4:$U$1800,4,FALSE)</f>
        <v>OO3</v>
      </c>
      <c r="W1130" s="239" t="str">
        <f>VLOOKUP(H1130,'Fund Utilization Report'!$A$4:$U$1800,5,FALSE)</f>
        <v>01101101</v>
      </c>
      <c r="X1130" s="239" t="str">
        <f>VLOOKUP(H1130,'Fund Utilization Report'!$A$4:$U$1800,6,FALSE)</f>
        <v>GOP</v>
      </c>
      <c r="Y1130" s="440" t="str">
        <f>VLOOKUP(H1130,'Fund Utilization Report'!$A$4:$U$1800,7,FALSE)</f>
        <v>PS</v>
      </c>
      <c r="Z1130" s="441">
        <f>VLOOKUP(H1130,'Fund Utilization Report'!$A$4:$U$1800,8,FALSE)</f>
        <v>5010000000</v>
      </c>
      <c r="AA1130" s="239" t="str">
        <f>VLOOKUP(H1130,'Fund Utilization Report'!$A$4:$U$1800,14,FALSE)</f>
        <v>330100100002000</v>
      </c>
      <c r="AB1130" s="242" t="str">
        <f>VLOOKUP(H1130,'Fund Utilization Report'!$A$4:$U$1800,15,FALSE)</f>
        <v>Implementation of the MSME Development Plan and other initiatives to promote the growth of Micro, Small and Medium Enterprises</v>
      </c>
      <c r="AC1130" s="51"/>
      <c r="AD1130" s="435"/>
      <c r="AE1130" s="51"/>
      <c r="AF1130" s="51"/>
      <c r="AG1130" s="442"/>
      <c r="AH1130" s="442"/>
      <c r="AI1130" s="443"/>
    </row>
    <row r="1131" spans="1:35" s="32" customFormat="1" ht="27.6">
      <c r="A1131" s="434" t="s">
        <v>942</v>
      </c>
      <c r="B1131" s="457" t="s">
        <v>946</v>
      </c>
      <c r="C1131" s="233">
        <v>44265</v>
      </c>
      <c r="D1131" s="435" t="s">
        <v>1267</v>
      </c>
      <c r="E1131" s="436" t="s">
        <v>1402</v>
      </c>
      <c r="F1131" s="338">
        <v>0.44375000000000003</v>
      </c>
      <c r="G1131" s="338">
        <v>0.44513888888888892</v>
      </c>
      <c r="H1131" s="338" t="s">
        <v>970</v>
      </c>
      <c r="I1131" s="353">
        <v>733</v>
      </c>
      <c r="J1131" s="338" t="str">
        <f>IFERROR(VLOOKUP(I1131,'Chart of accounts'!A:H,2,FALSE),"")</f>
        <v>50103030 01</v>
      </c>
      <c r="K1131" s="338" t="str">
        <f>IFERROR(VLOOKUP(I1131,'Chart of accounts'!A:H,3,FALSE),"")</f>
        <v>PhilHealth - Civilian</v>
      </c>
      <c r="L1131" s="338" t="str">
        <f>IFERROR(VLOOKUP(I1131,'Chart of accounts'!A:H,4,FALSE),"")</f>
        <v>50103030 01 - PhilHealth - Civilian (733)</v>
      </c>
      <c r="M1131" s="361">
        <v>68</v>
      </c>
      <c r="N1131" s="355" t="s">
        <v>764</v>
      </c>
      <c r="O1131" s="355" t="s">
        <v>1384</v>
      </c>
      <c r="P1131" s="355"/>
      <c r="Q1131" s="363">
        <v>1702.48</v>
      </c>
      <c r="R1131" s="319">
        <f t="shared" si="43"/>
        <v>-1702.48</v>
      </c>
      <c r="S1131" s="239" t="str">
        <f>VLOOKUP(H1131,'Fund Utilization Report'!$A$4:$U$1800,13,FALSE)</f>
        <v>PS</v>
      </c>
      <c r="T1131" s="239" t="str">
        <f>VLOOKUP(H1131,'Fund Utilization Report'!$A$4:$U$1800,2,FALSE)</f>
        <v>GAA</v>
      </c>
      <c r="U1131" s="239" t="str">
        <f>VLOOKUP(H1131,'Fund Utilization Report'!$A$4:$U$1800,3,FALSE)</f>
        <v>FY2021, RA11518</v>
      </c>
      <c r="V1131" s="239" t="str">
        <f>VLOOKUP(H1131,'Fund Utilization Report'!$A$4:$U$1800,4,FALSE)</f>
        <v>OO3</v>
      </c>
      <c r="W1131" s="239" t="str">
        <f>VLOOKUP(H1131,'Fund Utilization Report'!$A$4:$U$1800,5,FALSE)</f>
        <v>01101101</v>
      </c>
      <c r="X1131" s="239" t="str">
        <f>VLOOKUP(H1131,'Fund Utilization Report'!$A$4:$U$1800,6,FALSE)</f>
        <v>GOP</v>
      </c>
      <c r="Y1131" s="440" t="str">
        <f>VLOOKUP(H1131,'Fund Utilization Report'!$A$4:$U$1800,7,FALSE)</f>
        <v>PS</v>
      </c>
      <c r="Z1131" s="441">
        <f>VLOOKUP(H1131,'Fund Utilization Report'!$A$4:$U$1800,8,FALSE)</f>
        <v>5010000000</v>
      </c>
      <c r="AA1131" s="239" t="str">
        <f>VLOOKUP(H1131,'Fund Utilization Report'!$A$4:$U$1800,14,FALSE)</f>
        <v>330100100002000</v>
      </c>
      <c r="AB1131" s="242" t="str">
        <f>VLOOKUP(H1131,'Fund Utilization Report'!$A$4:$U$1800,15,FALSE)</f>
        <v>Implementation of the MSME Development Plan and other initiatives to promote the growth of Micro, Small and Medium Enterprises</v>
      </c>
      <c r="AC1131" s="51"/>
      <c r="AD1131" s="435"/>
      <c r="AE1131" s="51"/>
      <c r="AF1131" s="51"/>
      <c r="AG1131" s="442"/>
      <c r="AH1131" s="442"/>
      <c r="AI1131" s="443"/>
    </row>
    <row r="1132" spans="1:35" s="32" customFormat="1" ht="27.6">
      <c r="A1132" s="434" t="s">
        <v>942</v>
      </c>
      <c r="B1132" s="457" t="s">
        <v>946</v>
      </c>
      <c r="C1132" s="233">
        <v>44265</v>
      </c>
      <c r="D1132" s="435" t="s">
        <v>1267</v>
      </c>
      <c r="E1132" s="436" t="s">
        <v>1402</v>
      </c>
      <c r="F1132" s="338">
        <v>0.44375000000000003</v>
      </c>
      <c r="G1132" s="338">
        <v>0.44513888888888892</v>
      </c>
      <c r="H1132" s="338" t="s">
        <v>970</v>
      </c>
      <c r="I1132" s="353">
        <v>734</v>
      </c>
      <c r="J1132" s="338" t="str">
        <f>IFERROR(VLOOKUP(I1132,'Chart of accounts'!A:H,2,FALSE),"")</f>
        <v>50103040 01</v>
      </c>
      <c r="K1132" s="338" t="str">
        <f>IFERROR(VLOOKUP(I1132,'Chart of accounts'!A:H,3,FALSE),"")</f>
        <v>ECIP - Civilian</v>
      </c>
      <c r="L1132" s="338" t="str">
        <f>IFERROR(VLOOKUP(I1132,'Chart of accounts'!A:H,4,FALSE),"")</f>
        <v>50103040 01 - ECIP - Civilian (734)</v>
      </c>
      <c r="M1132" s="361">
        <v>68</v>
      </c>
      <c r="N1132" s="355" t="s">
        <v>764</v>
      </c>
      <c r="O1132" s="355" t="s">
        <v>1384</v>
      </c>
      <c r="P1132" s="355"/>
      <c r="Q1132" s="363">
        <v>300</v>
      </c>
      <c r="R1132" s="319">
        <f t="shared" si="43"/>
        <v>-300</v>
      </c>
      <c r="S1132" s="239" t="str">
        <f>VLOOKUP(H1132,'Fund Utilization Report'!$A$4:$U$1800,13,FALSE)</f>
        <v>PS</v>
      </c>
      <c r="T1132" s="239" t="str">
        <f>VLOOKUP(H1132,'Fund Utilization Report'!$A$4:$U$1800,2,FALSE)</f>
        <v>GAA</v>
      </c>
      <c r="U1132" s="239" t="str">
        <f>VLOOKUP(H1132,'Fund Utilization Report'!$A$4:$U$1800,3,FALSE)</f>
        <v>FY2021, RA11518</v>
      </c>
      <c r="V1132" s="239" t="str">
        <f>VLOOKUP(H1132,'Fund Utilization Report'!$A$4:$U$1800,4,FALSE)</f>
        <v>OO3</v>
      </c>
      <c r="W1132" s="239" t="str">
        <f>VLOOKUP(H1132,'Fund Utilization Report'!$A$4:$U$1800,5,FALSE)</f>
        <v>01101101</v>
      </c>
      <c r="X1132" s="239" t="str">
        <f>VLOOKUP(H1132,'Fund Utilization Report'!$A$4:$U$1800,6,FALSE)</f>
        <v>GOP</v>
      </c>
      <c r="Y1132" s="440" t="str">
        <f>VLOOKUP(H1132,'Fund Utilization Report'!$A$4:$U$1800,7,FALSE)</f>
        <v>PS</v>
      </c>
      <c r="Z1132" s="441">
        <f>VLOOKUP(H1132,'Fund Utilization Report'!$A$4:$U$1800,8,FALSE)</f>
        <v>5010000000</v>
      </c>
      <c r="AA1132" s="239" t="str">
        <f>VLOOKUP(H1132,'Fund Utilization Report'!$A$4:$U$1800,14,FALSE)</f>
        <v>330100100002000</v>
      </c>
      <c r="AB1132" s="242" t="str">
        <f>VLOOKUP(H1132,'Fund Utilization Report'!$A$4:$U$1800,15,FALSE)</f>
        <v>Implementation of the MSME Development Plan and other initiatives to promote the growth of Micro, Small and Medium Enterprises</v>
      </c>
      <c r="AC1132" s="51"/>
      <c r="AD1132" s="435"/>
      <c r="AE1132" s="51"/>
      <c r="AF1132" s="51"/>
      <c r="AG1132" s="442"/>
      <c r="AH1132" s="442"/>
      <c r="AI1132" s="443"/>
    </row>
    <row r="1133" spans="1:35" s="32" customFormat="1" ht="27.6">
      <c r="A1133" s="434" t="s">
        <v>942</v>
      </c>
      <c r="B1133" s="457" t="s">
        <v>946</v>
      </c>
      <c r="C1133" s="233">
        <v>44265</v>
      </c>
      <c r="D1133" s="435" t="s">
        <v>1267</v>
      </c>
      <c r="E1133" s="436" t="s">
        <v>1402</v>
      </c>
      <c r="F1133" s="338">
        <v>0.44375000000000003</v>
      </c>
      <c r="G1133" s="338">
        <v>0.44513888888888892</v>
      </c>
      <c r="H1133" s="338" t="s">
        <v>973</v>
      </c>
      <c r="I1133" s="353">
        <v>701</v>
      </c>
      <c r="J1133" s="338" t="str">
        <f>IFERROR(VLOOKUP(I1133,'Chart of accounts'!A:H,2,FALSE),"")</f>
        <v>50101010 01</v>
      </c>
      <c r="K1133" s="338" t="str">
        <f>IFERROR(VLOOKUP(I1133,'Chart of accounts'!A:H,3,FALSE),"")</f>
        <v>Basic Salary - Civilian</v>
      </c>
      <c r="L1133" s="338" t="str">
        <f>IFERROR(VLOOKUP(I1133,'Chart of accounts'!A:H,4,FALSE),"")</f>
        <v>50101010 01 - Basic Salary - Civilian (701)</v>
      </c>
      <c r="M1133" s="361">
        <v>68</v>
      </c>
      <c r="N1133" s="355" t="s">
        <v>764</v>
      </c>
      <c r="O1133" s="355" t="s">
        <v>1384</v>
      </c>
      <c r="P1133" s="355"/>
      <c r="Q1133" s="363">
        <v>136714</v>
      </c>
      <c r="R1133" s="319">
        <f t="shared" si="43"/>
        <v>-136714</v>
      </c>
      <c r="S1133" s="239" t="str">
        <f>VLOOKUP(H1133,'Fund Utilization Report'!$A$4:$U$1800,13,FALSE)</f>
        <v>PS</v>
      </c>
      <c r="T1133" s="239" t="str">
        <f>VLOOKUP(H1133,'Fund Utilization Report'!$A$4:$U$1800,2,FALSE)</f>
        <v>GAA</v>
      </c>
      <c r="U1133" s="239" t="str">
        <f>VLOOKUP(H1133,'Fund Utilization Report'!$A$4:$U$1800,3,FALSE)</f>
        <v>FY2021, RA11518</v>
      </c>
      <c r="V1133" s="239" t="str">
        <f>VLOOKUP(H1133,'Fund Utilization Report'!$A$4:$U$1800,4,FALSE)</f>
        <v>OO4.1(FTL)</v>
      </c>
      <c r="W1133" s="239" t="str">
        <f>VLOOKUP(H1133,'Fund Utilization Report'!$A$4:$U$1800,5,FALSE)</f>
        <v>01101101</v>
      </c>
      <c r="X1133" s="239" t="str">
        <f>VLOOKUP(H1133,'Fund Utilization Report'!$A$4:$U$1800,6,FALSE)</f>
        <v>GOP</v>
      </c>
      <c r="Y1133" s="440" t="str">
        <f>VLOOKUP(H1133,'Fund Utilization Report'!$A$4:$U$1800,7,FALSE)</f>
        <v>PS</v>
      </c>
      <c r="Z1133" s="441">
        <f>VLOOKUP(H1133,'Fund Utilization Report'!$A$4:$U$1800,8,FALSE)</f>
        <v>5010000000</v>
      </c>
      <c r="AA1133" s="239" t="str">
        <f>VLOOKUP(H1133,'Fund Utilization Report'!$A$4:$U$1800,14,FALSE)</f>
        <v>340100100002000</v>
      </c>
      <c r="AB1133" s="242" t="str">
        <f>VLOOKUP(H1133,'Fund Utilization Report'!$A$4:$U$1800,15,FALSE)</f>
        <v>Monitoring and Enforcement of FTL including consumer complaints handling</v>
      </c>
      <c r="AC1133" s="51"/>
      <c r="AD1133" s="435"/>
      <c r="AE1133" s="51"/>
      <c r="AF1133" s="51"/>
      <c r="AG1133" s="442"/>
      <c r="AH1133" s="442"/>
      <c r="AI1133" s="443"/>
    </row>
    <row r="1134" spans="1:35" s="32" customFormat="1" ht="27.6">
      <c r="A1134" s="434" t="s">
        <v>942</v>
      </c>
      <c r="B1134" s="457" t="s">
        <v>946</v>
      </c>
      <c r="C1134" s="233">
        <v>44265</v>
      </c>
      <c r="D1134" s="435" t="s">
        <v>1267</v>
      </c>
      <c r="E1134" s="436" t="s">
        <v>1402</v>
      </c>
      <c r="F1134" s="338">
        <v>0.44375000000000003</v>
      </c>
      <c r="G1134" s="338">
        <v>0.44513888888888892</v>
      </c>
      <c r="H1134" s="338" t="s">
        <v>973</v>
      </c>
      <c r="I1134" s="353">
        <v>711</v>
      </c>
      <c r="J1134" s="338" t="str">
        <f>IFERROR(VLOOKUP(I1134,'Chart of accounts'!A:H,2,FALSE),"")</f>
        <v>50102010 01</v>
      </c>
      <c r="K1134" s="338" t="str">
        <f>IFERROR(VLOOKUP(I1134,'Chart of accounts'!A:H,3,FALSE),"")</f>
        <v>PERA - Civilian</v>
      </c>
      <c r="L1134" s="338" t="str">
        <f>IFERROR(VLOOKUP(I1134,'Chart of accounts'!A:H,4,FALSE),"")</f>
        <v>50102010 01 - PERA - Civilian (711)</v>
      </c>
      <c r="M1134" s="361">
        <v>68</v>
      </c>
      <c r="N1134" s="355" t="s">
        <v>764</v>
      </c>
      <c r="O1134" s="355" t="s">
        <v>1384</v>
      </c>
      <c r="P1134" s="355"/>
      <c r="Q1134" s="363">
        <v>6000</v>
      </c>
      <c r="R1134" s="319">
        <f t="shared" si="43"/>
        <v>-6000</v>
      </c>
      <c r="S1134" s="239" t="str">
        <f>VLOOKUP(H1134,'Fund Utilization Report'!$A$4:$U$1800,13,FALSE)</f>
        <v>PS</v>
      </c>
      <c r="T1134" s="239" t="str">
        <f>VLOOKUP(H1134,'Fund Utilization Report'!$A$4:$U$1800,2,FALSE)</f>
        <v>GAA</v>
      </c>
      <c r="U1134" s="239" t="str">
        <f>VLOOKUP(H1134,'Fund Utilization Report'!$A$4:$U$1800,3,FALSE)</f>
        <v>FY2021, RA11518</v>
      </c>
      <c r="V1134" s="239" t="str">
        <f>VLOOKUP(H1134,'Fund Utilization Report'!$A$4:$U$1800,4,FALSE)</f>
        <v>OO4.1(FTL)</v>
      </c>
      <c r="W1134" s="239" t="str">
        <f>VLOOKUP(H1134,'Fund Utilization Report'!$A$4:$U$1800,5,FALSE)</f>
        <v>01101101</v>
      </c>
      <c r="X1134" s="239" t="str">
        <f>VLOOKUP(H1134,'Fund Utilization Report'!$A$4:$U$1800,6,FALSE)</f>
        <v>GOP</v>
      </c>
      <c r="Y1134" s="440" t="str">
        <f>VLOOKUP(H1134,'Fund Utilization Report'!$A$4:$U$1800,7,FALSE)</f>
        <v>PS</v>
      </c>
      <c r="Z1134" s="441">
        <f>VLOOKUP(H1134,'Fund Utilization Report'!$A$4:$U$1800,8,FALSE)</f>
        <v>5010000000</v>
      </c>
      <c r="AA1134" s="239" t="str">
        <f>VLOOKUP(H1134,'Fund Utilization Report'!$A$4:$U$1800,14,FALSE)</f>
        <v>340100100002000</v>
      </c>
      <c r="AB1134" s="242" t="str">
        <f>VLOOKUP(H1134,'Fund Utilization Report'!$A$4:$U$1800,15,FALSE)</f>
        <v>Monitoring and Enforcement of FTL including consumer complaints handling</v>
      </c>
      <c r="AC1134" s="51"/>
      <c r="AD1134" s="435"/>
      <c r="AE1134" s="51"/>
      <c r="AF1134" s="51"/>
      <c r="AG1134" s="442"/>
      <c r="AH1134" s="442"/>
      <c r="AI1134" s="443"/>
    </row>
    <row r="1135" spans="1:35" s="32" customFormat="1" ht="27.6">
      <c r="A1135" s="434" t="s">
        <v>942</v>
      </c>
      <c r="B1135" s="457" t="s">
        <v>946</v>
      </c>
      <c r="C1135" s="233">
        <v>44265</v>
      </c>
      <c r="D1135" s="435" t="s">
        <v>1267</v>
      </c>
      <c r="E1135" s="436" t="s">
        <v>1402</v>
      </c>
      <c r="F1135" s="338">
        <v>0.44375000000000003</v>
      </c>
      <c r="G1135" s="338">
        <v>0.44513888888888892</v>
      </c>
      <c r="H1135" s="338" t="s">
        <v>975</v>
      </c>
      <c r="I1135" s="353">
        <v>731</v>
      </c>
      <c r="J1135" s="338" t="str">
        <f>IFERROR(VLOOKUP(I1135,'Chart of accounts'!A:H,2,FALSE),"")</f>
        <v>50103010 00</v>
      </c>
      <c r="K1135" s="338" t="str">
        <f>IFERROR(VLOOKUP(I1135,'Chart of accounts'!A:H,3,FALSE),"")</f>
        <v>Retirement and Life Insurance Premiums</v>
      </c>
      <c r="L1135" s="338" t="str">
        <f>IFERROR(VLOOKUP(I1135,'Chart of accounts'!A:H,4,FALSE),"")</f>
        <v>50103010 00 - Retirement and Life Insurance Premiums (731)</v>
      </c>
      <c r="M1135" s="361">
        <v>68</v>
      </c>
      <c r="N1135" s="355" t="s">
        <v>764</v>
      </c>
      <c r="O1135" s="355" t="s">
        <v>1384</v>
      </c>
      <c r="P1135" s="355"/>
      <c r="Q1135" s="363">
        <v>16405.68</v>
      </c>
      <c r="R1135" s="319">
        <f t="shared" si="43"/>
        <v>-16405.68</v>
      </c>
      <c r="S1135" s="239" t="str">
        <f>VLOOKUP(H1135,'Fund Utilization Report'!$A$4:$U$1800,13,FALSE)</f>
        <v>PS</v>
      </c>
      <c r="T1135" s="239" t="str">
        <f>VLOOKUP(H1135,'Fund Utilization Report'!$A$4:$U$1800,2,FALSE)</f>
        <v>GAA</v>
      </c>
      <c r="U1135" s="239" t="str">
        <f>VLOOKUP(H1135,'Fund Utilization Report'!$A$4:$U$1800,3,FALSE)</f>
        <v>FY2021, RA11518</v>
      </c>
      <c r="V1135" s="239" t="str">
        <f>VLOOKUP(H1135,'Fund Utilization Report'!$A$4:$U$1800,4,FALSE)</f>
        <v>OO4.1(FTL)</v>
      </c>
      <c r="W1135" s="239" t="str">
        <f>VLOOKUP(H1135,'Fund Utilization Report'!$A$4:$U$1800,5,FALSE)</f>
        <v>01101101</v>
      </c>
      <c r="X1135" s="239" t="str">
        <f>VLOOKUP(H1135,'Fund Utilization Report'!$A$4:$U$1800,6,FALSE)</f>
        <v>GOP</v>
      </c>
      <c r="Y1135" s="440" t="str">
        <f>VLOOKUP(H1135,'Fund Utilization Report'!$A$4:$U$1800,7,FALSE)</f>
        <v>RLIP</v>
      </c>
      <c r="Z1135" s="441" t="str">
        <f>VLOOKUP(H1135,'Fund Utilization Report'!$A$4:$U$1800,8,FALSE)</f>
        <v>50103010-00</v>
      </c>
      <c r="AA1135" s="239" t="str">
        <f>VLOOKUP(H1135,'Fund Utilization Report'!$A$4:$U$1800,14,FALSE)</f>
        <v>340100100002000</v>
      </c>
      <c r="AB1135" s="242" t="str">
        <f>VLOOKUP(H1135,'Fund Utilization Report'!$A$4:$U$1800,15,FALSE)</f>
        <v>Monitoring and Enforcement of FTL including consumer complaints handling</v>
      </c>
      <c r="AC1135" s="51"/>
      <c r="AD1135" s="435"/>
      <c r="AE1135" s="51"/>
      <c r="AF1135" s="51"/>
      <c r="AG1135" s="442"/>
      <c r="AH1135" s="442"/>
      <c r="AI1135" s="443"/>
    </row>
    <row r="1136" spans="1:35" s="32" customFormat="1" ht="27.6">
      <c r="A1136" s="434" t="s">
        <v>942</v>
      </c>
      <c r="B1136" s="457" t="s">
        <v>946</v>
      </c>
      <c r="C1136" s="233">
        <v>44265</v>
      </c>
      <c r="D1136" s="435" t="s">
        <v>1267</v>
      </c>
      <c r="E1136" s="436" t="s">
        <v>1402</v>
      </c>
      <c r="F1136" s="338">
        <v>0.44375000000000003</v>
      </c>
      <c r="G1136" s="338">
        <v>0.44513888888888892</v>
      </c>
      <c r="H1136" s="338" t="s">
        <v>973</v>
      </c>
      <c r="I1136" s="353">
        <v>732</v>
      </c>
      <c r="J1136" s="338" t="str">
        <f>IFERROR(VLOOKUP(I1136,'Chart of accounts'!A:H,2,FALSE),"")</f>
        <v>50103020 01</v>
      </c>
      <c r="K1136" s="338" t="str">
        <f>IFERROR(VLOOKUP(I1136,'Chart of accounts'!A:H,3,FALSE),"")</f>
        <v>Pag-IBIG - Civilian</v>
      </c>
      <c r="L1136" s="338" t="str">
        <f>IFERROR(VLOOKUP(I1136,'Chart of accounts'!A:H,4,FALSE),"")</f>
        <v>50103020 01 - Pag-IBIG - Civilian (732)</v>
      </c>
      <c r="M1136" s="361">
        <v>68</v>
      </c>
      <c r="N1136" s="355" t="s">
        <v>764</v>
      </c>
      <c r="O1136" s="355" t="s">
        <v>1384</v>
      </c>
      <c r="P1136" s="355"/>
      <c r="Q1136" s="363">
        <v>300</v>
      </c>
      <c r="R1136" s="319">
        <f t="shared" si="43"/>
        <v>-300</v>
      </c>
      <c r="S1136" s="239" t="str">
        <f>VLOOKUP(H1136,'Fund Utilization Report'!$A$4:$U$1800,13,FALSE)</f>
        <v>PS</v>
      </c>
      <c r="T1136" s="239" t="str">
        <f>VLOOKUP(H1136,'Fund Utilization Report'!$A$4:$U$1800,2,FALSE)</f>
        <v>GAA</v>
      </c>
      <c r="U1136" s="239" t="str">
        <f>VLOOKUP(H1136,'Fund Utilization Report'!$A$4:$U$1800,3,FALSE)</f>
        <v>FY2021, RA11518</v>
      </c>
      <c r="V1136" s="239" t="str">
        <f>VLOOKUP(H1136,'Fund Utilization Report'!$A$4:$U$1800,4,FALSE)</f>
        <v>OO4.1(FTL)</v>
      </c>
      <c r="W1136" s="239" t="str">
        <f>VLOOKUP(H1136,'Fund Utilization Report'!$A$4:$U$1800,5,FALSE)</f>
        <v>01101101</v>
      </c>
      <c r="X1136" s="239" t="str">
        <f>VLOOKUP(H1136,'Fund Utilization Report'!$A$4:$U$1800,6,FALSE)</f>
        <v>GOP</v>
      </c>
      <c r="Y1136" s="440" t="str">
        <f>VLOOKUP(H1136,'Fund Utilization Report'!$A$4:$U$1800,7,FALSE)</f>
        <v>PS</v>
      </c>
      <c r="Z1136" s="441">
        <f>VLOOKUP(H1136,'Fund Utilization Report'!$A$4:$U$1800,8,FALSE)</f>
        <v>5010000000</v>
      </c>
      <c r="AA1136" s="239" t="str">
        <f>VLOOKUP(H1136,'Fund Utilization Report'!$A$4:$U$1800,14,FALSE)</f>
        <v>340100100002000</v>
      </c>
      <c r="AB1136" s="242" t="str">
        <f>VLOOKUP(H1136,'Fund Utilization Report'!$A$4:$U$1800,15,FALSE)</f>
        <v>Monitoring and Enforcement of FTL including consumer complaints handling</v>
      </c>
      <c r="AC1136" s="51"/>
      <c r="AD1136" s="435"/>
      <c r="AE1136" s="51"/>
      <c r="AF1136" s="51"/>
      <c r="AG1136" s="442"/>
      <c r="AH1136" s="442"/>
      <c r="AI1136" s="443"/>
    </row>
    <row r="1137" spans="1:35" s="32" customFormat="1" ht="27.6">
      <c r="A1137" s="434" t="s">
        <v>942</v>
      </c>
      <c r="B1137" s="457" t="s">
        <v>946</v>
      </c>
      <c r="C1137" s="233">
        <v>44265</v>
      </c>
      <c r="D1137" s="435" t="s">
        <v>1267</v>
      </c>
      <c r="E1137" s="436" t="s">
        <v>1402</v>
      </c>
      <c r="F1137" s="338">
        <v>0.44375000000000003</v>
      </c>
      <c r="G1137" s="338">
        <v>0.44513888888888892</v>
      </c>
      <c r="H1137" s="338" t="s">
        <v>973</v>
      </c>
      <c r="I1137" s="353">
        <v>733</v>
      </c>
      <c r="J1137" s="338" t="str">
        <f>IFERROR(VLOOKUP(I1137,'Chart of accounts'!A:H,2,FALSE),"")</f>
        <v>50103030 01</v>
      </c>
      <c r="K1137" s="338" t="str">
        <f>IFERROR(VLOOKUP(I1137,'Chart of accounts'!A:H,3,FALSE),"")</f>
        <v>PhilHealth - Civilian</v>
      </c>
      <c r="L1137" s="338" t="str">
        <f>IFERROR(VLOOKUP(I1137,'Chart of accounts'!A:H,4,FALSE),"")</f>
        <v>50103030 01 - PhilHealth - Civilian (733)</v>
      </c>
      <c r="M1137" s="361">
        <v>68</v>
      </c>
      <c r="N1137" s="355" t="s">
        <v>764</v>
      </c>
      <c r="O1137" s="355" t="s">
        <v>1384</v>
      </c>
      <c r="P1137" s="355"/>
      <c r="Q1137" s="363">
        <v>1924.49</v>
      </c>
      <c r="R1137" s="319">
        <f t="shared" si="43"/>
        <v>-1924.49</v>
      </c>
      <c r="S1137" s="239" t="str">
        <f>VLOOKUP(H1137,'Fund Utilization Report'!$A$4:$U$1800,13,FALSE)</f>
        <v>PS</v>
      </c>
      <c r="T1137" s="239" t="str">
        <f>VLOOKUP(H1137,'Fund Utilization Report'!$A$4:$U$1800,2,FALSE)</f>
        <v>GAA</v>
      </c>
      <c r="U1137" s="239" t="str">
        <f>VLOOKUP(H1137,'Fund Utilization Report'!$A$4:$U$1800,3,FALSE)</f>
        <v>FY2021, RA11518</v>
      </c>
      <c r="V1137" s="239" t="str">
        <f>VLOOKUP(H1137,'Fund Utilization Report'!$A$4:$U$1800,4,FALSE)</f>
        <v>OO4.1(FTL)</v>
      </c>
      <c r="W1137" s="239" t="str">
        <f>VLOOKUP(H1137,'Fund Utilization Report'!$A$4:$U$1800,5,FALSE)</f>
        <v>01101101</v>
      </c>
      <c r="X1137" s="239" t="str">
        <f>VLOOKUP(H1137,'Fund Utilization Report'!$A$4:$U$1800,6,FALSE)</f>
        <v>GOP</v>
      </c>
      <c r="Y1137" s="440" t="str">
        <f>VLOOKUP(H1137,'Fund Utilization Report'!$A$4:$U$1800,7,FALSE)</f>
        <v>PS</v>
      </c>
      <c r="Z1137" s="441">
        <f>VLOOKUP(H1137,'Fund Utilization Report'!$A$4:$U$1800,8,FALSE)</f>
        <v>5010000000</v>
      </c>
      <c r="AA1137" s="239" t="str">
        <f>VLOOKUP(H1137,'Fund Utilization Report'!$A$4:$U$1800,14,FALSE)</f>
        <v>340100100002000</v>
      </c>
      <c r="AB1137" s="242" t="str">
        <f>VLOOKUP(H1137,'Fund Utilization Report'!$A$4:$U$1800,15,FALSE)</f>
        <v>Monitoring and Enforcement of FTL including consumer complaints handling</v>
      </c>
      <c r="AC1137" s="51"/>
      <c r="AD1137" s="435"/>
      <c r="AE1137" s="51"/>
      <c r="AF1137" s="51"/>
      <c r="AG1137" s="442"/>
      <c r="AH1137" s="442"/>
      <c r="AI1137" s="443"/>
    </row>
    <row r="1138" spans="1:35" s="32" customFormat="1" ht="27.6">
      <c r="A1138" s="434" t="s">
        <v>942</v>
      </c>
      <c r="B1138" s="457" t="s">
        <v>946</v>
      </c>
      <c r="C1138" s="233">
        <v>44265</v>
      </c>
      <c r="D1138" s="435" t="s">
        <v>1267</v>
      </c>
      <c r="E1138" s="436" t="s">
        <v>1402</v>
      </c>
      <c r="F1138" s="338">
        <v>0.44375000000000003</v>
      </c>
      <c r="G1138" s="338">
        <v>0.44513888888888892</v>
      </c>
      <c r="H1138" s="338" t="s">
        <v>973</v>
      </c>
      <c r="I1138" s="353">
        <v>734</v>
      </c>
      <c r="J1138" s="338" t="str">
        <f>IFERROR(VLOOKUP(I1138,'Chart of accounts'!A:H,2,FALSE),"")</f>
        <v>50103040 01</v>
      </c>
      <c r="K1138" s="338" t="str">
        <f>IFERROR(VLOOKUP(I1138,'Chart of accounts'!A:H,3,FALSE),"")</f>
        <v>ECIP - Civilian</v>
      </c>
      <c r="L1138" s="338" t="str">
        <f>IFERROR(VLOOKUP(I1138,'Chart of accounts'!A:H,4,FALSE),"")</f>
        <v>50103040 01 - ECIP - Civilian (734)</v>
      </c>
      <c r="M1138" s="361">
        <v>68</v>
      </c>
      <c r="N1138" s="355" t="s">
        <v>764</v>
      </c>
      <c r="O1138" s="355" t="s">
        <v>1384</v>
      </c>
      <c r="P1138" s="355"/>
      <c r="Q1138" s="363">
        <v>300</v>
      </c>
      <c r="R1138" s="319">
        <f t="shared" si="43"/>
        <v>-300</v>
      </c>
      <c r="S1138" s="239" t="str">
        <f>VLOOKUP(H1138,'Fund Utilization Report'!$A$4:$U$1800,13,FALSE)</f>
        <v>PS</v>
      </c>
      <c r="T1138" s="239" t="str">
        <f>VLOOKUP(H1138,'Fund Utilization Report'!$A$4:$U$1800,2,FALSE)</f>
        <v>GAA</v>
      </c>
      <c r="U1138" s="239" t="str">
        <f>VLOOKUP(H1138,'Fund Utilization Report'!$A$4:$U$1800,3,FALSE)</f>
        <v>FY2021, RA11518</v>
      </c>
      <c r="V1138" s="239" t="str">
        <f>VLOOKUP(H1138,'Fund Utilization Report'!$A$4:$U$1800,4,FALSE)</f>
        <v>OO4.1(FTL)</v>
      </c>
      <c r="W1138" s="239" t="str">
        <f>VLOOKUP(H1138,'Fund Utilization Report'!$A$4:$U$1800,5,FALSE)</f>
        <v>01101101</v>
      </c>
      <c r="X1138" s="239" t="str">
        <f>VLOOKUP(H1138,'Fund Utilization Report'!$A$4:$U$1800,6,FALSE)</f>
        <v>GOP</v>
      </c>
      <c r="Y1138" s="440" t="str">
        <f>VLOOKUP(H1138,'Fund Utilization Report'!$A$4:$U$1800,7,FALSE)</f>
        <v>PS</v>
      </c>
      <c r="Z1138" s="441">
        <f>VLOOKUP(H1138,'Fund Utilization Report'!$A$4:$U$1800,8,FALSE)</f>
        <v>5010000000</v>
      </c>
      <c r="AA1138" s="239" t="str">
        <f>VLOOKUP(H1138,'Fund Utilization Report'!$A$4:$U$1800,14,FALSE)</f>
        <v>340100100002000</v>
      </c>
      <c r="AB1138" s="242" t="str">
        <f>VLOOKUP(H1138,'Fund Utilization Report'!$A$4:$U$1800,15,FALSE)</f>
        <v>Monitoring and Enforcement of FTL including consumer complaints handling</v>
      </c>
      <c r="AC1138" s="51"/>
      <c r="AD1138" s="435"/>
      <c r="AE1138" s="51"/>
      <c r="AF1138" s="51"/>
      <c r="AG1138" s="442"/>
      <c r="AH1138" s="442"/>
      <c r="AI1138" s="443"/>
    </row>
    <row r="1139" spans="1:35" s="32" customFormat="1" ht="27.6">
      <c r="A1139" s="434" t="s">
        <v>942</v>
      </c>
      <c r="B1139" s="457" t="s">
        <v>946</v>
      </c>
      <c r="C1139" s="233">
        <v>44265</v>
      </c>
      <c r="D1139" s="435" t="s">
        <v>1267</v>
      </c>
      <c r="E1139" s="436" t="s">
        <v>1403</v>
      </c>
      <c r="F1139" s="338">
        <v>0.44513888888888892</v>
      </c>
      <c r="G1139" s="338">
        <v>0.44930555555555557</v>
      </c>
      <c r="H1139" s="338" t="s">
        <v>999</v>
      </c>
      <c r="I1139" s="353">
        <v>706</v>
      </c>
      <c r="J1139" s="338" t="str">
        <f>IFERROR(VLOOKUP(I1139,'Chart of accounts'!A:H,2,FALSE),"")</f>
        <v>50101020 00</v>
      </c>
      <c r="K1139" s="338" t="str">
        <f>IFERROR(VLOOKUP(I1139,'Chart of accounts'!A:H,3,FALSE),"")</f>
        <v>Basic Salary - Contractual</v>
      </c>
      <c r="L1139" s="338" t="str">
        <f>IFERROR(VLOOKUP(I1139,'Chart of accounts'!A:H,4,FALSE),"")</f>
        <v>50101020 00 - Basic Salary - Contractual (706)</v>
      </c>
      <c r="M1139" s="361">
        <v>68</v>
      </c>
      <c r="N1139" s="355" t="s">
        <v>869</v>
      </c>
      <c r="O1139" s="355" t="s">
        <v>1390</v>
      </c>
      <c r="P1139" s="355"/>
      <c r="Q1139" s="363">
        <v>33575</v>
      </c>
      <c r="R1139" s="319">
        <f t="shared" si="43"/>
        <v>-33575</v>
      </c>
      <c r="S1139" s="239" t="str">
        <f>VLOOKUP(H1139,'Fund Utilization Report'!$A$4:$U$1800,13,FALSE)</f>
        <v>PS</v>
      </c>
      <c r="T1139" s="239" t="str">
        <f>VLOOKUP(H1139,'Fund Utilization Report'!$A$4:$U$1800,2,FALSE)</f>
        <v>SAA15</v>
      </c>
      <c r="U1139" s="239" t="str">
        <f>VLOOKUP(H1139,'Fund Utilization Report'!$A$4:$U$1800,3,FALSE)</f>
        <v>2021-01-0015</v>
      </c>
      <c r="V1139" s="239" t="str">
        <f>VLOOKUP(H1139,'Fund Utilization Report'!$A$4:$U$1800,4,FALSE)</f>
        <v>CARP</v>
      </c>
      <c r="W1139" s="239" t="str">
        <f>VLOOKUP(H1139,'Fund Utilization Report'!$A$4:$U$1800,5,FALSE)</f>
        <v>01101101</v>
      </c>
      <c r="X1139" s="239" t="str">
        <f>VLOOKUP(H1139,'Fund Utilization Report'!$A$4:$U$1800,6,FALSE)</f>
        <v>GOP</v>
      </c>
      <c r="Y1139" s="440">
        <f>VLOOKUP(H1139,'Fund Utilization Report'!$A$4:$U$1800,7,FALSE)</f>
        <v>706</v>
      </c>
      <c r="Z1139" s="441" t="str">
        <f>VLOOKUP(H1139,'Fund Utilization Report'!$A$4:$U$1800,8,FALSE)</f>
        <v>50101020 00</v>
      </c>
      <c r="AA1139" s="239" t="str">
        <f>VLOOKUP(H1139,'Fund Utilization Report'!$A$4:$U$1800,14,FALSE)</f>
        <v>330100100003000</v>
      </c>
      <c r="AB1139" s="242" t="str">
        <f>VLOOKUP(H1139,'Fund Utilization Report'!$A$4:$U$1800,15,FALSE)</f>
        <v>MSME Development Program : Program Beneficiaries Development Component of the Comprehensive Agrarian Reform Program</v>
      </c>
      <c r="AC1139" s="51"/>
      <c r="AD1139" s="435"/>
      <c r="AE1139" s="51"/>
      <c r="AF1139" s="51"/>
      <c r="AG1139" s="442"/>
      <c r="AH1139" s="442"/>
      <c r="AI1139" s="443"/>
    </row>
    <row r="1140" spans="1:35" s="32" customFormat="1" ht="27.6">
      <c r="A1140" s="434" t="s">
        <v>942</v>
      </c>
      <c r="B1140" s="457" t="s">
        <v>946</v>
      </c>
      <c r="C1140" s="233">
        <v>44265</v>
      </c>
      <c r="D1140" s="435" t="s">
        <v>1267</v>
      </c>
      <c r="E1140" s="436" t="s">
        <v>1403</v>
      </c>
      <c r="F1140" s="338">
        <v>0.44513888888888892</v>
      </c>
      <c r="G1140" s="338">
        <v>0.44930555555555557</v>
      </c>
      <c r="H1140" s="338" t="s">
        <v>999</v>
      </c>
      <c r="I1140" s="353">
        <v>711</v>
      </c>
      <c r="J1140" s="338" t="str">
        <f>IFERROR(VLOOKUP(I1140,'Chart of accounts'!A:H,2,FALSE),"")</f>
        <v>50102010 01</v>
      </c>
      <c r="K1140" s="338" t="str">
        <f>IFERROR(VLOOKUP(I1140,'Chart of accounts'!A:H,3,FALSE),"")</f>
        <v>PERA - Civilian</v>
      </c>
      <c r="L1140" s="338" t="str">
        <f>IFERROR(VLOOKUP(I1140,'Chart of accounts'!A:H,4,FALSE),"")</f>
        <v>50102010 01 - PERA - Civilian (711)</v>
      </c>
      <c r="M1140" s="361">
        <v>68</v>
      </c>
      <c r="N1140" s="355" t="s">
        <v>869</v>
      </c>
      <c r="O1140" s="355" t="s">
        <v>1390</v>
      </c>
      <c r="P1140" s="355"/>
      <c r="Q1140" s="363">
        <v>2000</v>
      </c>
      <c r="R1140" s="428">
        <f t="shared" si="43"/>
        <v>-2000</v>
      </c>
      <c r="S1140" s="239" t="str">
        <f>VLOOKUP(H1140,'Fund Utilization Report'!$A$4:$U$1800,13,FALSE)</f>
        <v>PS</v>
      </c>
      <c r="T1140" s="239" t="str">
        <f>VLOOKUP(H1140,'Fund Utilization Report'!$A$4:$U$1800,2,FALSE)</f>
        <v>SAA15</v>
      </c>
      <c r="U1140" s="239" t="str">
        <f>VLOOKUP(H1140,'Fund Utilization Report'!$A$4:$U$1800,3,FALSE)</f>
        <v>2021-01-0015</v>
      </c>
      <c r="V1140" s="239" t="str">
        <f>VLOOKUP(H1140,'Fund Utilization Report'!$A$4:$U$1800,4,FALSE)</f>
        <v>CARP</v>
      </c>
      <c r="W1140" s="239" t="str">
        <f>VLOOKUP(H1140,'Fund Utilization Report'!$A$4:$U$1800,5,FALSE)</f>
        <v>01101101</v>
      </c>
      <c r="X1140" s="239" t="str">
        <f>VLOOKUP(H1140,'Fund Utilization Report'!$A$4:$U$1800,6,FALSE)</f>
        <v>GOP</v>
      </c>
      <c r="Y1140" s="440">
        <f>VLOOKUP(H1140,'Fund Utilization Report'!$A$4:$U$1800,7,FALSE)</f>
        <v>706</v>
      </c>
      <c r="Z1140" s="441" t="str">
        <f>VLOOKUP(H1140,'Fund Utilization Report'!$A$4:$U$1800,8,FALSE)</f>
        <v>50101020 00</v>
      </c>
      <c r="AA1140" s="239" t="str">
        <f>VLOOKUP(H1140,'Fund Utilization Report'!$A$4:$U$1800,14,FALSE)</f>
        <v>330100100003000</v>
      </c>
      <c r="AB1140" s="242" t="str">
        <f>VLOOKUP(H1140,'Fund Utilization Report'!$A$4:$U$1800,15,FALSE)</f>
        <v>MSME Development Program : Program Beneficiaries Development Component of the Comprehensive Agrarian Reform Program</v>
      </c>
      <c r="AC1140" s="51"/>
      <c r="AD1140" s="435"/>
      <c r="AE1140" s="51"/>
      <c r="AF1140" s="51"/>
      <c r="AG1140" s="442"/>
      <c r="AH1140" s="442"/>
      <c r="AI1140" s="443"/>
    </row>
    <row r="1141" spans="1:35" s="32" customFormat="1" ht="27.6">
      <c r="A1141" s="434" t="s">
        <v>942</v>
      </c>
      <c r="B1141" s="457" t="s">
        <v>946</v>
      </c>
      <c r="C1141" s="233">
        <v>44265</v>
      </c>
      <c r="D1141" s="435" t="s">
        <v>1267</v>
      </c>
      <c r="E1141" s="436" t="s">
        <v>1403</v>
      </c>
      <c r="F1141" s="338">
        <v>0.44513888888888892</v>
      </c>
      <c r="G1141" s="338">
        <v>0.44930555555555557</v>
      </c>
      <c r="H1141" s="338" t="s">
        <v>999</v>
      </c>
      <c r="I1141" s="353">
        <v>731</v>
      </c>
      <c r="J1141" s="338" t="str">
        <f>IFERROR(VLOOKUP(I1141,'Chart of accounts'!A:H,2,FALSE),"")</f>
        <v>50103010 00</v>
      </c>
      <c r="K1141" s="338" t="str">
        <f>IFERROR(VLOOKUP(I1141,'Chart of accounts'!A:H,3,FALSE),"")</f>
        <v>Retirement and Life Insurance Premiums</v>
      </c>
      <c r="L1141" s="338" t="str">
        <f>IFERROR(VLOOKUP(I1141,'Chart of accounts'!A:H,4,FALSE),"")</f>
        <v>50103010 00 - Retirement and Life Insurance Premiums (731)</v>
      </c>
      <c r="M1141" s="361">
        <v>68</v>
      </c>
      <c r="N1141" s="355" t="s">
        <v>869</v>
      </c>
      <c r="O1141" s="355" t="s">
        <v>1390</v>
      </c>
      <c r="P1141" s="355"/>
      <c r="Q1141" s="363">
        <v>4029</v>
      </c>
      <c r="R1141" s="428">
        <f t="shared" si="43"/>
        <v>-4029</v>
      </c>
      <c r="S1141" s="239" t="str">
        <f>VLOOKUP(H1141,'Fund Utilization Report'!$A$4:$U$1800,13,FALSE)</f>
        <v>PS</v>
      </c>
      <c r="T1141" s="239" t="str">
        <f>VLOOKUP(H1141,'Fund Utilization Report'!$A$4:$U$1800,2,FALSE)</f>
        <v>SAA15</v>
      </c>
      <c r="U1141" s="239" t="str">
        <f>VLOOKUP(H1141,'Fund Utilization Report'!$A$4:$U$1800,3,FALSE)</f>
        <v>2021-01-0015</v>
      </c>
      <c r="V1141" s="239" t="str">
        <f>VLOOKUP(H1141,'Fund Utilization Report'!$A$4:$U$1800,4,FALSE)</f>
        <v>CARP</v>
      </c>
      <c r="W1141" s="239" t="str">
        <f>VLOOKUP(H1141,'Fund Utilization Report'!$A$4:$U$1800,5,FALSE)</f>
        <v>01101101</v>
      </c>
      <c r="X1141" s="239" t="str">
        <f>VLOOKUP(H1141,'Fund Utilization Report'!$A$4:$U$1800,6,FALSE)</f>
        <v>GOP</v>
      </c>
      <c r="Y1141" s="440">
        <f>VLOOKUP(H1141,'Fund Utilization Report'!$A$4:$U$1800,7,FALSE)</f>
        <v>706</v>
      </c>
      <c r="Z1141" s="441" t="str">
        <f>VLOOKUP(H1141,'Fund Utilization Report'!$A$4:$U$1800,8,FALSE)</f>
        <v>50101020 00</v>
      </c>
      <c r="AA1141" s="239" t="str">
        <f>VLOOKUP(H1141,'Fund Utilization Report'!$A$4:$U$1800,14,FALSE)</f>
        <v>330100100003000</v>
      </c>
      <c r="AB1141" s="242" t="str">
        <f>VLOOKUP(H1141,'Fund Utilization Report'!$A$4:$U$1800,15,FALSE)</f>
        <v>MSME Development Program : Program Beneficiaries Development Component of the Comprehensive Agrarian Reform Program</v>
      </c>
      <c r="AC1141" s="51"/>
      <c r="AD1141" s="435"/>
      <c r="AE1141" s="51"/>
      <c r="AF1141" s="51"/>
      <c r="AG1141" s="442"/>
      <c r="AH1141" s="442"/>
      <c r="AI1141" s="443"/>
    </row>
    <row r="1142" spans="1:35" s="32" customFormat="1" ht="27.6">
      <c r="A1142" s="434" t="s">
        <v>942</v>
      </c>
      <c r="B1142" s="457" t="s">
        <v>946</v>
      </c>
      <c r="C1142" s="233">
        <v>44265</v>
      </c>
      <c r="D1142" s="435" t="s">
        <v>1267</v>
      </c>
      <c r="E1142" s="436" t="s">
        <v>1403</v>
      </c>
      <c r="F1142" s="338">
        <v>0.44513888888888892</v>
      </c>
      <c r="G1142" s="338">
        <v>0.44930555555555557</v>
      </c>
      <c r="H1142" s="338" t="s">
        <v>999</v>
      </c>
      <c r="I1142" s="353">
        <v>732</v>
      </c>
      <c r="J1142" s="338" t="str">
        <f>IFERROR(VLOOKUP(I1142,'Chart of accounts'!A:H,2,FALSE),"")</f>
        <v>50103020 01</v>
      </c>
      <c r="K1142" s="338" t="str">
        <f>IFERROR(VLOOKUP(I1142,'Chart of accounts'!A:H,3,FALSE),"")</f>
        <v>Pag-IBIG - Civilian</v>
      </c>
      <c r="L1142" s="338" t="str">
        <f>IFERROR(VLOOKUP(I1142,'Chart of accounts'!A:H,4,FALSE),"")</f>
        <v>50103020 01 - Pag-IBIG - Civilian (732)</v>
      </c>
      <c r="M1142" s="361">
        <v>68</v>
      </c>
      <c r="N1142" s="355" t="s">
        <v>869</v>
      </c>
      <c r="O1142" s="355" t="s">
        <v>1390</v>
      </c>
      <c r="P1142" s="355"/>
      <c r="Q1142" s="363">
        <v>100</v>
      </c>
      <c r="R1142" s="428">
        <f t="shared" si="43"/>
        <v>-100</v>
      </c>
      <c r="S1142" s="239" t="str">
        <f>VLOOKUP(H1142,'Fund Utilization Report'!$A$4:$U$1800,13,FALSE)</f>
        <v>PS</v>
      </c>
      <c r="T1142" s="239" t="str">
        <f>VLOOKUP(H1142,'Fund Utilization Report'!$A$4:$U$1800,2,FALSE)</f>
        <v>SAA15</v>
      </c>
      <c r="U1142" s="239" t="str">
        <f>VLOOKUP(H1142,'Fund Utilization Report'!$A$4:$U$1800,3,FALSE)</f>
        <v>2021-01-0015</v>
      </c>
      <c r="V1142" s="239" t="str">
        <f>VLOOKUP(H1142,'Fund Utilization Report'!$A$4:$U$1800,4,FALSE)</f>
        <v>CARP</v>
      </c>
      <c r="W1142" s="239" t="str">
        <f>VLOOKUP(H1142,'Fund Utilization Report'!$A$4:$U$1800,5,FALSE)</f>
        <v>01101101</v>
      </c>
      <c r="X1142" s="239" t="str">
        <f>VLOOKUP(H1142,'Fund Utilization Report'!$A$4:$U$1800,6,FALSE)</f>
        <v>GOP</v>
      </c>
      <c r="Y1142" s="440">
        <f>VLOOKUP(H1142,'Fund Utilization Report'!$A$4:$U$1800,7,FALSE)</f>
        <v>706</v>
      </c>
      <c r="Z1142" s="441" t="str">
        <f>VLOOKUP(H1142,'Fund Utilization Report'!$A$4:$U$1800,8,FALSE)</f>
        <v>50101020 00</v>
      </c>
      <c r="AA1142" s="239" t="str">
        <f>VLOOKUP(H1142,'Fund Utilization Report'!$A$4:$U$1800,14,FALSE)</f>
        <v>330100100003000</v>
      </c>
      <c r="AB1142" s="242" t="str">
        <f>VLOOKUP(H1142,'Fund Utilization Report'!$A$4:$U$1800,15,FALSE)</f>
        <v>MSME Development Program : Program Beneficiaries Development Component of the Comprehensive Agrarian Reform Program</v>
      </c>
      <c r="AC1142" s="51"/>
      <c r="AD1142" s="435"/>
      <c r="AE1142" s="51"/>
      <c r="AF1142" s="51"/>
      <c r="AG1142" s="442"/>
      <c r="AH1142" s="442"/>
      <c r="AI1142" s="443"/>
    </row>
    <row r="1143" spans="1:35" s="32" customFormat="1" ht="27.6">
      <c r="A1143" s="434" t="s">
        <v>942</v>
      </c>
      <c r="B1143" s="457" t="s">
        <v>946</v>
      </c>
      <c r="C1143" s="233">
        <v>44265</v>
      </c>
      <c r="D1143" s="435" t="s">
        <v>1267</v>
      </c>
      <c r="E1143" s="436" t="s">
        <v>1403</v>
      </c>
      <c r="F1143" s="338">
        <v>0.44513888888888892</v>
      </c>
      <c r="G1143" s="338">
        <v>0.44930555555555557</v>
      </c>
      <c r="H1143" s="338" t="s">
        <v>999</v>
      </c>
      <c r="I1143" s="353">
        <v>733</v>
      </c>
      <c r="J1143" s="338" t="str">
        <f>IFERROR(VLOOKUP(I1143,'Chart of accounts'!A:H,2,FALSE),"")</f>
        <v>50103030 01</v>
      </c>
      <c r="K1143" s="338" t="str">
        <f>IFERROR(VLOOKUP(I1143,'Chart of accounts'!A:H,3,FALSE),"")</f>
        <v>PhilHealth - Civilian</v>
      </c>
      <c r="L1143" s="338" t="str">
        <f>IFERROR(VLOOKUP(I1143,'Chart of accounts'!A:H,4,FALSE),"")</f>
        <v>50103030 01 - PhilHealth - Civilian (733)</v>
      </c>
      <c r="M1143" s="361">
        <v>68</v>
      </c>
      <c r="N1143" s="355" t="s">
        <v>869</v>
      </c>
      <c r="O1143" s="355" t="s">
        <v>1390</v>
      </c>
      <c r="P1143" s="355"/>
      <c r="Q1143" s="363">
        <v>503.63</v>
      </c>
      <c r="R1143" s="428">
        <f t="shared" si="43"/>
        <v>-503.63</v>
      </c>
      <c r="S1143" s="239" t="str">
        <f>VLOOKUP(H1143,'Fund Utilization Report'!$A$4:$U$1800,13,FALSE)</f>
        <v>PS</v>
      </c>
      <c r="T1143" s="239" t="str">
        <f>VLOOKUP(H1143,'Fund Utilization Report'!$A$4:$U$1800,2,FALSE)</f>
        <v>SAA15</v>
      </c>
      <c r="U1143" s="239" t="str">
        <f>VLOOKUP(H1143,'Fund Utilization Report'!$A$4:$U$1800,3,FALSE)</f>
        <v>2021-01-0015</v>
      </c>
      <c r="V1143" s="239" t="str">
        <f>VLOOKUP(H1143,'Fund Utilization Report'!$A$4:$U$1800,4,FALSE)</f>
        <v>CARP</v>
      </c>
      <c r="W1143" s="239" t="str">
        <f>VLOOKUP(H1143,'Fund Utilization Report'!$A$4:$U$1800,5,FALSE)</f>
        <v>01101101</v>
      </c>
      <c r="X1143" s="239" t="str">
        <f>VLOOKUP(H1143,'Fund Utilization Report'!$A$4:$U$1800,6,FALSE)</f>
        <v>GOP</v>
      </c>
      <c r="Y1143" s="440">
        <f>VLOOKUP(H1143,'Fund Utilization Report'!$A$4:$U$1800,7,FALSE)</f>
        <v>706</v>
      </c>
      <c r="Z1143" s="441" t="str">
        <f>VLOOKUP(H1143,'Fund Utilization Report'!$A$4:$U$1800,8,FALSE)</f>
        <v>50101020 00</v>
      </c>
      <c r="AA1143" s="239" t="str">
        <f>VLOOKUP(H1143,'Fund Utilization Report'!$A$4:$U$1800,14,FALSE)</f>
        <v>330100100003000</v>
      </c>
      <c r="AB1143" s="242" t="str">
        <f>VLOOKUP(H1143,'Fund Utilization Report'!$A$4:$U$1800,15,FALSE)</f>
        <v>MSME Development Program : Program Beneficiaries Development Component of the Comprehensive Agrarian Reform Program</v>
      </c>
      <c r="AC1143" s="51"/>
      <c r="AD1143" s="435"/>
      <c r="AE1143" s="51"/>
      <c r="AF1143" s="51"/>
      <c r="AG1143" s="442"/>
      <c r="AH1143" s="442"/>
      <c r="AI1143" s="443"/>
    </row>
    <row r="1144" spans="1:35" s="32" customFormat="1" ht="27.6">
      <c r="A1144" s="434" t="s">
        <v>942</v>
      </c>
      <c r="B1144" s="457" t="s">
        <v>946</v>
      </c>
      <c r="C1144" s="233">
        <v>44265</v>
      </c>
      <c r="D1144" s="435" t="s">
        <v>1267</v>
      </c>
      <c r="E1144" s="436" t="s">
        <v>1403</v>
      </c>
      <c r="F1144" s="338">
        <v>0.44513888888888892</v>
      </c>
      <c r="G1144" s="338">
        <v>0.44930555555555557</v>
      </c>
      <c r="H1144" s="338" t="s">
        <v>999</v>
      </c>
      <c r="I1144" s="353">
        <v>734</v>
      </c>
      <c r="J1144" s="338" t="str">
        <f>IFERROR(VLOOKUP(I1144,'Chart of accounts'!A:H,2,FALSE),"")</f>
        <v>50103040 01</v>
      </c>
      <c r="K1144" s="338" t="str">
        <f>IFERROR(VLOOKUP(I1144,'Chart of accounts'!A:H,3,FALSE),"")</f>
        <v>ECIP - Civilian</v>
      </c>
      <c r="L1144" s="338" t="str">
        <f>IFERROR(VLOOKUP(I1144,'Chart of accounts'!A:H,4,FALSE),"")</f>
        <v>50103040 01 - ECIP - Civilian (734)</v>
      </c>
      <c r="M1144" s="361">
        <v>68</v>
      </c>
      <c r="N1144" s="355" t="s">
        <v>869</v>
      </c>
      <c r="O1144" s="355" t="s">
        <v>1390</v>
      </c>
      <c r="P1144" s="355"/>
      <c r="Q1144" s="363">
        <v>100</v>
      </c>
      <c r="R1144" s="319">
        <f t="shared" si="43"/>
        <v>-100</v>
      </c>
      <c r="S1144" s="239" t="str">
        <f>VLOOKUP(H1144,'Fund Utilization Report'!$A$4:$U$1800,13,FALSE)</f>
        <v>PS</v>
      </c>
      <c r="T1144" s="239" t="str">
        <f>VLOOKUP(H1144,'Fund Utilization Report'!$A$4:$U$1800,2,FALSE)</f>
        <v>SAA15</v>
      </c>
      <c r="U1144" s="239" t="str">
        <f>VLOOKUP(H1144,'Fund Utilization Report'!$A$4:$U$1800,3,FALSE)</f>
        <v>2021-01-0015</v>
      </c>
      <c r="V1144" s="239" t="str">
        <f>VLOOKUP(H1144,'Fund Utilization Report'!$A$4:$U$1800,4,FALSE)</f>
        <v>CARP</v>
      </c>
      <c r="W1144" s="239" t="str">
        <f>VLOOKUP(H1144,'Fund Utilization Report'!$A$4:$U$1800,5,FALSE)</f>
        <v>01101101</v>
      </c>
      <c r="X1144" s="239" t="str">
        <f>VLOOKUP(H1144,'Fund Utilization Report'!$A$4:$U$1800,6,FALSE)</f>
        <v>GOP</v>
      </c>
      <c r="Y1144" s="440">
        <f>VLOOKUP(H1144,'Fund Utilization Report'!$A$4:$U$1800,7,FALSE)</f>
        <v>706</v>
      </c>
      <c r="Z1144" s="441" t="str">
        <f>VLOOKUP(H1144,'Fund Utilization Report'!$A$4:$U$1800,8,FALSE)</f>
        <v>50101020 00</v>
      </c>
      <c r="AA1144" s="239" t="str">
        <f>VLOOKUP(H1144,'Fund Utilization Report'!$A$4:$U$1800,14,FALSE)</f>
        <v>330100100003000</v>
      </c>
      <c r="AB1144" s="242" t="str">
        <f>VLOOKUP(H1144,'Fund Utilization Report'!$A$4:$U$1800,15,FALSE)</f>
        <v>MSME Development Program : Program Beneficiaries Development Component of the Comprehensive Agrarian Reform Program</v>
      </c>
      <c r="AC1144" s="51"/>
      <c r="AD1144" s="435"/>
      <c r="AE1144" s="51"/>
      <c r="AF1144" s="51"/>
      <c r="AG1144" s="442"/>
      <c r="AH1144" s="442"/>
      <c r="AI1144" s="443"/>
    </row>
    <row r="1145" spans="1:35" s="32" customFormat="1" ht="27.6">
      <c r="A1145" s="434" t="s">
        <v>942</v>
      </c>
      <c r="B1145" s="457" t="s">
        <v>946</v>
      </c>
      <c r="C1145" s="233">
        <v>44266</v>
      </c>
      <c r="D1145" s="435" t="s">
        <v>1267</v>
      </c>
      <c r="E1145" s="436" t="s">
        <v>1405</v>
      </c>
      <c r="F1145" s="338">
        <v>0.35416666666666669</v>
      </c>
      <c r="G1145" s="338">
        <v>0.35486111111111113</v>
      </c>
      <c r="H1145" s="338" t="s">
        <v>970</v>
      </c>
      <c r="I1145" s="353">
        <v>701</v>
      </c>
      <c r="J1145" s="338" t="str">
        <f>IFERROR(VLOOKUP(I1145,'Chart of accounts'!A:H,2,FALSE),"")</f>
        <v>50101010 01</v>
      </c>
      <c r="K1145" s="338" t="str">
        <f>IFERROR(VLOOKUP(I1145,'Chart of accounts'!A:H,3,FALSE),"")</f>
        <v>Basic Salary - Civilian</v>
      </c>
      <c r="L1145" s="338" t="str">
        <f>IFERROR(VLOOKUP(I1145,'Chart of accounts'!A:H,4,FALSE),"")</f>
        <v>50101010 01 - Basic Salary - Civilian (701)</v>
      </c>
      <c r="M1145" s="361">
        <v>3</v>
      </c>
      <c r="N1145" s="355" t="s">
        <v>1170</v>
      </c>
      <c r="O1145" s="355" t="s">
        <v>1406</v>
      </c>
      <c r="P1145" s="355"/>
      <c r="Q1145" s="363">
        <v>23877</v>
      </c>
      <c r="R1145" s="319">
        <f t="shared" si="43"/>
        <v>-23877</v>
      </c>
      <c r="S1145" s="239" t="str">
        <f>VLOOKUP(H1145,'Fund Utilization Report'!$A$4:$U$1800,13,FALSE)</f>
        <v>PS</v>
      </c>
      <c r="T1145" s="239" t="str">
        <f>VLOOKUP(H1145,'Fund Utilization Report'!$A$4:$U$1800,2,FALSE)</f>
        <v>GAA</v>
      </c>
      <c r="U1145" s="239" t="str">
        <f>VLOOKUP(H1145,'Fund Utilization Report'!$A$4:$U$1800,3,FALSE)</f>
        <v>FY2021, RA11518</v>
      </c>
      <c r="V1145" s="239" t="str">
        <f>VLOOKUP(H1145,'Fund Utilization Report'!$A$4:$U$1800,4,FALSE)</f>
        <v>OO3</v>
      </c>
      <c r="W1145" s="239" t="str">
        <f>VLOOKUP(H1145,'Fund Utilization Report'!$A$4:$U$1800,5,FALSE)</f>
        <v>01101101</v>
      </c>
      <c r="X1145" s="239" t="str">
        <f>VLOOKUP(H1145,'Fund Utilization Report'!$A$4:$U$1800,6,FALSE)</f>
        <v>GOP</v>
      </c>
      <c r="Y1145" s="440" t="str">
        <f>VLOOKUP(H1145,'Fund Utilization Report'!$A$4:$U$1800,7,FALSE)</f>
        <v>PS</v>
      </c>
      <c r="Z1145" s="441">
        <f>VLOOKUP(H1145,'Fund Utilization Report'!$A$4:$U$1800,8,FALSE)</f>
        <v>5010000000</v>
      </c>
      <c r="AA1145" s="239" t="str">
        <f>VLOOKUP(H1145,'Fund Utilization Report'!$A$4:$U$1800,14,FALSE)</f>
        <v>330100100002000</v>
      </c>
      <c r="AB1145" s="242" t="str">
        <f>VLOOKUP(H1145,'Fund Utilization Report'!$A$4:$U$1800,15,FALSE)</f>
        <v>Implementation of the MSME Development Plan and other initiatives to promote the growth of Micro, Small and Medium Enterprises</v>
      </c>
      <c r="AC1145" s="51"/>
      <c r="AD1145" s="435"/>
      <c r="AE1145" s="51"/>
      <c r="AF1145" s="51"/>
      <c r="AG1145" s="442"/>
      <c r="AH1145" s="442"/>
      <c r="AI1145" s="443"/>
    </row>
    <row r="1146" spans="1:35" s="32" customFormat="1" ht="27.6">
      <c r="A1146" s="434" t="s">
        <v>942</v>
      </c>
      <c r="B1146" s="457" t="s">
        <v>946</v>
      </c>
      <c r="C1146" s="233">
        <v>44266</v>
      </c>
      <c r="D1146" s="435" t="s">
        <v>1267</v>
      </c>
      <c r="E1146" s="436" t="s">
        <v>1405</v>
      </c>
      <c r="F1146" s="338">
        <v>0.35416666666666669</v>
      </c>
      <c r="G1146" s="338">
        <v>0.35486111111111113</v>
      </c>
      <c r="H1146" s="338" t="s">
        <v>970</v>
      </c>
      <c r="I1146" s="353">
        <v>711</v>
      </c>
      <c r="J1146" s="338" t="str">
        <f>IFERROR(VLOOKUP(I1146,'Chart of accounts'!A:H,2,FALSE),"")</f>
        <v>50102010 01</v>
      </c>
      <c r="K1146" s="338" t="str">
        <f>IFERROR(VLOOKUP(I1146,'Chart of accounts'!A:H,3,FALSE),"")</f>
        <v>PERA - Civilian</v>
      </c>
      <c r="L1146" s="338" t="str">
        <f>IFERROR(VLOOKUP(I1146,'Chart of accounts'!A:H,4,FALSE),"")</f>
        <v>50102010 01 - PERA - Civilian (711)</v>
      </c>
      <c r="M1146" s="361">
        <v>3</v>
      </c>
      <c r="N1146" s="355" t="s">
        <v>1170</v>
      </c>
      <c r="O1146" s="355" t="s">
        <v>1406</v>
      </c>
      <c r="P1146" s="355"/>
      <c r="Q1146" s="363">
        <v>2000</v>
      </c>
      <c r="R1146" s="319">
        <f t="shared" si="43"/>
        <v>-2000</v>
      </c>
      <c r="S1146" s="239" t="str">
        <f>VLOOKUP(H1146,'Fund Utilization Report'!$A$4:$U$1800,13,FALSE)</f>
        <v>PS</v>
      </c>
      <c r="T1146" s="239" t="str">
        <f>VLOOKUP(H1146,'Fund Utilization Report'!$A$4:$U$1800,2,FALSE)</f>
        <v>GAA</v>
      </c>
      <c r="U1146" s="239" t="str">
        <f>VLOOKUP(H1146,'Fund Utilization Report'!$A$4:$U$1800,3,FALSE)</f>
        <v>FY2021, RA11518</v>
      </c>
      <c r="V1146" s="239" t="str">
        <f>VLOOKUP(H1146,'Fund Utilization Report'!$A$4:$U$1800,4,FALSE)</f>
        <v>OO3</v>
      </c>
      <c r="W1146" s="239" t="str">
        <f>VLOOKUP(H1146,'Fund Utilization Report'!$A$4:$U$1800,5,FALSE)</f>
        <v>01101101</v>
      </c>
      <c r="X1146" s="239" t="str">
        <f>VLOOKUP(H1146,'Fund Utilization Report'!$A$4:$U$1800,6,FALSE)</f>
        <v>GOP</v>
      </c>
      <c r="Y1146" s="440" t="str">
        <f>VLOOKUP(H1146,'Fund Utilization Report'!$A$4:$U$1800,7,FALSE)</f>
        <v>PS</v>
      </c>
      <c r="Z1146" s="441">
        <f>VLOOKUP(H1146,'Fund Utilization Report'!$A$4:$U$1800,8,FALSE)</f>
        <v>5010000000</v>
      </c>
      <c r="AA1146" s="239" t="str">
        <f>VLOOKUP(H1146,'Fund Utilization Report'!$A$4:$U$1800,14,FALSE)</f>
        <v>330100100002000</v>
      </c>
      <c r="AB1146" s="242" t="str">
        <f>VLOOKUP(H1146,'Fund Utilization Report'!$A$4:$U$1800,15,FALSE)</f>
        <v>Implementation of the MSME Development Plan and other initiatives to promote the growth of Micro, Small and Medium Enterprises</v>
      </c>
      <c r="AC1146" s="51"/>
      <c r="AD1146" s="435"/>
      <c r="AE1146" s="51"/>
      <c r="AF1146" s="51"/>
      <c r="AG1146" s="442"/>
      <c r="AH1146" s="442"/>
      <c r="AI1146" s="443"/>
    </row>
    <row r="1147" spans="1:35" s="32" customFormat="1" ht="27.6">
      <c r="A1147" s="434" t="s">
        <v>942</v>
      </c>
      <c r="B1147" s="457" t="s">
        <v>946</v>
      </c>
      <c r="C1147" s="233">
        <v>44266</v>
      </c>
      <c r="D1147" s="435" t="s">
        <v>1267</v>
      </c>
      <c r="E1147" s="436" t="s">
        <v>1405</v>
      </c>
      <c r="F1147" s="338">
        <v>0.35416666666666669</v>
      </c>
      <c r="G1147" s="338">
        <v>0.35486111111111113</v>
      </c>
      <c r="H1147" s="338" t="s">
        <v>972</v>
      </c>
      <c r="I1147" s="353">
        <v>731</v>
      </c>
      <c r="J1147" s="338" t="str">
        <f>IFERROR(VLOOKUP(I1147,'Chart of accounts'!A:H,2,FALSE),"")</f>
        <v>50103010 00</v>
      </c>
      <c r="K1147" s="338" t="str">
        <f>IFERROR(VLOOKUP(I1147,'Chart of accounts'!A:H,3,FALSE),"")</f>
        <v>Retirement and Life Insurance Premiums</v>
      </c>
      <c r="L1147" s="338" t="str">
        <f>IFERROR(VLOOKUP(I1147,'Chart of accounts'!A:H,4,FALSE),"")</f>
        <v>50103010 00 - Retirement and Life Insurance Premiums (731)</v>
      </c>
      <c r="M1147" s="361">
        <v>3</v>
      </c>
      <c r="N1147" s="355" t="s">
        <v>1170</v>
      </c>
      <c r="O1147" s="355" t="s">
        <v>1406</v>
      </c>
      <c r="P1147" s="355"/>
      <c r="Q1147" s="363">
        <v>2865.24</v>
      </c>
      <c r="R1147" s="319">
        <f t="shared" si="43"/>
        <v>-2865.24</v>
      </c>
      <c r="S1147" s="239" t="str">
        <f>VLOOKUP(H1147,'Fund Utilization Report'!$A$4:$U$1800,13,FALSE)</f>
        <v>PS</v>
      </c>
      <c r="T1147" s="239" t="str">
        <f>VLOOKUP(H1147,'Fund Utilization Report'!$A$4:$U$1800,2,FALSE)</f>
        <v>GAA</v>
      </c>
      <c r="U1147" s="239" t="str">
        <f>VLOOKUP(H1147,'Fund Utilization Report'!$A$4:$U$1800,3,FALSE)</f>
        <v>FY2021, RA11518</v>
      </c>
      <c r="V1147" s="239" t="str">
        <f>VLOOKUP(H1147,'Fund Utilization Report'!$A$4:$U$1800,4,FALSE)</f>
        <v>OO3</v>
      </c>
      <c r="W1147" s="239" t="str">
        <f>VLOOKUP(H1147,'Fund Utilization Report'!$A$4:$U$1800,5,FALSE)</f>
        <v>01101101</v>
      </c>
      <c r="X1147" s="239" t="str">
        <f>VLOOKUP(H1147,'Fund Utilization Report'!$A$4:$U$1800,6,FALSE)</f>
        <v>GOP</v>
      </c>
      <c r="Y1147" s="440" t="str">
        <f>VLOOKUP(H1147,'Fund Utilization Report'!$A$4:$U$1800,7,FALSE)</f>
        <v>RLIP</v>
      </c>
      <c r="Z1147" s="441" t="str">
        <f>VLOOKUP(H1147,'Fund Utilization Report'!$A$4:$U$1800,8,FALSE)</f>
        <v>50103010-00</v>
      </c>
      <c r="AA1147" s="239" t="str">
        <f>VLOOKUP(H1147,'Fund Utilization Report'!$A$4:$U$1800,14,FALSE)</f>
        <v>330100100002000</v>
      </c>
      <c r="AB1147" s="242" t="str">
        <f>VLOOKUP(H1147,'Fund Utilization Report'!$A$4:$U$1800,15,FALSE)</f>
        <v>Implementation of the MSME Development Plan and other initiatives to promote the growth of Micro, Small and Medium Enterprises</v>
      </c>
      <c r="AC1147" s="51"/>
      <c r="AD1147" s="435"/>
      <c r="AE1147" s="51"/>
      <c r="AF1147" s="51"/>
      <c r="AG1147" s="442"/>
      <c r="AH1147" s="442"/>
      <c r="AI1147" s="443"/>
    </row>
    <row r="1148" spans="1:35" s="32" customFormat="1" ht="27.6">
      <c r="A1148" s="434" t="s">
        <v>942</v>
      </c>
      <c r="B1148" s="457" t="s">
        <v>946</v>
      </c>
      <c r="C1148" s="233">
        <v>44266</v>
      </c>
      <c r="D1148" s="435" t="s">
        <v>1267</v>
      </c>
      <c r="E1148" s="436" t="s">
        <v>1405</v>
      </c>
      <c r="F1148" s="338">
        <v>0.35416666666666669</v>
      </c>
      <c r="G1148" s="338">
        <v>0.35486111111111113</v>
      </c>
      <c r="H1148" s="338" t="s">
        <v>970</v>
      </c>
      <c r="I1148" s="353">
        <v>732</v>
      </c>
      <c r="J1148" s="338" t="str">
        <f>IFERROR(VLOOKUP(I1148,'Chart of accounts'!A:H,2,FALSE),"")</f>
        <v>50103020 01</v>
      </c>
      <c r="K1148" s="338" t="str">
        <f>IFERROR(VLOOKUP(I1148,'Chart of accounts'!A:H,3,FALSE),"")</f>
        <v>Pag-IBIG - Civilian</v>
      </c>
      <c r="L1148" s="338" t="str">
        <f>IFERROR(VLOOKUP(I1148,'Chart of accounts'!A:H,4,FALSE),"")</f>
        <v>50103020 01 - Pag-IBIG - Civilian (732)</v>
      </c>
      <c r="M1148" s="361">
        <v>3</v>
      </c>
      <c r="N1148" s="355" t="s">
        <v>1170</v>
      </c>
      <c r="O1148" s="355" t="s">
        <v>1406</v>
      </c>
      <c r="P1148" s="355"/>
      <c r="Q1148" s="363">
        <v>100</v>
      </c>
      <c r="R1148" s="319">
        <f t="shared" ref="R1148:R1179" si="44">P1148-Q1148</f>
        <v>-100</v>
      </c>
      <c r="S1148" s="239" t="str">
        <f>VLOOKUP(H1148,'Fund Utilization Report'!$A$4:$U$1800,13,FALSE)</f>
        <v>PS</v>
      </c>
      <c r="T1148" s="239" t="str">
        <f>VLOOKUP(H1148,'Fund Utilization Report'!$A$4:$U$1800,2,FALSE)</f>
        <v>GAA</v>
      </c>
      <c r="U1148" s="239" t="str">
        <f>VLOOKUP(H1148,'Fund Utilization Report'!$A$4:$U$1800,3,FALSE)</f>
        <v>FY2021, RA11518</v>
      </c>
      <c r="V1148" s="239" t="str">
        <f>VLOOKUP(H1148,'Fund Utilization Report'!$A$4:$U$1800,4,FALSE)</f>
        <v>OO3</v>
      </c>
      <c r="W1148" s="239" t="str">
        <f>VLOOKUP(H1148,'Fund Utilization Report'!$A$4:$U$1800,5,FALSE)</f>
        <v>01101101</v>
      </c>
      <c r="X1148" s="239" t="str">
        <f>VLOOKUP(H1148,'Fund Utilization Report'!$A$4:$U$1800,6,FALSE)</f>
        <v>GOP</v>
      </c>
      <c r="Y1148" s="440" t="str">
        <f>VLOOKUP(H1148,'Fund Utilization Report'!$A$4:$U$1800,7,FALSE)</f>
        <v>PS</v>
      </c>
      <c r="Z1148" s="441">
        <f>VLOOKUP(H1148,'Fund Utilization Report'!$A$4:$U$1800,8,FALSE)</f>
        <v>5010000000</v>
      </c>
      <c r="AA1148" s="239" t="str">
        <f>VLOOKUP(H1148,'Fund Utilization Report'!$A$4:$U$1800,14,FALSE)</f>
        <v>330100100002000</v>
      </c>
      <c r="AB1148" s="242" t="str">
        <f>VLOOKUP(H1148,'Fund Utilization Report'!$A$4:$U$1800,15,FALSE)</f>
        <v>Implementation of the MSME Development Plan and other initiatives to promote the growth of Micro, Small and Medium Enterprises</v>
      </c>
      <c r="AC1148" s="51"/>
      <c r="AD1148" s="435"/>
      <c r="AE1148" s="51"/>
      <c r="AF1148" s="51"/>
      <c r="AG1148" s="442"/>
      <c r="AH1148" s="442"/>
      <c r="AI1148" s="443"/>
    </row>
    <row r="1149" spans="1:35" s="32" customFormat="1" ht="27.6">
      <c r="A1149" s="434" t="s">
        <v>942</v>
      </c>
      <c r="B1149" s="457" t="s">
        <v>946</v>
      </c>
      <c r="C1149" s="233">
        <v>44266</v>
      </c>
      <c r="D1149" s="435" t="s">
        <v>1267</v>
      </c>
      <c r="E1149" s="436" t="s">
        <v>1405</v>
      </c>
      <c r="F1149" s="338">
        <v>0.35416666666666669</v>
      </c>
      <c r="G1149" s="338">
        <v>0.35486111111111113</v>
      </c>
      <c r="H1149" s="338" t="s">
        <v>970</v>
      </c>
      <c r="I1149" s="353">
        <v>733</v>
      </c>
      <c r="J1149" s="338" t="str">
        <f>IFERROR(VLOOKUP(I1149,'Chart of accounts'!A:H,2,FALSE),"")</f>
        <v>50103030 01</v>
      </c>
      <c r="K1149" s="338" t="str">
        <f>IFERROR(VLOOKUP(I1149,'Chart of accounts'!A:H,3,FALSE),"")</f>
        <v>PhilHealth - Civilian</v>
      </c>
      <c r="L1149" s="338" t="str">
        <f>IFERROR(VLOOKUP(I1149,'Chart of accounts'!A:H,4,FALSE),"")</f>
        <v>50103030 01 - PhilHealth - Civilian (733)</v>
      </c>
      <c r="M1149" s="361">
        <v>3</v>
      </c>
      <c r="N1149" s="355" t="s">
        <v>1170</v>
      </c>
      <c r="O1149" s="355" t="s">
        <v>1406</v>
      </c>
      <c r="P1149" s="355"/>
      <c r="Q1149" s="363">
        <v>358.16</v>
      </c>
      <c r="R1149" s="319">
        <f t="shared" si="44"/>
        <v>-358.16</v>
      </c>
      <c r="S1149" s="239" t="str">
        <f>VLOOKUP(H1149,'Fund Utilization Report'!$A$4:$U$1800,13,FALSE)</f>
        <v>PS</v>
      </c>
      <c r="T1149" s="239" t="str">
        <f>VLOOKUP(H1149,'Fund Utilization Report'!$A$4:$U$1800,2,FALSE)</f>
        <v>GAA</v>
      </c>
      <c r="U1149" s="239" t="str">
        <f>VLOOKUP(H1149,'Fund Utilization Report'!$A$4:$U$1800,3,FALSE)</f>
        <v>FY2021, RA11518</v>
      </c>
      <c r="V1149" s="239" t="str">
        <f>VLOOKUP(H1149,'Fund Utilization Report'!$A$4:$U$1800,4,FALSE)</f>
        <v>OO3</v>
      </c>
      <c r="W1149" s="239" t="str">
        <f>VLOOKUP(H1149,'Fund Utilization Report'!$A$4:$U$1800,5,FALSE)</f>
        <v>01101101</v>
      </c>
      <c r="X1149" s="239" t="str">
        <f>VLOOKUP(H1149,'Fund Utilization Report'!$A$4:$U$1800,6,FALSE)</f>
        <v>GOP</v>
      </c>
      <c r="Y1149" s="440" t="str">
        <f>VLOOKUP(H1149,'Fund Utilization Report'!$A$4:$U$1800,7,FALSE)</f>
        <v>PS</v>
      </c>
      <c r="Z1149" s="441">
        <f>VLOOKUP(H1149,'Fund Utilization Report'!$A$4:$U$1800,8,FALSE)</f>
        <v>5010000000</v>
      </c>
      <c r="AA1149" s="239" t="str">
        <f>VLOOKUP(H1149,'Fund Utilization Report'!$A$4:$U$1800,14,FALSE)</f>
        <v>330100100002000</v>
      </c>
      <c r="AB1149" s="242" t="str">
        <f>VLOOKUP(H1149,'Fund Utilization Report'!$A$4:$U$1800,15,FALSE)</f>
        <v>Implementation of the MSME Development Plan and other initiatives to promote the growth of Micro, Small and Medium Enterprises</v>
      </c>
      <c r="AC1149" s="51"/>
      <c r="AD1149" s="435"/>
      <c r="AE1149" s="51"/>
      <c r="AF1149" s="51"/>
      <c r="AG1149" s="442"/>
      <c r="AH1149" s="442"/>
      <c r="AI1149" s="443"/>
    </row>
    <row r="1150" spans="1:35" s="32" customFormat="1" ht="27.6">
      <c r="A1150" s="434" t="s">
        <v>942</v>
      </c>
      <c r="B1150" s="457" t="s">
        <v>946</v>
      </c>
      <c r="C1150" s="233">
        <v>44266</v>
      </c>
      <c r="D1150" s="435" t="s">
        <v>1267</v>
      </c>
      <c r="E1150" s="436" t="s">
        <v>1405</v>
      </c>
      <c r="F1150" s="338">
        <v>0.35416666666666669</v>
      </c>
      <c r="G1150" s="338">
        <v>0.35486111111111113</v>
      </c>
      <c r="H1150" s="338" t="s">
        <v>970</v>
      </c>
      <c r="I1150" s="353">
        <v>734</v>
      </c>
      <c r="J1150" s="338" t="str">
        <f>IFERROR(VLOOKUP(I1150,'Chart of accounts'!A:H,2,FALSE),"")</f>
        <v>50103040 01</v>
      </c>
      <c r="K1150" s="338" t="str">
        <f>IFERROR(VLOOKUP(I1150,'Chart of accounts'!A:H,3,FALSE),"")</f>
        <v>ECIP - Civilian</v>
      </c>
      <c r="L1150" s="338" t="str">
        <f>IFERROR(VLOOKUP(I1150,'Chart of accounts'!A:H,4,FALSE),"")</f>
        <v>50103040 01 - ECIP - Civilian (734)</v>
      </c>
      <c r="M1150" s="361">
        <v>3</v>
      </c>
      <c r="N1150" s="355" t="s">
        <v>1170</v>
      </c>
      <c r="O1150" s="355" t="s">
        <v>1406</v>
      </c>
      <c r="P1150" s="355"/>
      <c r="Q1150" s="363">
        <v>100</v>
      </c>
      <c r="R1150" s="319">
        <f t="shared" si="44"/>
        <v>-100</v>
      </c>
      <c r="S1150" s="239" t="str">
        <f>VLOOKUP(H1150,'Fund Utilization Report'!$A$4:$U$1800,13,FALSE)</f>
        <v>PS</v>
      </c>
      <c r="T1150" s="239" t="str">
        <f>VLOOKUP(H1150,'Fund Utilization Report'!$A$4:$U$1800,2,FALSE)</f>
        <v>GAA</v>
      </c>
      <c r="U1150" s="239" t="str">
        <f>VLOOKUP(H1150,'Fund Utilization Report'!$A$4:$U$1800,3,FALSE)</f>
        <v>FY2021, RA11518</v>
      </c>
      <c r="V1150" s="239" t="str">
        <f>VLOOKUP(H1150,'Fund Utilization Report'!$A$4:$U$1800,4,FALSE)</f>
        <v>OO3</v>
      </c>
      <c r="W1150" s="239" t="str">
        <f>VLOOKUP(H1150,'Fund Utilization Report'!$A$4:$U$1800,5,FALSE)</f>
        <v>01101101</v>
      </c>
      <c r="X1150" s="239" t="str">
        <f>VLOOKUP(H1150,'Fund Utilization Report'!$A$4:$U$1800,6,FALSE)</f>
        <v>GOP</v>
      </c>
      <c r="Y1150" s="440" t="str">
        <f>VLOOKUP(H1150,'Fund Utilization Report'!$A$4:$U$1800,7,FALSE)</f>
        <v>PS</v>
      </c>
      <c r="Z1150" s="441">
        <f>VLOOKUP(H1150,'Fund Utilization Report'!$A$4:$U$1800,8,FALSE)</f>
        <v>5010000000</v>
      </c>
      <c r="AA1150" s="239" t="str">
        <f>VLOOKUP(H1150,'Fund Utilization Report'!$A$4:$U$1800,14,FALSE)</f>
        <v>330100100002000</v>
      </c>
      <c r="AB1150" s="242" t="str">
        <f>VLOOKUP(H1150,'Fund Utilization Report'!$A$4:$U$1800,15,FALSE)</f>
        <v>Implementation of the MSME Development Plan and other initiatives to promote the growth of Micro, Small and Medium Enterprises</v>
      </c>
      <c r="AC1150" s="51"/>
      <c r="AD1150" s="435"/>
      <c r="AE1150" s="51"/>
      <c r="AF1150" s="51"/>
      <c r="AG1150" s="442"/>
      <c r="AH1150" s="442"/>
      <c r="AI1150" s="443"/>
    </row>
    <row r="1151" spans="1:35" s="32" customFormat="1" ht="27.6">
      <c r="A1151" s="434" t="s">
        <v>942</v>
      </c>
      <c r="B1151" s="457" t="s">
        <v>946</v>
      </c>
      <c r="C1151" s="233">
        <v>44266</v>
      </c>
      <c r="D1151" s="435" t="s">
        <v>1267</v>
      </c>
      <c r="E1151" s="436" t="s">
        <v>1407</v>
      </c>
      <c r="F1151" s="338">
        <v>0.35486111111111113</v>
      </c>
      <c r="G1151" s="338">
        <v>0.35833333333333334</v>
      </c>
      <c r="H1151" s="338" t="s">
        <v>974</v>
      </c>
      <c r="I1151" s="353">
        <v>773</v>
      </c>
      <c r="J1151" s="338" t="str">
        <f>IFERROR(VLOOKUP(I1151,'Chart of accounts'!A:H,2,FALSE),"")</f>
        <v>50205020 01</v>
      </c>
      <c r="K1151" s="338" t="str">
        <f>IFERROR(VLOOKUP(I1151,'Chart of accounts'!A:H,3,FALSE),"")</f>
        <v xml:space="preserve">Telephone Expenses - Mobile </v>
      </c>
      <c r="L1151" s="338" t="str">
        <f>IFERROR(VLOOKUP(I1151,'Chart of accounts'!A:H,4,FALSE),"")</f>
        <v>50205020 01 - Telephone Expenses - Mobile  (773)</v>
      </c>
      <c r="M1151" s="361" t="s">
        <v>815</v>
      </c>
      <c r="N1151" s="355" t="s">
        <v>1245</v>
      </c>
      <c r="O1151" s="355" t="s">
        <v>1408</v>
      </c>
      <c r="P1151" s="355"/>
      <c r="Q1151" s="363">
        <v>2016</v>
      </c>
      <c r="R1151" s="319">
        <f t="shared" si="44"/>
        <v>-2016</v>
      </c>
      <c r="S1151" s="239" t="str">
        <f>VLOOKUP(H1151,'Fund Utilization Report'!$A$4:$U$1800,13,FALSE)</f>
        <v>MOOE</v>
      </c>
      <c r="T1151" s="239" t="str">
        <f>VLOOKUP(H1151,'Fund Utilization Report'!$A$4:$U$1800,2,FALSE)</f>
        <v>GAA</v>
      </c>
      <c r="U1151" s="239" t="str">
        <f>VLOOKUP(H1151,'Fund Utilization Report'!$A$4:$U$1800,3,FALSE)</f>
        <v>FY2021, RA11518</v>
      </c>
      <c r="V1151" s="239" t="str">
        <f>VLOOKUP(H1151,'Fund Utilization Report'!$A$4:$U$1800,4,FALSE)</f>
        <v>OO4.1(FTL)</v>
      </c>
      <c r="W1151" s="239" t="str">
        <f>VLOOKUP(H1151,'Fund Utilization Report'!$A$4:$U$1800,5,FALSE)</f>
        <v>01101101</v>
      </c>
      <c r="X1151" s="239" t="str">
        <f>VLOOKUP(H1151,'Fund Utilization Report'!$A$4:$U$1800,6,FALSE)</f>
        <v>GOP</v>
      </c>
      <c r="Y1151" s="440" t="str">
        <f>VLOOKUP(H1151,'Fund Utilization Report'!$A$4:$U$1800,7,FALSE)</f>
        <v>MOOE</v>
      </c>
      <c r="Z1151" s="441">
        <f>VLOOKUP(H1151,'Fund Utilization Report'!$A$4:$U$1800,8,FALSE)</f>
        <v>5020000000</v>
      </c>
      <c r="AA1151" s="239" t="str">
        <f>VLOOKUP(H1151,'Fund Utilization Report'!$A$4:$U$1800,14,FALSE)</f>
        <v>340100100002000</v>
      </c>
      <c r="AB1151" s="242" t="str">
        <f>VLOOKUP(H1151,'Fund Utilization Report'!$A$4:$U$1800,15,FALSE)</f>
        <v>Monitoring and Enforcement of FTL including consumer complaints handling</v>
      </c>
      <c r="AC1151" s="51"/>
      <c r="AD1151" s="435"/>
      <c r="AE1151" s="51"/>
      <c r="AF1151" s="51"/>
      <c r="AG1151" s="442"/>
      <c r="AH1151" s="442"/>
      <c r="AI1151" s="443"/>
    </row>
    <row r="1152" spans="1:35" s="32" customFormat="1" ht="27.6">
      <c r="A1152" s="434" t="s">
        <v>942</v>
      </c>
      <c r="B1152" s="457" t="s">
        <v>946</v>
      </c>
      <c r="C1152" s="233">
        <v>44266</v>
      </c>
      <c r="D1152" s="435" t="s">
        <v>1267</v>
      </c>
      <c r="E1152" s="436" t="s">
        <v>1409</v>
      </c>
      <c r="F1152" s="338">
        <v>0.35833333333333334</v>
      </c>
      <c r="G1152" s="338">
        <v>0.36041666666666666</v>
      </c>
      <c r="H1152" s="338" t="s">
        <v>961</v>
      </c>
      <c r="I1152" s="353">
        <v>773</v>
      </c>
      <c r="J1152" s="338" t="str">
        <f>IFERROR(VLOOKUP(I1152,'Chart of accounts'!A:H,2,FALSE),"")</f>
        <v>50205020 01</v>
      </c>
      <c r="K1152" s="338" t="str">
        <f>IFERROR(VLOOKUP(I1152,'Chart of accounts'!A:H,3,FALSE),"")</f>
        <v xml:space="preserve">Telephone Expenses - Mobile </v>
      </c>
      <c r="L1152" s="338" t="str">
        <f>IFERROR(VLOOKUP(I1152,'Chart of accounts'!A:H,4,FALSE),"")</f>
        <v>50205020 01 - Telephone Expenses - Mobile  (773)</v>
      </c>
      <c r="M1152" s="361" t="s">
        <v>812</v>
      </c>
      <c r="N1152" s="355" t="s">
        <v>1245</v>
      </c>
      <c r="O1152" s="355" t="s">
        <v>1248</v>
      </c>
      <c r="P1152" s="355"/>
      <c r="Q1152" s="363">
        <v>1344</v>
      </c>
      <c r="R1152" s="319">
        <f t="shared" si="44"/>
        <v>-1344</v>
      </c>
      <c r="S1152" s="239" t="str">
        <f>VLOOKUP(H1152,'Fund Utilization Report'!$A$4:$U$1800,13,FALSE)</f>
        <v>MOOE</v>
      </c>
      <c r="T1152" s="239" t="str">
        <f>VLOOKUP(H1152,'Fund Utilization Report'!$A$4:$U$1800,2,FALSE)</f>
        <v>GAA</v>
      </c>
      <c r="U1152" s="239" t="str">
        <f>VLOOKUP(H1152,'Fund Utilization Report'!$A$4:$U$1800,3,FALSE)</f>
        <v>FY2021, RA11518</v>
      </c>
      <c r="V1152" s="239" t="str">
        <f>VLOOKUP(H1152,'Fund Utilization Report'!$A$4:$U$1800,4,FALSE)</f>
        <v>GAS(GMS)</v>
      </c>
      <c r="W1152" s="239" t="str">
        <f>VLOOKUP(H1152,'Fund Utilization Report'!$A$4:$U$1800,5,FALSE)</f>
        <v>01101101</v>
      </c>
      <c r="X1152" s="239" t="str">
        <f>VLOOKUP(H1152,'Fund Utilization Report'!$A$4:$U$1800,6,FALSE)</f>
        <v>GOP</v>
      </c>
      <c r="Y1152" s="440" t="str">
        <f>VLOOKUP(H1152,'Fund Utilization Report'!$A$4:$U$1800,7,FALSE)</f>
        <v>MOOE</v>
      </c>
      <c r="Z1152" s="441">
        <f>VLOOKUP(H1152,'Fund Utilization Report'!$A$4:$U$1800,8,FALSE)</f>
        <v>5020000000</v>
      </c>
      <c r="AA1152" s="239" t="str">
        <f>VLOOKUP(H1152,'Fund Utilization Report'!$A$4:$U$1800,14,FALSE)</f>
        <v>100000100001000</v>
      </c>
      <c r="AB1152" s="242" t="str">
        <f>VLOOKUP(H1152,'Fund Utilization Report'!$A$4:$U$1800,15,FALSE)</f>
        <v>General Administration and Supervision - General Management and Supervision</v>
      </c>
      <c r="AC1152" s="51"/>
      <c r="AD1152" s="435"/>
      <c r="AE1152" s="51"/>
      <c r="AF1152" s="51"/>
      <c r="AG1152" s="442"/>
      <c r="AH1152" s="442"/>
      <c r="AI1152" s="443"/>
    </row>
    <row r="1153" spans="1:35" s="32" customFormat="1">
      <c r="A1153" s="434" t="s">
        <v>942</v>
      </c>
      <c r="B1153" s="457" t="s">
        <v>946</v>
      </c>
      <c r="C1153" s="233">
        <v>44266</v>
      </c>
      <c r="D1153" s="435" t="s">
        <v>1267</v>
      </c>
      <c r="E1153" s="436" t="s">
        <v>1410</v>
      </c>
      <c r="F1153" s="338">
        <v>0.36041666666666666</v>
      </c>
      <c r="G1153" s="338">
        <v>0.3611111111111111</v>
      </c>
      <c r="H1153" s="338" t="s">
        <v>974</v>
      </c>
      <c r="I1153" s="353">
        <v>755</v>
      </c>
      <c r="J1153" s="338" t="str">
        <f>IFERROR(VLOOKUP(I1153,'Chart of accounts'!A:H,2,FALSE),"")</f>
        <v>50203010 00</v>
      </c>
      <c r="K1153" s="338" t="str">
        <f>IFERROR(VLOOKUP(I1153,'Chart of accounts'!A:H,3,FALSE),"")</f>
        <v>Office Supplies Expenses</v>
      </c>
      <c r="L1153" s="338" t="str">
        <f>IFERROR(VLOOKUP(I1153,'Chart of accounts'!A:H,4,FALSE),"")</f>
        <v>50203010 00 - Office Supplies Expenses (755)</v>
      </c>
      <c r="M1153" s="361" t="s">
        <v>815</v>
      </c>
      <c r="N1153" s="355" t="s">
        <v>1036</v>
      </c>
      <c r="O1153" s="355" t="s">
        <v>1411</v>
      </c>
      <c r="P1153" s="355"/>
      <c r="Q1153" s="363">
        <v>1651.12</v>
      </c>
      <c r="R1153" s="319">
        <f t="shared" si="44"/>
        <v>-1651.12</v>
      </c>
      <c r="S1153" s="239" t="str">
        <f>VLOOKUP(H1153,'Fund Utilization Report'!$A$4:$U$1800,13,FALSE)</f>
        <v>MOOE</v>
      </c>
      <c r="T1153" s="239" t="str">
        <f>VLOOKUP(H1153,'Fund Utilization Report'!$A$4:$U$1800,2,FALSE)</f>
        <v>GAA</v>
      </c>
      <c r="U1153" s="239" t="str">
        <f>VLOOKUP(H1153,'Fund Utilization Report'!$A$4:$U$1800,3,FALSE)</f>
        <v>FY2021, RA11518</v>
      </c>
      <c r="V1153" s="239" t="str">
        <f>VLOOKUP(H1153,'Fund Utilization Report'!$A$4:$U$1800,4,FALSE)</f>
        <v>OO4.1(FTL)</v>
      </c>
      <c r="W1153" s="239" t="str">
        <f>VLOOKUP(H1153,'Fund Utilization Report'!$A$4:$U$1800,5,FALSE)</f>
        <v>01101101</v>
      </c>
      <c r="X1153" s="239" t="str">
        <f>VLOOKUP(H1153,'Fund Utilization Report'!$A$4:$U$1800,6,FALSE)</f>
        <v>GOP</v>
      </c>
      <c r="Y1153" s="440" t="str">
        <f>VLOOKUP(H1153,'Fund Utilization Report'!$A$4:$U$1800,7,FALSE)</f>
        <v>MOOE</v>
      </c>
      <c r="Z1153" s="441">
        <f>VLOOKUP(H1153,'Fund Utilization Report'!$A$4:$U$1800,8,FALSE)</f>
        <v>5020000000</v>
      </c>
      <c r="AA1153" s="239" t="str">
        <f>VLOOKUP(H1153,'Fund Utilization Report'!$A$4:$U$1800,14,FALSE)</f>
        <v>340100100002000</v>
      </c>
      <c r="AB1153" s="242" t="str">
        <f>VLOOKUP(H1153,'Fund Utilization Report'!$A$4:$U$1800,15,FALSE)</f>
        <v>Monitoring and Enforcement of FTL including consumer complaints handling</v>
      </c>
      <c r="AC1153" s="51"/>
      <c r="AD1153" s="435"/>
      <c r="AE1153" s="51"/>
      <c r="AF1153" s="51"/>
      <c r="AG1153" s="442"/>
      <c r="AH1153" s="442"/>
      <c r="AI1153" s="443"/>
    </row>
    <row r="1154" spans="1:35" s="32" customFormat="1" ht="27.6">
      <c r="A1154" s="434" t="s">
        <v>942</v>
      </c>
      <c r="B1154" s="457" t="s">
        <v>946</v>
      </c>
      <c r="C1154" s="233">
        <v>44266</v>
      </c>
      <c r="D1154" s="435" t="s">
        <v>1267</v>
      </c>
      <c r="E1154" s="436" t="s">
        <v>1412</v>
      </c>
      <c r="F1154" s="338">
        <v>0.3611111111111111</v>
      </c>
      <c r="G1154" s="338">
        <v>0.36388888888888887</v>
      </c>
      <c r="H1154" s="338" t="s">
        <v>970</v>
      </c>
      <c r="I1154" s="353">
        <v>701</v>
      </c>
      <c r="J1154" s="338" t="str">
        <f>IFERROR(VLOOKUP(I1154,'Chart of accounts'!A:H,2,FALSE),"")</f>
        <v>50101010 01</v>
      </c>
      <c r="K1154" s="338" t="str">
        <f>IFERROR(VLOOKUP(I1154,'Chart of accounts'!A:H,3,FALSE),"")</f>
        <v>Basic Salary - Civilian</v>
      </c>
      <c r="L1154" s="338" t="str">
        <f>IFERROR(VLOOKUP(I1154,'Chart of accounts'!A:H,4,FALSE),"")</f>
        <v>50101010 01 - Basic Salary - Civilian (701)</v>
      </c>
      <c r="M1154" s="361">
        <v>2</v>
      </c>
      <c r="N1154" s="355" t="s">
        <v>1172</v>
      </c>
      <c r="O1154" s="355" t="s">
        <v>1394</v>
      </c>
      <c r="P1154" s="355"/>
      <c r="Q1154" s="363">
        <v>23877</v>
      </c>
      <c r="R1154" s="319">
        <f t="shared" si="44"/>
        <v>-23877</v>
      </c>
      <c r="S1154" s="239" t="str">
        <f>VLOOKUP(H1154,'Fund Utilization Report'!$A$4:$U$1800,13,FALSE)</f>
        <v>PS</v>
      </c>
      <c r="T1154" s="239" t="str">
        <f>VLOOKUP(H1154,'Fund Utilization Report'!$A$4:$U$1800,2,FALSE)</f>
        <v>GAA</v>
      </c>
      <c r="U1154" s="239" t="str">
        <f>VLOOKUP(H1154,'Fund Utilization Report'!$A$4:$U$1800,3,FALSE)</f>
        <v>FY2021, RA11518</v>
      </c>
      <c r="V1154" s="239" t="str">
        <f>VLOOKUP(H1154,'Fund Utilization Report'!$A$4:$U$1800,4,FALSE)</f>
        <v>OO3</v>
      </c>
      <c r="W1154" s="239" t="str">
        <f>VLOOKUP(H1154,'Fund Utilization Report'!$A$4:$U$1800,5,FALSE)</f>
        <v>01101101</v>
      </c>
      <c r="X1154" s="239" t="str">
        <f>VLOOKUP(H1154,'Fund Utilization Report'!$A$4:$U$1800,6,FALSE)</f>
        <v>GOP</v>
      </c>
      <c r="Y1154" s="440" t="str">
        <f>VLOOKUP(H1154,'Fund Utilization Report'!$A$4:$U$1800,7,FALSE)</f>
        <v>PS</v>
      </c>
      <c r="Z1154" s="441">
        <f>VLOOKUP(H1154,'Fund Utilization Report'!$A$4:$U$1800,8,FALSE)</f>
        <v>5010000000</v>
      </c>
      <c r="AA1154" s="239" t="str">
        <f>VLOOKUP(H1154,'Fund Utilization Report'!$A$4:$U$1800,14,FALSE)</f>
        <v>330100100002000</v>
      </c>
      <c r="AB1154" s="242" t="str">
        <f>VLOOKUP(H1154,'Fund Utilization Report'!$A$4:$U$1800,15,FALSE)</f>
        <v>Implementation of the MSME Development Plan and other initiatives to promote the growth of Micro, Small and Medium Enterprises</v>
      </c>
      <c r="AC1154" s="51"/>
      <c r="AD1154" s="435"/>
      <c r="AE1154" s="51"/>
      <c r="AF1154" s="51"/>
      <c r="AG1154" s="442"/>
      <c r="AH1154" s="442"/>
      <c r="AI1154" s="443"/>
    </row>
    <row r="1155" spans="1:35" s="32" customFormat="1" ht="27.6">
      <c r="A1155" s="434" t="s">
        <v>942</v>
      </c>
      <c r="B1155" s="457" t="s">
        <v>946</v>
      </c>
      <c r="C1155" s="233">
        <v>44266</v>
      </c>
      <c r="D1155" s="435" t="s">
        <v>1267</v>
      </c>
      <c r="E1155" s="436" t="s">
        <v>1412</v>
      </c>
      <c r="F1155" s="338">
        <v>0.3611111111111111</v>
      </c>
      <c r="G1155" s="338">
        <v>0.36388888888888887</v>
      </c>
      <c r="H1155" s="338" t="s">
        <v>970</v>
      </c>
      <c r="I1155" s="353">
        <v>711</v>
      </c>
      <c r="J1155" s="338" t="str">
        <f>IFERROR(VLOOKUP(I1155,'Chart of accounts'!A:H,2,FALSE),"")</f>
        <v>50102010 01</v>
      </c>
      <c r="K1155" s="338" t="str">
        <f>IFERROR(VLOOKUP(I1155,'Chart of accounts'!A:H,3,FALSE),"")</f>
        <v>PERA - Civilian</v>
      </c>
      <c r="L1155" s="338" t="str">
        <f>IFERROR(VLOOKUP(I1155,'Chart of accounts'!A:H,4,FALSE),"")</f>
        <v>50102010 01 - PERA - Civilian (711)</v>
      </c>
      <c r="M1155" s="361">
        <v>2</v>
      </c>
      <c r="N1155" s="355" t="s">
        <v>1172</v>
      </c>
      <c r="O1155" s="355" t="s">
        <v>1394</v>
      </c>
      <c r="P1155" s="355"/>
      <c r="Q1155" s="363">
        <v>2000</v>
      </c>
      <c r="R1155" s="319">
        <f t="shared" si="44"/>
        <v>-2000</v>
      </c>
      <c r="S1155" s="239" t="str">
        <f>VLOOKUP(H1155,'Fund Utilization Report'!$A$4:$U$1800,13,FALSE)</f>
        <v>PS</v>
      </c>
      <c r="T1155" s="239" t="str">
        <f>VLOOKUP(H1155,'Fund Utilization Report'!$A$4:$U$1800,2,FALSE)</f>
        <v>GAA</v>
      </c>
      <c r="U1155" s="239" t="str">
        <f>VLOOKUP(H1155,'Fund Utilization Report'!$A$4:$U$1800,3,FALSE)</f>
        <v>FY2021, RA11518</v>
      </c>
      <c r="V1155" s="239" t="str">
        <f>VLOOKUP(H1155,'Fund Utilization Report'!$A$4:$U$1800,4,FALSE)</f>
        <v>OO3</v>
      </c>
      <c r="W1155" s="239" t="str">
        <f>VLOOKUP(H1155,'Fund Utilization Report'!$A$4:$U$1800,5,FALSE)</f>
        <v>01101101</v>
      </c>
      <c r="X1155" s="239" t="str">
        <f>VLOOKUP(H1155,'Fund Utilization Report'!$A$4:$U$1800,6,FALSE)</f>
        <v>GOP</v>
      </c>
      <c r="Y1155" s="440" t="str">
        <f>VLOOKUP(H1155,'Fund Utilization Report'!$A$4:$U$1800,7,FALSE)</f>
        <v>PS</v>
      </c>
      <c r="Z1155" s="441">
        <f>VLOOKUP(H1155,'Fund Utilization Report'!$A$4:$U$1800,8,FALSE)</f>
        <v>5010000000</v>
      </c>
      <c r="AA1155" s="239" t="str">
        <f>VLOOKUP(H1155,'Fund Utilization Report'!$A$4:$U$1800,14,FALSE)</f>
        <v>330100100002000</v>
      </c>
      <c r="AB1155" s="242" t="str">
        <f>VLOOKUP(H1155,'Fund Utilization Report'!$A$4:$U$1800,15,FALSE)</f>
        <v>Implementation of the MSME Development Plan and other initiatives to promote the growth of Micro, Small and Medium Enterprises</v>
      </c>
      <c r="AC1155" s="51"/>
      <c r="AD1155" s="435"/>
      <c r="AE1155" s="51"/>
      <c r="AF1155" s="51"/>
      <c r="AG1155" s="442"/>
      <c r="AH1155" s="442"/>
      <c r="AI1155" s="443"/>
    </row>
    <row r="1156" spans="1:35" s="32" customFormat="1" ht="27.6">
      <c r="A1156" s="434" t="s">
        <v>942</v>
      </c>
      <c r="B1156" s="457" t="s">
        <v>946</v>
      </c>
      <c r="C1156" s="233">
        <v>44266</v>
      </c>
      <c r="D1156" s="435" t="s">
        <v>1267</v>
      </c>
      <c r="E1156" s="436" t="s">
        <v>1412</v>
      </c>
      <c r="F1156" s="338">
        <v>0.3611111111111111</v>
      </c>
      <c r="G1156" s="338">
        <v>0.36388888888888887</v>
      </c>
      <c r="H1156" s="338" t="s">
        <v>972</v>
      </c>
      <c r="I1156" s="353">
        <v>731</v>
      </c>
      <c r="J1156" s="338" t="str">
        <f>IFERROR(VLOOKUP(I1156,'Chart of accounts'!A:H,2,FALSE),"")</f>
        <v>50103010 00</v>
      </c>
      <c r="K1156" s="338" t="str">
        <f>IFERROR(VLOOKUP(I1156,'Chart of accounts'!A:H,3,FALSE),"")</f>
        <v>Retirement and Life Insurance Premiums</v>
      </c>
      <c r="L1156" s="338" t="str">
        <f>IFERROR(VLOOKUP(I1156,'Chart of accounts'!A:H,4,FALSE),"")</f>
        <v>50103010 00 - Retirement and Life Insurance Premiums (731)</v>
      </c>
      <c r="M1156" s="361">
        <v>2</v>
      </c>
      <c r="N1156" s="355" t="s">
        <v>1172</v>
      </c>
      <c r="O1156" s="355" t="s">
        <v>1394</v>
      </c>
      <c r="P1156" s="355"/>
      <c r="Q1156" s="363">
        <v>2865.24</v>
      </c>
      <c r="R1156" s="319">
        <f t="shared" si="44"/>
        <v>-2865.24</v>
      </c>
      <c r="S1156" s="239" t="str">
        <f>VLOOKUP(H1156,'Fund Utilization Report'!$A$4:$U$1800,13,FALSE)</f>
        <v>PS</v>
      </c>
      <c r="T1156" s="239" t="str">
        <f>VLOOKUP(H1156,'Fund Utilization Report'!$A$4:$U$1800,2,FALSE)</f>
        <v>GAA</v>
      </c>
      <c r="U1156" s="239" t="str">
        <f>VLOOKUP(H1156,'Fund Utilization Report'!$A$4:$U$1800,3,FALSE)</f>
        <v>FY2021, RA11518</v>
      </c>
      <c r="V1156" s="239" t="str">
        <f>VLOOKUP(H1156,'Fund Utilization Report'!$A$4:$U$1800,4,FALSE)</f>
        <v>OO3</v>
      </c>
      <c r="W1156" s="239" t="str">
        <f>VLOOKUP(H1156,'Fund Utilization Report'!$A$4:$U$1800,5,FALSE)</f>
        <v>01101101</v>
      </c>
      <c r="X1156" s="239" t="str">
        <f>VLOOKUP(H1156,'Fund Utilization Report'!$A$4:$U$1800,6,FALSE)</f>
        <v>GOP</v>
      </c>
      <c r="Y1156" s="440" t="str">
        <f>VLOOKUP(H1156,'Fund Utilization Report'!$A$4:$U$1800,7,FALSE)</f>
        <v>RLIP</v>
      </c>
      <c r="Z1156" s="441" t="str">
        <f>VLOOKUP(H1156,'Fund Utilization Report'!$A$4:$U$1800,8,FALSE)</f>
        <v>50103010-00</v>
      </c>
      <c r="AA1156" s="239" t="str">
        <f>VLOOKUP(H1156,'Fund Utilization Report'!$A$4:$U$1800,14,FALSE)</f>
        <v>330100100002000</v>
      </c>
      <c r="AB1156" s="242" t="str">
        <f>VLOOKUP(H1156,'Fund Utilization Report'!$A$4:$U$1800,15,FALSE)</f>
        <v>Implementation of the MSME Development Plan and other initiatives to promote the growth of Micro, Small and Medium Enterprises</v>
      </c>
      <c r="AC1156" s="51"/>
      <c r="AD1156" s="435"/>
      <c r="AE1156" s="51"/>
      <c r="AF1156" s="51"/>
      <c r="AG1156" s="442"/>
      <c r="AH1156" s="442"/>
      <c r="AI1156" s="443"/>
    </row>
    <row r="1157" spans="1:35" s="32" customFormat="1" ht="27.6">
      <c r="A1157" s="434" t="s">
        <v>942</v>
      </c>
      <c r="B1157" s="457" t="s">
        <v>946</v>
      </c>
      <c r="C1157" s="233">
        <v>44266</v>
      </c>
      <c r="D1157" s="435" t="s">
        <v>1267</v>
      </c>
      <c r="E1157" s="436" t="s">
        <v>1412</v>
      </c>
      <c r="F1157" s="338">
        <v>0.3611111111111111</v>
      </c>
      <c r="G1157" s="338">
        <v>0.36388888888888887</v>
      </c>
      <c r="H1157" s="338" t="s">
        <v>970</v>
      </c>
      <c r="I1157" s="353">
        <v>732</v>
      </c>
      <c r="J1157" s="338" t="str">
        <f>IFERROR(VLOOKUP(I1157,'Chart of accounts'!A:H,2,FALSE),"")</f>
        <v>50103020 01</v>
      </c>
      <c r="K1157" s="338" t="str">
        <f>IFERROR(VLOOKUP(I1157,'Chart of accounts'!A:H,3,FALSE),"")</f>
        <v>Pag-IBIG - Civilian</v>
      </c>
      <c r="L1157" s="338" t="str">
        <f>IFERROR(VLOOKUP(I1157,'Chart of accounts'!A:H,4,FALSE),"")</f>
        <v>50103020 01 - Pag-IBIG - Civilian (732)</v>
      </c>
      <c r="M1157" s="361">
        <v>2</v>
      </c>
      <c r="N1157" s="355" t="s">
        <v>1172</v>
      </c>
      <c r="O1157" s="355" t="s">
        <v>1394</v>
      </c>
      <c r="P1157" s="355"/>
      <c r="Q1157" s="363">
        <v>100</v>
      </c>
      <c r="R1157" s="319">
        <f t="shared" si="44"/>
        <v>-100</v>
      </c>
      <c r="S1157" s="239" t="str">
        <f>VLOOKUP(H1157,'Fund Utilization Report'!$A$4:$U$1800,13,FALSE)</f>
        <v>PS</v>
      </c>
      <c r="T1157" s="239" t="str">
        <f>VLOOKUP(H1157,'Fund Utilization Report'!$A$4:$U$1800,2,FALSE)</f>
        <v>GAA</v>
      </c>
      <c r="U1157" s="239" t="str">
        <f>VLOOKUP(H1157,'Fund Utilization Report'!$A$4:$U$1800,3,FALSE)</f>
        <v>FY2021, RA11518</v>
      </c>
      <c r="V1157" s="239" t="str">
        <f>VLOOKUP(H1157,'Fund Utilization Report'!$A$4:$U$1800,4,FALSE)</f>
        <v>OO3</v>
      </c>
      <c r="W1157" s="239" t="str">
        <f>VLOOKUP(H1157,'Fund Utilization Report'!$A$4:$U$1800,5,FALSE)</f>
        <v>01101101</v>
      </c>
      <c r="X1157" s="239" t="str">
        <f>VLOOKUP(H1157,'Fund Utilization Report'!$A$4:$U$1800,6,FALSE)</f>
        <v>GOP</v>
      </c>
      <c r="Y1157" s="440" t="str">
        <f>VLOOKUP(H1157,'Fund Utilization Report'!$A$4:$U$1800,7,FALSE)</f>
        <v>PS</v>
      </c>
      <c r="Z1157" s="441">
        <f>VLOOKUP(H1157,'Fund Utilization Report'!$A$4:$U$1800,8,FALSE)</f>
        <v>5010000000</v>
      </c>
      <c r="AA1157" s="239" t="str">
        <f>VLOOKUP(H1157,'Fund Utilization Report'!$A$4:$U$1800,14,FALSE)</f>
        <v>330100100002000</v>
      </c>
      <c r="AB1157" s="242" t="str">
        <f>VLOOKUP(H1157,'Fund Utilization Report'!$A$4:$U$1800,15,FALSE)</f>
        <v>Implementation of the MSME Development Plan and other initiatives to promote the growth of Micro, Small and Medium Enterprises</v>
      </c>
      <c r="AC1157" s="51"/>
      <c r="AD1157" s="435"/>
      <c r="AE1157" s="51"/>
      <c r="AF1157" s="51"/>
      <c r="AG1157" s="442"/>
      <c r="AH1157" s="442"/>
      <c r="AI1157" s="443"/>
    </row>
    <row r="1158" spans="1:35" s="32" customFormat="1" ht="27.6">
      <c r="A1158" s="434" t="s">
        <v>942</v>
      </c>
      <c r="B1158" s="457" t="s">
        <v>946</v>
      </c>
      <c r="C1158" s="233">
        <v>44266</v>
      </c>
      <c r="D1158" s="435" t="s">
        <v>1267</v>
      </c>
      <c r="E1158" s="436" t="s">
        <v>1412</v>
      </c>
      <c r="F1158" s="338">
        <v>0.3611111111111111</v>
      </c>
      <c r="G1158" s="338">
        <v>0.36388888888888887</v>
      </c>
      <c r="H1158" s="338" t="s">
        <v>970</v>
      </c>
      <c r="I1158" s="353">
        <v>733</v>
      </c>
      <c r="J1158" s="338" t="str">
        <f>IFERROR(VLOOKUP(I1158,'Chart of accounts'!A:H,2,FALSE),"")</f>
        <v>50103030 01</v>
      </c>
      <c r="K1158" s="338" t="str">
        <f>IFERROR(VLOOKUP(I1158,'Chart of accounts'!A:H,3,FALSE),"")</f>
        <v>PhilHealth - Civilian</v>
      </c>
      <c r="L1158" s="338" t="str">
        <f>IFERROR(VLOOKUP(I1158,'Chart of accounts'!A:H,4,FALSE),"")</f>
        <v>50103030 01 - PhilHealth - Civilian (733)</v>
      </c>
      <c r="M1158" s="361">
        <v>2</v>
      </c>
      <c r="N1158" s="355" t="s">
        <v>1172</v>
      </c>
      <c r="O1158" s="355" t="s">
        <v>1394</v>
      </c>
      <c r="P1158" s="355"/>
      <c r="Q1158" s="363">
        <v>358.16</v>
      </c>
      <c r="R1158" s="319">
        <f t="shared" si="44"/>
        <v>-358.16</v>
      </c>
      <c r="S1158" s="239" t="str">
        <f>VLOOKUP(H1158,'Fund Utilization Report'!$A$4:$U$1800,13,FALSE)</f>
        <v>PS</v>
      </c>
      <c r="T1158" s="239" t="str">
        <f>VLOOKUP(H1158,'Fund Utilization Report'!$A$4:$U$1800,2,FALSE)</f>
        <v>GAA</v>
      </c>
      <c r="U1158" s="239" t="str">
        <f>VLOOKUP(H1158,'Fund Utilization Report'!$A$4:$U$1800,3,FALSE)</f>
        <v>FY2021, RA11518</v>
      </c>
      <c r="V1158" s="239" t="str">
        <f>VLOOKUP(H1158,'Fund Utilization Report'!$A$4:$U$1800,4,FALSE)</f>
        <v>OO3</v>
      </c>
      <c r="W1158" s="239" t="str">
        <f>VLOOKUP(H1158,'Fund Utilization Report'!$A$4:$U$1800,5,FALSE)</f>
        <v>01101101</v>
      </c>
      <c r="X1158" s="239" t="str">
        <f>VLOOKUP(H1158,'Fund Utilization Report'!$A$4:$U$1800,6,FALSE)</f>
        <v>GOP</v>
      </c>
      <c r="Y1158" s="440" t="str">
        <f>VLOOKUP(H1158,'Fund Utilization Report'!$A$4:$U$1800,7,FALSE)</f>
        <v>PS</v>
      </c>
      <c r="Z1158" s="441">
        <f>VLOOKUP(H1158,'Fund Utilization Report'!$A$4:$U$1800,8,FALSE)</f>
        <v>5010000000</v>
      </c>
      <c r="AA1158" s="239" t="str">
        <f>VLOOKUP(H1158,'Fund Utilization Report'!$A$4:$U$1800,14,FALSE)</f>
        <v>330100100002000</v>
      </c>
      <c r="AB1158" s="242" t="str">
        <f>VLOOKUP(H1158,'Fund Utilization Report'!$A$4:$U$1800,15,FALSE)</f>
        <v>Implementation of the MSME Development Plan and other initiatives to promote the growth of Micro, Small and Medium Enterprises</v>
      </c>
      <c r="AC1158" s="51"/>
      <c r="AD1158" s="435"/>
      <c r="AE1158" s="51"/>
      <c r="AF1158" s="51"/>
      <c r="AG1158" s="442"/>
      <c r="AH1158" s="442"/>
      <c r="AI1158" s="443"/>
    </row>
    <row r="1159" spans="1:35" s="32" customFormat="1" ht="27.6">
      <c r="A1159" s="434" t="s">
        <v>942</v>
      </c>
      <c r="B1159" s="457" t="s">
        <v>946</v>
      </c>
      <c r="C1159" s="233">
        <v>44266</v>
      </c>
      <c r="D1159" s="435" t="s">
        <v>1267</v>
      </c>
      <c r="E1159" s="436" t="s">
        <v>1412</v>
      </c>
      <c r="F1159" s="338">
        <v>0.3611111111111111</v>
      </c>
      <c r="G1159" s="338">
        <v>0.36388888888888887</v>
      </c>
      <c r="H1159" s="338" t="s">
        <v>970</v>
      </c>
      <c r="I1159" s="353">
        <v>734</v>
      </c>
      <c r="J1159" s="338" t="str">
        <f>IFERROR(VLOOKUP(I1159,'Chart of accounts'!A:H,2,FALSE),"")</f>
        <v>50103040 01</v>
      </c>
      <c r="K1159" s="338" t="str">
        <f>IFERROR(VLOOKUP(I1159,'Chart of accounts'!A:H,3,FALSE),"")</f>
        <v>ECIP - Civilian</v>
      </c>
      <c r="L1159" s="338" t="str">
        <f>IFERROR(VLOOKUP(I1159,'Chart of accounts'!A:H,4,FALSE),"")</f>
        <v>50103040 01 - ECIP - Civilian (734)</v>
      </c>
      <c r="M1159" s="361">
        <v>2</v>
      </c>
      <c r="N1159" s="355" t="s">
        <v>1172</v>
      </c>
      <c r="O1159" s="355" t="s">
        <v>1394</v>
      </c>
      <c r="P1159" s="355"/>
      <c r="Q1159" s="363">
        <v>100</v>
      </c>
      <c r="R1159" s="319">
        <f t="shared" si="44"/>
        <v>-100</v>
      </c>
      <c r="S1159" s="239" t="str">
        <f>VLOOKUP(H1159,'Fund Utilization Report'!$A$4:$U$1800,13,FALSE)</f>
        <v>PS</v>
      </c>
      <c r="T1159" s="239" t="str">
        <f>VLOOKUP(H1159,'Fund Utilization Report'!$A$4:$U$1800,2,FALSE)</f>
        <v>GAA</v>
      </c>
      <c r="U1159" s="239" t="str">
        <f>VLOOKUP(H1159,'Fund Utilization Report'!$A$4:$U$1800,3,FALSE)</f>
        <v>FY2021, RA11518</v>
      </c>
      <c r="V1159" s="239" t="str">
        <f>VLOOKUP(H1159,'Fund Utilization Report'!$A$4:$U$1800,4,FALSE)</f>
        <v>OO3</v>
      </c>
      <c r="W1159" s="239" t="str">
        <f>VLOOKUP(H1159,'Fund Utilization Report'!$A$4:$U$1800,5,FALSE)</f>
        <v>01101101</v>
      </c>
      <c r="X1159" s="239" t="str">
        <f>VLOOKUP(H1159,'Fund Utilization Report'!$A$4:$U$1800,6,FALSE)</f>
        <v>GOP</v>
      </c>
      <c r="Y1159" s="440" t="str">
        <f>VLOOKUP(H1159,'Fund Utilization Report'!$A$4:$U$1800,7,FALSE)</f>
        <v>PS</v>
      </c>
      <c r="Z1159" s="441">
        <f>VLOOKUP(H1159,'Fund Utilization Report'!$A$4:$U$1800,8,FALSE)</f>
        <v>5010000000</v>
      </c>
      <c r="AA1159" s="239" t="str">
        <f>VLOOKUP(H1159,'Fund Utilization Report'!$A$4:$U$1800,14,FALSE)</f>
        <v>330100100002000</v>
      </c>
      <c r="AB1159" s="242" t="str">
        <f>VLOOKUP(H1159,'Fund Utilization Report'!$A$4:$U$1800,15,FALSE)</f>
        <v>Implementation of the MSME Development Plan and other initiatives to promote the growth of Micro, Small and Medium Enterprises</v>
      </c>
      <c r="AC1159" s="51"/>
      <c r="AD1159" s="435"/>
      <c r="AE1159" s="51"/>
      <c r="AF1159" s="51"/>
      <c r="AG1159" s="442"/>
      <c r="AH1159" s="442"/>
      <c r="AI1159" s="443"/>
    </row>
    <row r="1160" spans="1:35" s="32" customFormat="1" ht="27.6">
      <c r="A1160" s="434" t="s">
        <v>942</v>
      </c>
      <c r="B1160" s="457" t="s">
        <v>946</v>
      </c>
      <c r="C1160" s="233">
        <v>44266</v>
      </c>
      <c r="D1160" s="435" t="s">
        <v>1267</v>
      </c>
      <c r="E1160" s="436" t="s">
        <v>1413</v>
      </c>
      <c r="F1160" s="338">
        <v>0.36388888888888887</v>
      </c>
      <c r="G1160" s="338">
        <v>0.36458333333333331</v>
      </c>
      <c r="H1160" s="338" t="s">
        <v>999</v>
      </c>
      <c r="I1160" s="353">
        <v>706</v>
      </c>
      <c r="J1160" s="338" t="str">
        <f>IFERROR(VLOOKUP(I1160,'Chart of accounts'!A:H,2,FALSE),"")</f>
        <v>50101020 00</v>
      </c>
      <c r="K1160" s="338" t="str">
        <f>IFERROR(VLOOKUP(I1160,'Chart of accounts'!A:H,3,FALSE),"")</f>
        <v>Basic Salary - Contractual</v>
      </c>
      <c r="L1160" s="338" t="str">
        <f>IFERROR(VLOOKUP(I1160,'Chart of accounts'!A:H,4,FALSE),"")</f>
        <v>50101020 00 - Basic Salary - Contractual (706)</v>
      </c>
      <c r="M1160" s="361">
        <v>2</v>
      </c>
      <c r="N1160" s="355" t="s">
        <v>789</v>
      </c>
      <c r="O1160" s="355" t="s">
        <v>1390</v>
      </c>
      <c r="P1160" s="355"/>
      <c r="Q1160" s="363">
        <v>77256</v>
      </c>
      <c r="R1160" s="319">
        <f t="shared" si="44"/>
        <v>-77256</v>
      </c>
      <c r="S1160" s="239" t="str">
        <f>VLOOKUP(H1160,'Fund Utilization Report'!$A$4:$U$1800,13,FALSE)</f>
        <v>PS</v>
      </c>
      <c r="T1160" s="239" t="str">
        <f>VLOOKUP(H1160,'Fund Utilization Report'!$A$4:$U$1800,2,FALSE)</f>
        <v>SAA15</v>
      </c>
      <c r="U1160" s="239" t="str">
        <f>VLOOKUP(H1160,'Fund Utilization Report'!$A$4:$U$1800,3,FALSE)</f>
        <v>2021-01-0015</v>
      </c>
      <c r="V1160" s="239" t="str">
        <f>VLOOKUP(H1160,'Fund Utilization Report'!$A$4:$U$1800,4,FALSE)</f>
        <v>CARP</v>
      </c>
      <c r="W1160" s="239" t="str">
        <f>VLOOKUP(H1160,'Fund Utilization Report'!$A$4:$U$1800,5,FALSE)</f>
        <v>01101101</v>
      </c>
      <c r="X1160" s="239" t="str">
        <f>VLOOKUP(H1160,'Fund Utilization Report'!$A$4:$U$1800,6,FALSE)</f>
        <v>GOP</v>
      </c>
      <c r="Y1160" s="440">
        <f>VLOOKUP(H1160,'Fund Utilization Report'!$A$4:$U$1800,7,FALSE)</f>
        <v>706</v>
      </c>
      <c r="Z1160" s="441" t="str">
        <f>VLOOKUP(H1160,'Fund Utilization Report'!$A$4:$U$1800,8,FALSE)</f>
        <v>50101020 00</v>
      </c>
      <c r="AA1160" s="239" t="str">
        <f>VLOOKUP(H1160,'Fund Utilization Report'!$A$4:$U$1800,14,FALSE)</f>
        <v>330100100003000</v>
      </c>
      <c r="AB1160" s="242" t="str">
        <f>VLOOKUP(H1160,'Fund Utilization Report'!$A$4:$U$1800,15,FALSE)</f>
        <v>MSME Development Program : Program Beneficiaries Development Component of the Comprehensive Agrarian Reform Program</v>
      </c>
      <c r="AC1160" s="51"/>
      <c r="AD1160" s="435"/>
      <c r="AE1160" s="51"/>
      <c r="AF1160" s="51"/>
      <c r="AG1160" s="442"/>
      <c r="AH1160" s="442"/>
      <c r="AI1160" s="443"/>
    </row>
    <row r="1161" spans="1:35" s="32" customFormat="1" ht="27.6">
      <c r="A1161" s="434" t="s">
        <v>942</v>
      </c>
      <c r="B1161" s="457" t="s">
        <v>946</v>
      </c>
      <c r="C1161" s="233">
        <v>44266</v>
      </c>
      <c r="D1161" s="435" t="s">
        <v>1267</v>
      </c>
      <c r="E1161" s="436" t="s">
        <v>1413</v>
      </c>
      <c r="F1161" s="338">
        <v>0.36388888888888887</v>
      </c>
      <c r="G1161" s="338">
        <v>0.36458333333333331</v>
      </c>
      <c r="H1161" s="338" t="s">
        <v>999</v>
      </c>
      <c r="I1161" s="353">
        <v>711</v>
      </c>
      <c r="J1161" s="338" t="str">
        <f>IFERROR(VLOOKUP(I1161,'Chart of accounts'!A:H,2,FALSE),"")</f>
        <v>50102010 01</v>
      </c>
      <c r="K1161" s="338" t="str">
        <f>IFERROR(VLOOKUP(I1161,'Chart of accounts'!A:H,3,FALSE),"")</f>
        <v>PERA - Civilian</v>
      </c>
      <c r="L1161" s="338" t="str">
        <f>IFERROR(VLOOKUP(I1161,'Chart of accounts'!A:H,4,FALSE),"")</f>
        <v>50102010 01 - PERA - Civilian (711)</v>
      </c>
      <c r="M1161" s="361">
        <v>2</v>
      </c>
      <c r="N1161" s="355" t="s">
        <v>789</v>
      </c>
      <c r="O1161" s="355" t="s">
        <v>1390</v>
      </c>
      <c r="P1161" s="355"/>
      <c r="Q1161" s="363">
        <v>4000</v>
      </c>
      <c r="R1161" s="319">
        <f t="shared" si="44"/>
        <v>-4000</v>
      </c>
      <c r="S1161" s="239" t="str">
        <f>VLOOKUP(H1161,'Fund Utilization Report'!$A$4:$U$1800,13,FALSE)</f>
        <v>PS</v>
      </c>
      <c r="T1161" s="239" t="str">
        <f>VLOOKUP(H1161,'Fund Utilization Report'!$A$4:$U$1800,2,FALSE)</f>
        <v>SAA15</v>
      </c>
      <c r="U1161" s="239" t="str">
        <f>VLOOKUP(H1161,'Fund Utilization Report'!$A$4:$U$1800,3,FALSE)</f>
        <v>2021-01-0015</v>
      </c>
      <c r="V1161" s="239" t="str">
        <f>VLOOKUP(H1161,'Fund Utilization Report'!$A$4:$U$1800,4,FALSE)</f>
        <v>CARP</v>
      </c>
      <c r="W1161" s="239" t="str">
        <f>VLOOKUP(H1161,'Fund Utilization Report'!$A$4:$U$1800,5,FALSE)</f>
        <v>01101101</v>
      </c>
      <c r="X1161" s="239" t="str">
        <f>VLOOKUP(H1161,'Fund Utilization Report'!$A$4:$U$1800,6,FALSE)</f>
        <v>GOP</v>
      </c>
      <c r="Y1161" s="440">
        <f>VLOOKUP(H1161,'Fund Utilization Report'!$A$4:$U$1800,7,FALSE)</f>
        <v>706</v>
      </c>
      <c r="Z1161" s="441" t="str">
        <f>VLOOKUP(H1161,'Fund Utilization Report'!$A$4:$U$1800,8,FALSE)</f>
        <v>50101020 00</v>
      </c>
      <c r="AA1161" s="239" t="str">
        <f>VLOOKUP(H1161,'Fund Utilization Report'!$A$4:$U$1800,14,FALSE)</f>
        <v>330100100003000</v>
      </c>
      <c r="AB1161" s="242" t="str">
        <f>VLOOKUP(H1161,'Fund Utilization Report'!$A$4:$U$1800,15,FALSE)</f>
        <v>MSME Development Program : Program Beneficiaries Development Component of the Comprehensive Agrarian Reform Program</v>
      </c>
      <c r="AC1161" s="51"/>
      <c r="AD1161" s="435"/>
      <c r="AE1161" s="51"/>
      <c r="AF1161" s="51"/>
      <c r="AG1161" s="442"/>
      <c r="AH1161" s="442"/>
      <c r="AI1161" s="443"/>
    </row>
    <row r="1162" spans="1:35" s="32" customFormat="1" ht="27.6">
      <c r="A1162" s="434" t="s">
        <v>942</v>
      </c>
      <c r="B1162" s="457" t="s">
        <v>946</v>
      </c>
      <c r="C1162" s="233">
        <v>44266</v>
      </c>
      <c r="D1162" s="435" t="s">
        <v>1267</v>
      </c>
      <c r="E1162" s="436" t="s">
        <v>1413</v>
      </c>
      <c r="F1162" s="338">
        <v>0.36388888888888887</v>
      </c>
      <c r="G1162" s="338">
        <v>0.36458333333333331</v>
      </c>
      <c r="H1162" s="338" t="s">
        <v>999</v>
      </c>
      <c r="I1162" s="353">
        <v>731</v>
      </c>
      <c r="J1162" s="338" t="str">
        <f>IFERROR(VLOOKUP(I1162,'Chart of accounts'!A:H,2,FALSE),"")</f>
        <v>50103010 00</v>
      </c>
      <c r="K1162" s="338" t="str">
        <f>IFERROR(VLOOKUP(I1162,'Chart of accounts'!A:H,3,FALSE),"")</f>
        <v>Retirement and Life Insurance Premiums</v>
      </c>
      <c r="L1162" s="338" t="str">
        <f>IFERROR(VLOOKUP(I1162,'Chart of accounts'!A:H,4,FALSE),"")</f>
        <v>50103010 00 - Retirement and Life Insurance Premiums (731)</v>
      </c>
      <c r="M1162" s="361">
        <v>2</v>
      </c>
      <c r="N1162" s="355" t="s">
        <v>789</v>
      </c>
      <c r="O1162" s="355" t="s">
        <v>1390</v>
      </c>
      <c r="P1162" s="355"/>
      <c r="Q1162" s="363">
        <v>9270.7199999999993</v>
      </c>
      <c r="R1162" s="319">
        <f t="shared" si="44"/>
        <v>-9270.7199999999993</v>
      </c>
      <c r="S1162" s="239" t="str">
        <f>VLOOKUP(H1162,'Fund Utilization Report'!$A$4:$U$1800,13,FALSE)</f>
        <v>PS</v>
      </c>
      <c r="T1162" s="239" t="str">
        <f>VLOOKUP(H1162,'Fund Utilization Report'!$A$4:$U$1800,2,FALSE)</f>
        <v>SAA15</v>
      </c>
      <c r="U1162" s="239" t="str">
        <f>VLOOKUP(H1162,'Fund Utilization Report'!$A$4:$U$1800,3,FALSE)</f>
        <v>2021-01-0015</v>
      </c>
      <c r="V1162" s="239" t="str">
        <f>VLOOKUP(H1162,'Fund Utilization Report'!$A$4:$U$1800,4,FALSE)</f>
        <v>CARP</v>
      </c>
      <c r="W1162" s="239" t="str">
        <f>VLOOKUP(H1162,'Fund Utilization Report'!$A$4:$U$1800,5,FALSE)</f>
        <v>01101101</v>
      </c>
      <c r="X1162" s="239" t="str">
        <f>VLOOKUP(H1162,'Fund Utilization Report'!$A$4:$U$1800,6,FALSE)</f>
        <v>GOP</v>
      </c>
      <c r="Y1162" s="440">
        <f>VLOOKUP(H1162,'Fund Utilization Report'!$A$4:$U$1800,7,FALSE)</f>
        <v>706</v>
      </c>
      <c r="Z1162" s="441" t="str">
        <f>VLOOKUP(H1162,'Fund Utilization Report'!$A$4:$U$1800,8,FALSE)</f>
        <v>50101020 00</v>
      </c>
      <c r="AA1162" s="239" t="str">
        <f>VLOOKUP(H1162,'Fund Utilization Report'!$A$4:$U$1800,14,FALSE)</f>
        <v>330100100003000</v>
      </c>
      <c r="AB1162" s="242" t="str">
        <f>VLOOKUP(H1162,'Fund Utilization Report'!$A$4:$U$1800,15,FALSE)</f>
        <v>MSME Development Program : Program Beneficiaries Development Component of the Comprehensive Agrarian Reform Program</v>
      </c>
      <c r="AC1162" s="51"/>
      <c r="AD1162" s="435"/>
      <c r="AE1162" s="51"/>
      <c r="AF1162" s="51"/>
      <c r="AG1162" s="442"/>
      <c r="AH1162" s="442"/>
      <c r="AI1162" s="443"/>
    </row>
    <row r="1163" spans="1:35" s="32" customFormat="1" ht="27.6">
      <c r="A1163" s="434" t="s">
        <v>942</v>
      </c>
      <c r="B1163" s="457" t="s">
        <v>946</v>
      </c>
      <c r="C1163" s="233">
        <v>44266</v>
      </c>
      <c r="D1163" s="435" t="s">
        <v>1267</v>
      </c>
      <c r="E1163" s="436" t="s">
        <v>1413</v>
      </c>
      <c r="F1163" s="338">
        <v>0.36388888888888887</v>
      </c>
      <c r="G1163" s="338">
        <v>0.36458333333333331</v>
      </c>
      <c r="H1163" s="338" t="s">
        <v>999</v>
      </c>
      <c r="I1163" s="353">
        <v>732</v>
      </c>
      <c r="J1163" s="338" t="str">
        <f>IFERROR(VLOOKUP(I1163,'Chart of accounts'!A:H,2,FALSE),"")</f>
        <v>50103020 01</v>
      </c>
      <c r="K1163" s="338" t="str">
        <f>IFERROR(VLOOKUP(I1163,'Chart of accounts'!A:H,3,FALSE),"")</f>
        <v>Pag-IBIG - Civilian</v>
      </c>
      <c r="L1163" s="338" t="str">
        <f>IFERROR(VLOOKUP(I1163,'Chart of accounts'!A:H,4,FALSE),"")</f>
        <v>50103020 01 - Pag-IBIG - Civilian (732)</v>
      </c>
      <c r="M1163" s="361">
        <v>2</v>
      </c>
      <c r="N1163" s="355" t="s">
        <v>789</v>
      </c>
      <c r="O1163" s="355" t="s">
        <v>1390</v>
      </c>
      <c r="P1163" s="355"/>
      <c r="Q1163" s="363">
        <v>200</v>
      </c>
      <c r="R1163" s="319">
        <f t="shared" si="44"/>
        <v>-200</v>
      </c>
      <c r="S1163" s="239" t="str">
        <f>VLOOKUP(H1163,'Fund Utilization Report'!$A$4:$U$1800,13,FALSE)</f>
        <v>PS</v>
      </c>
      <c r="T1163" s="239" t="str">
        <f>VLOOKUP(H1163,'Fund Utilization Report'!$A$4:$U$1800,2,FALSE)</f>
        <v>SAA15</v>
      </c>
      <c r="U1163" s="239" t="str">
        <f>VLOOKUP(H1163,'Fund Utilization Report'!$A$4:$U$1800,3,FALSE)</f>
        <v>2021-01-0015</v>
      </c>
      <c r="V1163" s="239" t="str">
        <f>VLOOKUP(H1163,'Fund Utilization Report'!$A$4:$U$1800,4,FALSE)</f>
        <v>CARP</v>
      </c>
      <c r="W1163" s="239" t="str">
        <f>VLOOKUP(H1163,'Fund Utilization Report'!$A$4:$U$1800,5,FALSE)</f>
        <v>01101101</v>
      </c>
      <c r="X1163" s="239" t="str">
        <f>VLOOKUP(H1163,'Fund Utilization Report'!$A$4:$U$1800,6,FALSE)</f>
        <v>GOP</v>
      </c>
      <c r="Y1163" s="440">
        <f>VLOOKUP(H1163,'Fund Utilization Report'!$A$4:$U$1800,7,FALSE)</f>
        <v>706</v>
      </c>
      <c r="Z1163" s="441" t="str">
        <f>VLOOKUP(H1163,'Fund Utilization Report'!$A$4:$U$1800,8,FALSE)</f>
        <v>50101020 00</v>
      </c>
      <c r="AA1163" s="239" t="str">
        <f>VLOOKUP(H1163,'Fund Utilization Report'!$A$4:$U$1800,14,FALSE)</f>
        <v>330100100003000</v>
      </c>
      <c r="AB1163" s="242" t="str">
        <f>VLOOKUP(H1163,'Fund Utilization Report'!$A$4:$U$1800,15,FALSE)</f>
        <v>MSME Development Program : Program Beneficiaries Development Component of the Comprehensive Agrarian Reform Program</v>
      </c>
      <c r="AC1163" s="51"/>
      <c r="AD1163" s="435"/>
      <c r="AE1163" s="51"/>
      <c r="AF1163" s="51"/>
      <c r="AG1163" s="442"/>
      <c r="AH1163" s="442"/>
      <c r="AI1163" s="443"/>
    </row>
    <row r="1164" spans="1:35" s="32" customFormat="1" ht="27.6">
      <c r="A1164" s="434" t="s">
        <v>942</v>
      </c>
      <c r="B1164" s="457" t="s">
        <v>946</v>
      </c>
      <c r="C1164" s="233">
        <v>44266</v>
      </c>
      <c r="D1164" s="435" t="s">
        <v>1267</v>
      </c>
      <c r="E1164" s="436" t="s">
        <v>1413</v>
      </c>
      <c r="F1164" s="338">
        <v>0.36388888888888887</v>
      </c>
      <c r="G1164" s="338">
        <v>0.36458333333333331</v>
      </c>
      <c r="H1164" s="338" t="s">
        <v>999</v>
      </c>
      <c r="I1164" s="353">
        <v>733</v>
      </c>
      <c r="J1164" s="338" t="str">
        <f>IFERROR(VLOOKUP(I1164,'Chart of accounts'!A:H,2,FALSE),"")</f>
        <v>50103030 01</v>
      </c>
      <c r="K1164" s="338" t="str">
        <f>IFERROR(VLOOKUP(I1164,'Chart of accounts'!A:H,3,FALSE),"")</f>
        <v>PhilHealth - Civilian</v>
      </c>
      <c r="L1164" s="338" t="str">
        <f>IFERROR(VLOOKUP(I1164,'Chart of accounts'!A:H,4,FALSE),"")</f>
        <v>50103030 01 - PhilHealth - Civilian (733)</v>
      </c>
      <c r="M1164" s="361">
        <v>2</v>
      </c>
      <c r="N1164" s="355" t="s">
        <v>789</v>
      </c>
      <c r="O1164" s="355" t="s">
        <v>1390</v>
      </c>
      <c r="P1164" s="355"/>
      <c r="Q1164" s="363">
        <v>1158.8499999999999</v>
      </c>
      <c r="R1164" s="319">
        <f t="shared" si="44"/>
        <v>-1158.8499999999999</v>
      </c>
      <c r="S1164" s="239" t="str">
        <f>VLOOKUP(H1164,'Fund Utilization Report'!$A$4:$U$1800,13,FALSE)</f>
        <v>PS</v>
      </c>
      <c r="T1164" s="239" t="str">
        <f>VLOOKUP(H1164,'Fund Utilization Report'!$A$4:$U$1800,2,FALSE)</f>
        <v>SAA15</v>
      </c>
      <c r="U1164" s="239" t="str">
        <f>VLOOKUP(H1164,'Fund Utilization Report'!$A$4:$U$1800,3,FALSE)</f>
        <v>2021-01-0015</v>
      </c>
      <c r="V1164" s="239" t="str">
        <f>VLOOKUP(H1164,'Fund Utilization Report'!$A$4:$U$1800,4,FALSE)</f>
        <v>CARP</v>
      </c>
      <c r="W1164" s="239" t="str">
        <f>VLOOKUP(H1164,'Fund Utilization Report'!$A$4:$U$1800,5,FALSE)</f>
        <v>01101101</v>
      </c>
      <c r="X1164" s="239" t="str">
        <f>VLOOKUP(H1164,'Fund Utilization Report'!$A$4:$U$1800,6,FALSE)</f>
        <v>GOP</v>
      </c>
      <c r="Y1164" s="440">
        <f>VLOOKUP(H1164,'Fund Utilization Report'!$A$4:$U$1800,7,FALSE)</f>
        <v>706</v>
      </c>
      <c r="Z1164" s="441" t="str">
        <f>VLOOKUP(H1164,'Fund Utilization Report'!$A$4:$U$1800,8,FALSE)</f>
        <v>50101020 00</v>
      </c>
      <c r="AA1164" s="239" t="str">
        <f>VLOOKUP(H1164,'Fund Utilization Report'!$A$4:$U$1800,14,FALSE)</f>
        <v>330100100003000</v>
      </c>
      <c r="AB1164" s="242" t="str">
        <f>VLOOKUP(H1164,'Fund Utilization Report'!$A$4:$U$1800,15,FALSE)</f>
        <v>MSME Development Program : Program Beneficiaries Development Component of the Comprehensive Agrarian Reform Program</v>
      </c>
      <c r="AC1164" s="51"/>
      <c r="AD1164" s="435"/>
      <c r="AE1164" s="51"/>
      <c r="AF1164" s="51"/>
      <c r="AG1164" s="442"/>
      <c r="AH1164" s="442"/>
      <c r="AI1164" s="443"/>
    </row>
    <row r="1165" spans="1:35" s="32" customFormat="1" ht="27.6">
      <c r="A1165" s="434" t="s">
        <v>942</v>
      </c>
      <c r="B1165" s="457" t="s">
        <v>946</v>
      </c>
      <c r="C1165" s="233">
        <v>44266</v>
      </c>
      <c r="D1165" s="435" t="s">
        <v>1267</v>
      </c>
      <c r="E1165" s="436" t="s">
        <v>1413</v>
      </c>
      <c r="F1165" s="338">
        <v>0.36388888888888887</v>
      </c>
      <c r="G1165" s="338">
        <v>0.36458333333333331</v>
      </c>
      <c r="H1165" s="338" t="s">
        <v>999</v>
      </c>
      <c r="I1165" s="353">
        <v>734</v>
      </c>
      <c r="J1165" s="338" t="str">
        <f>IFERROR(VLOOKUP(I1165,'Chart of accounts'!A:H,2,FALSE),"")</f>
        <v>50103040 01</v>
      </c>
      <c r="K1165" s="338" t="str">
        <f>IFERROR(VLOOKUP(I1165,'Chart of accounts'!A:H,3,FALSE),"")</f>
        <v>ECIP - Civilian</v>
      </c>
      <c r="L1165" s="338" t="str">
        <f>IFERROR(VLOOKUP(I1165,'Chart of accounts'!A:H,4,FALSE),"")</f>
        <v>50103040 01 - ECIP - Civilian (734)</v>
      </c>
      <c r="M1165" s="361">
        <v>2</v>
      </c>
      <c r="N1165" s="355" t="s">
        <v>789</v>
      </c>
      <c r="O1165" s="355" t="s">
        <v>1390</v>
      </c>
      <c r="P1165" s="355"/>
      <c r="Q1165" s="363">
        <v>200</v>
      </c>
      <c r="R1165" s="319">
        <f t="shared" si="44"/>
        <v>-200</v>
      </c>
      <c r="S1165" s="239" t="str">
        <f>VLOOKUP(H1165,'Fund Utilization Report'!$A$4:$U$1800,13,FALSE)</f>
        <v>PS</v>
      </c>
      <c r="T1165" s="239" t="str">
        <f>VLOOKUP(H1165,'Fund Utilization Report'!$A$4:$U$1800,2,FALSE)</f>
        <v>SAA15</v>
      </c>
      <c r="U1165" s="239" t="str">
        <f>VLOOKUP(H1165,'Fund Utilization Report'!$A$4:$U$1800,3,FALSE)</f>
        <v>2021-01-0015</v>
      </c>
      <c r="V1165" s="239" t="str">
        <f>VLOOKUP(H1165,'Fund Utilization Report'!$A$4:$U$1800,4,FALSE)</f>
        <v>CARP</v>
      </c>
      <c r="W1165" s="239" t="str">
        <f>VLOOKUP(H1165,'Fund Utilization Report'!$A$4:$U$1800,5,FALSE)</f>
        <v>01101101</v>
      </c>
      <c r="X1165" s="239" t="str">
        <f>VLOOKUP(H1165,'Fund Utilization Report'!$A$4:$U$1800,6,FALSE)</f>
        <v>GOP</v>
      </c>
      <c r="Y1165" s="440">
        <f>VLOOKUP(H1165,'Fund Utilization Report'!$A$4:$U$1800,7,FALSE)</f>
        <v>706</v>
      </c>
      <c r="Z1165" s="441" t="str">
        <f>VLOOKUP(H1165,'Fund Utilization Report'!$A$4:$U$1800,8,FALSE)</f>
        <v>50101020 00</v>
      </c>
      <c r="AA1165" s="239" t="str">
        <f>VLOOKUP(H1165,'Fund Utilization Report'!$A$4:$U$1800,14,FALSE)</f>
        <v>330100100003000</v>
      </c>
      <c r="AB1165" s="242" t="str">
        <f>VLOOKUP(H1165,'Fund Utilization Report'!$A$4:$U$1800,15,FALSE)</f>
        <v>MSME Development Program : Program Beneficiaries Development Component of the Comprehensive Agrarian Reform Program</v>
      </c>
      <c r="AC1165" s="51"/>
      <c r="AD1165" s="435"/>
      <c r="AE1165" s="51"/>
      <c r="AF1165" s="51"/>
      <c r="AG1165" s="442"/>
      <c r="AH1165" s="442"/>
      <c r="AI1165" s="443"/>
    </row>
    <row r="1166" spans="1:35" s="32" customFormat="1" ht="27.6">
      <c r="A1166" s="434" t="s">
        <v>942</v>
      </c>
      <c r="B1166" s="457" t="s">
        <v>946</v>
      </c>
      <c r="C1166" s="233">
        <v>44266</v>
      </c>
      <c r="D1166" s="435" t="s">
        <v>1267</v>
      </c>
      <c r="E1166" s="436" t="s">
        <v>1414</v>
      </c>
      <c r="F1166" s="338">
        <v>0.36458333333333331</v>
      </c>
      <c r="G1166" s="338">
        <v>0.3666666666666667</v>
      </c>
      <c r="H1166" s="338" t="s">
        <v>960</v>
      </c>
      <c r="I1166" s="353">
        <v>701</v>
      </c>
      <c r="J1166" s="338" t="str">
        <f>IFERROR(VLOOKUP(I1166,'Chart of accounts'!A:H,2,FALSE),"")</f>
        <v>50101010 01</v>
      </c>
      <c r="K1166" s="338" t="str">
        <f>IFERROR(VLOOKUP(I1166,'Chart of accounts'!A:H,3,FALSE),"")</f>
        <v>Basic Salary - Civilian</v>
      </c>
      <c r="L1166" s="338" t="str">
        <f>IFERROR(VLOOKUP(I1166,'Chart of accounts'!A:H,4,FALSE),"")</f>
        <v>50101010 01 - Basic Salary - Civilian (701)</v>
      </c>
      <c r="M1166" s="361">
        <v>2</v>
      </c>
      <c r="N1166" s="355" t="s">
        <v>789</v>
      </c>
      <c r="O1166" s="355" t="s">
        <v>1384</v>
      </c>
      <c r="P1166" s="355"/>
      <c r="Q1166" s="363">
        <f>33575+23877</f>
        <v>57452</v>
      </c>
      <c r="R1166" s="319">
        <f t="shared" si="44"/>
        <v>-57452</v>
      </c>
      <c r="S1166" s="239" t="str">
        <f>VLOOKUP(H1166,'Fund Utilization Report'!$A$4:$U$1800,13,FALSE)</f>
        <v>PS</v>
      </c>
      <c r="T1166" s="239" t="str">
        <f>VLOOKUP(H1166,'Fund Utilization Report'!$A$4:$U$1800,2,FALSE)</f>
        <v>GAA</v>
      </c>
      <c r="U1166" s="239" t="str">
        <f>VLOOKUP(H1166,'Fund Utilization Report'!$A$4:$U$1800,3,FALSE)</f>
        <v>FY2021, RA11518</v>
      </c>
      <c r="V1166" s="239" t="str">
        <f>VLOOKUP(H1166,'Fund Utilization Report'!$A$4:$U$1800,4,FALSE)</f>
        <v>GAS(GMS)</v>
      </c>
      <c r="W1166" s="239" t="str">
        <f>VLOOKUP(H1166,'Fund Utilization Report'!$A$4:$U$1800,5,FALSE)</f>
        <v>01101101</v>
      </c>
      <c r="X1166" s="239" t="str">
        <f>VLOOKUP(H1166,'Fund Utilization Report'!$A$4:$U$1800,6,FALSE)</f>
        <v>GOP</v>
      </c>
      <c r="Y1166" s="440" t="str">
        <f>VLOOKUP(H1166,'Fund Utilization Report'!$A$4:$U$1800,7,FALSE)</f>
        <v>PS</v>
      </c>
      <c r="Z1166" s="441">
        <f>VLOOKUP(H1166,'Fund Utilization Report'!$A$4:$U$1800,8,FALSE)</f>
        <v>5010000000</v>
      </c>
      <c r="AA1166" s="239" t="str">
        <f>VLOOKUP(H1166,'Fund Utilization Report'!$A$4:$U$1800,14,FALSE)</f>
        <v>100000100001000</v>
      </c>
      <c r="AB1166" s="242" t="str">
        <f>VLOOKUP(H1166,'Fund Utilization Report'!$A$4:$U$1800,15,FALSE)</f>
        <v>General Administration and Supervision - General Management and Supervision</v>
      </c>
      <c r="AC1166" s="51"/>
      <c r="AD1166" s="435"/>
      <c r="AE1166" s="51"/>
      <c r="AF1166" s="51"/>
      <c r="AG1166" s="442"/>
      <c r="AH1166" s="442"/>
      <c r="AI1166" s="443"/>
    </row>
    <row r="1167" spans="1:35" s="32" customFormat="1" ht="27.6">
      <c r="A1167" s="434" t="s">
        <v>942</v>
      </c>
      <c r="B1167" s="457" t="s">
        <v>946</v>
      </c>
      <c r="C1167" s="233">
        <v>44266</v>
      </c>
      <c r="D1167" s="435" t="s">
        <v>1267</v>
      </c>
      <c r="E1167" s="436" t="s">
        <v>1414</v>
      </c>
      <c r="F1167" s="338">
        <v>0.36458333333333331</v>
      </c>
      <c r="G1167" s="338">
        <v>0.3666666666666667</v>
      </c>
      <c r="H1167" s="338" t="s">
        <v>960</v>
      </c>
      <c r="I1167" s="353">
        <v>711</v>
      </c>
      <c r="J1167" s="338" t="str">
        <f>IFERROR(VLOOKUP(I1167,'Chart of accounts'!A:H,2,FALSE),"")</f>
        <v>50102010 01</v>
      </c>
      <c r="K1167" s="338" t="str">
        <f>IFERROR(VLOOKUP(I1167,'Chart of accounts'!A:H,3,FALSE),"")</f>
        <v>PERA - Civilian</v>
      </c>
      <c r="L1167" s="338" t="str">
        <f>IFERROR(VLOOKUP(I1167,'Chart of accounts'!A:H,4,FALSE),"")</f>
        <v>50102010 01 - PERA - Civilian (711)</v>
      </c>
      <c r="M1167" s="361">
        <v>2</v>
      </c>
      <c r="N1167" s="355" t="s">
        <v>789</v>
      </c>
      <c r="O1167" s="355" t="s">
        <v>1384</v>
      </c>
      <c r="P1167" s="355"/>
      <c r="Q1167" s="363">
        <v>4000</v>
      </c>
      <c r="R1167" s="319">
        <f t="shared" si="44"/>
        <v>-4000</v>
      </c>
      <c r="S1167" s="239" t="str">
        <f>VLOOKUP(H1167,'Fund Utilization Report'!$A$4:$U$1800,13,FALSE)</f>
        <v>PS</v>
      </c>
      <c r="T1167" s="239" t="str">
        <f>VLOOKUP(H1167,'Fund Utilization Report'!$A$4:$U$1800,2,FALSE)</f>
        <v>GAA</v>
      </c>
      <c r="U1167" s="239" t="str">
        <f>VLOOKUP(H1167,'Fund Utilization Report'!$A$4:$U$1800,3,FALSE)</f>
        <v>FY2021, RA11518</v>
      </c>
      <c r="V1167" s="239" t="str">
        <f>VLOOKUP(H1167,'Fund Utilization Report'!$A$4:$U$1800,4,FALSE)</f>
        <v>GAS(GMS)</v>
      </c>
      <c r="W1167" s="239" t="str">
        <f>VLOOKUP(H1167,'Fund Utilization Report'!$A$4:$U$1800,5,FALSE)</f>
        <v>01101101</v>
      </c>
      <c r="X1167" s="239" t="str">
        <f>VLOOKUP(H1167,'Fund Utilization Report'!$A$4:$U$1800,6,FALSE)</f>
        <v>GOP</v>
      </c>
      <c r="Y1167" s="440" t="str">
        <f>VLOOKUP(H1167,'Fund Utilization Report'!$A$4:$U$1800,7,FALSE)</f>
        <v>PS</v>
      </c>
      <c r="Z1167" s="441">
        <f>VLOOKUP(H1167,'Fund Utilization Report'!$A$4:$U$1800,8,FALSE)</f>
        <v>5010000000</v>
      </c>
      <c r="AA1167" s="239" t="str">
        <f>VLOOKUP(H1167,'Fund Utilization Report'!$A$4:$U$1800,14,FALSE)</f>
        <v>100000100001000</v>
      </c>
      <c r="AB1167" s="242" t="str">
        <f>VLOOKUP(H1167,'Fund Utilization Report'!$A$4:$U$1800,15,FALSE)</f>
        <v>General Administration and Supervision - General Management and Supervision</v>
      </c>
      <c r="AC1167" s="51"/>
      <c r="AD1167" s="435"/>
      <c r="AE1167" s="51"/>
      <c r="AF1167" s="51"/>
      <c r="AG1167" s="442"/>
      <c r="AH1167" s="442"/>
      <c r="AI1167" s="443"/>
    </row>
    <row r="1168" spans="1:35" s="32" customFormat="1" ht="27.6">
      <c r="A1168" s="434" t="s">
        <v>942</v>
      </c>
      <c r="B1168" s="457" t="s">
        <v>946</v>
      </c>
      <c r="C1168" s="233">
        <v>44266</v>
      </c>
      <c r="D1168" s="435" t="s">
        <v>1267</v>
      </c>
      <c r="E1168" s="436" t="s">
        <v>1414</v>
      </c>
      <c r="F1168" s="338">
        <v>0.36458333333333331</v>
      </c>
      <c r="G1168" s="338">
        <v>0.3666666666666667</v>
      </c>
      <c r="H1168" s="338" t="s">
        <v>962</v>
      </c>
      <c r="I1168" s="353">
        <v>731</v>
      </c>
      <c r="J1168" s="338" t="str">
        <f>IFERROR(VLOOKUP(I1168,'Chart of accounts'!A:H,2,FALSE),"")</f>
        <v>50103010 00</v>
      </c>
      <c r="K1168" s="338" t="str">
        <f>IFERROR(VLOOKUP(I1168,'Chart of accounts'!A:H,3,FALSE),"")</f>
        <v>Retirement and Life Insurance Premiums</v>
      </c>
      <c r="L1168" s="338" t="str">
        <f>IFERROR(VLOOKUP(I1168,'Chart of accounts'!A:H,4,FALSE),"")</f>
        <v>50103010 00 - Retirement and Life Insurance Premiums (731)</v>
      </c>
      <c r="M1168" s="361">
        <v>2</v>
      </c>
      <c r="N1168" s="355" t="s">
        <v>789</v>
      </c>
      <c r="O1168" s="355" t="s">
        <v>1384</v>
      </c>
      <c r="P1168" s="355"/>
      <c r="Q1168" s="363">
        <f>4029+2865.24</f>
        <v>6894.24</v>
      </c>
      <c r="R1168" s="319">
        <f t="shared" si="44"/>
        <v>-6894.24</v>
      </c>
      <c r="S1168" s="239" t="str">
        <f>VLOOKUP(H1168,'Fund Utilization Report'!$A$4:$U$1800,13,FALSE)</f>
        <v>PS</v>
      </c>
      <c r="T1168" s="239" t="str">
        <f>VLOOKUP(H1168,'Fund Utilization Report'!$A$4:$U$1800,2,FALSE)</f>
        <v>GAA</v>
      </c>
      <c r="U1168" s="239" t="str">
        <f>VLOOKUP(H1168,'Fund Utilization Report'!$A$4:$U$1800,3,FALSE)</f>
        <v>FY2021, RA11518</v>
      </c>
      <c r="V1168" s="239" t="str">
        <f>VLOOKUP(H1168,'Fund Utilization Report'!$A$4:$U$1800,4,FALSE)</f>
        <v>GAS(GMS)</v>
      </c>
      <c r="W1168" s="239" t="str">
        <f>VLOOKUP(H1168,'Fund Utilization Report'!$A$4:$U$1800,5,FALSE)</f>
        <v>01101101</v>
      </c>
      <c r="X1168" s="239" t="str">
        <f>VLOOKUP(H1168,'Fund Utilization Report'!$A$4:$U$1800,6,FALSE)</f>
        <v>GOP</v>
      </c>
      <c r="Y1168" s="440" t="str">
        <f>VLOOKUP(H1168,'Fund Utilization Report'!$A$4:$U$1800,7,FALSE)</f>
        <v>RLIP</v>
      </c>
      <c r="Z1168" s="441" t="str">
        <f>VLOOKUP(H1168,'Fund Utilization Report'!$A$4:$U$1800,8,FALSE)</f>
        <v>50103010-00</v>
      </c>
      <c r="AA1168" s="239" t="str">
        <f>VLOOKUP(H1168,'Fund Utilization Report'!$A$4:$U$1800,14,FALSE)</f>
        <v>100000100001000</v>
      </c>
      <c r="AB1168" s="242" t="str">
        <f>VLOOKUP(H1168,'Fund Utilization Report'!$A$4:$U$1800,15,FALSE)</f>
        <v>General Administration and Supervision - General Management and Supervision</v>
      </c>
      <c r="AC1168" s="51"/>
      <c r="AD1168" s="435"/>
      <c r="AE1168" s="51"/>
      <c r="AF1168" s="51"/>
      <c r="AG1168" s="442"/>
      <c r="AH1168" s="442"/>
      <c r="AI1168" s="443"/>
    </row>
    <row r="1169" spans="1:35" s="32" customFormat="1" ht="27.6">
      <c r="A1169" s="434" t="s">
        <v>942</v>
      </c>
      <c r="B1169" s="457" t="s">
        <v>946</v>
      </c>
      <c r="C1169" s="233">
        <v>44266</v>
      </c>
      <c r="D1169" s="435" t="s">
        <v>1267</v>
      </c>
      <c r="E1169" s="436" t="s">
        <v>1414</v>
      </c>
      <c r="F1169" s="338">
        <v>0.36458333333333331</v>
      </c>
      <c r="G1169" s="338">
        <v>0.3666666666666667</v>
      </c>
      <c r="H1169" s="338" t="s">
        <v>960</v>
      </c>
      <c r="I1169" s="353">
        <v>732</v>
      </c>
      <c r="J1169" s="338" t="str">
        <f>IFERROR(VLOOKUP(I1169,'Chart of accounts'!A:H,2,FALSE),"")</f>
        <v>50103020 01</v>
      </c>
      <c r="K1169" s="338" t="str">
        <f>IFERROR(VLOOKUP(I1169,'Chart of accounts'!A:H,3,FALSE),"")</f>
        <v>Pag-IBIG - Civilian</v>
      </c>
      <c r="L1169" s="338" t="str">
        <f>IFERROR(VLOOKUP(I1169,'Chart of accounts'!A:H,4,FALSE),"")</f>
        <v>50103020 01 - Pag-IBIG - Civilian (732)</v>
      </c>
      <c r="M1169" s="361">
        <v>2</v>
      </c>
      <c r="N1169" s="355" t="s">
        <v>789</v>
      </c>
      <c r="O1169" s="355" t="s">
        <v>1384</v>
      </c>
      <c r="P1169" s="355"/>
      <c r="Q1169" s="363">
        <v>200</v>
      </c>
      <c r="R1169" s="319">
        <f t="shared" si="44"/>
        <v>-200</v>
      </c>
      <c r="S1169" s="239" t="str">
        <f>VLOOKUP(H1169,'Fund Utilization Report'!$A$4:$U$1800,13,FALSE)</f>
        <v>PS</v>
      </c>
      <c r="T1169" s="239" t="str">
        <f>VLOOKUP(H1169,'Fund Utilization Report'!$A$4:$U$1800,2,FALSE)</f>
        <v>GAA</v>
      </c>
      <c r="U1169" s="239" t="str">
        <f>VLOOKUP(H1169,'Fund Utilization Report'!$A$4:$U$1800,3,FALSE)</f>
        <v>FY2021, RA11518</v>
      </c>
      <c r="V1169" s="239" t="str">
        <f>VLOOKUP(H1169,'Fund Utilization Report'!$A$4:$U$1800,4,FALSE)</f>
        <v>GAS(GMS)</v>
      </c>
      <c r="W1169" s="239" t="str">
        <f>VLOOKUP(H1169,'Fund Utilization Report'!$A$4:$U$1800,5,FALSE)</f>
        <v>01101101</v>
      </c>
      <c r="X1169" s="239" t="str">
        <f>VLOOKUP(H1169,'Fund Utilization Report'!$A$4:$U$1800,6,FALSE)</f>
        <v>GOP</v>
      </c>
      <c r="Y1169" s="440" t="str">
        <f>VLOOKUP(H1169,'Fund Utilization Report'!$A$4:$U$1800,7,FALSE)</f>
        <v>PS</v>
      </c>
      <c r="Z1169" s="441">
        <f>VLOOKUP(H1169,'Fund Utilization Report'!$A$4:$U$1800,8,FALSE)</f>
        <v>5010000000</v>
      </c>
      <c r="AA1169" s="239" t="str">
        <f>VLOOKUP(H1169,'Fund Utilization Report'!$A$4:$U$1800,14,FALSE)</f>
        <v>100000100001000</v>
      </c>
      <c r="AB1169" s="242" t="str">
        <f>VLOOKUP(H1169,'Fund Utilization Report'!$A$4:$U$1800,15,FALSE)</f>
        <v>General Administration and Supervision - General Management and Supervision</v>
      </c>
      <c r="AC1169" s="51"/>
      <c r="AD1169" s="435"/>
      <c r="AE1169" s="51"/>
      <c r="AF1169" s="51"/>
      <c r="AG1169" s="442"/>
      <c r="AH1169" s="442"/>
      <c r="AI1169" s="443"/>
    </row>
    <row r="1170" spans="1:35" s="32" customFormat="1" ht="27.6">
      <c r="A1170" s="434" t="s">
        <v>942</v>
      </c>
      <c r="B1170" s="457" t="s">
        <v>946</v>
      </c>
      <c r="C1170" s="233">
        <v>44266</v>
      </c>
      <c r="D1170" s="435" t="s">
        <v>1267</v>
      </c>
      <c r="E1170" s="436" t="s">
        <v>1414</v>
      </c>
      <c r="F1170" s="338">
        <v>0.36458333333333331</v>
      </c>
      <c r="G1170" s="338">
        <v>0.3666666666666667</v>
      </c>
      <c r="H1170" s="338" t="s">
        <v>960</v>
      </c>
      <c r="I1170" s="353">
        <v>733</v>
      </c>
      <c r="J1170" s="338" t="str">
        <f>IFERROR(VLOOKUP(I1170,'Chart of accounts'!A:H,2,FALSE),"")</f>
        <v>50103030 01</v>
      </c>
      <c r="K1170" s="338" t="str">
        <f>IFERROR(VLOOKUP(I1170,'Chart of accounts'!A:H,3,FALSE),"")</f>
        <v>PhilHealth - Civilian</v>
      </c>
      <c r="L1170" s="338" t="str">
        <f>IFERROR(VLOOKUP(I1170,'Chart of accounts'!A:H,4,FALSE),"")</f>
        <v>50103030 01 - PhilHealth - Civilian (733)</v>
      </c>
      <c r="M1170" s="361">
        <v>2</v>
      </c>
      <c r="N1170" s="355" t="s">
        <v>789</v>
      </c>
      <c r="O1170" s="355" t="s">
        <v>1384</v>
      </c>
      <c r="P1170" s="355"/>
      <c r="Q1170" s="363">
        <f>503.63+358.16</f>
        <v>861.79</v>
      </c>
      <c r="R1170" s="319">
        <f t="shared" si="44"/>
        <v>-861.79</v>
      </c>
      <c r="S1170" s="239" t="str">
        <f>VLOOKUP(H1170,'Fund Utilization Report'!$A$4:$U$1800,13,FALSE)</f>
        <v>PS</v>
      </c>
      <c r="T1170" s="239" t="str">
        <f>VLOOKUP(H1170,'Fund Utilization Report'!$A$4:$U$1800,2,FALSE)</f>
        <v>GAA</v>
      </c>
      <c r="U1170" s="239" t="str">
        <f>VLOOKUP(H1170,'Fund Utilization Report'!$A$4:$U$1800,3,FALSE)</f>
        <v>FY2021, RA11518</v>
      </c>
      <c r="V1170" s="239" t="str">
        <f>VLOOKUP(H1170,'Fund Utilization Report'!$A$4:$U$1800,4,FALSE)</f>
        <v>GAS(GMS)</v>
      </c>
      <c r="W1170" s="239" t="str">
        <f>VLOOKUP(H1170,'Fund Utilization Report'!$A$4:$U$1800,5,FALSE)</f>
        <v>01101101</v>
      </c>
      <c r="X1170" s="239" t="str">
        <f>VLOOKUP(H1170,'Fund Utilization Report'!$A$4:$U$1800,6,FALSE)</f>
        <v>GOP</v>
      </c>
      <c r="Y1170" s="440" t="str">
        <f>VLOOKUP(H1170,'Fund Utilization Report'!$A$4:$U$1800,7,FALSE)</f>
        <v>PS</v>
      </c>
      <c r="Z1170" s="441">
        <f>VLOOKUP(H1170,'Fund Utilization Report'!$A$4:$U$1800,8,FALSE)</f>
        <v>5010000000</v>
      </c>
      <c r="AA1170" s="239" t="str">
        <f>VLOOKUP(H1170,'Fund Utilization Report'!$A$4:$U$1800,14,FALSE)</f>
        <v>100000100001000</v>
      </c>
      <c r="AB1170" s="242" t="str">
        <f>VLOOKUP(H1170,'Fund Utilization Report'!$A$4:$U$1800,15,FALSE)</f>
        <v>General Administration and Supervision - General Management and Supervision</v>
      </c>
      <c r="AC1170" s="51"/>
      <c r="AD1170" s="435"/>
      <c r="AE1170" s="51"/>
      <c r="AF1170" s="51"/>
      <c r="AG1170" s="442"/>
      <c r="AH1170" s="442"/>
      <c r="AI1170" s="443"/>
    </row>
    <row r="1171" spans="1:35" s="32" customFormat="1" ht="27.6">
      <c r="A1171" s="434" t="s">
        <v>942</v>
      </c>
      <c r="B1171" s="457" t="s">
        <v>946</v>
      </c>
      <c r="C1171" s="233">
        <v>44266</v>
      </c>
      <c r="D1171" s="435" t="s">
        <v>1267</v>
      </c>
      <c r="E1171" s="436" t="s">
        <v>1414</v>
      </c>
      <c r="F1171" s="338">
        <v>0.36458333333333331</v>
      </c>
      <c r="G1171" s="338">
        <v>0.3666666666666667</v>
      </c>
      <c r="H1171" s="338" t="s">
        <v>960</v>
      </c>
      <c r="I1171" s="353">
        <v>734</v>
      </c>
      <c r="J1171" s="338" t="str">
        <f>IFERROR(VLOOKUP(I1171,'Chart of accounts'!A:H,2,FALSE),"")</f>
        <v>50103040 01</v>
      </c>
      <c r="K1171" s="338" t="str">
        <f>IFERROR(VLOOKUP(I1171,'Chart of accounts'!A:H,3,FALSE),"")</f>
        <v>ECIP - Civilian</v>
      </c>
      <c r="L1171" s="338" t="str">
        <f>IFERROR(VLOOKUP(I1171,'Chart of accounts'!A:H,4,FALSE),"")</f>
        <v>50103040 01 - ECIP - Civilian (734)</v>
      </c>
      <c r="M1171" s="361">
        <v>2</v>
      </c>
      <c r="N1171" s="355" t="s">
        <v>789</v>
      </c>
      <c r="O1171" s="355" t="s">
        <v>1384</v>
      </c>
      <c r="P1171" s="355"/>
      <c r="Q1171" s="363">
        <v>200</v>
      </c>
      <c r="R1171" s="319">
        <f t="shared" si="44"/>
        <v>-200</v>
      </c>
      <c r="S1171" s="239" t="str">
        <f>VLOOKUP(H1171,'Fund Utilization Report'!$A$4:$U$1800,13,FALSE)</f>
        <v>PS</v>
      </c>
      <c r="T1171" s="239" t="str">
        <f>VLOOKUP(H1171,'Fund Utilization Report'!$A$4:$U$1800,2,FALSE)</f>
        <v>GAA</v>
      </c>
      <c r="U1171" s="239" t="str">
        <f>VLOOKUP(H1171,'Fund Utilization Report'!$A$4:$U$1800,3,FALSE)</f>
        <v>FY2021, RA11518</v>
      </c>
      <c r="V1171" s="239" t="str">
        <f>VLOOKUP(H1171,'Fund Utilization Report'!$A$4:$U$1800,4,FALSE)</f>
        <v>GAS(GMS)</v>
      </c>
      <c r="W1171" s="239" t="str">
        <f>VLOOKUP(H1171,'Fund Utilization Report'!$A$4:$U$1800,5,FALSE)</f>
        <v>01101101</v>
      </c>
      <c r="X1171" s="239" t="str">
        <f>VLOOKUP(H1171,'Fund Utilization Report'!$A$4:$U$1800,6,FALSE)</f>
        <v>GOP</v>
      </c>
      <c r="Y1171" s="440" t="str">
        <f>VLOOKUP(H1171,'Fund Utilization Report'!$A$4:$U$1800,7,FALSE)</f>
        <v>PS</v>
      </c>
      <c r="Z1171" s="441">
        <f>VLOOKUP(H1171,'Fund Utilization Report'!$A$4:$U$1800,8,FALSE)</f>
        <v>5010000000</v>
      </c>
      <c r="AA1171" s="239" t="str">
        <f>VLOOKUP(H1171,'Fund Utilization Report'!$A$4:$U$1800,14,FALSE)</f>
        <v>100000100001000</v>
      </c>
      <c r="AB1171" s="242" t="str">
        <f>VLOOKUP(H1171,'Fund Utilization Report'!$A$4:$U$1800,15,FALSE)</f>
        <v>General Administration and Supervision - General Management and Supervision</v>
      </c>
      <c r="AC1171" s="51"/>
      <c r="AD1171" s="435"/>
      <c r="AE1171" s="51"/>
      <c r="AF1171" s="51"/>
      <c r="AG1171" s="442"/>
      <c r="AH1171" s="442"/>
      <c r="AI1171" s="443"/>
    </row>
    <row r="1172" spans="1:35" s="32" customFormat="1" ht="27.6">
      <c r="A1172" s="434" t="s">
        <v>942</v>
      </c>
      <c r="B1172" s="457" t="s">
        <v>946</v>
      </c>
      <c r="C1172" s="233">
        <v>44266</v>
      </c>
      <c r="D1172" s="435" t="s">
        <v>1267</v>
      </c>
      <c r="E1172" s="436" t="s">
        <v>1414</v>
      </c>
      <c r="F1172" s="338">
        <v>0.36458333333333331</v>
      </c>
      <c r="G1172" s="338">
        <v>0.3666666666666667</v>
      </c>
      <c r="H1172" s="338" t="s">
        <v>964</v>
      </c>
      <c r="I1172" s="353">
        <v>701</v>
      </c>
      <c r="J1172" s="338" t="str">
        <f>IFERROR(VLOOKUP(I1172,'Chart of accounts'!A:H,2,FALSE),"")</f>
        <v>50101010 01</v>
      </c>
      <c r="K1172" s="338" t="str">
        <f>IFERROR(VLOOKUP(I1172,'Chart of accounts'!A:H,3,FALSE),"")</f>
        <v>Basic Salary - Civilian</v>
      </c>
      <c r="L1172" s="338" t="str">
        <f>IFERROR(VLOOKUP(I1172,'Chart of accounts'!A:H,4,FALSE),"")</f>
        <v>50101010 01 - Basic Salary - Civilian (701)</v>
      </c>
      <c r="M1172" s="361">
        <v>2</v>
      </c>
      <c r="N1172" s="355" t="s">
        <v>789</v>
      </c>
      <c r="O1172" s="355" t="s">
        <v>1384</v>
      </c>
      <c r="P1172" s="355"/>
      <c r="Q1172" s="363">
        <f>86742+43681</f>
        <v>130423</v>
      </c>
      <c r="R1172" s="319">
        <f t="shared" si="44"/>
        <v>-130423</v>
      </c>
      <c r="S1172" s="239" t="str">
        <f>VLOOKUP(H1172,'Fund Utilization Report'!$A$4:$U$1800,13,FALSE)</f>
        <v>PS</v>
      </c>
      <c r="T1172" s="239" t="str">
        <f>VLOOKUP(H1172,'Fund Utilization Report'!$A$4:$U$1800,2,FALSE)</f>
        <v>GAA</v>
      </c>
      <c r="U1172" s="239" t="str">
        <f>VLOOKUP(H1172,'Fund Utilization Report'!$A$4:$U$1800,3,FALSE)</f>
        <v>FY2021, RA11518</v>
      </c>
      <c r="V1172" s="239" t="str">
        <f>VLOOKUP(H1172,'Fund Utilization Report'!$A$4:$U$1800,4,FALSE)</f>
        <v>OO1</v>
      </c>
      <c r="W1172" s="239" t="str">
        <f>VLOOKUP(H1172,'Fund Utilization Report'!$A$4:$U$1800,5,FALSE)</f>
        <v>01101101</v>
      </c>
      <c r="X1172" s="239" t="str">
        <f>VLOOKUP(H1172,'Fund Utilization Report'!$A$4:$U$1800,6,FALSE)</f>
        <v>GOP</v>
      </c>
      <c r="Y1172" s="440" t="str">
        <f>VLOOKUP(H1172,'Fund Utilization Report'!$A$4:$U$1800,7,FALSE)</f>
        <v>PS</v>
      </c>
      <c r="Z1172" s="441">
        <f>VLOOKUP(H1172,'Fund Utilization Report'!$A$4:$U$1800,8,FALSE)</f>
        <v>5010000000</v>
      </c>
      <c r="AA1172" s="239" t="str">
        <f>VLOOKUP(H1172,'Fund Utilization Report'!$A$4:$U$1800,14,FALSE)</f>
        <v>310100100002000</v>
      </c>
      <c r="AB1172" s="242" t="str">
        <f>VLOOKUP(H1172,'Fund Utilization Report'!$A$4:$U$1800,15,FALSE)</f>
        <v>Development,Facilitation, and promotion of exports and investment, domestic and foreign</v>
      </c>
      <c r="AC1172" s="51"/>
      <c r="AD1172" s="435"/>
      <c r="AE1172" s="51"/>
      <c r="AF1172" s="51"/>
      <c r="AG1172" s="442"/>
      <c r="AH1172" s="442"/>
      <c r="AI1172" s="443"/>
    </row>
    <row r="1173" spans="1:35" s="32" customFormat="1" ht="27.6">
      <c r="A1173" s="434" t="s">
        <v>942</v>
      </c>
      <c r="B1173" s="457" t="s">
        <v>946</v>
      </c>
      <c r="C1173" s="233">
        <v>44266</v>
      </c>
      <c r="D1173" s="435" t="s">
        <v>1267</v>
      </c>
      <c r="E1173" s="436" t="s">
        <v>1414</v>
      </c>
      <c r="F1173" s="338">
        <v>0.36458333333333331</v>
      </c>
      <c r="G1173" s="338">
        <v>0.3666666666666667</v>
      </c>
      <c r="H1173" s="338" t="s">
        <v>964</v>
      </c>
      <c r="I1173" s="353">
        <v>711</v>
      </c>
      <c r="J1173" s="338" t="str">
        <f>IFERROR(VLOOKUP(I1173,'Chart of accounts'!A:H,2,FALSE),"")</f>
        <v>50102010 01</v>
      </c>
      <c r="K1173" s="338" t="str">
        <f>IFERROR(VLOOKUP(I1173,'Chart of accounts'!A:H,3,FALSE),"")</f>
        <v>PERA - Civilian</v>
      </c>
      <c r="L1173" s="338" t="str">
        <f>IFERROR(VLOOKUP(I1173,'Chart of accounts'!A:H,4,FALSE),"")</f>
        <v>50102010 01 - PERA - Civilian (711)</v>
      </c>
      <c r="M1173" s="361">
        <v>2</v>
      </c>
      <c r="N1173" s="355" t="s">
        <v>789</v>
      </c>
      <c r="O1173" s="355" t="s">
        <v>1384</v>
      </c>
      <c r="P1173" s="355"/>
      <c r="Q1173" s="363">
        <v>4000</v>
      </c>
      <c r="R1173" s="319">
        <f t="shared" si="44"/>
        <v>-4000</v>
      </c>
      <c r="S1173" s="239" t="str">
        <f>VLOOKUP(H1173,'Fund Utilization Report'!$A$4:$U$1800,13,FALSE)</f>
        <v>PS</v>
      </c>
      <c r="T1173" s="239" t="str">
        <f>VLOOKUP(H1173,'Fund Utilization Report'!$A$4:$U$1800,2,FALSE)</f>
        <v>GAA</v>
      </c>
      <c r="U1173" s="239" t="str">
        <f>VLOOKUP(H1173,'Fund Utilization Report'!$A$4:$U$1800,3,FALSE)</f>
        <v>FY2021, RA11518</v>
      </c>
      <c r="V1173" s="239" t="str">
        <f>VLOOKUP(H1173,'Fund Utilization Report'!$A$4:$U$1800,4,FALSE)</f>
        <v>OO1</v>
      </c>
      <c r="W1173" s="239" t="str">
        <f>VLOOKUP(H1173,'Fund Utilization Report'!$A$4:$U$1800,5,FALSE)</f>
        <v>01101101</v>
      </c>
      <c r="X1173" s="239" t="str">
        <f>VLOOKUP(H1173,'Fund Utilization Report'!$A$4:$U$1800,6,FALSE)</f>
        <v>GOP</v>
      </c>
      <c r="Y1173" s="440" t="str">
        <f>VLOOKUP(H1173,'Fund Utilization Report'!$A$4:$U$1800,7,FALSE)</f>
        <v>PS</v>
      </c>
      <c r="Z1173" s="441">
        <f>VLOOKUP(H1173,'Fund Utilization Report'!$A$4:$U$1800,8,FALSE)</f>
        <v>5010000000</v>
      </c>
      <c r="AA1173" s="239" t="str">
        <f>VLOOKUP(H1173,'Fund Utilization Report'!$A$4:$U$1800,14,FALSE)</f>
        <v>310100100002000</v>
      </c>
      <c r="AB1173" s="242" t="str">
        <f>VLOOKUP(H1173,'Fund Utilization Report'!$A$4:$U$1800,15,FALSE)</f>
        <v>Development,Facilitation, and promotion of exports and investment, domestic and foreign</v>
      </c>
      <c r="AC1173" s="51"/>
      <c r="AD1173" s="435"/>
      <c r="AE1173" s="51"/>
      <c r="AF1173" s="51"/>
      <c r="AG1173" s="442"/>
      <c r="AH1173" s="442"/>
      <c r="AI1173" s="443"/>
    </row>
    <row r="1174" spans="1:35" s="32" customFormat="1" ht="27.6">
      <c r="A1174" s="434" t="s">
        <v>942</v>
      </c>
      <c r="B1174" s="457" t="s">
        <v>946</v>
      </c>
      <c r="C1174" s="233">
        <v>44266</v>
      </c>
      <c r="D1174" s="435" t="s">
        <v>1267</v>
      </c>
      <c r="E1174" s="436" t="s">
        <v>1414</v>
      </c>
      <c r="F1174" s="338">
        <v>0.36458333333333331</v>
      </c>
      <c r="G1174" s="338">
        <v>0.3666666666666667</v>
      </c>
      <c r="H1174" s="338" t="s">
        <v>966</v>
      </c>
      <c r="I1174" s="353">
        <v>731</v>
      </c>
      <c r="J1174" s="338" t="str">
        <f>IFERROR(VLOOKUP(I1174,'Chart of accounts'!A:H,2,FALSE),"")</f>
        <v>50103010 00</v>
      </c>
      <c r="K1174" s="338" t="str">
        <f>IFERROR(VLOOKUP(I1174,'Chart of accounts'!A:H,3,FALSE),"")</f>
        <v>Retirement and Life Insurance Premiums</v>
      </c>
      <c r="L1174" s="338" t="str">
        <f>IFERROR(VLOOKUP(I1174,'Chart of accounts'!A:H,4,FALSE),"")</f>
        <v>50103010 00 - Retirement and Life Insurance Premiums (731)</v>
      </c>
      <c r="M1174" s="361">
        <v>2</v>
      </c>
      <c r="N1174" s="355" t="s">
        <v>789</v>
      </c>
      <c r="O1174" s="355" t="s">
        <v>1384</v>
      </c>
      <c r="P1174" s="355"/>
      <c r="Q1174" s="363">
        <f>10409.04+5241.72</f>
        <v>15650.760000000002</v>
      </c>
      <c r="R1174" s="319">
        <f t="shared" si="44"/>
        <v>-15650.760000000002</v>
      </c>
      <c r="S1174" s="239" t="str">
        <f>VLOOKUP(H1174,'Fund Utilization Report'!$A$4:$U$1800,13,FALSE)</f>
        <v>PS</v>
      </c>
      <c r="T1174" s="239" t="str">
        <f>VLOOKUP(H1174,'Fund Utilization Report'!$A$4:$U$1800,2,FALSE)</f>
        <v>GAA</v>
      </c>
      <c r="U1174" s="239" t="str">
        <f>VLOOKUP(H1174,'Fund Utilization Report'!$A$4:$U$1800,3,FALSE)</f>
        <v>FY2021, RA11518</v>
      </c>
      <c r="V1174" s="239" t="str">
        <f>VLOOKUP(H1174,'Fund Utilization Report'!$A$4:$U$1800,4,FALSE)</f>
        <v>OO1</v>
      </c>
      <c r="W1174" s="239" t="str">
        <f>VLOOKUP(H1174,'Fund Utilization Report'!$A$4:$U$1800,5,FALSE)</f>
        <v>01101101</v>
      </c>
      <c r="X1174" s="239" t="str">
        <f>VLOOKUP(H1174,'Fund Utilization Report'!$A$4:$U$1800,6,FALSE)</f>
        <v>GOP</v>
      </c>
      <c r="Y1174" s="440" t="str">
        <f>VLOOKUP(H1174,'Fund Utilization Report'!$A$4:$U$1800,7,FALSE)</f>
        <v>RLIP</v>
      </c>
      <c r="Z1174" s="441" t="str">
        <f>VLOOKUP(H1174,'Fund Utilization Report'!$A$4:$U$1800,8,FALSE)</f>
        <v>50103010-00</v>
      </c>
      <c r="AA1174" s="239" t="str">
        <f>VLOOKUP(H1174,'Fund Utilization Report'!$A$4:$U$1800,14,FALSE)</f>
        <v>310100100002000</v>
      </c>
      <c r="AB1174" s="242" t="str">
        <f>VLOOKUP(H1174,'Fund Utilization Report'!$A$4:$U$1800,15,FALSE)</f>
        <v>Development,Facilitation, and promotion of exports and investment, domestic and foreign</v>
      </c>
      <c r="AC1174" s="51"/>
      <c r="AD1174" s="435"/>
      <c r="AE1174" s="51"/>
      <c r="AF1174" s="51"/>
      <c r="AG1174" s="442"/>
      <c r="AH1174" s="442"/>
      <c r="AI1174" s="443"/>
    </row>
    <row r="1175" spans="1:35" s="32" customFormat="1" ht="27.6">
      <c r="A1175" s="434" t="s">
        <v>942</v>
      </c>
      <c r="B1175" s="457" t="s">
        <v>946</v>
      </c>
      <c r="C1175" s="233">
        <v>44266</v>
      </c>
      <c r="D1175" s="435" t="s">
        <v>1267</v>
      </c>
      <c r="E1175" s="436" t="s">
        <v>1414</v>
      </c>
      <c r="F1175" s="338">
        <v>0.36458333333333331</v>
      </c>
      <c r="G1175" s="338">
        <v>0.3666666666666667</v>
      </c>
      <c r="H1175" s="338" t="s">
        <v>964</v>
      </c>
      <c r="I1175" s="353">
        <v>732</v>
      </c>
      <c r="J1175" s="338" t="str">
        <f>IFERROR(VLOOKUP(I1175,'Chart of accounts'!A:H,2,FALSE),"")</f>
        <v>50103020 01</v>
      </c>
      <c r="K1175" s="338" t="str">
        <f>IFERROR(VLOOKUP(I1175,'Chart of accounts'!A:H,3,FALSE),"")</f>
        <v>Pag-IBIG - Civilian</v>
      </c>
      <c r="L1175" s="338" t="str">
        <f>IFERROR(VLOOKUP(I1175,'Chart of accounts'!A:H,4,FALSE),"")</f>
        <v>50103020 01 - Pag-IBIG - Civilian (732)</v>
      </c>
      <c r="M1175" s="361">
        <v>2</v>
      </c>
      <c r="N1175" s="355" t="s">
        <v>789</v>
      </c>
      <c r="O1175" s="355" t="s">
        <v>1384</v>
      </c>
      <c r="P1175" s="355"/>
      <c r="Q1175" s="363">
        <v>200</v>
      </c>
      <c r="R1175" s="319">
        <f t="shared" si="44"/>
        <v>-200</v>
      </c>
      <c r="S1175" s="239" t="str">
        <f>VLOOKUP(H1175,'Fund Utilization Report'!$A$4:$U$1800,13,FALSE)</f>
        <v>PS</v>
      </c>
      <c r="T1175" s="239" t="str">
        <f>VLOOKUP(H1175,'Fund Utilization Report'!$A$4:$U$1800,2,FALSE)</f>
        <v>GAA</v>
      </c>
      <c r="U1175" s="239" t="str">
        <f>VLOOKUP(H1175,'Fund Utilization Report'!$A$4:$U$1800,3,FALSE)</f>
        <v>FY2021, RA11518</v>
      </c>
      <c r="V1175" s="239" t="str">
        <f>VLOOKUP(H1175,'Fund Utilization Report'!$A$4:$U$1800,4,FALSE)</f>
        <v>OO1</v>
      </c>
      <c r="W1175" s="239" t="str">
        <f>VLOOKUP(H1175,'Fund Utilization Report'!$A$4:$U$1800,5,FALSE)</f>
        <v>01101101</v>
      </c>
      <c r="X1175" s="239" t="str">
        <f>VLOOKUP(H1175,'Fund Utilization Report'!$A$4:$U$1800,6,FALSE)</f>
        <v>GOP</v>
      </c>
      <c r="Y1175" s="440" t="str">
        <f>VLOOKUP(H1175,'Fund Utilization Report'!$A$4:$U$1800,7,FALSE)</f>
        <v>PS</v>
      </c>
      <c r="Z1175" s="441">
        <f>VLOOKUP(H1175,'Fund Utilization Report'!$A$4:$U$1800,8,FALSE)</f>
        <v>5010000000</v>
      </c>
      <c r="AA1175" s="239" t="str">
        <f>VLOOKUP(H1175,'Fund Utilization Report'!$A$4:$U$1800,14,FALSE)</f>
        <v>310100100002000</v>
      </c>
      <c r="AB1175" s="242" t="str">
        <f>VLOOKUP(H1175,'Fund Utilization Report'!$A$4:$U$1800,15,FALSE)</f>
        <v>Development,Facilitation, and promotion of exports and investment, domestic and foreign</v>
      </c>
      <c r="AC1175" s="51"/>
      <c r="AD1175" s="435"/>
      <c r="AE1175" s="51"/>
      <c r="AF1175" s="51"/>
      <c r="AG1175" s="442"/>
      <c r="AH1175" s="442"/>
      <c r="AI1175" s="443"/>
    </row>
    <row r="1176" spans="1:35" s="32" customFormat="1" ht="27.6">
      <c r="A1176" s="434" t="s">
        <v>942</v>
      </c>
      <c r="B1176" s="457" t="s">
        <v>946</v>
      </c>
      <c r="C1176" s="233">
        <v>44266</v>
      </c>
      <c r="D1176" s="435" t="s">
        <v>1267</v>
      </c>
      <c r="E1176" s="436" t="s">
        <v>1414</v>
      </c>
      <c r="F1176" s="338">
        <v>0.36458333333333331</v>
      </c>
      <c r="G1176" s="338">
        <v>0.3666666666666667</v>
      </c>
      <c r="H1176" s="338" t="s">
        <v>964</v>
      </c>
      <c r="I1176" s="353">
        <v>733</v>
      </c>
      <c r="J1176" s="338" t="str">
        <f>IFERROR(VLOOKUP(I1176,'Chart of accounts'!A:H,2,FALSE),"")</f>
        <v>50103030 01</v>
      </c>
      <c r="K1176" s="338" t="str">
        <f>IFERROR(VLOOKUP(I1176,'Chart of accounts'!A:H,3,FALSE),"")</f>
        <v>PhilHealth - Civilian</v>
      </c>
      <c r="L1176" s="338" t="str">
        <f>IFERROR(VLOOKUP(I1176,'Chart of accounts'!A:H,4,FALSE),"")</f>
        <v>50103030 01 - PhilHealth - Civilian (733)</v>
      </c>
      <c r="M1176" s="361">
        <v>2</v>
      </c>
      <c r="N1176" s="355" t="s">
        <v>789</v>
      </c>
      <c r="O1176" s="355" t="s">
        <v>1384</v>
      </c>
      <c r="P1176" s="355"/>
      <c r="Q1176" s="363">
        <f>900+655.22</f>
        <v>1555.22</v>
      </c>
      <c r="R1176" s="319">
        <f t="shared" si="44"/>
        <v>-1555.22</v>
      </c>
      <c r="S1176" s="239" t="str">
        <f>VLOOKUP(H1176,'Fund Utilization Report'!$A$4:$U$1800,13,FALSE)</f>
        <v>PS</v>
      </c>
      <c r="T1176" s="239" t="str">
        <f>VLOOKUP(H1176,'Fund Utilization Report'!$A$4:$U$1800,2,FALSE)</f>
        <v>GAA</v>
      </c>
      <c r="U1176" s="239" t="str">
        <f>VLOOKUP(H1176,'Fund Utilization Report'!$A$4:$U$1800,3,FALSE)</f>
        <v>FY2021, RA11518</v>
      </c>
      <c r="V1176" s="239" t="str">
        <f>VLOOKUP(H1176,'Fund Utilization Report'!$A$4:$U$1800,4,FALSE)</f>
        <v>OO1</v>
      </c>
      <c r="W1176" s="239" t="str">
        <f>VLOOKUP(H1176,'Fund Utilization Report'!$A$4:$U$1800,5,FALSE)</f>
        <v>01101101</v>
      </c>
      <c r="X1176" s="239" t="str">
        <f>VLOOKUP(H1176,'Fund Utilization Report'!$A$4:$U$1800,6,FALSE)</f>
        <v>GOP</v>
      </c>
      <c r="Y1176" s="440" t="str">
        <f>VLOOKUP(H1176,'Fund Utilization Report'!$A$4:$U$1800,7,FALSE)</f>
        <v>PS</v>
      </c>
      <c r="Z1176" s="441">
        <f>VLOOKUP(H1176,'Fund Utilization Report'!$A$4:$U$1800,8,FALSE)</f>
        <v>5010000000</v>
      </c>
      <c r="AA1176" s="239" t="str">
        <f>VLOOKUP(H1176,'Fund Utilization Report'!$A$4:$U$1800,14,FALSE)</f>
        <v>310100100002000</v>
      </c>
      <c r="AB1176" s="242" t="str">
        <f>VLOOKUP(H1176,'Fund Utilization Report'!$A$4:$U$1800,15,FALSE)</f>
        <v>Development,Facilitation, and promotion of exports and investment, domestic and foreign</v>
      </c>
      <c r="AC1176" s="51"/>
      <c r="AD1176" s="435"/>
      <c r="AE1176" s="51"/>
      <c r="AF1176" s="51"/>
      <c r="AG1176" s="442"/>
      <c r="AH1176" s="442"/>
      <c r="AI1176" s="443"/>
    </row>
    <row r="1177" spans="1:35" s="32" customFormat="1" ht="27.6">
      <c r="A1177" s="434" t="s">
        <v>942</v>
      </c>
      <c r="B1177" s="457" t="s">
        <v>946</v>
      </c>
      <c r="C1177" s="233">
        <v>44266</v>
      </c>
      <c r="D1177" s="435" t="s">
        <v>1267</v>
      </c>
      <c r="E1177" s="436" t="s">
        <v>1414</v>
      </c>
      <c r="F1177" s="338">
        <v>0.36458333333333331</v>
      </c>
      <c r="G1177" s="338">
        <v>0.3666666666666667</v>
      </c>
      <c r="H1177" s="338" t="s">
        <v>964</v>
      </c>
      <c r="I1177" s="353">
        <v>734</v>
      </c>
      <c r="J1177" s="338" t="str">
        <f>IFERROR(VLOOKUP(I1177,'Chart of accounts'!A:H,2,FALSE),"")</f>
        <v>50103040 01</v>
      </c>
      <c r="K1177" s="338" t="str">
        <f>IFERROR(VLOOKUP(I1177,'Chart of accounts'!A:H,3,FALSE),"")</f>
        <v>ECIP - Civilian</v>
      </c>
      <c r="L1177" s="338" t="str">
        <f>IFERROR(VLOOKUP(I1177,'Chart of accounts'!A:H,4,FALSE),"")</f>
        <v>50103040 01 - ECIP - Civilian (734)</v>
      </c>
      <c r="M1177" s="361">
        <v>2</v>
      </c>
      <c r="N1177" s="355" t="s">
        <v>789</v>
      </c>
      <c r="O1177" s="355" t="s">
        <v>1384</v>
      </c>
      <c r="P1177" s="355"/>
      <c r="Q1177" s="363">
        <v>200</v>
      </c>
      <c r="R1177" s="319">
        <f t="shared" si="44"/>
        <v>-200</v>
      </c>
      <c r="S1177" s="239" t="str">
        <f>VLOOKUP(H1177,'Fund Utilization Report'!$A$4:$U$1800,13,FALSE)</f>
        <v>PS</v>
      </c>
      <c r="T1177" s="239" t="str">
        <f>VLOOKUP(H1177,'Fund Utilization Report'!$A$4:$U$1800,2,FALSE)</f>
        <v>GAA</v>
      </c>
      <c r="U1177" s="239" t="str">
        <f>VLOOKUP(H1177,'Fund Utilization Report'!$A$4:$U$1800,3,FALSE)</f>
        <v>FY2021, RA11518</v>
      </c>
      <c r="V1177" s="239" t="str">
        <f>VLOOKUP(H1177,'Fund Utilization Report'!$A$4:$U$1800,4,FALSE)</f>
        <v>OO1</v>
      </c>
      <c r="W1177" s="239" t="str">
        <f>VLOOKUP(H1177,'Fund Utilization Report'!$A$4:$U$1800,5,FALSE)</f>
        <v>01101101</v>
      </c>
      <c r="X1177" s="239" t="str">
        <f>VLOOKUP(H1177,'Fund Utilization Report'!$A$4:$U$1800,6,FALSE)</f>
        <v>GOP</v>
      </c>
      <c r="Y1177" s="440" t="str">
        <f>VLOOKUP(H1177,'Fund Utilization Report'!$A$4:$U$1800,7,FALSE)</f>
        <v>PS</v>
      </c>
      <c r="Z1177" s="441">
        <f>VLOOKUP(H1177,'Fund Utilization Report'!$A$4:$U$1800,8,FALSE)</f>
        <v>5010000000</v>
      </c>
      <c r="AA1177" s="239" t="str">
        <f>VLOOKUP(H1177,'Fund Utilization Report'!$A$4:$U$1800,14,FALSE)</f>
        <v>310100100002000</v>
      </c>
      <c r="AB1177" s="242" t="str">
        <f>VLOOKUP(H1177,'Fund Utilization Report'!$A$4:$U$1800,15,FALSE)</f>
        <v>Development,Facilitation, and promotion of exports and investment, domestic and foreign</v>
      </c>
      <c r="AC1177" s="51"/>
      <c r="AD1177" s="435"/>
      <c r="AE1177" s="51"/>
      <c r="AF1177" s="51"/>
      <c r="AG1177" s="442"/>
      <c r="AH1177" s="442"/>
      <c r="AI1177" s="443"/>
    </row>
    <row r="1178" spans="1:35" s="32" customFormat="1" ht="27.6">
      <c r="A1178" s="434" t="s">
        <v>942</v>
      </c>
      <c r="B1178" s="457" t="s">
        <v>946</v>
      </c>
      <c r="C1178" s="233">
        <v>44266</v>
      </c>
      <c r="D1178" s="435" t="s">
        <v>1267</v>
      </c>
      <c r="E1178" s="436" t="s">
        <v>1414</v>
      </c>
      <c r="F1178" s="338">
        <v>0.36458333333333331</v>
      </c>
      <c r="G1178" s="338">
        <v>0.3666666666666667</v>
      </c>
      <c r="H1178" s="338" t="s">
        <v>967</v>
      </c>
      <c r="I1178" s="353">
        <v>701</v>
      </c>
      <c r="J1178" s="338" t="str">
        <f>IFERROR(VLOOKUP(I1178,'Chart of accounts'!A:H,2,FALSE),"")</f>
        <v>50101010 01</v>
      </c>
      <c r="K1178" s="338" t="str">
        <f>IFERROR(VLOOKUP(I1178,'Chart of accounts'!A:H,3,FALSE),"")</f>
        <v>Basic Salary - Civilian</v>
      </c>
      <c r="L1178" s="338" t="str">
        <f>IFERROR(VLOOKUP(I1178,'Chart of accounts'!A:H,4,FALSE),"")</f>
        <v>50101010 01 - Basic Salary - Civilian (701)</v>
      </c>
      <c r="M1178" s="361">
        <v>2</v>
      </c>
      <c r="N1178" s="355" t="s">
        <v>789</v>
      </c>
      <c r="O1178" s="355" t="s">
        <v>1384</v>
      </c>
      <c r="P1178" s="355"/>
      <c r="Q1178" s="363">
        <v>111742</v>
      </c>
      <c r="R1178" s="319">
        <f t="shared" si="44"/>
        <v>-111742</v>
      </c>
      <c r="S1178" s="239" t="str">
        <f>VLOOKUP(H1178,'Fund Utilization Report'!$A$4:$U$1800,13,FALSE)</f>
        <v>PS</v>
      </c>
      <c r="T1178" s="239" t="str">
        <f>VLOOKUP(H1178,'Fund Utilization Report'!$A$4:$U$1800,2,FALSE)</f>
        <v>GAA</v>
      </c>
      <c r="U1178" s="239" t="str">
        <f>VLOOKUP(H1178,'Fund Utilization Report'!$A$4:$U$1800,3,FALSE)</f>
        <v>FY2021, RA11518</v>
      </c>
      <c r="V1178" s="239" t="str">
        <f>VLOOKUP(H1178,'Fund Utilization Report'!$A$4:$U$1800,4,FALSE)</f>
        <v>OO2</v>
      </c>
      <c r="W1178" s="239" t="str">
        <f>VLOOKUP(H1178,'Fund Utilization Report'!$A$4:$U$1800,5,FALSE)</f>
        <v>01101101</v>
      </c>
      <c r="X1178" s="239" t="str">
        <f>VLOOKUP(H1178,'Fund Utilization Report'!$A$4:$U$1800,6,FALSE)</f>
        <v>GOP</v>
      </c>
      <c r="Y1178" s="440" t="str">
        <f>VLOOKUP(H1178,'Fund Utilization Report'!$A$4:$U$1800,7,FALSE)</f>
        <v>PS</v>
      </c>
      <c r="Z1178" s="441">
        <f>VLOOKUP(H1178,'Fund Utilization Report'!$A$4:$U$1800,8,FALSE)</f>
        <v>5010000000</v>
      </c>
      <c r="AA1178" s="239" t="str">
        <f>VLOOKUP(H1178,'Fund Utilization Report'!$A$4:$U$1800,14,FALSE)</f>
        <v>320100100001000</v>
      </c>
      <c r="AB1178" s="242" t="str">
        <f>VLOOKUP(H1178,'Fund Utilization Report'!$A$4:$U$1800,15,FALSE)</f>
        <v>Formulation of Strategic plans,programs, and policies to develop competitve industries</v>
      </c>
      <c r="AC1178" s="51"/>
      <c r="AD1178" s="435"/>
      <c r="AE1178" s="51"/>
      <c r="AF1178" s="51"/>
      <c r="AG1178" s="442"/>
      <c r="AH1178" s="442"/>
      <c r="AI1178" s="443"/>
    </row>
    <row r="1179" spans="1:35" s="32" customFormat="1" ht="27.6">
      <c r="A1179" s="434" t="s">
        <v>942</v>
      </c>
      <c r="B1179" s="457" t="s">
        <v>946</v>
      </c>
      <c r="C1179" s="233">
        <v>44266</v>
      </c>
      <c r="D1179" s="435" t="s">
        <v>1267</v>
      </c>
      <c r="E1179" s="436" t="s">
        <v>1414</v>
      </c>
      <c r="F1179" s="338">
        <v>0.36458333333333331</v>
      </c>
      <c r="G1179" s="338">
        <v>0.3666666666666667</v>
      </c>
      <c r="H1179" s="338" t="s">
        <v>967</v>
      </c>
      <c r="I1179" s="353">
        <v>711</v>
      </c>
      <c r="J1179" s="338" t="str">
        <f>IFERROR(VLOOKUP(I1179,'Chart of accounts'!A:H,2,FALSE),"")</f>
        <v>50102010 01</v>
      </c>
      <c r="K1179" s="338" t="str">
        <f>IFERROR(VLOOKUP(I1179,'Chart of accounts'!A:H,3,FALSE),"")</f>
        <v>PERA - Civilian</v>
      </c>
      <c r="L1179" s="338" t="str">
        <f>IFERROR(VLOOKUP(I1179,'Chart of accounts'!A:H,4,FALSE),"")</f>
        <v>50102010 01 - PERA - Civilian (711)</v>
      </c>
      <c r="M1179" s="361">
        <v>2</v>
      </c>
      <c r="N1179" s="355" t="s">
        <v>789</v>
      </c>
      <c r="O1179" s="355" t="s">
        <v>1384</v>
      </c>
      <c r="P1179" s="355"/>
      <c r="Q1179" s="363">
        <v>2000</v>
      </c>
      <c r="R1179" s="319">
        <f t="shared" si="44"/>
        <v>-2000</v>
      </c>
      <c r="S1179" s="239" t="str">
        <f>VLOOKUP(H1179,'Fund Utilization Report'!$A$4:$U$1800,13,FALSE)</f>
        <v>PS</v>
      </c>
      <c r="T1179" s="239" t="str">
        <f>VLOOKUP(H1179,'Fund Utilization Report'!$A$4:$U$1800,2,FALSE)</f>
        <v>GAA</v>
      </c>
      <c r="U1179" s="239" t="str">
        <f>VLOOKUP(H1179,'Fund Utilization Report'!$A$4:$U$1800,3,FALSE)</f>
        <v>FY2021, RA11518</v>
      </c>
      <c r="V1179" s="239" t="str">
        <f>VLOOKUP(H1179,'Fund Utilization Report'!$A$4:$U$1800,4,FALSE)</f>
        <v>OO2</v>
      </c>
      <c r="W1179" s="239" t="str">
        <f>VLOOKUP(H1179,'Fund Utilization Report'!$A$4:$U$1800,5,FALSE)</f>
        <v>01101101</v>
      </c>
      <c r="X1179" s="239" t="str">
        <f>VLOOKUP(H1179,'Fund Utilization Report'!$A$4:$U$1800,6,FALSE)</f>
        <v>GOP</v>
      </c>
      <c r="Y1179" s="440" t="str">
        <f>VLOOKUP(H1179,'Fund Utilization Report'!$A$4:$U$1800,7,FALSE)</f>
        <v>PS</v>
      </c>
      <c r="Z1179" s="441">
        <f>VLOOKUP(H1179,'Fund Utilization Report'!$A$4:$U$1800,8,FALSE)</f>
        <v>5010000000</v>
      </c>
      <c r="AA1179" s="239" t="str">
        <f>VLOOKUP(H1179,'Fund Utilization Report'!$A$4:$U$1800,14,FALSE)</f>
        <v>320100100001000</v>
      </c>
      <c r="AB1179" s="242" t="str">
        <f>VLOOKUP(H1179,'Fund Utilization Report'!$A$4:$U$1800,15,FALSE)</f>
        <v>Formulation of Strategic plans,programs, and policies to develop competitve industries</v>
      </c>
      <c r="AC1179" s="51"/>
      <c r="AD1179" s="435"/>
      <c r="AE1179" s="51"/>
      <c r="AF1179" s="51"/>
      <c r="AG1179" s="442"/>
      <c r="AH1179" s="442"/>
      <c r="AI1179" s="443"/>
    </row>
    <row r="1180" spans="1:35" s="32" customFormat="1" ht="27.6">
      <c r="A1180" s="434" t="s">
        <v>942</v>
      </c>
      <c r="B1180" s="457" t="s">
        <v>946</v>
      </c>
      <c r="C1180" s="233">
        <v>44266</v>
      </c>
      <c r="D1180" s="435" t="s">
        <v>1267</v>
      </c>
      <c r="E1180" s="436" t="s">
        <v>1414</v>
      </c>
      <c r="F1180" s="338">
        <v>0.36458333333333331</v>
      </c>
      <c r="G1180" s="338">
        <v>0.3666666666666667</v>
      </c>
      <c r="H1180" s="338" t="s">
        <v>969</v>
      </c>
      <c r="I1180" s="353">
        <v>731</v>
      </c>
      <c r="J1180" s="338" t="str">
        <f>IFERROR(VLOOKUP(I1180,'Chart of accounts'!A:H,2,FALSE),"")</f>
        <v>50103010 00</v>
      </c>
      <c r="K1180" s="338" t="str">
        <f>IFERROR(VLOOKUP(I1180,'Chart of accounts'!A:H,3,FALSE),"")</f>
        <v>Retirement and Life Insurance Premiums</v>
      </c>
      <c r="L1180" s="338" t="str">
        <f>IFERROR(VLOOKUP(I1180,'Chart of accounts'!A:H,4,FALSE),"")</f>
        <v>50103010 00 - Retirement and Life Insurance Premiums (731)</v>
      </c>
      <c r="M1180" s="361">
        <v>2</v>
      </c>
      <c r="N1180" s="355" t="s">
        <v>789</v>
      </c>
      <c r="O1180" s="355" t="s">
        <v>1384</v>
      </c>
      <c r="P1180" s="355"/>
      <c r="Q1180" s="363">
        <v>13409.04</v>
      </c>
      <c r="R1180" s="319">
        <f t="shared" ref="R1180:R1185" si="45">P1180-Q1180</f>
        <v>-13409.04</v>
      </c>
      <c r="S1180" s="239" t="str">
        <f>VLOOKUP(H1180,'Fund Utilization Report'!$A$4:$U$1800,13,FALSE)</f>
        <v>PS</v>
      </c>
      <c r="T1180" s="239" t="str">
        <f>VLOOKUP(H1180,'Fund Utilization Report'!$A$4:$U$1800,2,FALSE)</f>
        <v>GAA</v>
      </c>
      <c r="U1180" s="239" t="str">
        <f>VLOOKUP(H1180,'Fund Utilization Report'!$A$4:$U$1800,3,FALSE)</f>
        <v>FY2021, RA11518</v>
      </c>
      <c r="V1180" s="239" t="str">
        <f>VLOOKUP(H1180,'Fund Utilization Report'!$A$4:$U$1800,4,FALSE)</f>
        <v>OO2</v>
      </c>
      <c r="W1180" s="239" t="str">
        <f>VLOOKUP(H1180,'Fund Utilization Report'!$A$4:$U$1800,5,FALSE)</f>
        <v>01101101</v>
      </c>
      <c r="X1180" s="239" t="str">
        <f>VLOOKUP(H1180,'Fund Utilization Report'!$A$4:$U$1800,6,FALSE)</f>
        <v>GOP</v>
      </c>
      <c r="Y1180" s="440" t="str">
        <f>VLOOKUP(H1180,'Fund Utilization Report'!$A$4:$U$1800,7,FALSE)</f>
        <v>RLIP</v>
      </c>
      <c r="Z1180" s="441" t="str">
        <f>VLOOKUP(H1180,'Fund Utilization Report'!$A$4:$U$1800,8,FALSE)</f>
        <v>50103010-00</v>
      </c>
      <c r="AA1180" s="239" t="str">
        <f>VLOOKUP(H1180,'Fund Utilization Report'!$A$4:$U$1800,14,FALSE)</f>
        <v>320100100001000</v>
      </c>
      <c r="AB1180" s="242" t="str">
        <f>VLOOKUP(H1180,'Fund Utilization Report'!$A$4:$U$1800,15,FALSE)</f>
        <v>Formulation of Strategic plans,programs, and policies to develop competitve industries</v>
      </c>
      <c r="AC1180" s="51"/>
      <c r="AD1180" s="435"/>
      <c r="AE1180" s="51"/>
      <c r="AF1180" s="51"/>
      <c r="AG1180" s="442"/>
      <c r="AH1180" s="442"/>
      <c r="AI1180" s="443"/>
    </row>
    <row r="1181" spans="1:35" s="32" customFormat="1" ht="27.6">
      <c r="A1181" s="434" t="s">
        <v>942</v>
      </c>
      <c r="B1181" s="457" t="s">
        <v>946</v>
      </c>
      <c r="C1181" s="233">
        <v>44266</v>
      </c>
      <c r="D1181" s="435" t="s">
        <v>1267</v>
      </c>
      <c r="E1181" s="436" t="s">
        <v>1414</v>
      </c>
      <c r="F1181" s="338">
        <v>0.36458333333333331</v>
      </c>
      <c r="G1181" s="338">
        <v>0.3666666666666667</v>
      </c>
      <c r="H1181" s="338" t="s">
        <v>967</v>
      </c>
      <c r="I1181" s="353">
        <v>732</v>
      </c>
      <c r="J1181" s="338" t="str">
        <f>IFERROR(VLOOKUP(I1181,'Chart of accounts'!A:H,2,FALSE),"")</f>
        <v>50103020 01</v>
      </c>
      <c r="K1181" s="338" t="str">
        <f>IFERROR(VLOOKUP(I1181,'Chart of accounts'!A:H,3,FALSE),"")</f>
        <v>Pag-IBIG - Civilian</v>
      </c>
      <c r="L1181" s="338" t="str">
        <f>IFERROR(VLOOKUP(I1181,'Chart of accounts'!A:H,4,FALSE),"")</f>
        <v>50103020 01 - Pag-IBIG - Civilian (732)</v>
      </c>
      <c r="M1181" s="361">
        <v>2</v>
      </c>
      <c r="N1181" s="355" t="s">
        <v>789</v>
      </c>
      <c r="O1181" s="355" t="s">
        <v>1384</v>
      </c>
      <c r="P1181" s="355"/>
      <c r="Q1181" s="363">
        <v>100</v>
      </c>
      <c r="R1181" s="319">
        <f t="shared" si="45"/>
        <v>-100</v>
      </c>
      <c r="S1181" s="239" t="str">
        <f>VLOOKUP(H1181,'Fund Utilization Report'!$A$4:$U$1800,13,FALSE)</f>
        <v>PS</v>
      </c>
      <c r="T1181" s="239" t="str">
        <f>VLOOKUP(H1181,'Fund Utilization Report'!$A$4:$U$1800,2,FALSE)</f>
        <v>GAA</v>
      </c>
      <c r="U1181" s="239" t="str">
        <f>VLOOKUP(H1181,'Fund Utilization Report'!$A$4:$U$1800,3,FALSE)</f>
        <v>FY2021, RA11518</v>
      </c>
      <c r="V1181" s="239" t="str">
        <f>VLOOKUP(H1181,'Fund Utilization Report'!$A$4:$U$1800,4,FALSE)</f>
        <v>OO2</v>
      </c>
      <c r="W1181" s="239" t="str">
        <f>VLOOKUP(H1181,'Fund Utilization Report'!$A$4:$U$1800,5,FALSE)</f>
        <v>01101101</v>
      </c>
      <c r="X1181" s="239" t="str">
        <f>VLOOKUP(H1181,'Fund Utilization Report'!$A$4:$U$1800,6,FALSE)</f>
        <v>GOP</v>
      </c>
      <c r="Y1181" s="440" t="str">
        <f>VLOOKUP(H1181,'Fund Utilization Report'!$A$4:$U$1800,7,FALSE)</f>
        <v>PS</v>
      </c>
      <c r="Z1181" s="441">
        <f>VLOOKUP(H1181,'Fund Utilization Report'!$A$4:$U$1800,8,FALSE)</f>
        <v>5010000000</v>
      </c>
      <c r="AA1181" s="239" t="str">
        <f>VLOOKUP(H1181,'Fund Utilization Report'!$A$4:$U$1800,14,FALSE)</f>
        <v>320100100001000</v>
      </c>
      <c r="AB1181" s="242" t="str">
        <f>VLOOKUP(H1181,'Fund Utilization Report'!$A$4:$U$1800,15,FALSE)</f>
        <v>Formulation of Strategic plans,programs, and policies to develop competitve industries</v>
      </c>
      <c r="AC1181" s="51"/>
      <c r="AD1181" s="435"/>
      <c r="AE1181" s="51"/>
      <c r="AF1181" s="51"/>
      <c r="AG1181" s="442"/>
      <c r="AH1181" s="442"/>
      <c r="AI1181" s="443"/>
    </row>
    <row r="1182" spans="1:35" s="32" customFormat="1" ht="27.6">
      <c r="A1182" s="434" t="s">
        <v>942</v>
      </c>
      <c r="B1182" s="457" t="s">
        <v>946</v>
      </c>
      <c r="C1182" s="233">
        <v>44266</v>
      </c>
      <c r="D1182" s="435" t="s">
        <v>1267</v>
      </c>
      <c r="E1182" s="436" t="s">
        <v>1414</v>
      </c>
      <c r="F1182" s="338">
        <v>0.36458333333333331</v>
      </c>
      <c r="G1182" s="338">
        <v>0.3666666666666667</v>
      </c>
      <c r="H1182" s="338" t="s">
        <v>967</v>
      </c>
      <c r="I1182" s="353">
        <v>733</v>
      </c>
      <c r="J1182" s="338" t="str">
        <f>IFERROR(VLOOKUP(I1182,'Chart of accounts'!A:H,2,FALSE),"")</f>
        <v>50103030 01</v>
      </c>
      <c r="K1182" s="338" t="str">
        <f>IFERROR(VLOOKUP(I1182,'Chart of accounts'!A:H,3,FALSE),"")</f>
        <v>PhilHealth - Civilian</v>
      </c>
      <c r="L1182" s="338" t="str">
        <f>IFERROR(VLOOKUP(I1182,'Chart of accounts'!A:H,4,FALSE),"")</f>
        <v>50103030 01 - PhilHealth - Civilian (733)</v>
      </c>
      <c r="M1182" s="361">
        <v>2</v>
      </c>
      <c r="N1182" s="355" t="s">
        <v>789</v>
      </c>
      <c r="O1182" s="355" t="s">
        <v>1384</v>
      </c>
      <c r="P1182" s="355"/>
      <c r="Q1182" s="363">
        <v>900</v>
      </c>
      <c r="R1182" s="319">
        <f t="shared" si="45"/>
        <v>-900</v>
      </c>
      <c r="S1182" s="239" t="str">
        <f>VLOOKUP(H1182,'Fund Utilization Report'!$A$4:$U$1800,13,FALSE)</f>
        <v>PS</v>
      </c>
      <c r="T1182" s="239" t="str">
        <f>VLOOKUP(H1182,'Fund Utilization Report'!$A$4:$U$1800,2,FALSE)</f>
        <v>GAA</v>
      </c>
      <c r="U1182" s="239" t="str">
        <f>VLOOKUP(H1182,'Fund Utilization Report'!$A$4:$U$1800,3,FALSE)</f>
        <v>FY2021, RA11518</v>
      </c>
      <c r="V1182" s="239" t="str">
        <f>VLOOKUP(H1182,'Fund Utilization Report'!$A$4:$U$1800,4,FALSE)</f>
        <v>OO2</v>
      </c>
      <c r="W1182" s="239" t="str">
        <f>VLOOKUP(H1182,'Fund Utilization Report'!$A$4:$U$1800,5,FALSE)</f>
        <v>01101101</v>
      </c>
      <c r="X1182" s="239" t="str">
        <f>VLOOKUP(H1182,'Fund Utilization Report'!$A$4:$U$1800,6,FALSE)</f>
        <v>GOP</v>
      </c>
      <c r="Y1182" s="440" t="str">
        <f>VLOOKUP(H1182,'Fund Utilization Report'!$A$4:$U$1800,7,FALSE)</f>
        <v>PS</v>
      </c>
      <c r="Z1182" s="441">
        <f>VLOOKUP(H1182,'Fund Utilization Report'!$A$4:$U$1800,8,FALSE)</f>
        <v>5010000000</v>
      </c>
      <c r="AA1182" s="239" t="str">
        <f>VLOOKUP(H1182,'Fund Utilization Report'!$A$4:$U$1800,14,FALSE)</f>
        <v>320100100001000</v>
      </c>
      <c r="AB1182" s="242" t="str">
        <f>VLOOKUP(H1182,'Fund Utilization Report'!$A$4:$U$1800,15,FALSE)</f>
        <v>Formulation of Strategic plans,programs, and policies to develop competitve industries</v>
      </c>
      <c r="AC1182" s="51"/>
      <c r="AD1182" s="435"/>
      <c r="AE1182" s="51"/>
      <c r="AF1182" s="51"/>
      <c r="AG1182" s="442"/>
      <c r="AH1182" s="442"/>
      <c r="AI1182" s="443"/>
    </row>
    <row r="1183" spans="1:35" s="32" customFormat="1" ht="27.6">
      <c r="A1183" s="434" t="s">
        <v>942</v>
      </c>
      <c r="B1183" s="457" t="s">
        <v>946</v>
      </c>
      <c r="C1183" s="233">
        <v>44266</v>
      </c>
      <c r="D1183" s="435" t="s">
        <v>1267</v>
      </c>
      <c r="E1183" s="436" t="s">
        <v>1414</v>
      </c>
      <c r="F1183" s="338">
        <v>0.36458333333333331</v>
      </c>
      <c r="G1183" s="338">
        <v>0.3666666666666667</v>
      </c>
      <c r="H1183" s="338" t="s">
        <v>967</v>
      </c>
      <c r="I1183" s="353">
        <v>734</v>
      </c>
      <c r="J1183" s="338" t="str">
        <f>IFERROR(VLOOKUP(I1183,'Chart of accounts'!A:H,2,FALSE),"")</f>
        <v>50103040 01</v>
      </c>
      <c r="K1183" s="338" t="str">
        <f>IFERROR(VLOOKUP(I1183,'Chart of accounts'!A:H,3,FALSE),"")</f>
        <v>ECIP - Civilian</v>
      </c>
      <c r="L1183" s="338" t="str">
        <f>IFERROR(VLOOKUP(I1183,'Chart of accounts'!A:H,4,FALSE),"")</f>
        <v>50103040 01 - ECIP - Civilian (734)</v>
      </c>
      <c r="M1183" s="361">
        <v>2</v>
      </c>
      <c r="N1183" s="355" t="s">
        <v>789</v>
      </c>
      <c r="O1183" s="355" t="s">
        <v>1384</v>
      </c>
      <c r="P1183" s="355"/>
      <c r="Q1183" s="363">
        <v>100</v>
      </c>
      <c r="R1183" s="319">
        <f t="shared" si="45"/>
        <v>-100</v>
      </c>
      <c r="S1183" s="239" t="str">
        <f>VLOOKUP(H1183,'Fund Utilization Report'!$A$4:$U$1800,13,FALSE)</f>
        <v>PS</v>
      </c>
      <c r="T1183" s="239" t="str">
        <f>VLOOKUP(H1183,'Fund Utilization Report'!$A$4:$U$1800,2,FALSE)</f>
        <v>GAA</v>
      </c>
      <c r="U1183" s="239" t="str">
        <f>VLOOKUP(H1183,'Fund Utilization Report'!$A$4:$U$1800,3,FALSE)</f>
        <v>FY2021, RA11518</v>
      </c>
      <c r="V1183" s="239" t="str">
        <f>VLOOKUP(H1183,'Fund Utilization Report'!$A$4:$U$1800,4,FALSE)</f>
        <v>OO2</v>
      </c>
      <c r="W1183" s="239" t="str">
        <f>VLOOKUP(H1183,'Fund Utilization Report'!$A$4:$U$1800,5,FALSE)</f>
        <v>01101101</v>
      </c>
      <c r="X1183" s="239" t="str">
        <f>VLOOKUP(H1183,'Fund Utilization Report'!$A$4:$U$1800,6,FALSE)</f>
        <v>GOP</v>
      </c>
      <c r="Y1183" s="440" t="str">
        <f>VLOOKUP(H1183,'Fund Utilization Report'!$A$4:$U$1800,7,FALSE)</f>
        <v>PS</v>
      </c>
      <c r="Z1183" s="441">
        <f>VLOOKUP(H1183,'Fund Utilization Report'!$A$4:$U$1800,8,FALSE)</f>
        <v>5010000000</v>
      </c>
      <c r="AA1183" s="239" t="str">
        <f>VLOOKUP(H1183,'Fund Utilization Report'!$A$4:$U$1800,14,FALSE)</f>
        <v>320100100001000</v>
      </c>
      <c r="AB1183" s="242" t="str">
        <f>VLOOKUP(H1183,'Fund Utilization Report'!$A$4:$U$1800,15,FALSE)</f>
        <v>Formulation of Strategic plans,programs, and policies to develop competitve industries</v>
      </c>
      <c r="AC1183" s="51"/>
      <c r="AD1183" s="435"/>
      <c r="AE1183" s="51"/>
      <c r="AF1183" s="51"/>
      <c r="AG1183" s="442"/>
      <c r="AH1183" s="442"/>
      <c r="AI1183" s="443"/>
    </row>
    <row r="1184" spans="1:35" s="32" customFormat="1" ht="27.6">
      <c r="A1184" s="434" t="s">
        <v>942</v>
      </c>
      <c r="B1184" s="457" t="s">
        <v>946</v>
      </c>
      <c r="C1184" s="233">
        <v>44266</v>
      </c>
      <c r="D1184" s="435" t="s">
        <v>1267</v>
      </c>
      <c r="E1184" s="436" t="s">
        <v>1414</v>
      </c>
      <c r="F1184" s="338">
        <v>0.36458333333333331</v>
      </c>
      <c r="G1184" s="338">
        <v>0.3666666666666667</v>
      </c>
      <c r="H1184" s="338" t="s">
        <v>970</v>
      </c>
      <c r="I1184" s="353">
        <v>701</v>
      </c>
      <c r="J1184" s="338" t="str">
        <f>IFERROR(VLOOKUP(I1184,'Chart of accounts'!A:H,2,FALSE),"")</f>
        <v>50101010 01</v>
      </c>
      <c r="K1184" s="338" t="str">
        <f>IFERROR(VLOOKUP(I1184,'Chart of accounts'!A:H,3,FALSE),"")</f>
        <v>Basic Salary - Civilian</v>
      </c>
      <c r="L1184" s="338" t="str">
        <f>IFERROR(VLOOKUP(I1184,'Chart of accounts'!A:H,4,FALSE),"")</f>
        <v>50101010 01 - Basic Salary - Civilian (701)</v>
      </c>
      <c r="M1184" s="361">
        <v>2</v>
      </c>
      <c r="N1184" s="355" t="s">
        <v>789</v>
      </c>
      <c r="O1184" s="355" t="s">
        <v>1384</v>
      </c>
      <c r="P1184" s="355"/>
      <c r="Q1184" s="363">
        <f>46261+88158</f>
        <v>134419</v>
      </c>
      <c r="R1184" s="319">
        <f t="shared" si="45"/>
        <v>-134419</v>
      </c>
      <c r="S1184" s="239" t="str">
        <f>VLOOKUP(H1184,'Fund Utilization Report'!$A$4:$U$1800,13,FALSE)</f>
        <v>PS</v>
      </c>
      <c r="T1184" s="239" t="str">
        <f>VLOOKUP(H1184,'Fund Utilization Report'!$A$4:$U$1800,2,FALSE)</f>
        <v>GAA</v>
      </c>
      <c r="U1184" s="239" t="str">
        <f>VLOOKUP(H1184,'Fund Utilization Report'!$A$4:$U$1800,3,FALSE)</f>
        <v>FY2021, RA11518</v>
      </c>
      <c r="V1184" s="239" t="str">
        <f>VLOOKUP(H1184,'Fund Utilization Report'!$A$4:$U$1800,4,FALSE)</f>
        <v>OO3</v>
      </c>
      <c r="W1184" s="239" t="str">
        <f>VLOOKUP(H1184,'Fund Utilization Report'!$A$4:$U$1800,5,FALSE)</f>
        <v>01101101</v>
      </c>
      <c r="X1184" s="239" t="str">
        <f>VLOOKUP(H1184,'Fund Utilization Report'!$A$4:$U$1800,6,FALSE)</f>
        <v>GOP</v>
      </c>
      <c r="Y1184" s="440" t="str">
        <f>VLOOKUP(H1184,'Fund Utilization Report'!$A$4:$U$1800,7,FALSE)</f>
        <v>PS</v>
      </c>
      <c r="Z1184" s="441">
        <f>VLOOKUP(H1184,'Fund Utilization Report'!$A$4:$U$1800,8,FALSE)</f>
        <v>5010000000</v>
      </c>
      <c r="AA1184" s="239" t="str">
        <f>VLOOKUP(H1184,'Fund Utilization Report'!$A$4:$U$1800,14,FALSE)</f>
        <v>330100100002000</v>
      </c>
      <c r="AB1184" s="242" t="str">
        <f>VLOOKUP(H1184,'Fund Utilization Report'!$A$4:$U$1800,15,FALSE)</f>
        <v>Implementation of the MSME Development Plan and other initiatives to promote the growth of Micro, Small and Medium Enterprises</v>
      </c>
      <c r="AC1184" s="51"/>
      <c r="AD1184" s="435"/>
      <c r="AE1184" s="51"/>
      <c r="AF1184" s="51"/>
      <c r="AG1184" s="442"/>
      <c r="AH1184" s="442"/>
      <c r="AI1184" s="443"/>
    </row>
    <row r="1185" spans="1:35" s="32" customFormat="1" ht="27.6">
      <c r="A1185" s="434" t="s">
        <v>942</v>
      </c>
      <c r="B1185" s="457" t="s">
        <v>946</v>
      </c>
      <c r="C1185" s="233">
        <v>44266</v>
      </c>
      <c r="D1185" s="435" t="s">
        <v>1267</v>
      </c>
      <c r="E1185" s="436" t="s">
        <v>1414</v>
      </c>
      <c r="F1185" s="338">
        <v>0.36458333333333331</v>
      </c>
      <c r="G1185" s="338">
        <v>0.3666666666666667</v>
      </c>
      <c r="H1185" s="338" t="s">
        <v>970</v>
      </c>
      <c r="I1185" s="353">
        <v>711</v>
      </c>
      <c r="J1185" s="338" t="str">
        <f>IFERROR(VLOOKUP(I1185,'Chart of accounts'!A:H,2,FALSE),"")</f>
        <v>50102010 01</v>
      </c>
      <c r="K1185" s="338" t="str">
        <f>IFERROR(VLOOKUP(I1185,'Chart of accounts'!A:H,3,FALSE),"")</f>
        <v>PERA - Civilian</v>
      </c>
      <c r="L1185" s="338" t="str">
        <f>IFERROR(VLOOKUP(I1185,'Chart of accounts'!A:H,4,FALSE),"")</f>
        <v>50102010 01 - PERA - Civilian (711)</v>
      </c>
      <c r="M1185" s="361">
        <v>2</v>
      </c>
      <c r="N1185" s="355" t="s">
        <v>789</v>
      </c>
      <c r="O1185" s="355" t="s">
        <v>1384</v>
      </c>
      <c r="P1185" s="355"/>
      <c r="Q1185" s="363">
        <v>4000</v>
      </c>
      <c r="R1185" s="319">
        <f t="shared" si="45"/>
        <v>-4000</v>
      </c>
      <c r="S1185" s="239" t="str">
        <f>VLOOKUP(H1185,'Fund Utilization Report'!$A$4:$U$1800,13,FALSE)</f>
        <v>PS</v>
      </c>
      <c r="T1185" s="239" t="str">
        <f>VLOOKUP(H1185,'Fund Utilization Report'!$A$4:$U$1800,2,FALSE)</f>
        <v>GAA</v>
      </c>
      <c r="U1185" s="239" t="str">
        <f>VLOOKUP(H1185,'Fund Utilization Report'!$A$4:$U$1800,3,FALSE)</f>
        <v>FY2021, RA11518</v>
      </c>
      <c r="V1185" s="239" t="str">
        <f>VLOOKUP(H1185,'Fund Utilization Report'!$A$4:$U$1800,4,FALSE)</f>
        <v>OO3</v>
      </c>
      <c r="W1185" s="239" t="str">
        <f>VLOOKUP(H1185,'Fund Utilization Report'!$A$4:$U$1800,5,FALSE)</f>
        <v>01101101</v>
      </c>
      <c r="X1185" s="239" t="str">
        <f>VLOOKUP(H1185,'Fund Utilization Report'!$A$4:$U$1800,6,FALSE)</f>
        <v>GOP</v>
      </c>
      <c r="Y1185" s="440" t="str">
        <f>VLOOKUP(H1185,'Fund Utilization Report'!$A$4:$U$1800,7,FALSE)</f>
        <v>PS</v>
      </c>
      <c r="Z1185" s="441">
        <f>VLOOKUP(H1185,'Fund Utilization Report'!$A$4:$U$1800,8,FALSE)</f>
        <v>5010000000</v>
      </c>
      <c r="AA1185" s="239" t="str">
        <f>VLOOKUP(H1185,'Fund Utilization Report'!$A$4:$U$1800,14,FALSE)</f>
        <v>330100100002000</v>
      </c>
      <c r="AB1185" s="242" t="str">
        <f>VLOOKUP(H1185,'Fund Utilization Report'!$A$4:$U$1800,15,FALSE)</f>
        <v>Implementation of the MSME Development Plan and other initiatives to promote the growth of Micro, Small and Medium Enterprises</v>
      </c>
      <c r="AC1185" s="51"/>
      <c r="AD1185" s="435"/>
      <c r="AE1185" s="51"/>
      <c r="AF1185" s="51"/>
      <c r="AG1185" s="442"/>
      <c r="AH1185" s="442"/>
      <c r="AI1185" s="443"/>
    </row>
    <row r="1186" spans="1:35" s="32" customFormat="1" ht="27.6">
      <c r="A1186" s="434" t="s">
        <v>942</v>
      </c>
      <c r="B1186" s="457" t="s">
        <v>946</v>
      </c>
      <c r="C1186" s="233">
        <v>44266</v>
      </c>
      <c r="D1186" s="435" t="s">
        <v>1267</v>
      </c>
      <c r="E1186" s="436" t="s">
        <v>1414</v>
      </c>
      <c r="F1186" s="338">
        <v>0.36458333333333331</v>
      </c>
      <c r="G1186" s="338">
        <v>0.3666666666666667</v>
      </c>
      <c r="H1186" s="338" t="s">
        <v>972</v>
      </c>
      <c r="I1186" s="353">
        <v>731</v>
      </c>
      <c r="J1186" s="338" t="str">
        <f>IFERROR(VLOOKUP(I1186,'Chart of accounts'!A:H,2,FALSE),"")</f>
        <v>50103010 00</v>
      </c>
      <c r="K1186" s="338" t="str">
        <f>IFERROR(VLOOKUP(I1186,'Chart of accounts'!A:H,3,FALSE),"")</f>
        <v>Retirement and Life Insurance Premiums</v>
      </c>
      <c r="L1186" s="338" t="str">
        <f>IFERROR(VLOOKUP(I1186,'Chart of accounts'!A:H,4,FALSE),"")</f>
        <v>50103010 00 - Retirement and Life Insurance Premiums (731)</v>
      </c>
      <c r="M1186" s="361">
        <v>2</v>
      </c>
      <c r="N1186" s="355" t="s">
        <v>789</v>
      </c>
      <c r="O1186" s="355" t="s">
        <v>1384</v>
      </c>
      <c r="P1186" s="355"/>
      <c r="Q1186" s="363">
        <f>5551.32+10578.96</f>
        <v>16130.279999999999</v>
      </c>
      <c r="R1186" s="319">
        <f t="shared" ref="R1186:R1232" si="46">P1186-Q1186</f>
        <v>-16130.279999999999</v>
      </c>
      <c r="S1186" s="239" t="str">
        <f>VLOOKUP(H1186,'Fund Utilization Report'!$A$4:$U$1800,13,FALSE)</f>
        <v>PS</v>
      </c>
      <c r="T1186" s="239" t="str">
        <f>VLOOKUP(H1186,'Fund Utilization Report'!$A$4:$U$1800,2,FALSE)</f>
        <v>GAA</v>
      </c>
      <c r="U1186" s="239" t="str">
        <f>VLOOKUP(H1186,'Fund Utilization Report'!$A$4:$U$1800,3,FALSE)</f>
        <v>FY2021, RA11518</v>
      </c>
      <c r="V1186" s="239" t="str">
        <f>VLOOKUP(H1186,'Fund Utilization Report'!$A$4:$U$1800,4,FALSE)</f>
        <v>OO3</v>
      </c>
      <c r="W1186" s="239" t="str">
        <f>VLOOKUP(H1186,'Fund Utilization Report'!$A$4:$U$1800,5,FALSE)</f>
        <v>01101101</v>
      </c>
      <c r="X1186" s="239" t="str">
        <f>VLOOKUP(H1186,'Fund Utilization Report'!$A$4:$U$1800,6,FALSE)</f>
        <v>GOP</v>
      </c>
      <c r="Y1186" s="440" t="str">
        <f>VLOOKUP(H1186,'Fund Utilization Report'!$A$4:$U$1800,7,FALSE)</f>
        <v>RLIP</v>
      </c>
      <c r="Z1186" s="441" t="str">
        <f>VLOOKUP(H1186,'Fund Utilization Report'!$A$4:$U$1800,8,FALSE)</f>
        <v>50103010-00</v>
      </c>
      <c r="AA1186" s="239" t="str">
        <f>VLOOKUP(H1186,'Fund Utilization Report'!$A$4:$U$1800,14,FALSE)</f>
        <v>330100100002000</v>
      </c>
      <c r="AB1186" s="242" t="str">
        <f>VLOOKUP(H1186,'Fund Utilization Report'!$A$4:$U$1800,15,FALSE)</f>
        <v>Implementation of the MSME Development Plan and other initiatives to promote the growth of Micro, Small and Medium Enterprises</v>
      </c>
      <c r="AC1186" s="51"/>
      <c r="AD1186" s="435"/>
      <c r="AE1186" s="51"/>
      <c r="AF1186" s="51"/>
      <c r="AG1186" s="442"/>
      <c r="AH1186" s="442"/>
      <c r="AI1186" s="443"/>
    </row>
    <row r="1187" spans="1:35" s="32" customFormat="1" ht="27.6">
      <c r="A1187" s="434" t="s">
        <v>942</v>
      </c>
      <c r="B1187" s="457" t="s">
        <v>946</v>
      </c>
      <c r="C1187" s="233">
        <v>44266</v>
      </c>
      <c r="D1187" s="435" t="s">
        <v>1267</v>
      </c>
      <c r="E1187" s="436" t="s">
        <v>1414</v>
      </c>
      <c r="F1187" s="338">
        <v>0.36458333333333331</v>
      </c>
      <c r="G1187" s="338">
        <v>0.3666666666666667</v>
      </c>
      <c r="H1187" s="338" t="s">
        <v>970</v>
      </c>
      <c r="I1187" s="353">
        <v>732</v>
      </c>
      <c r="J1187" s="338" t="str">
        <f>IFERROR(VLOOKUP(I1187,'Chart of accounts'!A:H,2,FALSE),"")</f>
        <v>50103020 01</v>
      </c>
      <c r="K1187" s="338" t="str">
        <f>IFERROR(VLOOKUP(I1187,'Chart of accounts'!A:H,3,FALSE),"")</f>
        <v>Pag-IBIG - Civilian</v>
      </c>
      <c r="L1187" s="338" t="str">
        <f>IFERROR(VLOOKUP(I1187,'Chart of accounts'!A:H,4,FALSE),"")</f>
        <v>50103020 01 - Pag-IBIG - Civilian (732)</v>
      </c>
      <c r="M1187" s="361">
        <v>2</v>
      </c>
      <c r="N1187" s="355" t="s">
        <v>789</v>
      </c>
      <c r="O1187" s="355" t="s">
        <v>1384</v>
      </c>
      <c r="P1187" s="355"/>
      <c r="Q1187" s="363">
        <v>200</v>
      </c>
      <c r="R1187" s="319">
        <f t="shared" si="46"/>
        <v>-200</v>
      </c>
      <c r="S1187" s="239" t="str">
        <f>VLOOKUP(H1187,'Fund Utilization Report'!$A$4:$U$1800,13,FALSE)</f>
        <v>PS</v>
      </c>
      <c r="T1187" s="239" t="str">
        <f>VLOOKUP(H1187,'Fund Utilization Report'!$A$4:$U$1800,2,FALSE)</f>
        <v>GAA</v>
      </c>
      <c r="U1187" s="239" t="str">
        <f>VLOOKUP(H1187,'Fund Utilization Report'!$A$4:$U$1800,3,FALSE)</f>
        <v>FY2021, RA11518</v>
      </c>
      <c r="V1187" s="239" t="str">
        <f>VLOOKUP(H1187,'Fund Utilization Report'!$A$4:$U$1800,4,FALSE)</f>
        <v>OO3</v>
      </c>
      <c r="W1187" s="239" t="str">
        <f>VLOOKUP(H1187,'Fund Utilization Report'!$A$4:$U$1800,5,FALSE)</f>
        <v>01101101</v>
      </c>
      <c r="X1187" s="239" t="str">
        <f>VLOOKUP(H1187,'Fund Utilization Report'!$A$4:$U$1800,6,FALSE)</f>
        <v>GOP</v>
      </c>
      <c r="Y1187" s="440" t="str">
        <f>VLOOKUP(H1187,'Fund Utilization Report'!$A$4:$U$1800,7,FALSE)</f>
        <v>PS</v>
      </c>
      <c r="Z1187" s="441">
        <f>VLOOKUP(H1187,'Fund Utilization Report'!$A$4:$U$1800,8,FALSE)</f>
        <v>5010000000</v>
      </c>
      <c r="AA1187" s="239" t="str">
        <f>VLOOKUP(H1187,'Fund Utilization Report'!$A$4:$U$1800,14,FALSE)</f>
        <v>330100100002000</v>
      </c>
      <c r="AB1187" s="242" t="str">
        <f>VLOOKUP(H1187,'Fund Utilization Report'!$A$4:$U$1800,15,FALSE)</f>
        <v>Implementation of the MSME Development Plan and other initiatives to promote the growth of Micro, Small and Medium Enterprises</v>
      </c>
      <c r="AC1187" s="51"/>
      <c r="AD1187" s="435"/>
      <c r="AE1187" s="51"/>
      <c r="AF1187" s="51"/>
      <c r="AG1187" s="442"/>
      <c r="AH1187" s="442"/>
      <c r="AI1187" s="443"/>
    </row>
    <row r="1188" spans="1:35" s="32" customFormat="1" ht="27.6">
      <c r="A1188" s="434" t="s">
        <v>942</v>
      </c>
      <c r="B1188" s="457" t="s">
        <v>946</v>
      </c>
      <c r="C1188" s="233">
        <v>44266</v>
      </c>
      <c r="D1188" s="435" t="s">
        <v>1267</v>
      </c>
      <c r="E1188" s="436" t="s">
        <v>1414</v>
      </c>
      <c r="F1188" s="338">
        <v>0.36458333333333331</v>
      </c>
      <c r="G1188" s="338">
        <v>0.3666666666666667</v>
      </c>
      <c r="H1188" s="338" t="s">
        <v>970</v>
      </c>
      <c r="I1188" s="353">
        <v>733</v>
      </c>
      <c r="J1188" s="338" t="str">
        <f>IFERROR(VLOOKUP(I1188,'Chart of accounts'!A:H,2,FALSE),"")</f>
        <v>50103030 01</v>
      </c>
      <c r="K1188" s="338" t="str">
        <f>IFERROR(VLOOKUP(I1188,'Chart of accounts'!A:H,3,FALSE),"")</f>
        <v>PhilHealth - Civilian</v>
      </c>
      <c r="L1188" s="338" t="str">
        <f>IFERROR(VLOOKUP(I1188,'Chart of accounts'!A:H,4,FALSE),"")</f>
        <v>50103030 01 - PhilHealth - Civilian (733)</v>
      </c>
      <c r="M1188" s="361">
        <v>2</v>
      </c>
      <c r="N1188" s="355" t="s">
        <v>789</v>
      </c>
      <c r="O1188" s="355" t="s">
        <v>1384</v>
      </c>
      <c r="P1188" s="355"/>
      <c r="Q1188" s="363">
        <f>693.92+900</f>
        <v>1593.92</v>
      </c>
      <c r="R1188" s="319">
        <f t="shared" si="46"/>
        <v>-1593.92</v>
      </c>
      <c r="S1188" s="239" t="str">
        <f>VLOOKUP(H1188,'Fund Utilization Report'!$A$4:$U$1800,13,FALSE)</f>
        <v>PS</v>
      </c>
      <c r="T1188" s="239" t="str">
        <f>VLOOKUP(H1188,'Fund Utilization Report'!$A$4:$U$1800,2,FALSE)</f>
        <v>GAA</v>
      </c>
      <c r="U1188" s="239" t="str">
        <f>VLOOKUP(H1188,'Fund Utilization Report'!$A$4:$U$1800,3,FALSE)</f>
        <v>FY2021, RA11518</v>
      </c>
      <c r="V1188" s="239" t="str">
        <f>VLOOKUP(H1188,'Fund Utilization Report'!$A$4:$U$1800,4,FALSE)</f>
        <v>OO3</v>
      </c>
      <c r="W1188" s="239" t="str">
        <f>VLOOKUP(H1188,'Fund Utilization Report'!$A$4:$U$1800,5,FALSE)</f>
        <v>01101101</v>
      </c>
      <c r="X1188" s="239" t="str">
        <f>VLOOKUP(H1188,'Fund Utilization Report'!$A$4:$U$1800,6,FALSE)</f>
        <v>GOP</v>
      </c>
      <c r="Y1188" s="440" t="str">
        <f>VLOOKUP(H1188,'Fund Utilization Report'!$A$4:$U$1800,7,FALSE)</f>
        <v>PS</v>
      </c>
      <c r="Z1188" s="441">
        <f>VLOOKUP(H1188,'Fund Utilization Report'!$A$4:$U$1800,8,FALSE)</f>
        <v>5010000000</v>
      </c>
      <c r="AA1188" s="239" t="str">
        <f>VLOOKUP(H1188,'Fund Utilization Report'!$A$4:$U$1800,14,FALSE)</f>
        <v>330100100002000</v>
      </c>
      <c r="AB1188" s="242" t="str">
        <f>VLOOKUP(H1188,'Fund Utilization Report'!$A$4:$U$1800,15,FALSE)</f>
        <v>Implementation of the MSME Development Plan and other initiatives to promote the growth of Micro, Small and Medium Enterprises</v>
      </c>
      <c r="AC1188" s="51"/>
      <c r="AD1188" s="435"/>
      <c r="AE1188" s="51"/>
      <c r="AF1188" s="51"/>
      <c r="AG1188" s="442"/>
      <c r="AH1188" s="442"/>
      <c r="AI1188" s="443"/>
    </row>
    <row r="1189" spans="1:35" s="32" customFormat="1" ht="27.6">
      <c r="A1189" s="434" t="s">
        <v>942</v>
      </c>
      <c r="B1189" s="457" t="s">
        <v>946</v>
      </c>
      <c r="C1189" s="233">
        <v>44266</v>
      </c>
      <c r="D1189" s="435" t="s">
        <v>1267</v>
      </c>
      <c r="E1189" s="436" t="s">
        <v>1414</v>
      </c>
      <c r="F1189" s="338">
        <v>0.36458333333333331</v>
      </c>
      <c r="G1189" s="338">
        <v>0.3666666666666667</v>
      </c>
      <c r="H1189" s="338" t="s">
        <v>970</v>
      </c>
      <c r="I1189" s="353">
        <v>734</v>
      </c>
      <c r="J1189" s="338" t="str">
        <f>IFERROR(VLOOKUP(I1189,'Chart of accounts'!A:H,2,FALSE),"")</f>
        <v>50103040 01</v>
      </c>
      <c r="K1189" s="338" t="str">
        <f>IFERROR(VLOOKUP(I1189,'Chart of accounts'!A:H,3,FALSE),"")</f>
        <v>ECIP - Civilian</v>
      </c>
      <c r="L1189" s="338" t="str">
        <f>IFERROR(VLOOKUP(I1189,'Chart of accounts'!A:H,4,FALSE),"")</f>
        <v>50103040 01 - ECIP - Civilian (734)</v>
      </c>
      <c r="M1189" s="361">
        <v>2</v>
      </c>
      <c r="N1189" s="355" t="s">
        <v>789</v>
      </c>
      <c r="O1189" s="355" t="s">
        <v>1384</v>
      </c>
      <c r="P1189" s="355"/>
      <c r="Q1189" s="363">
        <v>200</v>
      </c>
      <c r="R1189" s="319">
        <f t="shared" si="46"/>
        <v>-200</v>
      </c>
      <c r="S1189" s="239" t="str">
        <f>VLOOKUP(H1189,'Fund Utilization Report'!$A$4:$U$1800,13,FALSE)</f>
        <v>PS</v>
      </c>
      <c r="T1189" s="239" t="str">
        <f>VLOOKUP(H1189,'Fund Utilization Report'!$A$4:$U$1800,2,FALSE)</f>
        <v>GAA</v>
      </c>
      <c r="U1189" s="239" t="str">
        <f>VLOOKUP(H1189,'Fund Utilization Report'!$A$4:$U$1800,3,FALSE)</f>
        <v>FY2021, RA11518</v>
      </c>
      <c r="V1189" s="239" t="str">
        <f>VLOOKUP(H1189,'Fund Utilization Report'!$A$4:$U$1800,4,FALSE)</f>
        <v>OO3</v>
      </c>
      <c r="W1189" s="239" t="str">
        <f>VLOOKUP(H1189,'Fund Utilization Report'!$A$4:$U$1800,5,FALSE)</f>
        <v>01101101</v>
      </c>
      <c r="X1189" s="239" t="str">
        <f>VLOOKUP(H1189,'Fund Utilization Report'!$A$4:$U$1800,6,FALSE)</f>
        <v>GOP</v>
      </c>
      <c r="Y1189" s="440" t="str">
        <f>VLOOKUP(H1189,'Fund Utilization Report'!$A$4:$U$1800,7,FALSE)</f>
        <v>PS</v>
      </c>
      <c r="Z1189" s="441">
        <f>VLOOKUP(H1189,'Fund Utilization Report'!$A$4:$U$1800,8,FALSE)</f>
        <v>5010000000</v>
      </c>
      <c r="AA1189" s="239" t="str">
        <f>VLOOKUP(H1189,'Fund Utilization Report'!$A$4:$U$1800,14,FALSE)</f>
        <v>330100100002000</v>
      </c>
      <c r="AB1189" s="242" t="str">
        <f>VLOOKUP(H1189,'Fund Utilization Report'!$A$4:$U$1800,15,FALSE)</f>
        <v>Implementation of the MSME Development Plan and other initiatives to promote the growth of Micro, Small and Medium Enterprises</v>
      </c>
      <c r="AC1189" s="51"/>
      <c r="AD1189" s="435"/>
      <c r="AE1189" s="51"/>
      <c r="AF1189" s="51"/>
      <c r="AG1189" s="442"/>
      <c r="AH1189" s="442"/>
      <c r="AI1189" s="443"/>
    </row>
    <row r="1190" spans="1:35" s="32" customFormat="1" ht="27.6">
      <c r="A1190" s="434" t="s">
        <v>942</v>
      </c>
      <c r="B1190" s="457" t="s">
        <v>946</v>
      </c>
      <c r="C1190" s="233">
        <v>44266</v>
      </c>
      <c r="D1190" s="435" t="s">
        <v>1267</v>
      </c>
      <c r="E1190" s="436" t="s">
        <v>1414</v>
      </c>
      <c r="F1190" s="338">
        <v>0.36458333333333331</v>
      </c>
      <c r="G1190" s="338">
        <v>0.3666666666666667</v>
      </c>
      <c r="H1190" s="338" t="s">
        <v>973</v>
      </c>
      <c r="I1190" s="353">
        <v>701</v>
      </c>
      <c r="J1190" s="338" t="str">
        <f>IFERROR(VLOOKUP(I1190,'Chart of accounts'!A:H,2,FALSE),"")</f>
        <v>50101010 01</v>
      </c>
      <c r="K1190" s="338" t="str">
        <f>IFERROR(VLOOKUP(I1190,'Chart of accounts'!A:H,3,FALSE),"")</f>
        <v>Basic Salary - Civilian</v>
      </c>
      <c r="L1190" s="338" t="str">
        <f>IFERROR(VLOOKUP(I1190,'Chart of accounts'!A:H,4,FALSE),"")</f>
        <v>50101010 01 - Basic Salary - Civilian (701)</v>
      </c>
      <c r="M1190" s="361">
        <v>2</v>
      </c>
      <c r="N1190" s="355" t="s">
        <v>789</v>
      </c>
      <c r="O1190" s="355" t="s">
        <v>1384</v>
      </c>
      <c r="P1190" s="355"/>
      <c r="Q1190" s="363">
        <f>44184+47338</f>
        <v>91522</v>
      </c>
      <c r="R1190" s="319">
        <f t="shared" si="46"/>
        <v>-91522</v>
      </c>
      <c r="S1190" s="239" t="str">
        <f>VLOOKUP(H1190,'Fund Utilization Report'!$A$4:$U$1800,13,FALSE)</f>
        <v>PS</v>
      </c>
      <c r="T1190" s="239" t="str">
        <f>VLOOKUP(H1190,'Fund Utilization Report'!$A$4:$U$1800,2,FALSE)</f>
        <v>GAA</v>
      </c>
      <c r="U1190" s="239" t="str">
        <f>VLOOKUP(H1190,'Fund Utilization Report'!$A$4:$U$1800,3,FALSE)</f>
        <v>FY2021, RA11518</v>
      </c>
      <c r="V1190" s="239" t="str">
        <f>VLOOKUP(H1190,'Fund Utilization Report'!$A$4:$U$1800,4,FALSE)</f>
        <v>OO4.1(FTL)</v>
      </c>
      <c r="W1190" s="239" t="str">
        <f>VLOOKUP(H1190,'Fund Utilization Report'!$A$4:$U$1800,5,FALSE)</f>
        <v>01101101</v>
      </c>
      <c r="X1190" s="239" t="str">
        <f>VLOOKUP(H1190,'Fund Utilization Report'!$A$4:$U$1800,6,FALSE)</f>
        <v>GOP</v>
      </c>
      <c r="Y1190" s="440" t="str">
        <f>VLOOKUP(H1190,'Fund Utilization Report'!$A$4:$U$1800,7,FALSE)</f>
        <v>PS</v>
      </c>
      <c r="Z1190" s="441">
        <f>VLOOKUP(H1190,'Fund Utilization Report'!$A$4:$U$1800,8,FALSE)</f>
        <v>5010000000</v>
      </c>
      <c r="AA1190" s="239" t="str">
        <f>VLOOKUP(H1190,'Fund Utilization Report'!$A$4:$U$1800,14,FALSE)</f>
        <v>340100100002000</v>
      </c>
      <c r="AB1190" s="242" t="str">
        <f>VLOOKUP(H1190,'Fund Utilization Report'!$A$4:$U$1800,15,FALSE)</f>
        <v>Monitoring and Enforcement of FTL including consumer complaints handling</v>
      </c>
      <c r="AC1190" s="51"/>
      <c r="AD1190" s="435"/>
      <c r="AE1190" s="51"/>
      <c r="AF1190" s="51"/>
      <c r="AG1190" s="442"/>
      <c r="AH1190" s="442"/>
      <c r="AI1190" s="443"/>
    </row>
    <row r="1191" spans="1:35" s="32" customFormat="1" ht="27.6">
      <c r="A1191" s="434" t="s">
        <v>942</v>
      </c>
      <c r="B1191" s="457" t="s">
        <v>946</v>
      </c>
      <c r="C1191" s="233">
        <v>44266</v>
      </c>
      <c r="D1191" s="435" t="s">
        <v>1267</v>
      </c>
      <c r="E1191" s="436" t="s">
        <v>1414</v>
      </c>
      <c r="F1191" s="338">
        <v>0.36458333333333331</v>
      </c>
      <c r="G1191" s="338">
        <v>0.3666666666666667</v>
      </c>
      <c r="H1191" s="338" t="s">
        <v>973</v>
      </c>
      <c r="I1191" s="353">
        <v>711</v>
      </c>
      <c r="J1191" s="338" t="str">
        <f>IFERROR(VLOOKUP(I1191,'Chart of accounts'!A:H,2,FALSE),"")</f>
        <v>50102010 01</v>
      </c>
      <c r="K1191" s="338" t="str">
        <f>IFERROR(VLOOKUP(I1191,'Chart of accounts'!A:H,3,FALSE),"")</f>
        <v>PERA - Civilian</v>
      </c>
      <c r="L1191" s="338" t="str">
        <f>IFERROR(VLOOKUP(I1191,'Chart of accounts'!A:H,4,FALSE),"")</f>
        <v>50102010 01 - PERA - Civilian (711)</v>
      </c>
      <c r="M1191" s="361">
        <v>2</v>
      </c>
      <c r="N1191" s="355" t="s">
        <v>789</v>
      </c>
      <c r="O1191" s="355" t="s">
        <v>1384</v>
      </c>
      <c r="P1191" s="355"/>
      <c r="Q1191" s="363">
        <v>4000</v>
      </c>
      <c r="R1191" s="319">
        <f t="shared" si="46"/>
        <v>-4000</v>
      </c>
      <c r="S1191" s="239" t="str">
        <f>VLOOKUP(H1191,'Fund Utilization Report'!$A$4:$U$1800,13,FALSE)</f>
        <v>PS</v>
      </c>
      <c r="T1191" s="239" t="str">
        <f>VLOOKUP(H1191,'Fund Utilization Report'!$A$4:$U$1800,2,FALSE)</f>
        <v>GAA</v>
      </c>
      <c r="U1191" s="239" t="str">
        <f>VLOOKUP(H1191,'Fund Utilization Report'!$A$4:$U$1800,3,FALSE)</f>
        <v>FY2021, RA11518</v>
      </c>
      <c r="V1191" s="239" t="str">
        <f>VLOOKUP(H1191,'Fund Utilization Report'!$A$4:$U$1800,4,FALSE)</f>
        <v>OO4.1(FTL)</v>
      </c>
      <c r="W1191" s="239" t="str">
        <f>VLOOKUP(H1191,'Fund Utilization Report'!$A$4:$U$1800,5,FALSE)</f>
        <v>01101101</v>
      </c>
      <c r="X1191" s="239" t="str">
        <f>VLOOKUP(H1191,'Fund Utilization Report'!$A$4:$U$1800,6,FALSE)</f>
        <v>GOP</v>
      </c>
      <c r="Y1191" s="440" t="str">
        <f>VLOOKUP(H1191,'Fund Utilization Report'!$A$4:$U$1800,7,FALSE)</f>
        <v>PS</v>
      </c>
      <c r="Z1191" s="441">
        <f>VLOOKUP(H1191,'Fund Utilization Report'!$A$4:$U$1800,8,FALSE)</f>
        <v>5010000000</v>
      </c>
      <c r="AA1191" s="239" t="str">
        <f>VLOOKUP(H1191,'Fund Utilization Report'!$A$4:$U$1800,14,FALSE)</f>
        <v>340100100002000</v>
      </c>
      <c r="AB1191" s="242" t="str">
        <f>VLOOKUP(H1191,'Fund Utilization Report'!$A$4:$U$1800,15,FALSE)</f>
        <v>Monitoring and Enforcement of FTL including consumer complaints handling</v>
      </c>
      <c r="AC1191" s="51"/>
      <c r="AD1191" s="435"/>
      <c r="AE1191" s="51"/>
      <c r="AF1191" s="51"/>
      <c r="AG1191" s="442"/>
      <c r="AH1191" s="442"/>
      <c r="AI1191" s="443"/>
    </row>
    <row r="1192" spans="1:35" s="32" customFormat="1" ht="27.6">
      <c r="A1192" s="434" t="s">
        <v>942</v>
      </c>
      <c r="B1192" s="457" t="s">
        <v>946</v>
      </c>
      <c r="C1192" s="233">
        <v>44266</v>
      </c>
      <c r="D1192" s="435" t="s">
        <v>1267</v>
      </c>
      <c r="E1192" s="436" t="s">
        <v>1414</v>
      </c>
      <c r="F1192" s="338">
        <v>0.36458333333333331</v>
      </c>
      <c r="G1192" s="338">
        <v>0.3666666666666667</v>
      </c>
      <c r="H1192" s="338" t="s">
        <v>975</v>
      </c>
      <c r="I1192" s="353">
        <v>731</v>
      </c>
      <c r="J1192" s="338" t="str">
        <f>IFERROR(VLOOKUP(I1192,'Chart of accounts'!A:H,2,FALSE),"")</f>
        <v>50103010 00</v>
      </c>
      <c r="K1192" s="338" t="str">
        <f>IFERROR(VLOOKUP(I1192,'Chart of accounts'!A:H,3,FALSE),"")</f>
        <v>Retirement and Life Insurance Premiums</v>
      </c>
      <c r="L1192" s="338" t="str">
        <f>IFERROR(VLOOKUP(I1192,'Chart of accounts'!A:H,4,FALSE),"")</f>
        <v>50103010 00 - Retirement and Life Insurance Premiums (731)</v>
      </c>
      <c r="M1192" s="361">
        <v>2</v>
      </c>
      <c r="N1192" s="355" t="s">
        <v>789</v>
      </c>
      <c r="O1192" s="355" t="s">
        <v>1384</v>
      </c>
      <c r="P1192" s="355"/>
      <c r="Q1192" s="363">
        <f>5302.08+5680.56</f>
        <v>10982.64</v>
      </c>
      <c r="R1192" s="319">
        <f t="shared" si="46"/>
        <v>-10982.64</v>
      </c>
      <c r="S1192" s="239" t="str">
        <f>VLOOKUP(H1192,'Fund Utilization Report'!$A$4:$U$1800,13,FALSE)</f>
        <v>PS</v>
      </c>
      <c r="T1192" s="239" t="str">
        <f>VLOOKUP(H1192,'Fund Utilization Report'!$A$4:$U$1800,2,FALSE)</f>
        <v>GAA</v>
      </c>
      <c r="U1192" s="239" t="str">
        <f>VLOOKUP(H1192,'Fund Utilization Report'!$A$4:$U$1800,3,FALSE)</f>
        <v>FY2021, RA11518</v>
      </c>
      <c r="V1192" s="239" t="str">
        <f>VLOOKUP(H1192,'Fund Utilization Report'!$A$4:$U$1800,4,FALSE)</f>
        <v>OO4.1(FTL)</v>
      </c>
      <c r="W1192" s="239" t="str">
        <f>VLOOKUP(H1192,'Fund Utilization Report'!$A$4:$U$1800,5,FALSE)</f>
        <v>01101101</v>
      </c>
      <c r="X1192" s="239" t="str">
        <f>VLOOKUP(H1192,'Fund Utilization Report'!$A$4:$U$1800,6,FALSE)</f>
        <v>GOP</v>
      </c>
      <c r="Y1192" s="440" t="str">
        <f>VLOOKUP(H1192,'Fund Utilization Report'!$A$4:$U$1800,7,FALSE)</f>
        <v>RLIP</v>
      </c>
      <c r="Z1192" s="441" t="str">
        <f>VLOOKUP(H1192,'Fund Utilization Report'!$A$4:$U$1800,8,FALSE)</f>
        <v>50103010-00</v>
      </c>
      <c r="AA1192" s="239" t="str">
        <f>VLOOKUP(H1192,'Fund Utilization Report'!$A$4:$U$1800,14,FALSE)</f>
        <v>340100100002000</v>
      </c>
      <c r="AB1192" s="242" t="str">
        <f>VLOOKUP(H1192,'Fund Utilization Report'!$A$4:$U$1800,15,FALSE)</f>
        <v>Monitoring and Enforcement of FTL including consumer complaints handling</v>
      </c>
      <c r="AC1192" s="51"/>
      <c r="AD1192" s="435"/>
      <c r="AE1192" s="51"/>
      <c r="AF1192" s="51"/>
      <c r="AG1192" s="442"/>
      <c r="AH1192" s="442"/>
      <c r="AI1192" s="443"/>
    </row>
    <row r="1193" spans="1:35" s="32" customFormat="1" ht="27.6">
      <c r="A1193" s="434" t="s">
        <v>942</v>
      </c>
      <c r="B1193" s="457" t="s">
        <v>946</v>
      </c>
      <c r="C1193" s="233">
        <v>44266</v>
      </c>
      <c r="D1193" s="435" t="s">
        <v>1267</v>
      </c>
      <c r="E1193" s="436" t="s">
        <v>1414</v>
      </c>
      <c r="F1193" s="338">
        <v>0.36458333333333331</v>
      </c>
      <c r="G1193" s="338">
        <v>0.3666666666666667</v>
      </c>
      <c r="H1193" s="338" t="s">
        <v>973</v>
      </c>
      <c r="I1193" s="353">
        <v>732</v>
      </c>
      <c r="J1193" s="338" t="str">
        <f>IFERROR(VLOOKUP(I1193,'Chart of accounts'!A:H,2,FALSE),"")</f>
        <v>50103020 01</v>
      </c>
      <c r="K1193" s="338" t="str">
        <f>IFERROR(VLOOKUP(I1193,'Chart of accounts'!A:H,3,FALSE),"")</f>
        <v>Pag-IBIG - Civilian</v>
      </c>
      <c r="L1193" s="338" t="str">
        <f>IFERROR(VLOOKUP(I1193,'Chart of accounts'!A:H,4,FALSE),"")</f>
        <v>50103020 01 - Pag-IBIG - Civilian (732)</v>
      </c>
      <c r="M1193" s="361">
        <v>2</v>
      </c>
      <c r="N1193" s="355" t="s">
        <v>789</v>
      </c>
      <c r="O1193" s="355" t="s">
        <v>1384</v>
      </c>
      <c r="P1193" s="355"/>
      <c r="Q1193" s="363">
        <v>200</v>
      </c>
      <c r="R1193" s="319">
        <f t="shared" si="46"/>
        <v>-200</v>
      </c>
      <c r="S1193" s="239" t="str">
        <f>VLOOKUP(H1193,'Fund Utilization Report'!$A$4:$U$1800,13,FALSE)</f>
        <v>PS</v>
      </c>
      <c r="T1193" s="239" t="str">
        <f>VLOOKUP(H1193,'Fund Utilization Report'!$A$4:$U$1800,2,FALSE)</f>
        <v>GAA</v>
      </c>
      <c r="U1193" s="239" t="str">
        <f>VLOOKUP(H1193,'Fund Utilization Report'!$A$4:$U$1800,3,FALSE)</f>
        <v>FY2021, RA11518</v>
      </c>
      <c r="V1193" s="239" t="str">
        <f>VLOOKUP(H1193,'Fund Utilization Report'!$A$4:$U$1800,4,FALSE)</f>
        <v>OO4.1(FTL)</v>
      </c>
      <c r="W1193" s="239" t="str">
        <f>VLOOKUP(H1193,'Fund Utilization Report'!$A$4:$U$1800,5,FALSE)</f>
        <v>01101101</v>
      </c>
      <c r="X1193" s="239" t="str">
        <f>VLOOKUP(H1193,'Fund Utilization Report'!$A$4:$U$1800,6,FALSE)</f>
        <v>GOP</v>
      </c>
      <c r="Y1193" s="440" t="str">
        <f>VLOOKUP(H1193,'Fund Utilization Report'!$A$4:$U$1800,7,FALSE)</f>
        <v>PS</v>
      </c>
      <c r="Z1193" s="441">
        <f>VLOOKUP(H1193,'Fund Utilization Report'!$A$4:$U$1800,8,FALSE)</f>
        <v>5010000000</v>
      </c>
      <c r="AA1193" s="239" t="str">
        <f>VLOOKUP(H1193,'Fund Utilization Report'!$A$4:$U$1800,14,FALSE)</f>
        <v>340100100002000</v>
      </c>
      <c r="AB1193" s="242" t="str">
        <f>VLOOKUP(H1193,'Fund Utilization Report'!$A$4:$U$1800,15,FALSE)</f>
        <v>Monitoring and Enforcement of FTL including consumer complaints handling</v>
      </c>
      <c r="AC1193" s="51"/>
      <c r="AD1193" s="435"/>
      <c r="AE1193" s="51"/>
      <c r="AF1193" s="51"/>
      <c r="AG1193" s="442"/>
      <c r="AH1193" s="442"/>
      <c r="AI1193" s="443"/>
    </row>
    <row r="1194" spans="1:35" s="32" customFormat="1" ht="27.6">
      <c r="A1194" s="434" t="s">
        <v>942</v>
      </c>
      <c r="B1194" s="457" t="s">
        <v>946</v>
      </c>
      <c r="C1194" s="233">
        <v>44266</v>
      </c>
      <c r="D1194" s="435" t="s">
        <v>1267</v>
      </c>
      <c r="E1194" s="436" t="s">
        <v>1414</v>
      </c>
      <c r="F1194" s="338">
        <v>0.36458333333333331</v>
      </c>
      <c r="G1194" s="338">
        <v>0.3666666666666667</v>
      </c>
      <c r="H1194" s="338" t="s">
        <v>973</v>
      </c>
      <c r="I1194" s="353">
        <v>733</v>
      </c>
      <c r="J1194" s="338" t="str">
        <f>IFERROR(VLOOKUP(I1194,'Chart of accounts'!A:H,2,FALSE),"")</f>
        <v>50103030 01</v>
      </c>
      <c r="K1194" s="338" t="str">
        <f>IFERROR(VLOOKUP(I1194,'Chart of accounts'!A:H,3,FALSE),"")</f>
        <v>PhilHealth - Civilian</v>
      </c>
      <c r="L1194" s="338" t="str">
        <f>IFERROR(VLOOKUP(I1194,'Chart of accounts'!A:H,4,FALSE),"")</f>
        <v>50103030 01 - PhilHealth - Civilian (733)</v>
      </c>
      <c r="M1194" s="361">
        <v>2</v>
      </c>
      <c r="N1194" s="355" t="s">
        <v>789</v>
      </c>
      <c r="O1194" s="355" t="s">
        <v>1384</v>
      </c>
      <c r="P1194" s="355"/>
      <c r="Q1194" s="363">
        <f>662.76+710.07</f>
        <v>1372.83</v>
      </c>
      <c r="R1194" s="319">
        <f t="shared" si="46"/>
        <v>-1372.83</v>
      </c>
      <c r="S1194" s="239" t="str">
        <f>VLOOKUP(H1194,'Fund Utilization Report'!$A$4:$U$1800,13,FALSE)</f>
        <v>PS</v>
      </c>
      <c r="T1194" s="239" t="str">
        <f>VLOOKUP(H1194,'Fund Utilization Report'!$A$4:$U$1800,2,FALSE)</f>
        <v>GAA</v>
      </c>
      <c r="U1194" s="239" t="str">
        <f>VLOOKUP(H1194,'Fund Utilization Report'!$A$4:$U$1800,3,FALSE)</f>
        <v>FY2021, RA11518</v>
      </c>
      <c r="V1194" s="239" t="str">
        <f>VLOOKUP(H1194,'Fund Utilization Report'!$A$4:$U$1800,4,FALSE)</f>
        <v>OO4.1(FTL)</v>
      </c>
      <c r="W1194" s="239" t="str">
        <f>VLOOKUP(H1194,'Fund Utilization Report'!$A$4:$U$1800,5,FALSE)</f>
        <v>01101101</v>
      </c>
      <c r="X1194" s="239" t="str">
        <f>VLOOKUP(H1194,'Fund Utilization Report'!$A$4:$U$1800,6,FALSE)</f>
        <v>GOP</v>
      </c>
      <c r="Y1194" s="440" t="str">
        <f>VLOOKUP(H1194,'Fund Utilization Report'!$A$4:$U$1800,7,FALSE)</f>
        <v>PS</v>
      </c>
      <c r="Z1194" s="441">
        <f>VLOOKUP(H1194,'Fund Utilization Report'!$A$4:$U$1800,8,FALSE)</f>
        <v>5010000000</v>
      </c>
      <c r="AA1194" s="239" t="str">
        <f>VLOOKUP(H1194,'Fund Utilization Report'!$A$4:$U$1800,14,FALSE)</f>
        <v>340100100002000</v>
      </c>
      <c r="AB1194" s="242" t="str">
        <f>VLOOKUP(H1194,'Fund Utilization Report'!$A$4:$U$1800,15,FALSE)</f>
        <v>Monitoring and Enforcement of FTL including consumer complaints handling</v>
      </c>
      <c r="AC1194" s="51"/>
      <c r="AD1194" s="435"/>
      <c r="AE1194" s="51"/>
      <c r="AF1194" s="51"/>
      <c r="AG1194" s="442"/>
      <c r="AH1194" s="442"/>
      <c r="AI1194" s="443"/>
    </row>
    <row r="1195" spans="1:35" s="32" customFormat="1" ht="27.6">
      <c r="A1195" s="434" t="s">
        <v>942</v>
      </c>
      <c r="B1195" s="457" t="s">
        <v>946</v>
      </c>
      <c r="C1195" s="233">
        <v>44266</v>
      </c>
      <c r="D1195" s="435" t="s">
        <v>1267</v>
      </c>
      <c r="E1195" s="436" t="s">
        <v>1414</v>
      </c>
      <c r="F1195" s="338">
        <v>0.36458333333333331</v>
      </c>
      <c r="G1195" s="338">
        <v>0.3666666666666667</v>
      </c>
      <c r="H1195" s="338" t="s">
        <v>973</v>
      </c>
      <c r="I1195" s="353">
        <v>734</v>
      </c>
      <c r="J1195" s="338" t="str">
        <f>IFERROR(VLOOKUP(I1195,'Chart of accounts'!A:H,2,FALSE),"")</f>
        <v>50103040 01</v>
      </c>
      <c r="K1195" s="338" t="str">
        <f>IFERROR(VLOOKUP(I1195,'Chart of accounts'!A:H,3,FALSE),"")</f>
        <v>ECIP - Civilian</v>
      </c>
      <c r="L1195" s="338" t="str">
        <f>IFERROR(VLOOKUP(I1195,'Chart of accounts'!A:H,4,FALSE),"")</f>
        <v>50103040 01 - ECIP - Civilian (734)</v>
      </c>
      <c r="M1195" s="361">
        <v>2</v>
      </c>
      <c r="N1195" s="355" t="s">
        <v>789</v>
      </c>
      <c r="O1195" s="355" t="s">
        <v>1384</v>
      </c>
      <c r="P1195" s="355"/>
      <c r="Q1195" s="363">
        <v>200</v>
      </c>
      <c r="R1195" s="319">
        <f t="shared" si="46"/>
        <v>-200</v>
      </c>
      <c r="S1195" s="239" t="str">
        <f>VLOOKUP(H1195,'Fund Utilization Report'!$A$4:$U$1800,13,FALSE)</f>
        <v>PS</v>
      </c>
      <c r="T1195" s="239" t="str">
        <f>VLOOKUP(H1195,'Fund Utilization Report'!$A$4:$U$1800,2,FALSE)</f>
        <v>GAA</v>
      </c>
      <c r="U1195" s="239" t="str">
        <f>VLOOKUP(H1195,'Fund Utilization Report'!$A$4:$U$1800,3,FALSE)</f>
        <v>FY2021, RA11518</v>
      </c>
      <c r="V1195" s="239" t="str">
        <f>VLOOKUP(H1195,'Fund Utilization Report'!$A$4:$U$1800,4,FALSE)</f>
        <v>OO4.1(FTL)</v>
      </c>
      <c r="W1195" s="239" t="str">
        <f>VLOOKUP(H1195,'Fund Utilization Report'!$A$4:$U$1800,5,FALSE)</f>
        <v>01101101</v>
      </c>
      <c r="X1195" s="239" t="str">
        <f>VLOOKUP(H1195,'Fund Utilization Report'!$A$4:$U$1800,6,FALSE)</f>
        <v>GOP</v>
      </c>
      <c r="Y1195" s="440" t="str">
        <f>VLOOKUP(H1195,'Fund Utilization Report'!$A$4:$U$1800,7,FALSE)</f>
        <v>PS</v>
      </c>
      <c r="Z1195" s="441">
        <f>VLOOKUP(H1195,'Fund Utilization Report'!$A$4:$U$1800,8,FALSE)</f>
        <v>5010000000</v>
      </c>
      <c r="AA1195" s="239" t="str">
        <f>VLOOKUP(H1195,'Fund Utilization Report'!$A$4:$U$1800,14,FALSE)</f>
        <v>340100100002000</v>
      </c>
      <c r="AB1195" s="242" t="str">
        <f>VLOOKUP(H1195,'Fund Utilization Report'!$A$4:$U$1800,15,FALSE)</f>
        <v>Monitoring and Enforcement of FTL including consumer complaints handling</v>
      </c>
      <c r="AC1195" s="51"/>
      <c r="AD1195" s="435"/>
      <c r="AE1195" s="51"/>
      <c r="AF1195" s="51"/>
      <c r="AG1195" s="442"/>
      <c r="AH1195" s="442"/>
      <c r="AI1195" s="443"/>
    </row>
    <row r="1196" spans="1:35" s="32" customFormat="1" ht="27.6">
      <c r="A1196" s="434" t="s">
        <v>942</v>
      </c>
      <c r="B1196" s="457" t="s">
        <v>946</v>
      </c>
      <c r="C1196" s="233">
        <v>44266</v>
      </c>
      <c r="D1196" s="435" t="s">
        <v>1267</v>
      </c>
      <c r="E1196" s="436" t="s">
        <v>1414</v>
      </c>
      <c r="F1196" s="338">
        <v>0.36458333333333331</v>
      </c>
      <c r="G1196" s="338">
        <v>0.3666666666666667</v>
      </c>
      <c r="H1196" s="338" t="s">
        <v>976</v>
      </c>
      <c r="I1196" s="353">
        <v>701</v>
      </c>
      <c r="J1196" s="338" t="str">
        <f>IFERROR(VLOOKUP(I1196,'Chart of accounts'!A:H,2,FALSE),"")</f>
        <v>50101010 01</v>
      </c>
      <c r="K1196" s="338" t="str">
        <f>IFERROR(VLOOKUP(I1196,'Chart of accounts'!A:H,3,FALSE),"")</f>
        <v>Basic Salary - Civilian</v>
      </c>
      <c r="L1196" s="338" t="str">
        <f>IFERROR(VLOOKUP(I1196,'Chart of accounts'!A:H,4,FALSE),"")</f>
        <v>50101010 01 - Basic Salary - Civilian (701)</v>
      </c>
      <c r="M1196" s="361">
        <v>2</v>
      </c>
      <c r="N1196" s="355" t="s">
        <v>789</v>
      </c>
      <c r="O1196" s="355" t="s">
        <v>1384</v>
      </c>
      <c r="P1196" s="355"/>
      <c r="Q1196" s="363">
        <v>43681</v>
      </c>
      <c r="R1196" s="319">
        <f t="shared" si="46"/>
        <v>-43681</v>
      </c>
      <c r="S1196" s="239" t="str">
        <f>VLOOKUP(H1196,'Fund Utilization Report'!$A$4:$U$1800,13,FALSE)</f>
        <v>PS</v>
      </c>
      <c r="T1196" s="239" t="str">
        <f>VLOOKUP(H1196,'Fund Utilization Report'!$A$4:$U$1800,2,FALSE)</f>
        <v>GAA</v>
      </c>
      <c r="U1196" s="239" t="str">
        <f>VLOOKUP(H1196,'Fund Utilization Report'!$A$4:$U$1800,3,FALSE)</f>
        <v>FY2021, RA11518</v>
      </c>
      <c r="V1196" s="239" t="str">
        <f>VLOOKUP(H1196,'Fund Utilization Report'!$A$4:$U$1800,4,FALSE)</f>
        <v>OO4.1(Acc)</v>
      </c>
      <c r="W1196" s="239" t="str">
        <f>VLOOKUP(H1196,'Fund Utilization Report'!$A$4:$U$1800,5,FALSE)</f>
        <v>01101101</v>
      </c>
      <c r="X1196" s="239" t="str">
        <f>VLOOKUP(H1196,'Fund Utilization Report'!$A$4:$U$1800,6,FALSE)</f>
        <v>GOP</v>
      </c>
      <c r="Y1196" s="440" t="str">
        <f>VLOOKUP(H1196,'Fund Utilization Report'!$A$4:$U$1800,7,FALSE)</f>
        <v>PS</v>
      </c>
      <c r="Z1196" s="441">
        <f>VLOOKUP(H1196,'Fund Utilization Report'!$A$4:$U$1800,8,FALSE)</f>
        <v>5010000000</v>
      </c>
      <c r="AA1196" s="239" t="str">
        <f>VLOOKUP(H1196,'Fund Utilization Report'!$A$4:$U$1800,14,FALSE)</f>
        <v>340100100003000</v>
      </c>
      <c r="AB1196" s="242" t="str">
        <f>VLOOKUP(H1196,'Fund Utilization Report'!$A$4:$U$1800,15,FALSE)</f>
        <v>Accreditation and Issuance of Business Licenses, Permits, registration and authorities</v>
      </c>
      <c r="AC1196" s="51"/>
      <c r="AD1196" s="435"/>
      <c r="AE1196" s="51"/>
      <c r="AF1196" s="51"/>
      <c r="AG1196" s="442"/>
      <c r="AH1196" s="442"/>
      <c r="AI1196" s="443"/>
    </row>
    <row r="1197" spans="1:35" s="32" customFormat="1" ht="27.6">
      <c r="A1197" s="434" t="s">
        <v>942</v>
      </c>
      <c r="B1197" s="457" t="s">
        <v>946</v>
      </c>
      <c r="C1197" s="233">
        <v>44266</v>
      </c>
      <c r="D1197" s="435" t="s">
        <v>1267</v>
      </c>
      <c r="E1197" s="436" t="s">
        <v>1414</v>
      </c>
      <c r="F1197" s="338">
        <v>0.36458333333333331</v>
      </c>
      <c r="G1197" s="338">
        <v>0.3666666666666667</v>
      </c>
      <c r="H1197" s="338" t="s">
        <v>976</v>
      </c>
      <c r="I1197" s="353">
        <v>711</v>
      </c>
      <c r="J1197" s="338" t="str">
        <f>IFERROR(VLOOKUP(I1197,'Chart of accounts'!A:H,2,FALSE),"")</f>
        <v>50102010 01</v>
      </c>
      <c r="K1197" s="338" t="str">
        <f>IFERROR(VLOOKUP(I1197,'Chart of accounts'!A:H,3,FALSE),"")</f>
        <v>PERA - Civilian</v>
      </c>
      <c r="L1197" s="338" t="str">
        <f>IFERROR(VLOOKUP(I1197,'Chart of accounts'!A:H,4,FALSE),"")</f>
        <v>50102010 01 - PERA - Civilian (711)</v>
      </c>
      <c r="M1197" s="361">
        <v>2</v>
      </c>
      <c r="N1197" s="355" t="s">
        <v>789</v>
      </c>
      <c r="O1197" s="355" t="s">
        <v>1384</v>
      </c>
      <c r="P1197" s="355"/>
      <c r="Q1197" s="363">
        <v>2000</v>
      </c>
      <c r="R1197" s="319">
        <f t="shared" si="46"/>
        <v>-2000</v>
      </c>
      <c r="S1197" s="239" t="str">
        <f>VLOOKUP(H1197,'Fund Utilization Report'!$A$4:$U$1800,13,FALSE)</f>
        <v>PS</v>
      </c>
      <c r="T1197" s="239" t="str">
        <f>VLOOKUP(H1197,'Fund Utilization Report'!$A$4:$U$1800,2,FALSE)</f>
        <v>GAA</v>
      </c>
      <c r="U1197" s="239" t="str">
        <f>VLOOKUP(H1197,'Fund Utilization Report'!$A$4:$U$1800,3,FALSE)</f>
        <v>FY2021, RA11518</v>
      </c>
      <c r="V1197" s="239" t="str">
        <f>VLOOKUP(H1197,'Fund Utilization Report'!$A$4:$U$1800,4,FALSE)</f>
        <v>OO4.1(Acc)</v>
      </c>
      <c r="W1197" s="239" t="str">
        <f>VLOOKUP(H1197,'Fund Utilization Report'!$A$4:$U$1800,5,FALSE)</f>
        <v>01101101</v>
      </c>
      <c r="X1197" s="239" t="str">
        <f>VLOOKUP(H1197,'Fund Utilization Report'!$A$4:$U$1800,6,FALSE)</f>
        <v>GOP</v>
      </c>
      <c r="Y1197" s="440" t="str">
        <f>VLOOKUP(H1197,'Fund Utilization Report'!$A$4:$U$1800,7,FALSE)</f>
        <v>PS</v>
      </c>
      <c r="Z1197" s="441">
        <f>VLOOKUP(H1197,'Fund Utilization Report'!$A$4:$U$1800,8,FALSE)</f>
        <v>5010000000</v>
      </c>
      <c r="AA1197" s="239" t="str">
        <f>VLOOKUP(H1197,'Fund Utilization Report'!$A$4:$U$1800,14,FALSE)</f>
        <v>340100100003000</v>
      </c>
      <c r="AB1197" s="242" t="str">
        <f>VLOOKUP(H1197,'Fund Utilization Report'!$A$4:$U$1800,15,FALSE)</f>
        <v>Accreditation and Issuance of Business Licenses, Permits, registration and authorities</v>
      </c>
      <c r="AC1197" s="51"/>
      <c r="AD1197" s="435"/>
      <c r="AE1197" s="51"/>
      <c r="AF1197" s="51"/>
      <c r="AG1197" s="442"/>
      <c r="AH1197" s="442"/>
      <c r="AI1197" s="443"/>
    </row>
    <row r="1198" spans="1:35" s="32" customFormat="1" ht="27.6">
      <c r="A1198" s="434" t="s">
        <v>942</v>
      </c>
      <c r="B1198" s="457" t="s">
        <v>946</v>
      </c>
      <c r="C1198" s="233">
        <v>44266</v>
      </c>
      <c r="D1198" s="435" t="s">
        <v>1267</v>
      </c>
      <c r="E1198" s="436" t="s">
        <v>1414</v>
      </c>
      <c r="F1198" s="338">
        <v>0.36458333333333331</v>
      </c>
      <c r="G1198" s="338">
        <v>0.3666666666666667</v>
      </c>
      <c r="H1198" s="338" t="s">
        <v>978</v>
      </c>
      <c r="I1198" s="353">
        <v>731</v>
      </c>
      <c r="J1198" s="338" t="str">
        <f>IFERROR(VLOOKUP(I1198,'Chart of accounts'!A:H,2,FALSE),"")</f>
        <v>50103010 00</v>
      </c>
      <c r="K1198" s="338" t="str">
        <f>IFERROR(VLOOKUP(I1198,'Chart of accounts'!A:H,3,FALSE),"")</f>
        <v>Retirement and Life Insurance Premiums</v>
      </c>
      <c r="L1198" s="338" t="str">
        <f>IFERROR(VLOOKUP(I1198,'Chart of accounts'!A:H,4,FALSE),"")</f>
        <v>50103010 00 - Retirement and Life Insurance Premiums (731)</v>
      </c>
      <c r="M1198" s="361">
        <v>2</v>
      </c>
      <c r="N1198" s="355" t="s">
        <v>789</v>
      </c>
      <c r="O1198" s="355" t="s">
        <v>1384</v>
      </c>
      <c r="P1198" s="355"/>
      <c r="Q1198" s="363">
        <v>5241.72</v>
      </c>
      <c r="R1198" s="319">
        <f t="shared" si="46"/>
        <v>-5241.72</v>
      </c>
      <c r="S1198" s="239" t="str">
        <f>VLOOKUP(H1198,'Fund Utilization Report'!$A$4:$U$1800,13,FALSE)</f>
        <v>PS</v>
      </c>
      <c r="T1198" s="239" t="str">
        <f>VLOOKUP(H1198,'Fund Utilization Report'!$A$4:$U$1800,2,FALSE)</f>
        <v>GAA</v>
      </c>
      <c r="U1198" s="239" t="str">
        <f>VLOOKUP(H1198,'Fund Utilization Report'!$A$4:$U$1800,3,FALSE)</f>
        <v>FY2021, RA11518</v>
      </c>
      <c r="V1198" s="239" t="str">
        <f>VLOOKUP(H1198,'Fund Utilization Report'!$A$4:$U$1800,4,FALSE)</f>
        <v>OO4.1(Acc)</v>
      </c>
      <c r="W1198" s="239" t="str">
        <f>VLOOKUP(H1198,'Fund Utilization Report'!$A$4:$U$1800,5,FALSE)</f>
        <v>01101101</v>
      </c>
      <c r="X1198" s="239" t="str">
        <f>VLOOKUP(H1198,'Fund Utilization Report'!$A$4:$U$1800,6,FALSE)</f>
        <v>GOP</v>
      </c>
      <c r="Y1198" s="440" t="str">
        <f>VLOOKUP(H1198,'Fund Utilization Report'!$A$4:$U$1800,7,FALSE)</f>
        <v>RLIP</v>
      </c>
      <c r="Z1198" s="441" t="str">
        <f>VLOOKUP(H1198,'Fund Utilization Report'!$A$4:$U$1800,8,FALSE)</f>
        <v>50103010-00</v>
      </c>
      <c r="AA1198" s="239" t="str">
        <f>VLOOKUP(H1198,'Fund Utilization Report'!$A$4:$U$1800,14,FALSE)</f>
        <v>340100100003000</v>
      </c>
      <c r="AB1198" s="242" t="str">
        <f>VLOOKUP(H1198,'Fund Utilization Report'!$A$4:$U$1800,15,FALSE)</f>
        <v>Accreditation and Issuance of Business Licenses, Permits, registration and authorities</v>
      </c>
      <c r="AC1198" s="51"/>
      <c r="AD1198" s="435"/>
      <c r="AE1198" s="51"/>
      <c r="AF1198" s="51"/>
      <c r="AG1198" s="442"/>
      <c r="AH1198" s="442"/>
      <c r="AI1198" s="443"/>
    </row>
    <row r="1199" spans="1:35" s="32" customFormat="1" ht="27.6">
      <c r="A1199" s="434" t="s">
        <v>942</v>
      </c>
      <c r="B1199" s="457" t="s">
        <v>946</v>
      </c>
      <c r="C1199" s="233">
        <v>44266</v>
      </c>
      <c r="D1199" s="435" t="s">
        <v>1267</v>
      </c>
      <c r="E1199" s="436" t="s">
        <v>1414</v>
      </c>
      <c r="F1199" s="338">
        <v>0.36458333333333331</v>
      </c>
      <c r="G1199" s="338">
        <v>0.3666666666666667</v>
      </c>
      <c r="H1199" s="338" t="s">
        <v>976</v>
      </c>
      <c r="I1199" s="353">
        <v>732</v>
      </c>
      <c r="J1199" s="338" t="str">
        <f>IFERROR(VLOOKUP(I1199,'Chart of accounts'!A:H,2,FALSE),"")</f>
        <v>50103020 01</v>
      </c>
      <c r="K1199" s="338" t="str">
        <f>IFERROR(VLOOKUP(I1199,'Chart of accounts'!A:H,3,FALSE),"")</f>
        <v>Pag-IBIG - Civilian</v>
      </c>
      <c r="L1199" s="338" t="str">
        <f>IFERROR(VLOOKUP(I1199,'Chart of accounts'!A:H,4,FALSE),"")</f>
        <v>50103020 01 - Pag-IBIG - Civilian (732)</v>
      </c>
      <c r="M1199" s="361">
        <v>2</v>
      </c>
      <c r="N1199" s="355" t="s">
        <v>789</v>
      </c>
      <c r="O1199" s="355" t="s">
        <v>1384</v>
      </c>
      <c r="P1199" s="355"/>
      <c r="Q1199" s="363">
        <v>100</v>
      </c>
      <c r="R1199" s="319">
        <f t="shared" si="46"/>
        <v>-100</v>
      </c>
      <c r="S1199" s="239" t="str">
        <f>VLOOKUP(H1199,'Fund Utilization Report'!$A$4:$U$1800,13,FALSE)</f>
        <v>PS</v>
      </c>
      <c r="T1199" s="239" t="str">
        <f>VLOOKUP(H1199,'Fund Utilization Report'!$A$4:$U$1800,2,FALSE)</f>
        <v>GAA</v>
      </c>
      <c r="U1199" s="239" t="str">
        <f>VLOOKUP(H1199,'Fund Utilization Report'!$A$4:$U$1800,3,FALSE)</f>
        <v>FY2021, RA11518</v>
      </c>
      <c r="V1199" s="239" t="str">
        <f>VLOOKUP(H1199,'Fund Utilization Report'!$A$4:$U$1800,4,FALSE)</f>
        <v>OO4.1(Acc)</v>
      </c>
      <c r="W1199" s="239" t="str">
        <f>VLOOKUP(H1199,'Fund Utilization Report'!$A$4:$U$1800,5,FALSE)</f>
        <v>01101101</v>
      </c>
      <c r="X1199" s="239" t="str">
        <f>VLOOKUP(H1199,'Fund Utilization Report'!$A$4:$U$1800,6,FALSE)</f>
        <v>GOP</v>
      </c>
      <c r="Y1199" s="440" t="str">
        <f>VLOOKUP(H1199,'Fund Utilization Report'!$A$4:$U$1800,7,FALSE)</f>
        <v>PS</v>
      </c>
      <c r="Z1199" s="441">
        <f>VLOOKUP(H1199,'Fund Utilization Report'!$A$4:$U$1800,8,FALSE)</f>
        <v>5010000000</v>
      </c>
      <c r="AA1199" s="239" t="str">
        <f>VLOOKUP(H1199,'Fund Utilization Report'!$A$4:$U$1800,14,FALSE)</f>
        <v>340100100003000</v>
      </c>
      <c r="AB1199" s="242" t="str">
        <f>VLOOKUP(H1199,'Fund Utilization Report'!$A$4:$U$1800,15,FALSE)</f>
        <v>Accreditation and Issuance of Business Licenses, Permits, registration and authorities</v>
      </c>
      <c r="AC1199" s="51"/>
      <c r="AD1199" s="435"/>
      <c r="AE1199" s="51"/>
      <c r="AF1199" s="51"/>
      <c r="AG1199" s="442"/>
      <c r="AH1199" s="442"/>
      <c r="AI1199" s="443"/>
    </row>
    <row r="1200" spans="1:35" s="32" customFormat="1" ht="27.6">
      <c r="A1200" s="434" t="s">
        <v>942</v>
      </c>
      <c r="B1200" s="457" t="s">
        <v>946</v>
      </c>
      <c r="C1200" s="233">
        <v>44266</v>
      </c>
      <c r="D1200" s="435" t="s">
        <v>1267</v>
      </c>
      <c r="E1200" s="436" t="s">
        <v>1414</v>
      </c>
      <c r="F1200" s="338">
        <v>0.36458333333333331</v>
      </c>
      <c r="G1200" s="338">
        <v>0.3666666666666667</v>
      </c>
      <c r="H1200" s="338" t="s">
        <v>976</v>
      </c>
      <c r="I1200" s="353">
        <v>733</v>
      </c>
      <c r="J1200" s="338" t="str">
        <f>IFERROR(VLOOKUP(I1200,'Chart of accounts'!A:H,2,FALSE),"")</f>
        <v>50103030 01</v>
      </c>
      <c r="K1200" s="338" t="str">
        <f>IFERROR(VLOOKUP(I1200,'Chart of accounts'!A:H,3,FALSE),"")</f>
        <v>PhilHealth - Civilian</v>
      </c>
      <c r="L1200" s="338" t="str">
        <f>IFERROR(VLOOKUP(I1200,'Chart of accounts'!A:H,4,FALSE),"")</f>
        <v>50103030 01 - PhilHealth - Civilian (733)</v>
      </c>
      <c r="M1200" s="361">
        <v>2</v>
      </c>
      <c r="N1200" s="355" t="s">
        <v>789</v>
      </c>
      <c r="O1200" s="355" t="s">
        <v>1384</v>
      </c>
      <c r="P1200" s="355"/>
      <c r="Q1200" s="363">
        <v>655.22</v>
      </c>
      <c r="R1200" s="319">
        <f t="shared" si="46"/>
        <v>-655.22</v>
      </c>
      <c r="S1200" s="239" t="str">
        <f>VLOOKUP(H1200,'Fund Utilization Report'!$A$4:$U$1800,13,FALSE)</f>
        <v>PS</v>
      </c>
      <c r="T1200" s="239" t="str">
        <f>VLOOKUP(H1200,'Fund Utilization Report'!$A$4:$U$1800,2,FALSE)</f>
        <v>GAA</v>
      </c>
      <c r="U1200" s="239" t="str">
        <f>VLOOKUP(H1200,'Fund Utilization Report'!$A$4:$U$1800,3,FALSE)</f>
        <v>FY2021, RA11518</v>
      </c>
      <c r="V1200" s="239" t="str">
        <f>VLOOKUP(H1200,'Fund Utilization Report'!$A$4:$U$1800,4,FALSE)</f>
        <v>OO4.1(Acc)</v>
      </c>
      <c r="W1200" s="239" t="str">
        <f>VLOOKUP(H1200,'Fund Utilization Report'!$A$4:$U$1800,5,FALSE)</f>
        <v>01101101</v>
      </c>
      <c r="X1200" s="239" t="str">
        <f>VLOOKUP(H1200,'Fund Utilization Report'!$A$4:$U$1800,6,FALSE)</f>
        <v>GOP</v>
      </c>
      <c r="Y1200" s="440" t="str">
        <f>VLOOKUP(H1200,'Fund Utilization Report'!$A$4:$U$1800,7,FALSE)</f>
        <v>PS</v>
      </c>
      <c r="Z1200" s="441">
        <f>VLOOKUP(H1200,'Fund Utilization Report'!$A$4:$U$1800,8,FALSE)</f>
        <v>5010000000</v>
      </c>
      <c r="AA1200" s="239" t="str">
        <f>VLOOKUP(H1200,'Fund Utilization Report'!$A$4:$U$1800,14,FALSE)</f>
        <v>340100100003000</v>
      </c>
      <c r="AB1200" s="242" t="str">
        <f>VLOOKUP(H1200,'Fund Utilization Report'!$A$4:$U$1800,15,FALSE)</f>
        <v>Accreditation and Issuance of Business Licenses, Permits, registration and authorities</v>
      </c>
      <c r="AC1200" s="51"/>
      <c r="AD1200" s="435"/>
      <c r="AE1200" s="51"/>
      <c r="AF1200" s="51"/>
      <c r="AG1200" s="442"/>
      <c r="AH1200" s="442"/>
      <c r="AI1200" s="443"/>
    </row>
    <row r="1201" spans="1:35" s="32" customFormat="1" ht="27.6">
      <c r="A1201" s="434" t="s">
        <v>942</v>
      </c>
      <c r="B1201" s="457" t="s">
        <v>946</v>
      </c>
      <c r="C1201" s="233">
        <v>44266</v>
      </c>
      <c r="D1201" s="435" t="s">
        <v>1267</v>
      </c>
      <c r="E1201" s="436" t="s">
        <v>1414</v>
      </c>
      <c r="F1201" s="338">
        <v>0.36458333333333331</v>
      </c>
      <c r="G1201" s="338">
        <v>0.3666666666666667</v>
      </c>
      <c r="H1201" s="338" t="s">
        <v>976</v>
      </c>
      <c r="I1201" s="353">
        <v>734</v>
      </c>
      <c r="J1201" s="338" t="str">
        <f>IFERROR(VLOOKUP(I1201,'Chart of accounts'!A:H,2,FALSE),"")</f>
        <v>50103040 01</v>
      </c>
      <c r="K1201" s="338" t="str">
        <f>IFERROR(VLOOKUP(I1201,'Chart of accounts'!A:H,3,FALSE),"")</f>
        <v>ECIP - Civilian</v>
      </c>
      <c r="L1201" s="338" t="str">
        <f>IFERROR(VLOOKUP(I1201,'Chart of accounts'!A:H,4,FALSE),"")</f>
        <v>50103040 01 - ECIP - Civilian (734)</v>
      </c>
      <c r="M1201" s="361">
        <v>2</v>
      </c>
      <c r="N1201" s="355" t="s">
        <v>789</v>
      </c>
      <c r="O1201" s="355" t="s">
        <v>1384</v>
      </c>
      <c r="P1201" s="355"/>
      <c r="Q1201" s="363">
        <v>100</v>
      </c>
      <c r="R1201" s="319">
        <f t="shared" si="46"/>
        <v>-100</v>
      </c>
      <c r="S1201" s="239" t="str">
        <f>VLOOKUP(H1201,'Fund Utilization Report'!$A$4:$U$1800,13,FALSE)</f>
        <v>PS</v>
      </c>
      <c r="T1201" s="239" t="str">
        <f>VLOOKUP(H1201,'Fund Utilization Report'!$A$4:$U$1800,2,FALSE)</f>
        <v>GAA</v>
      </c>
      <c r="U1201" s="239" t="str">
        <f>VLOOKUP(H1201,'Fund Utilization Report'!$A$4:$U$1800,3,FALSE)</f>
        <v>FY2021, RA11518</v>
      </c>
      <c r="V1201" s="239" t="str">
        <f>VLOOKUP(H1201,'Fund Utilization Report'!$A$4:$U$1800,4,FALSE)</f>
        <v>OO4.1(Acc)</v>
      </c>
      <c r="W1201" s="239" t="str">
        <f>VLOOKUP(H1201,'Fund Utilization Report'!$A$4:$U$1800,5,FALSE)</f>
        <v>01101101</v>
      </c>
      <c r="X1201" s="239" t="str">
        <f>VLOOKUP(H1201,'Fund Utilization Report'!$A$4:$U$1800,6,FALSE)</f>
        <v>GOP</v>
      </c>
      <c r="Y1201" s="440" t="str">
        <f>VLOOKUP(H1201,'Fund Utilization Report'!$A$4:$U$1800,7,FALSE)</f>
        <v>PS</v>
      </c>
      <c r="Z1201" s="441">
        <f>VLOOKUP(H1201,'Fund Utilization Report'!$A$4:$U$1800,8,FALSE)</f>
        <v>5010000000</v>
      </c>
      <c r="AA1201" s="239" t="str">
        <f>VLOOKUP(H1201,'Fund Utilization Report'!$A$4:$U$1800,14,FALSE)</f>
        <v>340100100003000</v>
      </c>
      <c r="AB1201" s="242" t="str">
        <f>VLOOKUP(H1201,'Fund Utilization Report'!$A$4:$U$1800,15,FALSE)</f>
        <v>Accreditation and Issuance of Business Licenses, Permits, registration and authorities</v>
      </c>
      <c r="AC1201" s="51"/>
      <c r="AD1201" s="435"/>
      <c r="AE1201" s="51"/>
      <c r="AF1201" s="51"/>
      <c r="AG1201" s="442"/>
      <c r="AH1201" s="442"/>
      <c r="AI1201" s="443"/>
    </row>
    <row r="1202" spans="1:35" s="411" customFormat="1" ht="27.75" customHeight="1">
      <c r="A1202" s="405" t="s">
        <v>942</v>
      </c>
      <c r="B1202" s="488" t="s">
        <v>946</v>
      </c>
      <c r="C1202" s="402">
        <v>44266</v>
      </c>
      <c r="D1202" s="403" t="s">
        <v>1267</v>
      </c>
      <c r="E1202" s="404" t="s">
        <v>1415</v>
      </c>
      <c r="F1202" s="405">
        <v>0.6020833333333333</v>
      </c>
      <c r="G1202" s="405">
        <v>0.60416666666666663</v>
      </c>
      <c r="H1202" s="405" t="s">
        <v>961</v>
      </c>
      <c r="I1202" s="416">
        <v>783</v>
      </c>
      <c r="J1202" s="405" t="str">
        <f>IFERROR(VLOOKUP(I1202,'Chart of accounts'!A:H,2,FALSE),"")</f>
        <v>50299030 00</v>
      </c>
      <c r="K1202" s="405" t="str">
        <f>IFERROR(VLOOKUP(I1202,'Chart of accounts'!A:H,3,FALSE),"")</f>
        <v>Representation Expenses</v>
      </c>
      <c r="L1202" s="405" t="str">
        <f>IFERROR(VLOOKUP(I1202,'Chart of accounts'!A:H,4,FALSE),"")</f>
        <v>50299030 00 - Representation Expenses (783)</v>
      </c>
      <c r="M1202" s="408" t="s">
        <v>812</v>
      </c>
      <c r="N1202" s="409" t="s">
        <v>822</v>
      </c>
      <c r="O1202" s="409" t="s">
        <v>1416</v>
      </c>
      <c r="P1202" s="409"/>
      <c r="Q1202" s="65">
        <f>65000-65000</f>
        <v>0</v>
      </c>
      <c r="R1202" s="319">
        <f t="shared" si="46"/>
        <v>0</v>
      </c>
      <c r="S1202" s="63" t="str">
        <f>VLOOKUP(H1202,'Fund Utilization Report'!$A$4:$U$1800,13,FALSE)</f>
        <v>MOOE</v>
      </c>
      <c r="T1202" s="63" t="str">
        <f>VLOOKUP(H1202,'Fund Utilization Report'!$A$4:$U$1800,2,FALSE)</f>
        <v>GAA</v>
      </c>
      <c r="U1202" s="63" t="str">
        <f>VLOOKUP(H1202,'Fund Utilization Report'!$A$4:$U$1800,3,FALSE)</f>
        <v>FY2021, RA11518</v>
      </c>
      <c r="V1202" s="63" t="str">
        <f>VLOOKUP(H1202,'Fund Utilization Report'!$A$4:$U$1800,4,FALSE)</f>
        <v>GAS(GMS)</v>
      </c>
      <c r="W1202" s="63" t="str">
        <f>VLOOKUP(H1202,'Fund Utilization Report'!$A$4:$U$1800,5,FALSE)</f>
        <v>01101101</v>
      </c>
      <c r="X1202" s="63" t="str">
        <f>VLOOKUP(H1202,'Fund Utilization Report'!$A$4:$U$1800,6,FALSE)</f>
        <v>GOP</v>
      </c>
      <c r="Y1202" s="417" t="str">
        <f>VLOOKUP(H1202,'Fund Utilization Report'!$A$4:$U$1800,7,FALSE)</f>
        <v>MOOE</v>
      </c>
      <c r="Z1202" s="418">
        <f>VLOOKUP(H1202,'Fund Utilization Report'!$A$4:$U$1800,8,FALSE)</f>
        <v>5020000000</v>
      </c>
      <c r="AA1202" s="63" t="str">
        <f>VLOOKUP(H1202,'Fund Utilization Report'!$A$4:$U$1800,14,FALSE)</f>
        <v>100000100001000</v>
      </c>
      <c r="AB1202" s="419" t="str">
        <f>VLOOKUP(H1202,'Fund Utilization Report'!$A$4:$U$1800,15,FALSE)</f>
        <v>General Administration and Supervision - General Management and Supervision</v>
      </c>
      <c r="AC1202" s="406"/>
      <c r="AD1202" s="403"/>
      <c r="AE1202" s="406"/>
      <c r="AF1202" s="406"/>
      <c r="AG1202" s="407"/>
      <c r="AH1202" s="407"/>
    </row>
    <row r="1203" spans="1:35" s="32" customFormat="1">
      <c r="A1203" s="434" t="s">
        <v>942</v>
      </c>
      <c r="B1203" s="457" t="s">
        <v>946</v>
      </c>
      <c r="C1203" s="233">
        <v>44266</v>
      </c>
      <c r="D1203" s="435" t="s">
        <v>1267</v>
      </c>
      <c r="E1203" s="436" t="s">
        <v>1417</v>
      </c>
      <c r="F1203" s="338">
        <v>0.60416666666666663</v>
      </c>
      <c r="G1203" s="338">
        <v>0.60486111111111118</v>
      </c>
      <c r="H1203" s="338" t="s">
        <v>961</v>
      </c>
      <c r="I1203" s="353">
        <v>841</v>
      </c>
      <c r="J1203" s="338" t="str">
        <f>IFERROR(VLOOKUP(I1203,'Chart of accounts'!A:H,2,FALSE),"")</f>
        <v>50213060 01</v>
      </c>
      <c r="K1203" s="338" t="str">
        <f>IFERROR(VLOOKUP(I1203,'Chart of accounts'!A:H,3,FALSE),"")</f>
        <v>Motor Vehicles</v>
      </c>
      <c r="L1203" s="338" t="str">
        <f>IFERROR(VLOOKUP(I1203,'Chart of accounts'!A:H,4,FALSE),"")</f>
        <v>50213060 01 - Motor Vehicles (841)</v>
      </c>
      <c r="M1203" s="361">
        <v>1</v>
      </c>
      <c r="N1203" s="355" t="s">
        <v>1418</v>
      </c>
      <c r="O1203" s="355" t="s">
        <v>1419</v>
      </c>
      <c r="P1203" s="355"/>
      <c r="Q1203" s="363">
        <v>22000</v>
      </c>
      <c r="R1203" s="319">
        <f t="shared" si="46"/>
        <v>-22000</v>
      </c>
      <c r="S1203" s="239" t="str">
        <f>VLOOKUP(H1203,'Fund Utilization Report'!$A$4:$U$1800,13,FALSE)</f>
        <v>MOOE</v>
      </c>
      <c r="T1203" s="239" t="str">
        <f>VLOOKUP(H1203,'Fund Utilization Report'!$A$4:$U$1800,2,FALSE)</f>
        <v>GAA</v>
      </c>
      <c r="U1203" s="239" t="str">
        <f>VLOOKUP(H1203,'Fund Utilization Report'!$A$4:$U$1800,3,FALSE)</f>
        <v>FY2021, RA11518</v>
      </c>
      <c r="V1203" s="239" t="str">
        <f>VLOOKUP(H1203,'Fund Utilization Report'!$A$4:$U$1800,4,FALSE)</f>
        <v>GAS(GMS)</v>
      </c>
      <c r="W1203" s="239" t="str">
        <f>VLOOKUP(H1203,'Fund Utilization Report'!$A$4:$U$1800,5,FALSE)</f>
        <v>01101101</v>
      </c>
      <c r="X1203" s="239" t="str">
        <f>VLOOKUP(H1203,'Fund Utilization Report'!$A$4:$U$1800,6,FALSE)</f>
        <v>GOP</v>
      </c>
      <c r="Y1203" s="440" t="str">
        <f>VLOOKUP(H1203,'Fund Utilization Report'!$A$4:$U$1800,7,FALSE)</f>
        <v>MOOE</v>
      </c>
      <c r="Z1203" s="441">
        <f>VLOOKUP(H1203,'Fund Utilization Report'!$A$4:$U$1800,8,FALSE)</f>
        <v>5020000000</v>
      </c>
      <c r="AA1203" s="239" t="str">
        <f>VLOOKUP(H1203,'Fund Utilization Report'!$A$4:$U$1800,14,FALSE)</f>
        <v>100000100001000</v>
      </c>
      <c r="AB1203" s="242" t="str">
        <f>VLOOKUP(H1203,'Fund Utilization Report'!$A$4:$U$1800,15,FALSE)</f>
        <v>General Administration and Supervision - General Management and Supervision</v>
      </c>
      <c r="AC1203" s="51"/>
      <c r="AD1203" s="435"/>
      <c r="AE1203" s="51"/>
      <c r="AF1203" s="51"/>
      <c r="AG1203" s="442"/>
      <c r="AH1203" s="442"/>
      <c r="AI1203" s="443"/>
    </row>
    <row r="1204" spans="1:35" s="32" customFormat="1" ht="27.6">
      <c r="A1204" s="434" t="s">
        <v>942</v>
      </c>
      <c r="B1204" s="457" t="s">
        <v>946</v>
      </c>
      <c r="C1204" s="233">
        <v>44271</v>
      </c>
      <c r="D1204" s="435" t="s">
        <v>1267</v>
      </c>
      <c r="E1204" s="436" t="s">
        <v>1420</v>
      </c>
      <c r="F1204" s="338">
        <v>0.42083333333333334</v>
      </c>
      <c r="G1204" s="338">
        <v>0.42291666666666666</v>
      </c>
      <c r="H1204" s="338" t="s">
        <v>961</v>
      </c>
      <c r="I1204" s="353">
        <v>753</v>
      </c>
      <c r="J1204" s="338" t="str">
        <f>IFERROR(VLOOKUP(I1204,'Chart of accounts'!A:H,2,FALSE),"")</f>
        <v>50202010 00</v>
      </c>
      <c r="K1204" s="338" t="str">
        <f>IFERROR(VLOOKUP(I1204,'Chart of accounts'!A:H,3,FALSE),"")</f>
        <v>Training Expenses</v>
      </c>
      <c r="L1204" s="338" t="str">
        <f>IFERROR(VLOOKUP(I1204,'Chart of accounts'!A:H,4,FALSE),"")</f>
        <v>50202010 00 - Training Expenses (753)</v>
      </c>
      <c r="M1204" s="361" t="s">
        <v>1256</v>
      </c>
      <c r="N1204" s="355" t="s">
        <v>1344</v>
      </c>
      <c r="O1204" s="355" t="s">
        <v>1421</v>
      </c>
      <c r="P1204" s="355"/>
      <c r="Q1204" s="363">
        <v>14000</v>
      </c>
      <c r="R1204" s="319">
        <f t="shared" si="46"/>
        <v>-14000</v>
      </c>
      <c r="S1204" s="239" t="str">
        <f>VLOOKUP(H1204,'Fund Utilization Report'!$A$4:$U$1800,13,FALSE)</f>
        <v>MOOE</v>
      </c>
      <c r="T1204" s="239" t="str">
        <f>VLOOKUP(H1204,'Fund Utilization Report'!$A$4:$U$1800,2,FALSE)</f>
        <v>GAA</v>
      </c>
      <c r="U1204" s="239" t="str">
        <f>VLOOKUP(H1204,'Fund Utilization Report'!$A$4:$U$1800,3,FALSE)</f>
        <v>FY2021, RA11518</v>
      </c>
      <c r="V1204" s="239" t="str">
        <f>VLOOKUP(H1204,'Fund Utilization Report'!$A$4:$U$1800,4,FALSE)</f>
        <v>GAS(GMS)</v>
      </c>
      <c r="W1204" s="239" t="str">
        <f>VLOOKUP(H1204,'Fund Utilization Report'!$A$4:$U$1800,5,FALSE)</f>
        <v>01101101</v>
      </c>
      <c r="X1204" s="239" t="str">
        <f>VLOOKUP(H1204,'Fund Utilization Report'!$A$4:$U$1800,6,FALSE)</f>
        <v>GOP</v>
      </c>
      <c r="Y1204" s="440" t="str">
        <f>VLOOKUP(H1204,'Fund Utilization Report'!$A$4:$U$1800,7,FALSE)</f>
        <v>MOOE</v>
      </c>
      <c r="Z1204" s="441">
        <f>VLOOKUP(H1204,'Fund Utilization Report'!$A$4:$U$1800,8,FALSE)</f>
        <v>5020000000</v>
      </c>
      <c r="AA1204" s="239" t="str">
        <f>VLOOKUP(H1204,'Fund Utilization Report'!$A$4:$U$1800,14,FALSE)</f>
        <v>100000100001000</v>
      </c>
      <c r="AB1204" s="242" t="str">
        <f>VLOOKUP(H1204,'Fund Utilization Report'!$A$4:$U$1800,15,FALSE)</f>
        <v>General Administration and Supervision - General Management and Supervision</v>
      </c>
      <c r="AC1204" s="51"/>
      <c r="AD1204" s="435"/>
      <c r="AE1204" s="51"/>
      <c r="AF1204" s="51"/>
      <c r="AG1204" s="442"/>
      <c r="AH1204" s="442"/>
      <c r="AI1204" s="443"/>
    </row>
    <row r="1205" spans="1:35" s="32" customFormat="1" ht="27.6">
      <c r="A1205" s="434" t="s">
        <v>942</v>
      </c>
      <c r="B1205" s="457" t="s">
        <v>946</v>
      </c>
      <c r="C1205" s="233">
        <v>44271</v>
      </c>
      <c r="D1205" s="435" t="s">
        <v>1267</v>
      </c>
      <c r="E1205" s="436" t="s">
        <v>1422</v>
      </c>
      <c r="F1205" s="338">
        <v>0.42291666666666666</v>
      </c>
      <c r="G1205" s="338">
        <v>0.4236111111111111</v>
      </c>
      <c r="H1205" s="338" t="s">
        <v>965</v>
      </c>
      <c r="I1205" s="353">
        <v>771</v>
      </c>
      <c r="J1205" s="338" t="str">
        <f>IFERROR(VLOOKUP(I1205,'Chart of accounts'!A:H,2,FALSE),"")</f>
        <v>50205010 00</v>
      </c>
      <c r="K1205" s="338" t="str">
        <f>IFERROR(VLOOKUP(I1205,'Chart of accounts'!A:H,3,FALSE),"")</f>
        <v>Postage and Courier Services</v>
      </c>
      <c r="L1205" s="338" t="str">
        <f>IFERROR(VLOOKUP(I1205,'Chart of accounts'!A:H,4,FALSE),"")</f>
        <v>50205010 00 - Postage and Courier Services (771)</v>
      </c>
      <c r="M1205" s="361">
        <v>1</v>
      </c>
      <c r="N1205" s="355" t="s">
        <v>1359</v>
      </c>
      <c r="O1205" s="355" t="s">
        <v>1423</v>
      </c>
      <c r="P1205" s="355"/>
      <c r="Q1205" s="363">
        <v>7873</v>
      </c>
      <c r="R1205" s="319">
        <f t="shared" si="46"/>
        <v>-7873</v>
      </c>
      <c r="S1205" s="239" t="str">
        <f>VLOOKUP(H1205,'Fund Utilization Report'!$A$4:$U$1800,13,FALSE)</f>
        <v>MOOE</v>
      </c>
      <c r="T1205" s="239" t="str">
        <f>VLOOKUP(H1205,'Fund Utilization Report'!$A$4:$U$1800,2,FALSE)</f>
        <v>GAA</v>
      </c>
      <c r="U1205" s="239" t="str">
        <f>VLOOKUP(H1205,'Fund Utilization Report'!$A$4:$U$1800,3,FALSE)</f>
        <v>FY2021, RA11518</v>
      </c>
      <c r="V1205" s="239" t="str">
        <f>VLOOKUP(H1205,'Fund Utilization Report'!$A$4:$U$1800,4,FALSE)</f>
        <v>OO1</v>
      </c>
      <c r="W1205" s="239" t="str">
        <f>VLOOKUP(H1205,'Fund Utilization Report'!$A$4:$U$1800,5,FALSE)</f>
        <v>01101101</v>
      </c>
      <c r="X1205" s="239" t="str">
        <f>VLOOKUP(H1205,'Fund Utilization Report'!$A$4:$U$1800,6,FALSE)</f>
        <v>GOP</v>
      </c>
      <c r="Y1205" s="440" t="str">
        <f>VLOOKUP(H1205,'Fund Utilization Report'!$A$4:$U$1800,7,FALSE)</f>
        <v>MOOE</v>
      </c>
      <c r="Z1205" s="441">
        <f>VLOOKUP(H1205,'Fund Utilization Report'!$A$4:$U$1800,8,FALSE)</f>
        <v>5020000000</v>
      </c>
      <c r="AA1205" s="239" t="str">
        <f>VLOOKUP(H1205,'Fund Utilization Report'!$A$4:$U$1800,14,FALSE)</f>
        <v>310100100002000</v>
      </c>
      <c r="AB1205" s="242" t="str">
        <f>VLOOKUP(H1205,'Fund Utilization Report'!$A$4:$U$1800,15,FALSE)</f>
        <v>Development,Facilitation, and promotion of exports and investment, domestic and foreign</v>
      </c>
      <c r="AC1205" s="51"/>
      <c r="AD1205" s="435"/>
      <c r="AE1205" s="51"/>
      <c r="AF1205" s="51"/>
      <c r="AG1205" s="442"/>
      <c r="AH1205" s="442"/>
      <c r="AI1205" s="443"/>
    </row>
    <row r="1206" spans="1:35" s="32" customFormat="1" ht="27.6">
      <c r="A1206" s="434" t="s">
        <v>942</v>
      </c>
      <c r="B1206" s="457" t="s">
        <v>946</v>
      </c>
      <c r="C1206" s="233">
        <v>44271</v>
      </c>
      <c r="D1206" s="435" t="s">
        <v>1267</v>
      </c>
      <c r="E1206" s="436" t="s">
        <v>1424</v>
      </c>
      <c r="F1206" s="338">
        <v>0.4236111111111111</v>
      </c>
      <c r="G1206" s="338">
        <v>0.4284722222222222</v>
      </c>
      <c r="H1206" s="434" t="s">
        <v>985</v>
      </c>
      <c r="I1206" s="437">
        <v>751</v>
      </c>
      <c r="J1206" s="434" t="str">
        <f>IFERROR(VLOOKUP(I1206,'Chart of accounts'!A:H,2,FALSE),"")</f>
        <v>50201010 00</v>
      </c>
      <c r="K1206" s="434" t="str">
        <f>IFERROR(VLOOKUP(I1206,'Chart of accounts'!A:H,3,FALSE),"")</f>
        <v>Traveling Expenses - Local</v>
      </c>
      <c r="L1206" s="434" t="str">
        <f>IFERROR(VLOOKUP(I1206,'Chart of accounts'!A:H,4,FALSE),"")</f>
        <v>50201010 00 - Traveling Expenses - Local (751)</v>
      </c>
      <c r="M1206" s="438">
        <v>85</v>
      </c>
      <c r="N1206" s="439" t="s">
        <v>823</v>
      </c>
      <c r="O1206" s="439" t="s">
        <v>1139</v>
      </c>
      <c r="P1206" s="439"/>
      <c r="Q1206" s="50">
        <f>57498</f>
        <v>57498</v>
      </c>
      <c r="R1206" s="319">
        <f t="shared" si="46"/>
        <v>-57498</v>
      </c>
      <c r="S1206" s="239" t="str">
        <f>VLOOKUP(H1206,'Fund Utilization Report'!$A$4:$U$1800,13,FALSE)</f>
        <v>MOOE</v>
      </c>
      <c r="T1206" s="239" t="str">
        <f>VLOOKUP(H1206,'Fund Utilization Report'!$A$4:$U$1800,2,FALSE)</f>
        <v>GAA</v>
      </c>
      <c r="U1206" s="239" t="str">
        <f>VLOOKUP(H1206,'Fund Utilization Report'!$A$4:$U$1800,3,FALSE)</f>
        <v>FY2021, RA11518</v>
      </c>
      <c r="V1206" s="239" t="str">
        <f>VLOOKUP(H1206,'Fund Utilization Report'!$A$4:$U$1800,4,FALSE)</f>
        <v>LSP-PBG</v>
      </c>
      <c r="W1206" s="239" t="str">
        <f>VLOOKUP(H1206,'Fund Utilization Report'!$A$4:$U$1800,5,FALSE)</f>
        <v>01101101</v>
      </c>
      <c r="X1206" s="239" t="str">
        <f>VLOOKUP(H1206,'Fund Utilization Report'!$A$4:$U$1800,6,FALSE)</f>
        <v>GOP</v>
      </c>
      <c r="Y1206" s="440" t="str">
        <f>VLOOKUP(H1206,'Fund Utilization Report'!$A$4:$U$1800,7,FALSE)</f>
        <v>MOOE</v>
      </c>
      <c r="Z1206" s="441">
        <f>VLOOKUP(H1206,'Fund Utilization Report'!$A$4:$U$1800,8,FALSE)</f>
        <v>5020000000</v>
      </c>
      <c r="AA1206" s="239" t="str">
        <f>VLOOKUP(H1206,'Fund Utilization Report'!$A$4:$U$1800,14,FALSE)</f>
        <v>330100200004000</v>
      </c>
      <c r="AB1206" s="242" t="str">
        <f>VLOOKUP(H1206,'Fund Utilization Report'!$A$4:$U$1800,15,FALSE)</f>
        <v>MSME Development Program : Livelihood Seeding Program and Pangkabuhayan sa Pagbangon at Ginhawa</v>
      </c>
      <c r="AC1206" s="51"/>
      <c r="AD1206" s="435"/>
      <c r="AE1206" s="51"/>
      <c r="AF1206" s="51"/>
      <c r="AG1206" s="442"/>
      <c r="AH1206" s="442"/>
      <c r="AI1206" s="443"/>
    </row>
    <row r="1207" spans="1:35" s="32" customFormat="1" ht="27.6">
      <c r="A1207" s="434" t="s">
        <v>942</v>
      </c>
      <c r="B1207" s="457" t="s">
        <v>946</v>
      </c>
      <c r="C1207" s="233">
        <v>44271</v>
      </c>
      <c r="D1207" s="435" t="s">
        <v>1267</v>
      </c>
      <c r="E1207" s="436" t="s">
        <v>1424</v>
      </c>
      <c r="F1207" s="338">
        <v>0.4236111111111111</v>
      </c>
      <c r="G1207" s="338">
        <v>0.4284722222222222</v>
      </c>
      <c r="H1207" s="434" t="s">
        <v>985</v>
      </c>
      <c r="I1207" s="437">
        <v>753</v>
      </c>
      <c r="J1207" s="434" t="str">
        <f>IFERROR(VLOOKUP(I1207,'Chart of accounts'!A:H,2,FALSE),"")</f>
        <v>50202010 00</v>
      </c>
      <c r="K1207" s="434" t="str">
        <f>IFERROR(VLOOKUP(I1207,'Chart of accounts'!A:H,3,FALSE),"")</f>
        <v>Training Expenses</v>
      </c>
      <c r="L1207" s="434" t="str">
        <f>IFERROR(VLOOKUP(I1207,'Chart of accounts'!A:H,4,FALSE),"")</f>
        <v>50202010 00 - Training Expenses (753)</v>
      </c>
      <c r="M1207" s="438">
        <v>85</v>
      </c>
      <c r="N1207" s="439" t="s">
        <v>823</v>
      </c>
      <c r="O1207" s="439" t="s">
        <v>1139</v>
      </c>
      <c r="P1207" s="439"/>
      <c r="Q1207" s="50">
        <f>525004</f>
        <v>525004</v>
      </c>
      <c r="R1207" s="319">
        <f t="shared" si="46"/>
        <v>-525004</v>
      </c>
      <c r="S1207" s="239" t="str">
        <f>VLOOKUP(H1207,'Fund Utilization Report'!$A$4:$U$1800,13,FALSE)</f>
        <v>MOOE</v>
      </c>
      <c r="T1207" s="239" t="str">
        <f>VLOOKUP(H1207,'Fund Utilization Report'!$A$4:$U$1800,2,FALSE)</f>
        <v>GAA</v>
      </c>
      <c r="U1207" s="239" t="str">
        <f>VLOOKUP(H1207,'Fund Utilization Report'!$A$4:$U$1800,3,FALSE)</f>
        <v>FY2021, RA11518</v>
      </c>
      <c r="V1207" s="239" t="str">
        <f>VLOOKUP(H1207,'Fund Utilization Report'!$A$4:$U$1800,4,FALSE)</f>
        <v>LSP-PBG</v>
      </c>
      <c r="W1207" s="239" t="str">
        <f>VLOOKUP(H1207,'Fund Utilization Report'!$A$4:$U$1800,5,FALSE)</f>
        <v>01101101</v>
      </c>
      <c r="X1207" s="239" t="str">
        <f>VLOOKUP(H1207,'Fund Utilization Report'!$A$4:$U$1800,6,FALSE)</f>
        <v>GOP</v>
      </c>
      <c r="Y1207" s="440" t="str">
        <f>VLOOKUP(H1207,'Fund Utilization Report'!$A$4:$U$1800,7,FALSE)</f>
        <v>MOOE</v>
      </c>
      <c r="Z1207" s="441">
        <f>VLOOKUP(H1207,'Fund Utilization Report'!$A$4:$U$1800,8,FALSE)</f>
        <v>5020000000</v>
      </c>
      <c r="AA1207" s="239" t="str">
        <f>VLOOKUP(H1207,'Fund Utilization Report'!$A$4:$U$1800,14,FALSE)</f>
        <v>330100200004000</v>
      </c>
      <c r="AB1207" s="242" t="str">
        <f>VLOOKUP(H1207,'Fund Utilization Report'!$A$4:$U$1800,15,FALSE)</f>
        <v>MSME Development Program : Livelihood Seeding Program and Pangkabuhayan sa Pagbangon at Ginhawa</v>
      </c>
      <c r="AC1207" s="51"/>
      <c r="AD1207" s="435"/>
      <c r="AE1207" s="51"/>
      <c r="AF1207" s="51"/>
      <c r="AG1207" s="442"/>
      <c r="AH1207" s="442"/>
      <c r="AI1207" s="443"/>
    </row>
    <row r="1208" spans="1:35" s="32" customFormat="1" ht="27.6">
      <c r="A1208" s="434" t="s">
        <v>942</v>
      </c>
      <c r="B1208" s="457" t="s">
        <v>946</v>
      </c>
      <c r="C1208" s="233">
        <v>44271</v>
      </c>
      <c r="D1208" s="435" t="s">
        <v>1267</v>
      </c>
      <c r="E1208" s="436" t="s">
        <v>1424</v>
      </c>
      <c r="F1208" s="338">
        <v>0.4236111111111111</v>
      </c>
      <c r="G1208" s="338">
        <v>0.4284722222222222</v>
      </c>
      <c r="H1208" s="434" t="s">
        <v>985</v>
      </c>
      <c r="I1208" s="437">
        <v>773</v>
      </c>
      <c r="J1208" s="434" t="str">
        <f>IFERROR(VLOOKUP(I1208,'Chart of accounts'!A:H,2,FALSE),"")</f>
        <v>50205020 01</v>
      </c>
      <c r="K1208" s="434" t="str">
        <f>IFERROR(VLOOKUP(I1208,'Chart of accounts'!A:H,3,FALSE),"")</f>
        <v xml:space="preserve">Telephone Expenses - Mobile </v>
      </c>
      <c r="L1208" s="434" t="str">
        <f>IFERROR(VLOOKUP(I1208,'Chart of accounts'!A:H,4,FALSE),"")</f>
        <v>50205020 01 - Telephone Expenses - Mobile  (773)</v>
      </c>
      <c r="M1208" s="438">
        <v>85</v>
      </c>
      <c r="N1208" s="439" t="s">
        <v>823</v>
      </c>
      <c r="O1208" s="439" t="s">
        <v>1139</v>
      </c>
      <c r="P1208" s="439"/>
      <c r="Q1208" s="50">
        <f>19166</f>
        <v>19166</v>
      </c>
      <c r="R1208" s="319">
        <f t="shared" si="46"/>
        <v>-19166</v>
      </c>
      <c r="S1208" s="239" t="str">
        <f>VLOOKUP(H1208,'Fund Utilization Report'!$A$4:$U$1800,13,FALSE)</f>
        <v>MOOE</v>
      </c>
      <c r="T1208" s="239" t="str">
        <f>VLOOKUP(H1208,'Fund Utilization Report'!$A$4:$U$1800,2,FALSE)</f>
        <v>GAA</v>
      </c>
      <c r="U1208" s="239" t="str">
        <f>VLOOKUP(H1208,'Fund Utilization Report'!$A$4:$U$1800,3,FALSE)</f>
        <v>FY2021, RA11518</v>
      </c>
      <c r="V1208" s="239" t="str">
        <f>VLOOKUP(H1208,'Fund Utilization Report'!$A$4:$U$1800,4,FALSE)</f>
        <v>LSP-PBG</v>
      </c>
      <c r="W1208" s="239" t="str">
        <f>VLOOKUP(H1208,'Fund Utilization Report'!$A$4:$U$1800,5,FALSE)</f>
        <v>01101101</v>
      </c>
      <c r="X1208" s="239" t="str">
        <f>VLOOKUP(H1208,'Fund Utilization Report'!$A$4:$U$1800,6,FALSE)</f>
        <v>GOP</v>
      </c>
      <c r="Y1208" s="440" t="str">
        <f>VLOOKUP(H1208,'Fund Utilization Report'!$A$4:$U$1800,7,FALSE)</f>
        <v>MOOE</v>
      </c>
      <c r="Z1208" s="441">
        <f>VLOOKUP(H1208,'Fund Utilization Report'!$A$4:$U$1800,8,FALSE)</f>
        <v>5020000000</v>
      </c>
      <c r="AA1208" s="239" t="str">
        <f>VLOOKUP(H1208,'Fund Utilization Report'!$A$4:$U$1800,14,FALSE)</f>
        <v>330100200004000</v>
      </c>
      <c r="AB1208" s="242" t="str">
        <f>VLOOKUP(H1208,'Fund Utilization Report'!$A$4:$U$1800,15,FALSE)</f>
        <v>MSME Development Program : Livelihood Seeding Program and Pangkabuhayan sa Pagbangon at Ginhawa</v>
      </c>
      <c r="AC1208" s="51"/>
      <c r="AD1208" s="435"/>
      <c r="AE1208" s="51"/>
      <c r="AF1208" s="51"/>
      <c r="AG1208" s="442"/>
      <c r="AH1208" s="442"/>
      <c r="AI1208" s="443"/>
    </row>
    <row r="1209" spans="1:35" s="32" customFormat="1" ht="27.6">
      <c r="A1209" s="434" t="s">
        <v>942</v>
      </c>
      <c r="B1209" s="457" t="s">
        <v>946</v>
      </c>
      <c r="C1209" s="233">
        <v>44271</v>
      </c>
      <c r="D1209" s="435" t="s">
        <v>1267</v>
      </c>
      <c r="E1209" s="436" t="s">
        <v>1424</v>
      </c>
      <c r="F1209" s="338">
        <v>0.4236111111111111</v>
      </c>
      <c r="G1209" s="338">
        <v>0.4284722222222222</v>
      </c>
      <c r="H1209" s="434" t="s">
        <v>985</v>
      </c>
      <c r="I1209" s="437">
        <v>799</v>
      </c>
      <c r="J1209" s="434" t="str">
        <f>IFERROR(VLOOKUP(I1209,'Chart of accounts'!A:H,2,FALSE),"")</f>
        <v>50211990 00</v>
      </c>
      <c r="K1209" s="434" t="str">
        <f>IFERROR(VLOOKUP(I1209,'Chart of accounts'!A:H,3,FALSE),"")</f>
        <v>Other Professional Services</v>
      </c>
      <c r="L1209" s="434" t="str">
        <f>IFERROR(VLOOKUP(I1209,'Chart of accounts'!A:H,4,FALSE),"")</f>
        <v>50211990 00 - Other Professional Services (799)</v>
      </c>
      <c r="M1209" s="438">
        <v>85</v>
      </c>
      <c r="N1209" s="439" t="s">
        <v>823</v>
      </c>
      <c r="O1209" s="439" t="s">
        <v>1139</v>
      </c>
      <c r="P1209" s="439"/>
      <c r="Q1209" s="50">
        <f>38332</f>
        <v>38332</v>
      </c>
      <c r="R1209" s="319">
        <f t="shared" si="46"/>
        <v>-38332</v>
      </c>
      <c r="S1209" s="239" t="str">
        <f>VLOOKUP(H1209,'Fund Utilization Report'!$A$4:$U$1800,13,FALSE)</f>
        <v>MOOE</v>
      </c>
      <c r="T1209" s="239" t="str">
        <f>VLOOKUP(H1209,'Fund Utilization Report'!$A$4:$U$1800,2,FALSE)</f>
        <v>GAA</v>
      </c>
      <c r="U1209" s="239" t="str">
        <f>VLOOKUP(H1209,'Fund Utilization Report'!$A$4:$U$1800,3,FALSE)</f>
        <v>FY2021, RA11518</v>
      </c>
      <c r="V1209" s="239" t="str">
        <f>VLOOKUP(H1209,'Fund Utilization Report'!$A$4:$U$1800,4,FALSE)</f>
        <v>LSP-PBG</v>
      </c>
      <c r="W1209" s="239" t="str">
        <f>VLOOKUP(H1209,'Fund Utilization Report'!$A$4:$U$1800,5,FALSE)</f>
        <v>01101101</v>
      </c>
      <c r="X1209" s="239" t="str">
        <f>VLOOKUP(H1209,'Fund Utilization Report'!$A$4:$U$1800,6,FALSE)</f>
        <v>GOP</v>
      </c>
      <c r="Y1209" s="440" t="str">
        <f>VLOOKUP(H1209,'Fund Utilization Report'!$A$4:$U$1800,7,FALSE)</f>
        <v>MOOE</v>
      </c>
      <c r="Z1209" s="441">
        <f>VLOOKUP(H1209,'Fund Utilization Report'!$A$4:$U$1800,8,FALSE)</f>
        <v>5020000000</v>
      </c>
      <c r="AA1209" s="239" t="str">
        <f>VLOOKUP(H1209,'Fund Utilization Report'!$A$4:$U$1800,14,FALSE)</f>
        <v>330100200004000</v>
      </c>
      <c r="AB1209" s="242" t="str">
        <f>VLOOKUP(H1209,'Fund Utilization Report'!$A$4:$U$1800,15,FALSE)</f>
        <v>MSME Development Program : Livelihood Seeding Program and Pangkabuhayan sa Pagbangon at Ginhawa</v>
      </c>
      <c r="AC1209" s="51"/>
      <c r="AD1209" s="435"/>
      <c r="AE1209" s="51"/>
      <c r="AF1209" s="51"/>
      <c r="AG1209" s="442"/>
      <c r="AH1209" s="442"/>
      <c r="AI1209" s="443"/>
    </row>
    <row r="1210" spans="1:35" s="32" customFormat="1" ht="27.6">
      <c r="A1210" s="434" t="s">
        <v>942</v>
      </c>
      <c r="B1210" s="457" t="s">
        <v>946</v>
      </c>
      <c r="C1210" s="233">
        <v>44271</v>
      </c>
      <c r="D1210" s="435" t="s">
        <v>1267</v>
      </c>
      <c r="E1210" s="436" t="s">
        <v>1425</v>
      </c>
      <c r="F1210" s="338">
        <v>0.4284722222222222</v>
      </c>
      <c r="G1210" s="338">
        <v>0.42986111111111108</v>
      </c>
      <c r="H1210" s="434" t="s">
        <v>974</v>
      </c>
      <c r="I1210" s="437">
        <v>751</v>
      </c>
      <c r="J1210" s="434" t="str">
        <f>IFERROR(VLOOKUP(I1210,'Chart of accounts'!A:H,2,FALSE),"")</f>
        <v>50201010 00</v>
      </c>
      <c r="K1210" s="434" t="str">
        <f>IFERROR(VLOOKUP(I1210,'Chart of accounts'!A:H,3,FALSE),"")</f>
        <v>Traveling Expenses - Local</v>
      </c>
      <c r="L1210" s="434" t="str">
        <f>IFERROR(VLOOKUP(I1210,'Chart of accounts'!A:H,4,FALSE),"")</f>
        <v>50201010 00 - Traveling Expenses - Local (751)</v>
      </c>
      <c r="M1210" s="438">
        <v>2</v>
      </c>
      <c r="N1210" s="439" t="s">
        <v>818</v>
      </c>
      <c r="O1210" s="439" t="s">
        <v>1206</v>
      </c>
      <c r="P1210" s="439"/>
      <c r="Q1210" s="50">
        <f>20000</f>
        <v>20000</v>
      </c>
      <c r="R1210" s="319">
        <f t="shared" si="46"/>
        <v>-20000</v>
      </c>
      <c r="S1210" s="239" t="str">
        <f>VLOOKUP(H1210,'Fund Utilization Report'!$A$4:$U$1800,13,FALSE)</f>
        <v>MOOE</v>
      </c>
      <c r="T1210" s="239" t="str">
        <f>VLOOKUP(H1210,'Fund Utilization Report'!$A$4:$U$1800,2,FALSE)</f>
        <v>GAA</v>
      </c>
      <c r="U1210" s="239" t="str">
        <f>VLOOKUP(H1210,'Fund Utilization Report'!$A$4:$U$1800,3,FALSE)</f>
        <v>FY2021, RA11518</v>
      </c>
      <c r="V1210" s="239" t="str">
        <f>VLOOKUP(H1210,'Fund Utilization Report'!$A$4:$U$1800,4,FALSE)</f>
        <v>OO4.1(FTL)</v>
      </c>
      <c r="W1210" s="239" t="str">
        <f>VLOOKUP(H1210,'Fund Utilization Report'!$A$4:$U$1800,5,FALSE)</f>
        <v>01101101</v>
      </c>
      <c r="X1210" s="239" t="str">
        <f>VLOOKUP(H1210,'Fund Utilization Report'!$A$4:$U$1800,6,FALSE)</f>
        <v>GOP</v>
      </c>
      <c r="Y1210" s="440" t="str">
        <f>VLOOKUP(H1210,'Fund Utilization Report'!$A$4:$U$1800,7,FALSE)</f>
        <v>MOOE</v>
      </c>
      <c r="Z1210" s="441">
        <f>VLOOKUP(H1210,'Fund Utilization Report'!$A$4:$U$1800,8,FALSE)</f>
        <v>5020000000</v>
      </c>
      <c r="AA1210" s="239" t="str">
        <f>VLOOKUP(H1210,'Fund Utilization Report'!$A$4:$U$1800,14,FALSE)</f>
        <v>340100100002000</v>
      </c>
      <c r="AB1210" s="242" t="str">
        <f>VLOOKUP(H1210,'Fund Utilization Report'!$A$4:$U$1800,15,FALSE)</f>
        <v>Monitoring and Enforcement of FTL including consumer complaints handling</v>
      </c>
      <c r="AC1210" s="51"/>
      <c r="AD1210" s="435"/>
      <c r="AE1210" s="51"/>
      <c r="AF1210" s="51"/>
      <c r="AG1210" s="442"/>
      <c r="AH1210" s="442"/>
      <c r="AI1210" s="443"/>
    </row>
    <row r="1211" spans="1:35" s="32" customFormat="1" ht="27.6">
      <c r="A1211" s="434" t="s">
        <v>942</v>
      </c>
      <c r="B1211" s="457" t="s">
        <v>946</v>
      </c>
      <c r="C1211" s="233">
        <v>44271</v>
      </c>
      <c r="D1211" s="435" t="s">
        <v>1267</v>
      </c>
      <c r="E1211" s="436" t="s">
        <v>1425</v>
      </c>
      <c r="F1211" s="338">
        <v>0.4284722222222222</v>
      </c>
      <c r="G1211" s="338">
        <v>0.42986111111111108</v>
      </c>
      <c r="H1211" s="434" t="s">
        <v>974</v>
      </c>
      <c r="I1211" s="437">
        <v>783</v>
      </c>
      <c r="J1211" s="434" t="str">
        <f>IFERROR(VLOOKUP(I1211,'Chart of accounts'!A:H,2,FALSE),"")</f>
        <v>50299030 00</v>
      </c>
      <c r="K1211" s="434" t="str">
        <f>IFERROR(VLOOKUP(I1211,'Chart of accounts'!A:H,3,FALSE),"")</f>
        <v>Representation Expenses</v>
      </c>
      <c r="L1211" s="434" t="str">
        <f>IFERROR(VLOOKUP(I1211,'Chart of accounts'!A:H,4,FALSE),"")</f>
        <v>50299030 00 - Representation Expenses (783)</v>
      </c>
      <c r="M1211" s="438">
        <v>2</v>
      </c>
      <c r="N1211" s="439" t="s">
        <v>818</v>
      </c>
      <c r="O1211" s="439" t="s">
        <v>1206</v>
      </c>
      <c r="P1211" s="439"/>
      <c r="Q1211" s="50">
        <f>40000</f>
        <v>40000</v>
      </c>
      <c r="R1211" s="319">
        <f t="shared" si="46"/>
        <v>-40000</v>
      </c>
      <c r="S1211" s="239" t="str">
        <f>VLOOKUP(H1211,'Fund Utilization Report'!$A$4:$U$1800,13,FALSE)</f>
        <v>MOOE</v>
      </c>
      <c r="T1211" s="239" t="str">
        <f>VLOOKUP(H1211,'Fund Utilization Report'!$A$4:$U$1800,2,FALSE)</f>
        <v>GAA</v>
      </c>
      <c r="U1211" s="239" t="str">
        <f>VLOOKUP(H1211,'Fund Utilization Report'!$A$4:$U$1800,3,FALSE)</f>
        <v>FY2021, RA11518</v>
      </c>
      <c r="V1211" s="239" t="str">
        <f>VLOOKUP(H1211,'Fund Utilization Report'!$A$4:$U$1800,4,FALSE)</f>
        <v>OO4.1(FTL)</v>
      </c>
      <c r="W1211" s="239" t="str">
        <f>VLOOKUP(H1211,'Fund Utilization Report'!$A$4:$U$1800,5,FALSE)</f>
        <v>01101101</v>
      </c>
      <c r="X1211" s="239" t="str">
        <f>VLOOKUP(H1211,'Fund Utilization Report'!$A$4:$U$1800,6,FALSE)</f>
        <v>GOP</v>
      </c>
      <c r="Y1211" s="440" t="str">
        <f>VLOOKUP(H1211,'Fund Utilization Report'!$A$4:$U$1800,7,FALSE)</f>
        <v>MOOE</v>
      </c>
      <c r="Z1211" s="441">
        <f>VLOOKUP(H1211,'Fund Utilization Report'!$A$4:$U$1800,8,FALSE)</f>
        <v>5020000000</v>
      </c>
      <c r="AA1211" s="239" t="str">
        <f>VLOOKUP(H1211,'Fund Utilization Report'!$A$4:$U$1800,14,FALSE)</f>
        <v>340100100002000</v>
      </c>
      <c r="AB1211" s="242" t="str">
        <f>VLOOKUP(H1211,'Fund Utilization Report'!$A$4:$U$1800,15,FALSE)</f>
        <v>Monitoring and Enforcement of FTL including consumer complaints handling</v>
      </c>
      <c r="AC1211" s="51"/>
      <c r="AD1211" s="435"/>
      <c r="AE1211" s="51"/>
      <c r="AF1211" s="51"/>
      <c r="AG1211" s="442"/>
      <c r="AH1211" s="442"/>
      <c r="AI1211" s="443"/>
    </row>
    <row r="1212" spans="1:35" s="32" customFormat="1" ht="27.6">
      <c r="A1212" s="434" t="s">
        <v>942</v>
      </c>
      <c r="B1212" s="457" t="s">
        <v>946</v>
      </c>
      <c r="C1212" s="233">
        <v>44271</v>
      </c>
      <c r="D1212" s="435" t="s">
        <v>1267</v>
      </c>
      <c r="E1212" s="436" t="s">
        <v>1425</v>
      </c>
      <c r="F1212" s="338">
        <v>0.4284722222222222</v>
      </c>
      <c r="G1212" s="338">
        <v>0.42986111111111108</v>
      </c>
      <c r="H1212" s="434" t="s">
        <v>977</v>
      </c>
      <c r="I1212" s="437">
        <v>751</v>
      </c>
      <c r="J1212" s="434" t="str">
        <f>IFERROR(VLOOKUP(I1212,'Chart of accounts'!A:H,2,FALSE),"")</f>
        <v>50201010 00</v>
      </c>
      <c r="K1212" s="434" t="str">
        <f>IFERROR(VLOOKUP(I1212,'Chart of accounts'!A:H,3,FALSE),"")</f>
        <v>Traveling Expenses - Local</v>
      </c>
      <c r="L1212" s="434" t="str">
        <f>IFERROR(VLOOKUP(I1212,'Chart of accounts'!A:H,4,FALSE),"")</f>
        <v>50201010 00 - Traveling Expenses - Local (751)</v>
      </c>
      <c r="M1212" s="438">
        <v>2</v>
      </c>
      <c r="N1212" s="439" t="s">
        <v>818</v>
      </c>
      <c r="O1212" s="439" t="s">
        <v>1206</v>
      </c>
      <c r="P1212" s="439"/>
      <c r="Q1212" s="50">
        <f>20000</f>
        <v>20000</v>
      </c>
      <c r="R1212" s="319">
        <f t="shared" si="46"/>
        <v>-20000</v>
      </c>
      <c r="S1212" s="239" t="str">
        <f>VLOOKUP(H1212,'Fund Utilization Report'!$A$4:$U$1800,13,FALSE)</f>
        <v>MOOE</v>
      </c>
      <c r="T1212" s="239" t="str">
        <f>VLOOKUP(H1212,'Fund Utilization Report'!$A$4:$U$1800,2,FALSE)</f>
        <v>GAA</v>
      </c>
      <c r="U1212" s="239" t="str">
        <f>VLOOKUP(H1212,'Fund Utilization Report'!$A$4:$U$1800,3,FALSE)</f>
        <v>FY2021, RA11518</v>
      </c>
      <c r="V1212" s="239" t="str">
        <f>VLOOKUP(H1212,'Fund Utilization Report'!$A$4:$U$1800,4,FALSE)</f>
        <v>OO4.1(Acc)</v>
      </c>
      <c r="W1212" s="239" t="str">
        <f>VLOOKUP(H1212,'Fund Utilization Report'!$A$4:$U$1800,5,FALSE)</f>
        <v>01101101</v>
      </c>
      <c r="X1212" s="239" t="str">
        <f>VLOOKUP(H1212,'Fund Utilization Report'!$A$4:$U$1800,6,FALSE)</f>
        <v>GOP</v>
      </c>
      <c r="Y1212" s="440" t="str">
        <f>VLOOKUP(H1212,'Fund Utilization Report'!$A$4:$U$1800,7,FALSE)</f>
        <v>MOOE</v>
      </c>
      <c r="Z1212" s="441">
        <f>VLOOKUP(H1212,'Fund Utilization Report'!$A$4:$U$1800,8,FALSE)</f>
        <v>5020000000</v>
      </c>
      <c r="AA1212" s="239" t="str">
        <f>VLOOKUP(H1212,'Fund Utilization Report'!$A$4:$U$1800,14,FALSE)</f>
        <v>340100100003000</v>
      </c>
      <c r="AB1212" s="242" t="str">
        <f>VLOOKUP(H1212,'Fund Utilization Report'!$A$4:$U$1800,15,FALSE)</f>
        <v>Accreditation and Issuance of Business Licenses, Permits, registration and authorities</v>
      </c>
      <c r="AC1212" s="51"/>
      <c r="AD1212" s="435"/>
      <c r="AE1212" s="51"/>
      <c r="AF1212" s="51"/>
      <c r="AG1212" s="442"/>
      <c r="AH1212" s="442"/>
      <c r="AI1212" s="443"/>
    </row>
    <row r="1213" spans="1:35" s="32" customFormat="1" ht="27.6">
      <c r="A1213" s="434" t="s">
        <v>942</v>
      </c>
      <c r="B1213" s="457" t="s">
        <v>946</v>
      </c>
      <c r="C1213" s="233">
        <v>44271</v>
      </c>
      <c r="D1213" s="435" t="s">
        <v>1267</v>
      </c>
      <c r="E1213" s="436" t="s">
        <v>1425</v>
      </c>
      <c r="F1213" s="338">
        <v>0.4284722222222222</v>
      </c>
      <c r="G1213" s="338">
        <v>0.42986111111111108</v>
      </c>
      <c r="H1213" s="434" t="s">
        <v>977</v>
      </c>
      <c r="I1213" s="437">
        <v>783</v>
      </c>
      <c r="J1213" s="434" t="str">
        <f>IFERROR(VLOOKUP(I1213,'Chart of accounts'!A:H,2,FALSE),"")</f>
        <v>50299030 00</v>
      </c>
      <c r="K1213" s="434" t="str">
        <f>IFERROR(VLOOKUP(I1213,'Chart of accounts'!A:H,3,FALSE),"")</f>
        <v>Representation Expenses</v>
      </c>
      <c r="L1213" s="434" t="str">
        <f>IFERROR(VLOOKUP(I1213,'Chart of accounts'!A:H,4,FALSE),"")</f>
        <v>50299030 00 - Representation Expenses (783)</v>
      </c>
      <c r="M1213" s="438">
        <v>2</v>
      </c>
      <c r="N1213" s="439" t="s">
        <v>818</v>
      </c>
      <c r="O1213" s="439" t="s">
        <v>1206</v>
      </c>
      <c r="P1213" s="439"/>
      <c r="Q1213" s="50">
        <f>60000</f>
        <v>60000</v>
      </c>
      <c r="R1213" s="319">
        <f t="shared" si="46"/>
        <v>-60000</v>
      </c>
      <c r="S1213" s="239" t="str">
        <f>VLOOKUP(H1213,'Fund Utilization Report'!$A$4:$U$1800,13,FALSE)</f>
        <v>MOOE</v>
      </c>
      <c r="T1213" s="239" t="str">
        <f>VLOOKUP(H1213,'Fund Utilization Report'!$A$4:$U$1800,2,FALSE)</f>
        <v>GAA</v>
      </c>
      <c r="U1213" s="239" t="str">
        <f>VLOOKUP(H1213,'Fund Utilization Report'!$A$4:$U$1800,3,FALSE)</f>
        <v>FY2021, RA11518</v>
      </c>
      <c r="V1213" s="239" t="str">
        <f>VLOOKUP(H1213,'Fund Utilization Report'!$A$4:$U$1800,4,FALSE)</f>
        <v>OO4.1(Acc)</v>
      </c>
      <c r="W1213" s="239" t="str">
        <f>VLOOKUP(H1213,'Fund Utilization Report'!$A$4:$U$1800,5,FALSE)</f>
        <v>01101101</v>
      </c>
      <c r="X1213" s="239" t="str">
        <f>VLOOKUP(H1213,'Fund Utilization Report'!$A$4:$U$1800,6,FALSE)</f>
        <v>GOP</v>
      </c>
      <c r="Y1213" s="440" t="str">
        <f>VLOOKUP(H1213,'Fund Utilization Report'!$A$4:$U$1800,7,FALSE)</f>
        <v>MOOE</v>
      </c>
      <c r="Z1213" s="441">
        <f>VLOOKUP(H1213,'Fund Utilization Report'!$A$4:$U$1800,8,FALSE)</f>
        <v>5020000000</v>
      </c>
      <c r="AA1213" s="239" t="str">
        <f>VLOOKUP(H1213,'Fund Utilization Report'!$A$4:$U$1800,14,FALSE)</f>
        <v>340100100003000</v>
      </c>
      <c r="AB1213" s="242" t="str">
        <f>VLOOKUP(H1213,'Fund Utilization Report'!$A$4:$U$1800,15,FALSE)</f>
        <v>Accreditation and Issuance of Business Licenses, Permits, registration and authorities</v>
      </c>
      <c r="AC1213" s="51"/>
      <c r="AD1213" s="435"/>
      <c r="AE1213" s="51"/>
      <c r="AF1213" s="51"/>
      <c r="AG1213" s="442"/>
      <c r="AH1213" s="442"/>
      <c r="AI1213" s="443"/>
    </row>
    <row r="1214" spans="1:35" s="32" customFormat="1" ht="27.6">
      <c r="A1214" s="434" t="s">
        <v>942</v>
      </c>
      <c r="B1214" s="457" t="s">
        <v>946</v>
      </c>
      <c r="C1214" s="233">
        <v>44271</v>
      </c>
      <c r="D1214" s="435" t="s">
        <v>1267</v>
      </c>
      <c r="E1214" s="436" t="s">
        <v>1425</v>
      </c>
      <c r="F1214" s="338">
        <v>0.4284722222222222</v>
      </c>
      <c r="G1214" s="338">
        <v>0.42986111111111108</v>
      </c>
      <c r="H1214" s="434" t="s">
        <v>979</v>
      </c>
      <c r="I1214" s="437">
        <v>755</v>
      </c>
      <c r="J1214" s="434" t="str">
        <f>IFERROR(VLOOKUP(I1214,'Chart of accounts'!A:H,2,FALSE),"")</f>
        <v>50203010 00</v>
      </c>
      <c r="K1214" s="434" t="str">
        <f>IFERROR(VLOOKUP(I1214,'Chart of accounts'!A:H,3,FALSE),"")</f>
        <v>Office Supplies Expenses</v>
      </c>
      <c r="L1214" s="434" t="str">
        <f>IFERROR(VLOOKUP(I1214,'Chart of accounts'!A:H,4,FALSE),"")</f>
        <v>50203010 00 - Office Supplies Expenses (755)</v>
      </c>
      <c r="M1214" s="438">
        <v>2</v>
      </c>
      <c r="N1214" s="439" t="s">
        <v>818</v>
      </c>
      <c r="O1214" s="439" t="s">
        <v>1206</v>
      </c>
      <c r="P1214" s="439"/>
      <c r="Q1214" s="50">
        <f>20000</f>
        <v>20000</v>
      </c>
      <c r="R1214" s="319">
        <f t="shared" si="46"/>
        <v>-20000</v>
      </c>
      <c r="S1214" s="239" t="str">
        <f>VLOOKUP(H1214,'Fund Utilization Report'!$A$4:$U$1800,13,FALSE)</f>
        <v>MOOE</v>
      </c>
      <c r="T1214" s="239" t="str">
        <f>VLOOKUP(H1214,'Fund Utilization Report'!$A$4:$U$1800,2,FALSE)</f>
        <v>GAA</v>
      </c>
      <c r="U1214" s="239" t="str">
        <f>VLOOKUP(H1214,'Fund Utilization Report'!$A$4:$U$1800,3,FALSE)</f>
        <v>FY2021, RA11518</v>
      </c>
      <c r="V1214" s="239" t="str">
        <f>VLOOKUP(H1214,'Fund Utilization Report'!$A$4:$U$1800,4,FALSE)</f>
        <v>OO 4.2</v>
      </c>
      <c r="W1214" s="239" t="str">
        <f>VLOOKUP(H1214,'Fund Utilization Report'!$A$4:$U$1800,5,FALSE)</f>
        <v>01101101</v>
      </c>
      <c r="X1214" s="239" t="str">
        <f>VLOOKUP(H1214,'Fund Utilization Report'!$A$4:$U$1800,6,FALSE)</f>
        <v>GOP</v>
      </c>
      <c r="Y1214" s="440" t="str">
        <f>VLOOKUP(H1214,'Fund Utilization Report'!$A$4:$U$1800,7,FALSE)</f>
        <v>MOOE</v>
      </c>
      <c r="Z1214" s="441">
        <f>VLOOKUP(H1214,'Fund Utilization Report'!$A$4:$U$1800,8,FALSE)</f>
        <v>5020000000</v>
      </c>
      <c r="AA1214" s="239" t="str">
        <f>VLOOKUP(H1214,'Fund Utilization Report'!$A$4:$U$1800,14,FALSE)</f>
        <v>340200100002000</v>
      </c>
      <c r="AB1214" s="242" t="str">
        <f>VLOOKUP(H1214,'Fund Utilization Report'!$A$4:$U$1800,15,FALSE)</f>
        <v>Implementation of Plans, projects and activities on consumer awareness, education, and advocacy</v>
      </c>
      <c r="AC1214" s="51"/>
      <c r="AD1214" s="435"/>
      <c r="AE1214" s="51"/>
      <c r="AF1214" s="51"/>
      <c r="AG1214" s="442"/>
      <c r="AH1214" s="442"/>
      <c r="AI1214" s="443"/>
    </row>
    <row r="1215" spans="1:35" s="32" customFormat="1" ht="27.6">
      <c r="A1215" s="434" t="s">
        <v>942</v>
      </c>
      <c r="B1215" s="457" t="s">
        <v>946</v>
      </c>
      <c r="C1215" s="233">
        <v>44271</v>
      </c>
      <c r="D1215" s="435" t="s">
        <v>1267</v>
      </c>
      <c r="E1215" s="436" t="s">
        <v>1426</v>
      </c>
      <c r="F1215" s="338">
        <v>0.42986111111111108</v>
      </c>
      <c r="G1215" s="338">
        <v>0.43194444444444446</v>
      </c>
      <c r="H1215" s="434" t="s">
        <v>986</v>
      </c>
      <c r="I1215" s="437">
        <v>751</v>
      </c>
      <c r="J1215" s="434" t="str">
        <f>IFERROR(VLOOKUP(I1215,'Chart of accounts'!A:H,2,FALSE),"")</f>
        <v>50201010 00</v>
      </c>
      <c r="K1215" s="434" t="str">
        <f>IFERROR(VLOOKUP(I1215,'Chart of accounts'!A:H,3,FALSE),"")</f>
        <v>Traveling Expenses - Local</v>
      </c>
      <c r="L1215" s="434" t="str">
        <f>IFERROR(VLOOKUP(I1215,'Chart of accounts'!A:H,4,FALSE),"")</f>
        <v>50201010 00 - Traveling Expenses - Local (751)</v>
      </c>
      <c r="M1215" s="438">
        <v>2</v>
      </c>
      <c r="N1215" s="439" t="s">
        <v>818</v>
      </c>
      <c r="O1215" s="439" t="s">
        <v>1150</v>
      </c>
      <c r="P1215" s="439"/>
      <c r="Q1215" s="50">
        <f>16700</f>
        <v>16700</v>
      </c>
      <c r="R1215" s="319">
        <f t="shared" si="46"/>
        <v>-16700</v>
      </c>
      <c r="S1215" s="239" t="str">
        <f>VLOOKUP(H1215,'Fund Utilization Report'!$A$4:$U$1800,13,FALSE)</f>
        <v>MOOE</v>
      </c>
      <c r="T1215" s="239" t="str">
        <f>VLOOKUP(H1215,'Fund Utilization Report'!$A$4:$U$1800,2,FALSE)</f>
        <v>SAA37</v>
      </c>
      <c r="U1215" s="239" t="str">
        <f>VLOOKUP(H1215,'Fund Utilization Report'!$A$4:$U$1800,3,FALSE)</f>
        <v>2021-01-0037</v>
      </c>
      <c r="V1215" s="239" t="str">
        <f>VLOOKUP(H1215,'Fund Utilization Report'!$A$4:$U$1800,4,FALSE)</f>
        <v>CARP</v>
      </c>
      <c r="W1215" s="239" t="str">
        <f>VLOOKUP(H1215,'Fund Utilization Report'!$A$4:$U$1800,5,FALSE)</f>
        <v>01101101</v>
      </c>
      <c r="X1215" s="239" t="str">
        <f>VLOOKUP(H1215,'Fund Utilization Report'!$A$4:$U$1800,6,FALSE)</f>
        <v>GOP</v>
      </c>
      <c r="Y1215" s="440">
        <f>VLOOKUP(H1215,'Fund Utilization Report'!$A$4:$U$1800,7,FALSE)</f>
        <v>751</v>
      </c>
      <c r="Z1215" s="441" t="str">
        <f>VLOOKUP(H1215,'Fund Utilization Report'!$A$4:$U$1800,8,FALSE)</f>
        <v>50201010 00</v>
      </c>
      <c r="AA1215" s="239" t="str">
        <f>VLOOKUP(H1215,'Fund Utilization Report'!$A$4:$U$1800,14,FALSE)</f>
        <v>330100100003000</v>
      </c>
      <c r="AB1215" s="242" t="str">
        <f>VLOOKUP(H1215,'Fund Utilization Report'!$A$4:$U$1800,15,FALSE)</f>
        <v>MSME Development Program : Program Beneficiaries Development Component of the Comprehensive Agrarian Reform Program</v>
      </c>
      <c r="AC1215" s="51"/>
      <c r="AD1215" s="435"/>
      <c r="AE1215" s="51"/>
      <c r="AF1215" s="51"/>
      <c r="AG1215" s="442"/>
      <c r="AH1215" s="442"/>
      <c r="AI1215" s="443"/>
    </row>
    <row r="1216" spans="1:35" s="32" customFormat="1" ht="27.6">
      <c r="A1216" s="434" t="s">
        <v>942</v>
      </c>
      <c r="B1216" s="457" t="s">
        <v>946</v>
      </c>
      <c r="C1216" s="233">
        <v>44271</v>
      </c>
      <c r="D1216" s="435" t="s">
        <v>1267</v>
      </c>
      <c r="E1216" s="436" t="s">
        <v>1426</v>
      </c>
      <c r="F1216" s="338">
        <v>0.42986111111111108</v>
      </c>
      <c r="G1216" s="338">
        <v>0.43194444444444446</v>
      </c>
      <c r="H1216" s="434" t="s">
        <v>987</v>
      </c>
      <c r="I1216" s="437">
        <v>753</v>
      </c>
      <c r="J1216" s="434" t="str">
        <f>IFERROR(VLOOKUP(I1216,'Chart of accounts'!A:H,2,FALSE),"")</f>
        <v>50202010 00</v>
      </c>
      <c r="K1216" s="434" t="str">
        <f>IFERROR(VLOOKUP(I1216,'Chart of accounts'!A:H,3,FALSE),"")</f>
        <v>Training Expenses</v>
      </c>
      <c r="L1216" s="434" t="str">
        <f>IFERROR(VLOOKUP(I1216,'Chart of accounts'!A:H,4,FALSE),"")</f>
        <v>50202010 00 - Training Expenses (753)</v>
      </c>
      <c r="M1216" s="438">
        <v>2</v>
      </c>
      <c r="N1216" s="439" t="s">
        <v>818</v>
      </c>
      <c r="O1216" s="439" t="s">
        <v>1150</v>
      </c>
      <c r="P1216" s="439"/>
      <c r="Q1216" s="50">
        <f>73434</f>
        <v>73434</v>
      </c>
      <c r="R1216" s="319">
        <f t="shared" si="46"/>
        <v>-73434</v>
      </c>
      <c r="S1216" s="239" t="str">
        <f>VLOOKUP(H1216,'Fund Utilization Report'!$A$4:$U$1800,13,FALSE)</f>
        <v>MOOE</v>
      </c>
      <c r="T1216" s="239" t="str">
        <f>VLOOKUP(H1216,'Fund Utilization Report'!$A$4:$U$1800,2,FALSE)</f>
        <v>SAA37</v>
      </c>
      <c r="U1216" s="239" t="str">
        <f>VLOOKUP(H1216,'Fund Utilization Report'!$A$4:$U$1800,3,FALSE)</f>
        <v>2021-01-0037</v>
      </c>
      <c r="V1216" s="239" t="str">
        <f>VLOOKUP(H1216,'Fund Utilization Report'!$A$4:$U$1800,4,FALSE)</f>
        <v>CARP</v>
      </c>
      <c r="W1216" s="239" t="str">
        <f>VLOOKUP(H1216,'Fund Utilization Report'!$A$4:$U$1800,5,FALSE)</f>
        <v>01101101</v>
      </c>
      <c r="X1216" s="239" t="str">
        <f>VLOOKUP(H1216,'Fund Utilization Report'!$A$4:$U$1800,6,FALSE)</f>
        <v>GOP</v>
      </c>
      <c r="Y1216" s="440">
        <f>VLOOKUP(H1216,'Fund Utilization Report'!$A$4:$U$1800,7,FALSE)</f>
        <v>753</v>
      </c>
      <c r="Z1216" s="441" t="str">
        <f>VLOOKUP(H1216,'Fund Utilization Report'!$A$4:$U$1800,8,FALSE)</f>
        <v>50202010 00</v>
      </c>
      <c r="AA1216" s="239" t="str">
        <f>VLOOKUP(H1216,'Fund Utilization Report'!$A$4:$U$1800,14,FALSE)</f>
        <v>330100100003000</v>
      </c>
      <c r="AB1216" s="242" t="str">
        <f>VLOOKUP(H1216,'Fund Utilization Report'!$A$4:$U$1800,15,FALSE)</f>
        <v>MSME Development Program : Program Beneficiaries Development Component of the Comprehensive Agrarian Reform Program</v>
      </c>
      <c r="AC1216" s="51"/>
      <c r="AD1216" s="435"/>
      <c r="AE1216" s="51"/>
      <c r="AF1216" s="51"/>
      <c r="AG1216" s="442"/>
      <c r="AH1216" s="442"/>
      <c r="AI1216" s="443"/>
    </row>
    <row r="1217" spans="1:35" s="32" customFormat="1" ht="27.6">
      <c r="A1217" s="434" t="s">
        <v>942</v>
      </c>
      <c r="B1217" s="457" t="s">
        <v>946</v>
      </c>
      <c r="C1217" s="233">
        <v>44271</v>
      </c>
      <c r="D1217" s="435" t="s">
        <v>1267</v>
      </c>
      <c r="E1217" s="436" t="s">
        <v>1426</v>
      </c>
      <c r="F1217" s="338">
        <v>0.42986111111111108</v>
      </c>
      <c r="G1217" s="338">
        <v>0.43194444444444446</v>
      </c>
      <c r="H1217" s="434" t="s">
        <v>988</v>
      </c>
      <c r="I1217" s="437">
        <v>755</v>
      </c>
      <c r="J1217" s="434" t="str">
        <f>IFERROR(VLOOKUP(I1217,'Chart of accounts'!A:H,2,FALSE),"")</f>
        <v>50203010 00</v>
      </c>
      <c r="K1217" s="434" t="str">
        <f>IFERROR(VLOOKUP(I1217,'Chart of accounts'!A:H,3,FALSE),"")</f>
        <v>Office Supplies Expenses</v>
      </c>
      <c r="L1217" s="434" t="str">
        <f>IFERROR(VLOOKUP(I1217,'Chart of accounts'!A:H,4,FALSE),"")</f>
        <v>50203010 00 - Office Supplies Expenses (755)</v>
      </c>
      <c r="M1217" s="438">
        <v>2</v>
      </c>
      <c r="N1217" s="439" t="s">
        <v>818</v>
      </c>
      <c r="O1217" s="439" t="s">
        <v>1150</v>
      </c>
      <c r="P1217" s="439"/>
      <c r="Q1217" s="50">
        <f>2500</f>
        <v>2500</v>
      </c>
      <c r="R1217" s="319">
        <f t="shared" si="46"/>
        <v>-2500</v>
      </c>
      <c r="S1217" s="239" t="str">
        <f>VLOOKUP(H1217,'Fund Utilization Report'!$A$4:$U$1800,13,FALSE)</f>
        <v>MOOE</v>
      </c>
      <c r="T1217" s="239" t="str">
        <f>VLOOKUP(H1217,'Fund Utilization Report'!$A$4:$U$1800,2,FALSE)</f>
        <v>SAA37</v>
      </c>
      <c r="U1217" s="239" t="str">
        <f>VLOOKUP(H1217,'Fund Utilization Report'!$A$4:$U$1800,3,FALSE)</f>
        <v>2021-01-0037</v>
      </c>
      <c r="V1217" s="239" t="str">
        <f>VLOOKUP(H1217,'Fund Utilization Report'!$A$4:$U$1800,4,FALSE)</f>
        <v>CARP</v>
      </c>
      <c r="W1217" s="239" t="str">
        <f>VLOOKUP(H1217,'Fund Utilization Report'!$A$4:$U$1800,5,FALSE)</f>
        <v>01101101</v>
      </c>
      <c r="X1217" s="239" t="str">
        <f>VLOOKUP(H1217,'Fund Utilization Report'!$A$4:$U$1800,6,FALSE)</f>
        <v>GOP</v>
      </c>
      <c r="Y1217" s="440">
        <f>VLOOKUP(H1217,'Fund Utilization Report'!$A$4:$U$1800,7,FALSE)</f>
        <v>755</v>
      </c>
      <c r="Z1217" s="441" t="str">
        <f>VLOOKUP(H1217,'Fund Utilization Report'!$A$4:$U$1800,8,FALSE)</f>
        <v>50203010 00</v>
      </c>
      <c r="AA1217" s="239" t="str">
        <f>VLOOKUP(H1217,'Fund Utilization Report'!$A$4:$U$1800,14,FALSE)</f>
        <v>330100100003000</v>
      </c>
      <c r="AB1217" s="242" t="str">
        <f>VLOOKUP(H1217,'Fund Utilization Report'!$A$4:$U$1800,15,FALSE)</f>
        <v>MSME Development Program : Program Beneficiaries Development Component of the Comprehensive Agrarian Reform Program</v>
      </c>
      <c r="AC1217" s="51"/>
      <c r="AD1217" s="435"/>
      <c r="AE1217" s="51"/>
      <c r="AF1217" s="51"/>
      <c r="AG1217" s="442"/>
      <c r="AH1217" s="442"/>
      <c r="AI1217" s="443"/>
    </row>
    <row r="1218" spans="1:35" s="32" customFormat="1" ht="27.6">
      <c r="A1218" s="434" t="s">
        <v>942</v>
      </c>
      <c r="B1218" s="457" t="s">
        <v>946</v>
      </c>
      <c r="C1218" s="233">
        <v>44271</v>
      </c>
      <c r="D1218" s="435" t="s">
        <v>1267</v>
      </c>
      <c r="E1218" s="436" t="s">
        <v>1426</v>
      </c>
      <c r="F1218" s="338">
        <v>0.42986111111111108</v>
      </c>
      <c r="G1218" s="338">
        <v>0.43194444444444446</v>
      </c>
      <c r="H1218" s="434" t="s">
        <v>991</v>
      </c>
      <c r="I1218" s="437">
        <v>773</v>
      </c>
      <c r="J1218" s="434" t="str">
        <f>IFERROR(VLOOKUP(I1218,'Chart of accounts'!A:H,2,FALSE),"")</f>
        <v>50205020 01</v>
      </c>
      <c r="K1218" s="434" t="str">
        <f>IFERROR(VLOOKUP(I1218,'Chart of accounts'!A:H,3,FALSE),"")</f>
        <v xml:space="preserve">Telephone Expenses - Mobile </v>
      </c>
      <c r="L1218" s="434" t="str">
        <f>IFERROR(VLOOKUP(I1218,'Chart of accounts'!A:H,4,FALSE),"")</f>
        <v>50205020 01 - Telephone Expenses - Mobile  (773)</v>
      </c>
      <c r="M1218" s="438">
        <v>2</v>
      </c>
      <c r="N1218" s="439" t="s">
        <v>818</v>
      </c>
      <c r="O1218" s="439" t="s">
        <v>1150</v>
      </c>
      <c r="P1218" s="439"/>
      <c r="Q1218" s="50">
        <f>1500</f>
        <v>1500</v>
      </c>
      <c r="R1218" s="319">
        <f t="shared" si="46"/>
        <v>-1500</v>
      </c>
      <c r="S1218" s="239" t="str">
        <f>VLOOKUP(H1218,'Fund Utilization Report'!$A$4:$U$1800,13,FALSE)</f>
        <v>MOOE</v>
      </c>
      <c r="T1218" s="239" t="str">
        <f>VLOOKUP(H1218,'Fund Utilization Report'!$A$4:$U$1800,2,FALSE)</f>
        <v>SAA37</v>
      </c>
      <c r="U1218" s="239" t="str">
        <f>VLOOKUP(H1218,'Fund Utilization Report'!$A$4:$U$1800,3,FALSE)</f>
        <v>2021-01-0037</v>
      </c>
      <c r="V1218" s="239" t="str">
        <f>VLOOKUP(H1218,'Fund Utilization Report'!$A$4:$U$1800,4,FALSE)</f>
        <v>CARP</v>
      </c>
      <c r="W1218" s="239" t="str">
        <f>VLOOKUP(H1218,'Fund Utilization Report'!$A$4:$U$1800,5,FALSE)</f>
        <v>01101101</v>
      </c>
      <c r="X1218" s="239" t="str">
        <f>VLOOKUP(H1218,'Fund Utilization Report'!$A$4:$U$1800,6,FALSE)</f>
        <v>GOP</v>
      </c>
      <c r="Y1218" s="440">
        <f>VLOOKUP(H1218,'Fund Utilization Report'!$A$4:$U$1800,7,FALSE)</f>
        <v>773</v>
      </c>
      <c r="Z1218" s="441" t="str">
        <f>VLOOKUP(H1218,'Fund Utilization Report'!$A$4:$U$1800,8,FALSE)</f>
        <v>50205020 01</v>
      </c>
      <c r="AA1218" s="239" t="str">
        <f>VLOOKUP(H1218,'Fund Utilization Report'!$A$4:$U$1800,14,FALSE)</f>
        <v>330100100003000</v>
      </c>
      <c r="AB1218" s="242" t="str">
        <f>VLOOKUP(H1218,'Fund Utilization Report'!$A$4:$U$1800,15,FALSE)</f>
        <v>MSME Development Program : Program Beneficiaries Development Component of the Comprehensive Agrarian Reform Program</v>
      </c>
      <c r="AC1218" s="51"/>
      <c r="AD1218" s="435"/>
      <c r="AE1218" s="51"/>
      <c r="AF1218" s="51"/>
      <c r="AG1218" s="442"/>
      <c r="AH1218" s="442"/>
      <c r="AI1218" s="443"/>
    </row>
    <row r="1219" spans="1:35" s="32" customFormat="1" ht="27.6">
      <c r="A1219" s="434" t="s">
        <v>942</v>
      </c>
      <c r="B1219" s="457" t="s">
        <v>946</v>
      </c>
      <c r="C1219" s="233">
        <v>44271</v>
      </c>
      <c r="D1219" s="435" t="s">
        <v>1267</v>
      </c>
      <c r="E1219" s="436" t="s">
        <v>1426</v>
      </c>
      <c r="F1219" s="338">
        <v>0.42986111111111108</v>
      </c>
      <c r="G1219" s="338">
        <v>0.43194444444444446</v>
      </c>
      <c r="H1219" s="434" t="s">
        <v>993</v>
      </c>
      <c r="I1219" s="437">
        <v>799</v>
      </c>
      <c r="J1219" s="434" t="str">
        <f>IFERROR(VLOOKUP(I1219,'Chart of accounts'!A:H,2,FALSE),"")</f>
        <v>50211990 00</v>
      </c>
      <c r="K1219" s="434" t="str">
        <f>IFERROR(VLOOKUP(I1219,'Chart of accounts'!A:H,3,FALSE),"")</f>
        <v>Other Professional Services</v>
      </c>
      <c r="L1219" s="434" t="str">
        <f>IFERROR(VLOOKUP(I1219,'Chart of accounts'!A:H,4,FALSE),"")</f>
        <v>50211990 00 - Other Professional Services (799)</v>
      </c>
      <c r="M1219" s="438">
        <v>2</v>
      </c>
      <c r="N1219" s="439" t="s">
        <v>818</v>
      </c>
      <c r="O1219" s="439" t="s">
        <v>1150</v>
      </c>
      <c r="P1219" s="439"/>
      <c r="Q1219" s="50">
        <f>24500</f>
        <v>24500</v>
      </c>
      <c r="R1219" s="319">
        <f t="shared" si="46"/>
        <v>-24500</v>
      </c>
      <c r="S1219" s="239" t="str">
        <f>VLOOKUP(H1219,'Fund Utilization Report'!$A$4:$U$1800,13,FALSE)</f>
        <v>MOOE</v>
      </c>
      <c r="T1219" s="239" t="str">
        <f>VLOOKUP(H1219,'Fund Utilization Report'!$A$4:$U$1800,2,FALSE)</f>
        <v>SAA37</v>
      </c>
      <c r="U1219" s="239" t="str">
        <f>VLOOKUP(H1219,'Fund Utilization Report'!$A$4:$U$1800,3,FALSE)</f>
        <v>2021-01-0037</v>
      </c>
      <c r="V1219" s="239" t="str">
        <f>VLOOKUP(H1219,'Fund Utilization Report'!$A$4:$U$1800,4,FALSE)</f>
        <v>CARP</v>
      </c>
      <c r="W1219" s="239" t="str">
        <f>VLOOKUP(H1219,'Fund Utilization Report'!$A$4:$U$1800,5,FALSE)</f>
        <v>01101101</v>
      </c>
      <c r="X1219" s="239" t="str">
        <f>VLOOKUP(H1219,'Fund Utilization Report'!$A$4:$U$1800,6,FALSE)</f>
        <v>GOP</v>
      </c>
      <c r="Y1219" s="440">
        <f>VLOOKUP(H1219,'Fund Utilization Report'!$A$4:$U$1800,7,FALSE)</f>
        <v>799</v>
      </c>
      <c r="Z1219" s="441" t="str">
        <f>VLOOKUP(H1219,'Fund Utilization Report'!$A$4:$U$1800,8,FALSE)</f>
        <v>50211990 00</v>
      </c>
      <c r="AA1219" s="239" t="str">
        <f>VLOOKUP(H1219,'Fund Utilization Report'!$A$4:$U$1800,14,FALSE)</f>
        <v>330100100003000</v>
      </c>
      <c r="AB1219" s="242" t="str">
        <f>VLOOKUP(H1219,'Fund Utilization Report'!$A$4:$U$1800,15,FALSE)</f>
        <v>MSME Development Program : Program Beneficiaries Development Component of the Comprehensive Agrarian Reform Program</v>
      </c>
      <c r="AC1219" s="51"/>
      <c r="AD1219" s="435"/>
      <c r="AE1219" s="51"/>
      <c r="AF1219" s="51"/>
      <c r="AG1219" s="442"/>
      <c r="AH1219" s="442"/>
      <c r="AI1219" s="443"/>
    </row>
    <row r="1220" spans="1:35" s="32" customFormat="1" ht="27.6">
      <c r="A1220" s="434" t="s">
        <v>942</v>
      </c>
      <c r="B1220" s="457" t="s">
        <v>946</v>
      </c>
      <c r="C1220" s="233">
        <v>44271</v>
      </c>
      <c r="D1220" s="435" t="s">
        <v>1267</v>
      </c>
      <c r="E1220" s="436" t="s">
        <v>1426</v>
      </c>
      <c r="F1220" s="338">
        <v>0.42986111111111108</v>
      </c>
      <c r="G1220" s="338">
        <v>0.43194444444444446</v>
      </c>
      <c r="H1220" s="434" t="s">
        <v>994</v>
      </c>
      <c r="I1220" s="437">
        <v>795</v>
      </c>
      <c r="J1220" s="434" t="str">
        <f>IFERROR(VLOOKUP(I1220,'Chart of accounts'!A:H,2,FALSE),"")</f>
        <v>50212990 00</v>
      </c>
      <c r="K1220" s="434" t="str">
        <f>IFERROR(VLOOKUP(I1220,'Chart of accounts'!A:H,3,FALSE),"")</f>
        <v>Other General Services</v>
      </c>
      <c r="L1220" s="434" t="str">
        <f>IFERROR(VLOOKUP(I1220,'Chart of accounts'!A:H,4,FALSE),"")</f>
        <v>50212990 00 - Other General Services (795)</v>
      </c>
      <c r="M1220" s="438">
        <v>2</v>
      </c>
      <c r="N1220" s="439" t="s">
        <v>818</v>
      </c>
      <c r="O1220" s="439" t="s">
        <v>1150</v>
      </c>
      <c r="P1220" s="439"/>
      <c r="Q1220" s="50">
        <f>1000</f>
        <v>1000</v>
      </c>
      <c r="R1220" s="319">
        <f t="shared" si="46"/>
        <v>-1000</v>
      </c>
      <c r="S1220" s="239" t="str">
        <f>VLOOKUP(H1220,'Fund Utilization Report'!$A$4:$U$1800,13,FALSE)</f>
        <v>MOOE</v>
      </c>
      <c r="T1220" s="239" t="str">
        <f>VLOOKUP(H1220,'Fund Utilization Report'!$A$4:$U$1800,2,FALSE)</f>
        <v>SAA37</v>
      </c>
      <c r="U1220" s="239" t="str">
        <f>VLOOKUP(H1220,'Fund Utilization Report'!$A$4:$U$1800,3,FALSE)</f>
        <v>2021-01-0037</v>
      </c>
      <c r="V1220" s="239" t="str">
        <f>VLOOKUP(H1220,'Fund Utilization Report'!$A$4:$U$1800,4,FALSE)</f>
        <v>CARP</v>
      </c>
      <c r="W1220" s="239" t="str">
        <f>VLOOKUP(H1220,'Fund Utilization Report'!$A$4:$U$1800,5,FALSE)</f>
        <v>01101101</v>
      </c>
      <c r="X1220" s="239" t="str">
        <f>VLOOKUP(H1220,'Fund Utilization Report'!$A$4:$U$1800,6,FALSE)</f>
        <v>GOP</v>
      </c>
      <c r="Y1220" s="440">
        <f>VLOOKUP(H1220,'Fund Utilization Report'!$A$4:$U$1800,7,FALSE)</f>
        <v>795</v>
      </c>
      <c r="Z1220" s="441" t="str">
        <f>VLOOKUP(H1220,'Fund Utilization Report'!$A$4:$U$1800,8,FALSE)</f>
        <v>50212990 00</v>
      </c>
      <c r="AA1220" s="239" t="str">
        <f>VLOOKUP(H1220,'Fund Utilization Report'!$A$4:$U$1800,14,FALSE)</f>
        <v>330100100003000</v>
      </c>
      <c r="AB1220" s="242" t="str">
        <f>VLOOKUP(H1220,'Fund Utilization Report'!$A$4:$U$1800,15,FALSE)</f>
        <v>MSME Development Program : Program Beneficiaries Development Component of the Comprehensive Agrarian Reform Program</v>
      </c>
      <c r="AC1220" s="51"/>
      <c r="AD1220" s="435"/>
      <c r="AE1220" s="51"/>
      <c r="AF1220" s="51"/>
      <c r="AG1220" s="442"/>
      <c r="AH1220" s="442"/>
      <c r="AI1220" s="443"/>
    </row>
    <row r="1221" spans="1:35" s="32" customFormat="1">
      <c r="A1221" s="434" t="s">
        <v>942</v>
      </c>
      <c r="B1221" s="457" t="s">
        <v>946</v>
      </c>
      <c r="C1221" s="233">
        <v>44271</v>
      </c>
      <c r="D1221" s="435" t="s">
        <v>1267</v>
      </c>
      <c r="E1221" s="436" t="s">
        <v>1427</v>
      </c>
      <c r="F1221" s="338">
        <v>0.43194444444444446</v>
      </c>
      <c r="G1221" s="338">
        <v>0.43958333333333338</v>
      </c>
      <c r="H1221" s="434" t="s">
        <v>983</v>
      </c>
      <c r="I1221" s="437">
        <v>751</v>
      </c>
      <c r="J1221" s="434" t="str">
        <f>IFERROR(VLOOKUP(I1221,'Chart of accounts'!A:H,2,FALSE),"")</f>
        <v>50201010 00</v>
      </c>
      <c r="K1221" s="434" t="str">
        <f>IFERROR(VLOOKUP(I1221,'Chart of accounts'!A:H,3,FALSE),"")</f>
        <v>Traveling Expenses - Local</v>
      </c>
      <c r="L1221" s="434" t="str">
        <f>IFERROR(VLOOKUP(I1221,'Chart of accounts'!A:H,4,FALSE),"")</f>
        <v>50201010 00 - Traveling Expenses - Local (751)</v>
      </c>
      <c r="M1221" s="467" t="s">
        <v>5</v>
      </c>
      <c r="N1221" s="439" t="s">
        <v>820</v>
      </c>
      <c r="O1221" s="439" t="s">
        <v>1145</v>
      </c>
      <c r="P1221" s="439"/>
      <c r="Q1221" s="50">
        <v>5000</v>
      </c>
      <c r="R1221" s="319">
        <f t="shared" si="46"/>
        <v>-5000</v>
      </c>
      <c r="S1221" s="239" t="str">
        <f>VLOOKUP(H1221,'Fund Utilization Report'!$A$4:$U$1800,13,FALSE)</f>
        <v>MOOE</v>
      </c>
      <c r="T1221" s="239" t="str">
        <f>VLOOKUP(H1221,'Fund Utilization Report'!$A$4:$U$1800,2,FALSE)</f>
        <v>GAA</v>
      </c>
      <c r="U1221" s="239" t="str">
        <f>VLOOKUP(H1221,'Fund Utilization Report'!$A$4:$U$1800,3,FALSE)</f>
        <v>FY2021, RA11518</v>
      </c>
      <c r="V1221" s="239" t="str">
        <f>VLOOKUP(H1221,'Fund Utilization Report'!$A$4:$U$1800,4,FALSE)</f>
        <v>SSF</v>
      </c>
      <c r="W1221" s="239" t="str">
        <f>VLOOKUP(H1221,'Fund Utilization Report'!$A$4:$U$1800,5,FALSE)</f>
        <v>01101101</v>
      </c>
      <c r="X1221" s="239" t="str">
        <f>VLOOKUP(H1221,'Fund Utilization Report'!$A$4:$U$1800,6,FALSE)</f>
        <v>GOP</v>
      </c>
      <c r="Y1221" s="440" t="str">
        <f>VLOOKUP(H1221,'Fund Utilization Report'!$A$4:$U$1800,7,FALSE)</f>
        <v>MOOE</v>
      </c>
      <c r="Z1221" s="441">
        <f>VLOOKUP(H1221,'Fund Utilization Report'!$A$4:$U$1800,8,FALSE)</f>
        <v>5020000000</v>
      </c>
      <c r="AA1221" s="239" t="str">
        <f>VLOOKUP(H1221,'Fund Utilization Report'!$A$4:$U$1800,14,FALSE)</f>
        <v>330100200003000</v>
      </c>
      <c r="AB1221" s="242" t="str">
        <f>VLOOKUP(H1221,'Fund Utilization Report'!$A$4:$U$1800,15,FALSE)</f>
        <v>Shared Service Facilities Project</v>
      </c>
      <c r="AC1221" s="51"/>
      <c r="AD1221" s="435"/>
      <c r="AE1221" s="51"/>
      <c r="AF1221" s="51"/>
      <c r="AG1221" s="442"/>
      <c r="AH1221" s="442"/>
      <c r="AI1221" s="443"/>
    </row>
    <row r="1222" spans="1:35" s="32" customFormat="1">
      <c r="A1222" s="434" t="s">
        <v>942</v>
      </c>
      <c r="B1222" s="457" t="s">
        <v>946</v>
      </c>
      <c r="C1222" s="233">
        <v>44271</v>
      </c>
      <c r="D1222" s="435" t="s">
        <v>1267</v>
      </c>
      <c r="E1222" s="436" t="s">
        <v>1427</v>
      </c>
      <c r="F1222" s="338">
        <v>0.43194444444444446</v>
      </c>
      <c r="G1222" s="338">
        <v>0.43958333333333338</v>
      </c>
      <c r="H1222" s="434" t="s">
        <v>983</v>
      </c>
      <c r="I1222" s="437">
        <v>753</v>
      </c>
      <c r="J1222" s="434" t="str">
        <f>IFERROR(VLOOKUP(I1222,'Chart of accounts'!A:H,2,FALSE),"")</f>
        <v>50202010 00</v>
      </c>
      <c r="K1222" s="434" t="str">
        <f>IFERROR(VLOOKUP(I1222,'Chart of accounts'!A:H,3,FALSE),"")</f>
        <v>Training Expenses</v>
      </c>
      <c r="L1222" s="434" t="str">
        <f>IFERROR(VLOOKUP(I1222,'Chart of accounts'!A:H,4,FALSE),"")</f>
        <v>50202010 00 - Training Expenses (753)</v>
      </c>
      <c r="M1222" s="438" t="s">
        <v>5</v>
      </c>
      <c r="N1222" s="439" t="s">
        <v>820</v>
      </c>
      <c r="O1222" s="439" t="s">
        <v>1145</v>
      </c>
      <c r="P1222" s="439"/>
      <c r="Q1222" s="50">
        <v>45000</v>
      </c>
      <c r="R1222" s="319">
        <f t="shared" si="46"/>
        <v>-45000</v>
      </c>
      <c r="S1222" s="239" t="str">
        <f>VLOOKUP(H1222,'Fund Utilization Report'!$A$4:$U$1800,13,FALSE)</f>
        <v>MOOE</v>
      </c>
      <c r="T1222" s="239" t="str">
        <f>VLOOKUP(H1222,'Fund Utilization Report'!$A$4:$U$1800,2,FALSE)</f>
        <v>GAA</v>
      </c>
      <c r="U1222" s="239" t="str">
        <f>VLOOKUP(H1222,'Fund Utilization Report'!$A$4:$U$1800,3,FALSE)</f>
        <v>FY2021, RA11518</v>
      </c>
      <c r="V1222" s="239" t="str">
        <f>VLOOKUP(H1222,'Fund Utilization Report'!$A$4:$U$1800,4,FALSE)</f>
        <v>SSF</v>
      </c>
      <c r="W1222" s="239" t="str">
        <f>VLOOKUP(H1222,'Fund Utilization Report'!$A$4:$U$1800,5,FALSE)</f>
        <v>01101101</v>
      </c>
      <c r="X1222" s="239" t="str">
        <f>VLOOKUP(H1222,'Fund Utilization Report'!$A$4:$U$1800,6,FALSE)</f>
        <v>GOP</v>
      </c>
      <c r="Y1222" s="440" t="str">
        <f>VLOOKUP(H1222,'Fund Utilization Report'!$A$4:$U$1800,7,FALSE)</f>
        <v>MOOE</v>
      </c>
      <c r="Z1222" s="441">
        <f>VLOOKUP(H1222,'Fund Utilization Report'!$A$4:$U$1800,8,FALSE)</f>
        <v>5020000000</v>
      </c>
      <c r="AA1222" s="239" t="str">
        <f>VLOOKUP(H1222,'Fund Utilization Report'!$A$4:$U$1800,14,FALSE)</f>
        <v>330100200003000</v>
      </c>
      <c r="AB1222" s="242" t="str">
        <f>VLOOKUP(H1222,'Fund Utilization Report'!$A$4:$U$1800,15,FALSE)</f>
        <v>Shared Service Facilities Project</v>
      </c>
      <c r="AC1222" s="51"/>
      <c r="AD1222" s="435"/>
      <c r="AE1222" s="51"/>
      <c r="AF1222" s="51"/>
      <c r="AG1222" s="442"/>
      <c r="AH1222" s="442"/>
      <c r="AI1222" s="443"/>
    </row>
    <row r="1223" spans="1:35" s="32" customFormat="1">
      <c r="A1223" s="434" t="s">
        <v>942</v>
      </c>
      <c r="B1223" s="457" t="s">
        <v>946</v>
      </c>
      <c r="C1223" s="233">
        <v>44271</v>
      </c>
      <c r="D1223" s="435" t="s">
        <v>1267</v>
      </c>
      <c r="E1223" s="436" t="s">
        <v>1427</v>
      </c>
      <c r="F1223" s="338">
        <v>0.43194444444444446</v>
      </c>
      <c r="G1223" s="338">
        <v>0.43958333333333338</v>
      </c>
      <c r="H1223" s="434" t="s">
        <v>983</v>
      </c>
      <c r="I1223" s="437">
        <v>773</v>
      </c>
      <c r="J1223" s="434" t="str">
        <f>IFERROR(VLOOKUP(I1223,'Chart of accounts'!A:H,2,FALSE),"")</f>
        <v>50205020 01</v>
      </c>
      <c r="K1223" s="434" t="str">
        <f>IFERROR(VLOOKUP(I1223,'Chart of accounts'!A:H,3,FALSE),"")</f>
        <v xml:space="preserve">Telephone Expenses - Mobile </v>
      </c>
      <c r="L1223" s="434" t="str">
        <f>IFERROR(VLOOKUP(I1223,'Chart of accounts'!A:H,4,FALSE),"")</f>
        <v>50205020 01 - Telephone Expenses - Mobile  (773)</v>
      </c>
      <c r="M1223" s="438" t="s">
        <v>5</v>
      </c>
      <c r="N1223" s="439" t="s">
        <v>820</v>
      </c>
      <c r="O1223" s="439" t="s">
        <v>1145</v>
      </c>
      <c r="P1223" s="439"/>
      <c r="Q1223" s="50">
        <f>5000</f>
        <v>5000</v>
      </c>
      <c r="R1223" s="319">
        <f t="shared" si="46"/>
        <v>-5000</v>
      </c>
      <c r="S1223" s="239" t="str">
        <f>VLOOKUP(H1223,'Fund Utilization Report'!$A$4:$U$1800,13,FALSE)</f>
        <v>MOOE</v>
      </c>
      <c r="T1223" s="239" t="str">
        <f>VLOOKUP(H1223,'Fund Utilization Report'!$A$4:$U$1800,2,FALSE)</f>
        <v>GAA</v>
      </c>
      <c r="U1223" s="239" t="str">
        <f>VLOOKUP(H1223,'Fund Utilization Report'!$A$4:$U$1800,3,FALSE)</f>
        <v>FY2021, RA11518</v>
      </c>
      <c r="V1223" s="239" t="str">
        <f>VLOOKUP(H1223,'Fund Utilization Report'!$A$4:$U$1800,4,FALSE)</f>
        <v>SSF</v>
      </c>
      <c r="W1223" s="239" t="str">
        <f>VLOOKUP(H1223,'Fund Utilization Report'!$A$4:$U$1800,5,FALSE)</f>
        <v>01101101</v>
      </c>
      <c r="X1223" s="239" t="str">
        <f>VLOOKUP(H1223,'Fund Utilization Report'!$A$4:$U$1800,6,FALSE)</f>
        <v>GOP</v>
      </c>
      <c r="Y1223" s="440" t="str">
        <f>VLOOKUP(H1223,'Fund Utilization Report'!$A$4:$U$1800,7,FALSE)</f>
        <v>MOOE</v>
      </c>
      <c r="Z1223" s="441">
        <f>VLOOKUP(H1223,'Fund Utilization Report'!$A$4:$U$1800,8,FALSE)</f>
        <v>5020000000</v>
      </c>
      <c r="AA1223" s="239" t="str">
        <f>VLOOKUP(H1223,'Fund Utilization Report'!$A$4:$U$1800,14,FALSE)</f>
        <v>330100200003000</v>
      </c>
      <c r="AB1223" s="242" t="str">
        <f>VLOOKUP(H1223,'Fund Utilization Report'!$A$4:$U$1800,15,FALSE)</f>
        <v>Shared Service Facilities Project</v>
      </c>
      <c r="AC1223" s="51"/>
      <c r="AD1223" s="435"/>
      <c r="AE1223" s="51"/>
      <c r="AF1223" s="51"/>
      <c r="AG1223" s="442"/>
      <c r="AH1223" s="442"/>
      <c r="AI1223" s="443"/>
    </row>
    <row r="1224" spans="1:35" s="32" customFormat="1">
      <c r="A1224" s="434" t="s">
        <v>942</v>
      </c>
      <c r="B1224" s="457" t="s">
        <v>946</v>
      </c>
      <c r="C1224" s="233">
        <v>44271</v>
      </c>
      <c r="D1224" s="435" t="s">
        <v>1267</v>
      </c>
      <c r="E1224" s="436" t="s">
        <v>1427</v>
      </c>
      <c r="F1224" s="458">
        <v>0.43194444444444446</v>
      </c>
      <c r="G1224" s="458">
        <v>0.43958333333333338</v>
      </c>
      <c r="H1224" s="434" t="s">
        <v>983</v>
      </c>
      <c r="I1224" s="459">
        <v>783</v>
      </c>
      <c r="J1224" s="458" t="str">
        <f>IFERROR(VLOOKUP(I1224,'Chart of accounts'!A:H,2,FALSE),"")</f>
        <v>50299030 00</v>
      </c>
      <c r="K1224" s="458" t="str">
        <f>IFERROR(VLOOKUP(I1224,'Chart of accounts'!A:H,3,FALSE),"")</f>
        <v>Representation Expenses</v>
      </c>
      <c r="L1224" s="458" t="str">
        <f>IFERROR(VLOOKUP(I1224,'Chart of accounts'!A:H,4,FALSE),"")</f>
        <v>50299030 00 - Representation Expenses (783)</v>
      </c>
      <c r="M1224" s="467" t="s">
        <v>5</v>
      </c>
      <c r="N1224" s="439" t="s">
        <v>820</v>
      </c>
      <c r="O1224" s="439" t="s">
        <v>1145</v>
      </c>
      <c r="P1224" s="463"/>
      <c r="Q1224" s="468">
        <v>15000</v>
      </c>
      <c r="R1224" s="462">
        <f>P1224-Q1224</f>
        <v>-15000</v>
      </c>
      <c r="S1224" s="239" t="str">
        <f>VLOOKUP(H1224,'Fund Utilization Report'!$A$4:$U$1800,13,FALSE)</f>
        <v>MOOE</v>
      </c>
      <c r="T1224" s="239" t="str">
        <f>VLOOKUP(H1224,'Fund Utilization Report'!$A$4:$U$1800,2,FALSE)</f>
        <v>GAA</v>
      </c>
      <c r="U1224" s="239" t="str">
        <f>VLOOKUP(H1224,'Fund Utilization Report'!$A$4:$U$1800,3,FALSE)</f>
        <v>FY2021, RA11518</v>
      </c>
      <c r="V1224" s="239" t="str">
        <f>VLOOKUP(H1224,'Fund Utilization Report'!$A$4:$U$1800,4,FALSE)</f>
        <v>SSF</v>
      </c>
      <c r="W1224" s="239" t="str">
        <f>VLOOKUP(H1224,'Fund Utilization Report'!$A$4:$U$1800,5,FALSE)</f>
        <v>01101101</v>
      </c>
      <c r="X1224" s="239" t="str">
        <f>VLOOKUP(H1224,'Fund Utilization Report'!$A$4:$U$1800,6,FALSE)</f>
        <v>GOP</v>
      </c>
      <c r="Y1224" s="440" t="str">
        <f>VLOOKUP(H1224,'Fund Utilization Report'!$A$4:$U$1800,7,FALSE)</f>
        <v>MOOE</v>
      </c>
      <c r="Z1224" s="441">
        <f>VLOOKUP(H1224,'Fund Utilization Report'!$A$4:$U$1800,8,FALSE)</f>
        <v>5020000000</v>
      </c>
      <c r="AA1224" s="239" t="str">
        <f>VLOOKUP(H1224,'Fund Utilization Report'!$A$4:$U$1800,14,FALSE)</f>
        <v>330100200003000</v>
      </c>
      <c r="AB1224" s="242" t="str">
        <f>VLOOKUP(H1224,'Fund Utilization Report'!$A$4:$U$1800,15,FALSE)</f>
        <v>Shared Service Facilities Project</v>
      </c>
      <c r="AC1224" s="51"/>
      <c r="AD1224" s="435"/>
      <c r="AE1224" s="51"/>
      <c r="AF1224" s="51"/>
      <c r="AG1224" s="442"/>
      <c r="AH1224" s="442"/>
      <c r="AI1224" s="443"/>
    </row>
    <row r="1225" spans="1:35" s="32" customFormat="1">
      <c r="A1225" s="434" t="s">
        <v>942</v>
      </c>
      <c r="B1225" s="457" t="s">
        <v>946</v>
      </c>
      <c r="C1225" s="233">
        <v>44271</v>
      </c>
      <c r="D1225" s="435" t="s">
        <v>1267</v>
      </c>
      <c r="E1225" s="436" t="s">
        <v>1427</v>
      </c>
      <c r="F1225" s="338">
        <v>0.43194444444444446</v>
      </c>
      <c r="G1225" s="338">
        <v>0.43958333333333338</v>
      </c>
      <c r="H1225" s="434" t="s">
        <v>983</v>
      </c>
      <c r="I1225" s="437">
        <v>793</v>
      </c>
      <c r="J1225" s="434" t="str">
        <f>IFERROR(VLOOKUP(I1225,'Chart of accounts'!A:H,2,FALSE),"")</f>
        <v>50211030 00</v>
      </c>
      <c r="K1225" s="434" t="str">
        <f>IFERROR(VLOOKUP(I1225,'Chart of accounts'!A:H,3,FALSE),"")</f>
        <v>Consultancy Services</v>
      </c>
      <c r="L1225" s="434" t="str">
        <f>IFERROR(VLOOKUP(I1225,'Chart of accounts'!A:H,4,FALSE),"")</f>
        <v>50211030 00 - Consultancy Services (793)</v>
      </c>
      <c r="M1225" s="438" t="s">
        <v>5</v>
      </c>
      <c r="N1225" s="439" t="s">
        <v>820</v>
      </c>
      <c r="O1225" s="439" t="s">
        <v>1145</v>
      </c>
      <c r="P1225" s="439"/>
      <c r="Q1225" s="50">
        <f>24707.14</f>
        <v>24707.14</v>
      </c>
      <c r="R1225" s="319">
        <f t="shared" si="46"/>
        <v>-24707.14</v>
      </c>
      <c r="S1225" s="239" t="str">
        <f>VLOOKUP(H1225,'Fund Utilization Report'!$A$4:$U$1800,13,FALSE)</f>
        <v>MOOE</v>
      </c>
      <c r="T1225" s="239" t="str">
        <f>VLOOKUP(H1225,'Fund Utilization Report'!$A$4:$U$1800,2,FALSE)</f>
        <v>GAA</v>
      </c>
      <c r="U1225" s="239" t="str">
        <f>VLOOKUP(H1225,'Fund Utilization Report'!$A$4:$U$1800,3,FALSE)</f>
        <v>FY2021, RA11518</v>
      </c>
      <c r="V1225" s="239" t="str">
        <f>VLOOKUP(H1225,'Fund Utilization Report'!$A$4:$U$1800,4,FALSE)</f>
        <v>SSF</v>
      </c>
      <c r="W1225" s="239" t="str">
        <f>VLOOKUP(H1225,'Fund Utilization Report'!$A$4:$U$1800,5,FALSE)</f>
        <v>01101101</v>
      </c>
      <c r="X1225" s="239" t="str">
        <f>VLOOKUP(H1225,'Fund Utilization Report'!$A$4:$U$1800,6,FALSE)</f>
        <v>GOP</v>
      </c>
      <c r="Y1225" s="440" t="str">
        <f>VLOOKUP(H1225,'Fund Utilization Report'!$A$4:$U$1800,7,FALSE)</f>
        <v>MOOE</v>
      </c>
      <c r="Z1225" s="441">
        <f>VLOOKUP(H1225,'Fund Utilization Report'!$A$4:$U$1800,8,FALSE)</f>
        <v>5020000000</v>
      </c>
      <c r="AA1225" s="239" t="str">
        <f>VLOOKUP(H1225,'Fund Utilization Report'!$A$4:$U$1800,14,FALSE)</f>
        <v>330100200003000</v>
      </c>
      <c r="AB1225" s="242" t="str">
        <f>VLOOKUP(H1225,'Fund Utilization Report'!$A$4:$U$1800,15,FALSE)</f>
        <v>Shared Service Facilities Project</v>
      </c>
      <c r="AC1225" s="51"/>
      <c r="AD1225" s="435"/>
      <c r="AE1225" s="51"/>
      <c r="AF1225" s="51"/>
      <c r="AG1225" s="442"/>
      <c r="AH1225" s="442"/>
      <c r="AI1225" s="443"/>
    </row>
    <row r="1226" spans="1:35" s="32" customFormat="1">
      <c r="A1226" s="434" t="s">
        <v>942</v>
      </c>
      <c r="B1226" s="457" t="s">
        <v>946</v>
      </c>
      <c r="C1226" s="233">
        <v>44271</v>
      </c>
      <c r="D1226" s="435" t="s">
        <v>1267</v>
      </c>
      <c r="E1226" s="436" t="s">
        <v>1428</v>
      </c>
      <c r="F1226" s="338">
        <v>0.43958333333333338</v>
      </c>
      <c r="G1226" s="338">
        <v>0.44305555555555554</v>
      </c>
      <c r="H1226" s="434" t="s">
        <v>961</v>
      </c>
      <c r="I1226" s="437">
        <v>783</v>
      </c>
      <c r="J1226" s="434" t="str">
        <f>IFERROR(VLOOKUP(I1226,'Chart of accounts'!A:H,2,FALSE),"")</f>
        <v>50299030 00</v>
      </c>
      <c r="K1226" s="434" t="str">
        <f>IFERROR(VLOOKUP(I1226,'Chart of accounts'!A:H,3,FALSE),"")</f>
        <v>Representation Expenses</v>
      </c>
      <c r="L1226" s="434" t="str">
        <f>IFERROR(VLOOKUP(I1226,'Chart of accounts'!A:H,4,FALSE),"")</f>
        <v>50299030 00 - Representation Expenses (783)</v>
      </c>
      <c r="M1226" s="438" t="s">
        <v>816</v>
      </c>
      <c r="N1226" s="439" t="s">
        <v>1189</v>
      </c>
      <c r="O1226" s="439" t="s">
        <v>1429</v>
      </c>
      <c r="P1226" s="439"/>
      <c r="Q1226" s="50">
        <v>11000</v>
      </c>
      <c r="R1226" s="319">
        <f t="shared" si="46"/>
        <v>-11000</v>
      </c>
      <c r="S1226" s="239" t="str">
        <f>VLOOKUP(H1226,'Fund Utilization Report'!$A$4:$U$1800,13,FALSE)</f>
        <v>MOOE</v>
      </c>
      <c r="T1226" s="239" t="str">
        <f>VLOOKUP(H1226,'Fund Utilization Report'!$A$4:$U$1800,2,FALSE)</f>
        <v>GAA</v>
      </c>
      <c r="U1226" s="239" t="str">
        <f>VLOOKUP(H1226,'Fund Utilization Report'!$A$4:$U$1800,3,FALSE)</f>
        <v>FY2021, RA11518</v>
      </c>
      <c r="V1226" s="239" t="str">
        <f>VLOOKUP(H1226,'Fund Utilization Report'!$A$4:$U$1800,4,FALSE)</f>
        <v>GAS(GMS)</v>
      </c>
      <c r="W1226" s="239" t="str">
        <f>VLOOKUP(H1226,'Fund Utilization Report'!$A$4:$U$1800,5,FALSE)</f>
        <v>01101101</v>
      </c>
      <c r="X1226" s="239" t="str">
        <f>VLOOKUP(H1226,'Fund Utilization Report'!$A$4:$U$1800,6,FALSE)</f>
        <v>GOP</v>
      </c>
      <c r="Y1226" s="440" t="str">
        <f>VLOOKUP(H1226,'Fund Utilization Report'!$A$4:$U$1800,7,FALSE)</f>
        <v>MOOE</v>
      </c>
      <c r="Z1226" s="441">
        <f>VLOOKUP(H1226,'Fund Utilization Report'!$A$4:$U$1800,8,FALSE)</f>
        <v>5020000000</v>
      </c>
      <c r="AA1226" s="239" t="str">
        <f>VLOOKUP(H1226,'Fund Utilization Report'!$A$4:$U$1800,14,FALSE)</f>
        <v>100000100001000</v>
      </c>
      <c r="AB1226" s="242" t="str">
        <f>VLOOKUP(H1226,'Fund Utilization Report'!$A$4:$U$1800,15,FALSE)</f>
        <v>General Administration and Supervision - General Management and Supervision</v>
      </c>
      <c r="AC1226" s="51"/>
      <c r="AD1226" s="435"/>
      <c r="AE1226" s="51"/>
      <c r="AF1226" s="51"/>
      <c r="AG1226" s="442"/>
      <c r="AH1226" s="442"/>
      <c r="AI1226" s="443"/>
    </row>
    <row r="1227" spans="1:35" s="32" customFormat="1" ht="27.6">
      <c r="A1227" s="434" t="s">
        <v>942</v>
      </c>
      <c r="B1227" s="457" t="s">
        <v>946</v>
      </c>
      <c r="C1227" s="233">
        <v>44271</v>
      </c>
      <c r="D1227" s="435" t="s">
        <v>1267</v>
      </c>
      <c r="E1227" s="436" t="s">
        <v>1430</v>
      </c>
      <c r="F1227" s="338">
        <v>0.44305555555555554</v>
      </c>
      <c r="G1227" s="338">
        <v>0.44444444444444442</v>
      </c>
      <c r="H1227" s="434" t="s">
        <v>961</v>
      </c>
      <c r="I1227" s="437">
        <v>755</v>
      </c>
      <c r="J1227" s="434" t="str">
        <f>IFERROR(VLOOKUP(I1227,'Chart of accounts'!A:H,2,FALSE),"")</f>
        <v>50203010 00</v>
      </c>
      <c r="K1227" s="434" t="str">
        <f>IFERROR(VLOOKUP(I1227,'Chart of accounts'!A:H,3,FALSE),"")</f>
        <v>Office Supplies Expenses</v>
      </c>
      <c r="L1227" s="434" t="str">
        <f>IFERROR(VLOOKUP(I1227,'Chart of accounts'!A:H,4,FALSE),"")</f>
        <v>50203010 00 - Office Supplies Expenses (755)</v>
      </c>
      <c r="M1227" s="438" t="s">
        <v>812</v>
      </c>
      <c r="N1227" s="439" t="s">
        <v>1325</v>
      </c>
      <c r="O1227" s="439" t="s">
        <v>1431</v>
      </c>
      <c r="P1227" s="439"/>
      <c r="Q1227" s="50">
        <v>3760</v>
      </c>
      <c r="R1227" s="319">
        <f t="shared" si="46"/>
        <v>-3760</v>
      </c>
      <c r="S1227" s="239" t="str">
        <f>VLOOKUP(H1227,'Fund Utilization Report'!$A$4:$U$1800,13,FALSE)</f>
        <v>MOOE</v>
      </c>
      <c r="T1227" s="239" t="str">
        <f>VLOOKUP(H1227,'Fund Utilization Report'!$A$4:$U$1800,2,FALSE)</f>
        <v>GAA</v>
      </c>
      <c r="U1227" s="239" t="str">
        <f>VLOOKUP(H1227,'Fund Utilization Report'!$A$4:$U$1800,3,FALSE)</f>
        <v>FY2021, RA11518</v>
      </c>
      <c r="V1227" s="239" t="str">
        <f>VLOOKUP(H1227,'Fund Utilization Report'!$A$4:$U$1800,4,FALSE)</f>
        <v>GAS(GMS)</v>
      </c>
      <c r="W1227" s="239" t="str">
        <f>VLOOKUP(H1227,'Fund Utilization Report'!$A$4:$U$1800,5,FALSE)</f>
        <v>01101101</v>
      </c>
      <c r="X1227" s="239" t="str">
        <f>VLOOKUP(H1227,'Fund Utilization Report'!$A$4:$U$1800,6,FALSE)</f>
        <v>GOP</v>
      </c>
      <c r="Y1227" s="440" t="str">
        <f>VLOOKUP(H1227,'Fund Utilization Report'!$A$4:$U$1800,7,FALSE)</f>
        <v>MOOE</v>
      </c>
      <c r="Z1227" s="441">
        <f>VLOOKUP(H1227,'Fund Utilization Report'!$A$4:$U$1800,8,FALSE)</f>
        <v>5020000000</v>
      </c>
      <c r="AA1227" s="239" t="str">
        <f>VLOOKUP(H1227,'Fund Utilization Report'!$A$4:$U$1800,14,FALSE)</f>
        <v>100000100001000</v>
      </c>
      <c r="AB1227" s="242" t="str">
        <f>VLOOKUP(H1227,'Fund Utilization Report'!$A$4:$U$1800,15,FALSE)</f>
        <v>General Administration and Supervision - General Management and Supervision</v>
      </c>
      <c r="AC1227" s="51"/>
      <c r="AD1227" s="435"/>
      <c r="AE1227" s="51"/>
      <c r="AF1227" s="51"/>
      <c r="AG1227" s="442"/>
      <c r="AH1227" s="442"/>
      <c r="AI1227" s="443"/>
    </row>
    <row r="1228" spans="1:35" s="32" customFormat="1" ht="27.6">
      <c r="A1228" s="434" t="s">
        <v>942</v>
      </c>
      <c r="B1228" s="457" t="s">
        <v>946</v>
      </c>
      <c r="C1228" s="233">
        <v>44271</v>
      </c>
      <c r="D1228" s="435" t="s">
        <v>1267</v>
      </c>
      <c r="E1228" s="436" t="s">
        <v>1432</v>
      </c>
      <c r="F1228" s="338">
        <v>0.44444444444444442</v>
      </c>
      <c r="G1228" s="338">
        <v>0.4465277777777778</v>
      </c>
      <c r="H1228" s="434" t="s">
        <v>961</v>
      </c>
      <c r="I1228" s="437">
        <v>781</v>
      </c>
      <c r="J1228" s="434" t="str">
        <f>IFERROR(VLOOKUP(I1228,'Chart of accounts'!A:H,2,FALSE),"")</f>
        <v>50299020 00</v>
      </c>
      <c r="K1228" s="434" t="str">
        <f>IFERROR(VLOOKUP(I1228,'Chart of accounts'!A:H,3,FALSE),"")</f>
        <v>Printing and Binding Expenses</v>
      </c>
      <c r="L1228" s="434" t="str">
        <f>IFERROR(VLOOKUP(I1228,'Chart of accounts'!A:H,4,FALSE),"")</f>
        <v>50299020 00 - Printing and Binding Expenses (781)</v>
      </c>
      <c r="M1228" s="438" t="s">
        <v>812</v>
      </c>
      <c r="N1228" s="439" t="s">
        <v>1433</v>
      </c>
      <c r="O1228" s="439" t="s">
        <v>1434</v>
      </c>
      <c r="P1228" s="439"/>
      <c r="Q1228" s="50">
        <v>800</v>
      </c>
      <c r="R1228" s="319">
        <f t="shared" si="46"/>
        <v>-800</v>
      </c>
      <c r="S1228" s="239" t="str">
        <f>VLOOKUP(H1228,'Fund Utilization Report'!$A$4:$U$1800,13,FALSE)</f>
        <v>MOOE</v>
      </c>
      <c r="T1228" s="239" t="str">
        <f>VLOOKUP(H1228,'Fund Utilization Report'!$A$4:$U$1800,2,FALSE)</f>
        <v>GAA</v>
      </c>
      <c r="U1228" s="239" t="str">
        <f>VLOOKUP(H1228,'Fund Utilization Report'!$A$4:$U$1800,3,FALSE)</f>
        <v>FY2021, RA11518</v>
      </c>
      <c r="V1228" s="239" t="str">
        <f>VLOOKUP(H1228,'Fund Utilization Report'!$A$4:$U$1800,4,FALSE)</f>
        <v>GAS(GMS)</v>
      </c>
      <c r="W1228" s="239" t="str">
        <f>VLOOKUP(H1228,'Fund Utilization Report'!$A$4:$U$1800,5,FALSE)</f>
        <v>01101101</v>
      </c>
      <c r="X1228" s="239" t="str">
        <f>VLOOKUP(H1228,'Fund Utilization Report'!$A$4:$U$1800,6,FALSE)</f>
        <v>GOP</v>
      </c>
      <c r="Y1228" s="440" t="str">
        <f>VLOOKUP(H1228,'Fund Utilization Report'!$A$4:$U$1800,7,FALSE)</f>
        <v>MOOE</v>
      </c>
      <c r="Z1228" s="441">
        <f>VLOOKUP(H1228,'Fund Utilization Report'!$A$4:$U$1800,8,FALSE)</f>
        <v>5020000000</v>
      </c>
      <c r="AA1228" s="239" t="str">
        <f>VLOOKUP(H1228,'Fund Utilization Report'!$A$4:$U$1800,14,FALSE)</f>
        <v>100000100001000</v>
      </c>
      <c r="AB1228" s="242" t="str">
        <f>VLOOKUP(H1228,'Fund Utilization Report'!$A$4:$U$1800,15,FALSE)</f>
        <v>General Administration and Supervision - General Management and Supervision</v>
      </c>
      <c r="AC1228" s="51"/>
      <c r="AD1228" s="435"/>
      <c r="AE1228" s="51"/>
      <c r="AF1228" s="51"/>
      <c r="AG1228" s="442"/>
      <c r="AH1228" s="442"/>
      <c r="AI1228" s="443"/>
    </row>
    <row r="1229" spans="1:35" s="32" customFormat="1" ht="27.6">
      <c r="A1229" s="434" t="s">
        <v>942</v>
      </c>
      <c r="B1229" s="457" t="s">
        <v>946</v>
      </c>
      <c r="C1229" s="233">
        <v>44271</v>
      </c>
      <c r="D1229" s="435" t="s">
        <v>1267</v>
      </c>
      <c r="E1229" s="436" t="s">
        <v>1435</v>
      </c>
      <c r="F1229" s="338">
        <v>0.4465277777777778</v>
      </c>
      <c r="G1229" s="338">
        <v>0.44930555555555557</v>
      </c>
      <c r="H1229" s="434" t="s">
        <v>961</v>
      </c>
      <c r="I1229" s="353">
        <v>783</v>
      </c>
      <c r="J1229" s="338" t="str">
        <f>IFERROR(VLOOKUP(I1229,'Chart of accounts'!A:H,2,FALSE),"")</f>
        <v>50299030 00</v>
      </c>
      <c r="K1229" s="338" t="str">
        <f>IFERROR(VLOOKUP(I1229,'Chart of accounts'!A:H,3,FALSE),"")</f>
        <v>Representation Expenses</v>
      </c>
      <c r="L1229" s="338" t="str">
        <f>IFERROR(VLOOKUP(I1229,'Chart of accounts'!A:H,4,FALSE),"")</f>
        <v>50299030 00 - Representation Expenses (783)</v>
      </c>
      <c r="M1229" s="438" t="s">
        <v>812</v>
      </c>
      <c r="N1229" s="355" t="s">
        <v>1436</v>
      </c>
      <c r="O1229" s="439" t="s">
        <v>1437</v>
      </c>
      <c r="P1229" s="355"/>
      <c r="Q1229" s="363">
        <v>30000</v>
      </c>
      <c r="R1229" s="319">
        <f t="shared" si="46"/>
        <v>-30000</v>
      </c>
      <c r="S1229" s="239" t="str">
        <f>VLOOKUP(H1229,'Fund Utilization Report'!$A$4:$U$1800,13,FALSE)</f>
        <v>MOOE</v>
      </c>
      <c r="T1229" s="239" t="str">
        <f>VLOOKUP(H1229,'Fund Utilization Report'!$A$4:$U$1800,2,FALSE)</f>
        <v>GAA</v>
      </c>
      <c r="U1229" s="239" t="str">
        <f>VLOOKUP(H1229,'Fund Utilization Report'!$A$4:$U$1800,3,FALSE)</f>
        <v>FY2021, RA11518</v>
      </c>
      <c r="V1229" s="239" t="str">
        <f>VLOOKUP(H1229,'Fund Utilization Report'!$A$4:$U$1800,4,FALSE)</f>
        <v>GAS(GMS)</v>
      </c>
      <c r="W1229" s="239" t="str">
        <f>VLOOKUP(H1229,'Fund Utilization Report'!$A$4:$U$1800,5,FALSE)</f>
        <v>01101101</v>
      </c>
      <c r="X1229" s="239" t="str">
        <f>VLOOKUP(H1229,'Fund Utilization Report'!$A$4:$U$1800,6,FALSE)</f>
        <v>GOP</v>
      </c>
      <c r="Y1229" s="440" t="str">
        <f>VLOOKUP(H1229,'Fund Utilization Report'!$A$4:$U$1800,7,FALSE)</f>
        <v>MOOE</v>
      </c>
      <c r="Z1229" s="441">
        <f>VLOOKUP(H1229,'Fund Utilization Report'!$A$4:$U$1800,8,FALSE)</f>
        <v>5020000000</v>
      </c>
      <c r="AA1229" s="239" t="str">
        <f>VLOOKUP(H1229,'Fund Utilization Report'!$A$4:$U$1800,14,FALSE)</f>
        <v>100000100001000</v>
      </c>
      <c r="AB1229" s="242" t="str">
        <f>VLOOKUP(H1229,'Fund Utilization Report'!$A$4:$U$1800,15,FALSE)</f>
        <v>General Administration and Supervision - General Management and Supervision</v>
      </c>
      <c r="AC1229" s="51"/>
      <c r="AD1229" s="435"/>
      <c r="AE1229" s="51"/>
      <c r="AF1229" s="51"/>
      <c r="AG1229" s="442"/>
      <c r="AH1229" s="442"/>
      <c r="AI1229" s="443"/>
    </row>
    <row r="1230" spans="1:35" s="32" customFormat="1">
      <c r="A1230" s="434" t="s">
        <v>942</v>
      </c>
      <c r="B1230" s="457" t="s">
        <v>946</v>
      </c>
      <c r="C1230" s="233">
        <v>44271</v>
      </c>
      <c r="D1230" s="435" t="s">
        <v>1267</v>
      </c>
      <c r="E1230" s="436" t="s">
        <v>1438</v>
      </c>
      <c r="F1230" s="338">
        <v>0.46111111111111108</v>
      </c>
      <c r="G1230" s="338">
        <v>0.46458333333333335</v>
      </c>
      <c r="H1230" s="338" t="s">
        <v>960</v>
      </c>
      <c r="I1230" s="353">
        <v>715</v>
      </c>
      <c r="J1230" s="338" t="str">
        <f>IFERROR(VLOOKUP(I1230,'Chart of accounts'!A:H,2,FALSE),"")</f>
        <v>50102040 01</v>
      </c>
      <c r="K1230" s="338" t="str">
        <f>IFERROR(VLOOKUP(I1230,'Chart of accounts'!A:H,3,FALSE),"")</f>
        <v>Clothing/Uniform Allowance - Civilian</v>
      </c>
      <c r="L1230" s="338" t="str">
        <f>IFERROR(VLOOKUP(I1230,'Chart of accounts'!A:H,4,FALSE),"")</f>
        <v>50102040 01 - Clothing/Uniform Allowance - Civilian (715)</v>
      </c>
      <c r="M1230" s="361">
        <v>1</v>
      </c>
      <c r="N1230" s="355" t="s">
        <v>10</v>
      </c>
      <c r="O1230" s="355" t="s">
        <v>1439</v>
      </c>
      <c r="P1230" s="355"/>
      <c r="Q1230" s="363">
        <v>114000</v>
      </c>
      <c r="R1230" s="319">
        <f t="shared" si="46"/>
        <v>-114000</v>
      </c>
      <c r="S1230" s="239" t="str">
        <f>VLOOKUP(H1230,'Fund Utilization Report'!$A$4:$U$1800,13,FALSE)</f>
        <v>PS</v>
      </c>
      <c r="T1230" s="239" t="str">
        <f>VLOOKUP(H1230,'Fund Utilization Report'!$A$4:$U$1800,2,FALSE)</f>
        <v>GAA</v>
      </c>
      <c r="U1230" s="239" t="str">
        <f>VLOOKUP(H1230,'Fund Utilization Report'!$A$4:$U$1800,3,FALSE)</f>
        <v>FY2021, RA11518</v>
      </c>
      <c r="V1230" s="239" t="str">
        <f>VLOOKUP(H1230,'Fund Utilization Report'!$A$4:$U$1800,4,FALSE)</f>
        <v>GAS(GMS)</v>
      </c>
      <c r="W1230" s="239" t="str">
        <f>VLOOKUP(H1230,'Fund Utilization Report'!$A$4:$U$1800,5,FALSE)</f>
        <v>01101101</v>
      </c>
      <c r="X1230" s="239" t="str">
        <f>VLOOKUP(H1230,'Fund Utilization Report'!$A$4:$U$1800,6,FALSE)</f>
        <v>GOP</v>
      </c>
      <c r="Y1230" s="440" t="str">
        <f>VLOOKUP(H1230,'Fund Utilization Report'!$A$4:$U$1800,7,FALSE)</f>
        <v>PS</v>
      </c>
      <c r="Z1230" s="441">
        <f>VLOOKUP(H1230,'Fund Utilization Report'!$A$4:$U$1800,8,FALSE)</f>
        <v>5010000000</v>
      </c>
      <c r="AA1230" s="239" t="str">
        <f>VLOOKUP(H1230,'Fund Utilization Report'!$A$4:$U$1800,14,FALSE)</f>
        <v>100000100001000</v>
      </c>
      <c r="AB1230" s="242" t="str">
        <f>VLOOKUP(H1230,'Fund Utilization Report'!$A$4:$U$1800,15,FALSE)</f>
        <v>General Administration and Supervision - General Management and Supervision</v>
      </c>
      <c r="AC1230" s="51"/>
      <c r="AD1230" s="435"/>
      <c r="AE1230" s="51"/>
      <c r="AF1230" s="51"/>
      <c r="AG1230" s="442"/>
      <c r="AH1230" s="442"/>
      <c r="AI1230" s="443"/>
    </row>
    <row r="1231" spans="1:35" s="32" customFormat="1">
      <c r="A1231" s="434" t="s">
        <v>942</v>
      </c>
      <c r="B1231" s="457" t="s">
        <v>946</v>
      </c>
      <c r="C1231" s="233">
        <v>44271</v>
      </c>
      <c r="D1231" s="435" t="s">
        <v>1267</v>
      </c>
      <c r="E1231" s="436" t="s">
        <v>1438</v>
      </c>
      <c r="F1231" s="338">
        <v>0.46111111111111108</v>
      </c>
      <c r="G1231" s="338">
        <v>0.46458333333333335</v>
      </c>
      <c r="H1231" s="338" t="s">
        <v>964</v>
      </c>
      <c r="I1231" s="353">
        <v>715</v>
      </c>
      <c r="J1231" s="338" t="str">
        <f>IFERROR(VLOOKUP(I1231,'Chart of accounts'!A:H,2,FALSE),"")</f>
        <v>50102040 01</v>
      </c>
      <c r="K1231" s="338" t="str">
        <f>IFERROR(VLOOKUP(I1231,'Chart of accounts'!A:H,3,FALSE),"")</f>
        <v>Clothing/Uniform Allowance - Civilian</v>
      </c>
      <c r="L1231" s="338" t="str">
        <f>IFERROR(VLOOKUP(I1231,'Chart of accounts'!A:H,4,FALSE),"")</f>
        <v>50102040 01 - Clothing/Uniform Allowance - Civilian (715)</v>
      </c>
      <c r="M1231" s="361">
        <v>1</v>
      </c>
      <c r="N1231" s="355" t="s">
        <v>10</v>
      </c>
      <c r="O1231" s="355" t="s">
        <v>1439</v>
      </c>
      <c r="P1231" s="355"/>
      <c r="Q1231" s="363">
        <f>2*6000</f>
        <v>12000</v>
      </c>
      <c r="R1231" s="319">
        <f t="shared" si="46"/>
        <v>-12000</v>
      </c>
      <c r="S1231" s="239" t="str">
        <f>VLOOKUP(H1231,'Fund Utilization Report'!$A$4:$U$1800,13,FALSE)</f>
        <v>PS</v>
      </c>
      <c r="T1231" s="239" t="str">
        <f>VLOOKUP(H1231,'Fund Utilization Report'!$A$4:$U$1800,2,FALSE)</f>
        <v>GAA</v>
      </c>
      <c r="U1231" s="239" t="str">
        <f>VLOOKUP(H1231,'Fund Utilization Report'!$A$4:$U$1800,3,FALSE)</f>
        <v>FY2021, RA11518</v>
      </c>
      <c r="V1231" s="239" t="str">
        <f>VLOOKUP(H1231,'Fund Utilization Report'!$A$4:$U$1800,4,FALSE)</f>
        <v>OO1</v>
      </c>
      <c r="W1231" s="239" t="str">
        <f>VLOOKUP(H1231,'Fund Utilization Report'!$A$4:$U$1800,5,FALSE)</f>
        <v>01101101</v>
      </c>
      <c r="X1231" s="239" t="str">
        <f>VLOOKUP(H1231,'Fund Utilization Report'!$A$4:$U$1800,6,FALSE)</f>
        <v>GOP</v>
      </c>
      <c r="Y1231" s="440" t="str">
        <f>VLOOKUP(H1231,'Fund Utilization Report'!$A$4:$U$1800,7,FALSE)</f>
        <v>PS</v>
      </c>
      <c r="Z1231" s="441">
        <f>VLOOKUP(H1231,'Fund Utilization Report'!$A$4:$U$1800,8,FALSE)</f>
        <v>5010000000</v>
      </c>
      <c r="AA1231" s="239" t="str">
        <f>VLOOKUP(H1231,'Fund Utilization Report'!$A$4:$U$1800,14,FALSE)</f>
        <v>310100100002000</v>
      </c>
      <c r="AB1231" s="242" t="str">
        <f>VLOOKUP(H1231,'Fund Utilization Report'!$A$4:$U$1800,15,FALSE)</f>
        <v>Development,Facilitation, and promotion of exports and investment, domestic and foreign</v>
      </c>
      <c r="AC1231" s="51"/>
      <c r="AD1231" s="435"/>
      <c r="AE1231" s="51"/>
      <c r="AF1231" s="51"/>
      <c r="AG1231" s="442"/>
      <c r="AH1231" s="442"/>
      <c r="AI1231" s="443"/>
    </row>
    <row r="1232" spans="1:35" s="32" customFormat="1">
      <c r="A1232" s="434" t="s">
        <v>942</v>
      </c>
      <c r="B1232" s="457" t="s">
        <v>946</v>
      </c>
      <c r="C1232" s="233">
        <v>44271</v>
      </c>
      <c r="D1232" s="435" t="s">
        <v>1267</v>
      </c>
      <c r="E1232" s="436" t="s">
        <v>1438</v>
      </c>
      <c r="F1232" s="338">
        <v>0.46111111111111108</v>
      </c>
      <c r="G1232" s="338">
        <v>0.46458333333333335</v>
      </c>
      <c r="H1232" s="338" t="s">
        <v>967</v>
      </c>
      <c r="I1232" s="353">
        <v>715</v>
      </c>
      <c r="J1232" s="338" t="str">
        <f>IFERROR(VLOOKUP(I1232,'Chart of accounts'!A:H,2,FALSE),"")</f>
        <v>50102040 01</v>
      </c>
      <c r="K1232" s="338" t="str">
        <f>IFERROR(VLOOKUP(I1232,'Chart of accounts'!A:H,3,FALSE),"")</f>
        <v>Clothing/Uniform Allowance - Civilian</v>
      </c>
      <c r="L1232" s="338" t="str">
        <f>IFERROR(VLOOKUP(I1232,'Chart of accounts'!A:H,4,FALSE),"")</f>
        <v>50102040 01 - Clothing/Uniform Allowance - Civilian (715)</v>
      </c>
      <c r="M1232" s="361">
        <v>1</v>
      </c>
      <c r="N1232" s="355" t="s">
        <v>10</v>
      </c>
      <c r="O1232" s="355" t="s">
        <v>1439</v>
      </c>
      <c r="P1232" s="355"/>
      <c r="Q1232" s="363">
        <f>5*6000</f>
        <v>30000</v>
      </c>
      <c r="R1232" s="319">
        <f t="shared" si="46"/>
        <v>-30000</v>
      </c>
      <c r="S1232" s="239" t="str">
        <f>VLOOKUP(H1232,'Fund Utilization Report'!$A$4:$U$1800,13,FALSE)</f>
        <v>PS</v>
      </c>
      <c r="T1232" s="239" t="str">
        <f>VLOOKUP(H1232,'Fund Utilization Report'!$A$4:$U$1800,2,FALSE)</f>
        <v>GAA</v>
      </c>
      <c r="U1232" s="239" t="str">
        <f>VLOOKUP(H1232,'Fund Utilization Report'!$A$4:$U$1800,3,FALSE)</f>
        <v>FY2021, RA11518</v>
      </c>
      <c r="V1232" s="239" t="str">
        <f>VLOOKUP(H1232,'Fund Utilization Report'!$A$4:$U$1800,4,FALSE)</f>
        <v>OO2</v>
      </c>
      <c r="W1232" s="239" t="str">
        <f>VLOOKUP(H1232,'Fund Utilization Report'!$A$4:$U$1800,5,FALSE)</f>
        <v>01101101</v>
      </c>
      <c r="X1232" s="239" t="str">
        <f>VLOOKUP(H1232,'Fund Utilization Report'!$A$4:$U$1800,6,FALSE)</f>
        <v>GOP</v>
      </c>
      <c r="Y1232" s="440" t="str">
        <f>VLOOKUP(H1232,'Fund Utilization Report'!$A$4:$U$1800,7,FALSE)</f>
        <v>PS</v>
      </c>
      <c r="Z1232" s="441">
        <f>VLOOKUP(H1232,'Fund Utilization Report'!$A$4:$U$1800,8,FALSE)</f>
        <v>5010000000</v>
      </c>
      <c r="AA1232" s="239" t="str">
        <f>VLOOKUP(H1232,'Fund Utilization Report'!$A$4:$U$1800,14,FALSE)</f>
        <v>320100100001000</v>
      </c>
      <c r="AB1232" s="242" t="str">
        <f>VLOOKUP(H1232,'Fund Utilization Report'!$A$4:$U$1800,15,FALSE)</f>
        <v>Formulation of Strategic plans,programs, and policies to develop competitve industries</v>
      </c>
      <c r="AC1232" s="51"/>
      <c r="AD1232" s="435"/>
      <c r="AE1232" s="51"/>
      <c r="AF1232" s="51"/>
      <c r="AG1232" s="442"/>
      <c r="AH1232" s="442"/>
      <c r="AI1232" s="443"/>
    </row>
    <row r="1233" spans="1:35" s="32" customFormat="1">
      <c r="A1233" s="434" t="s">
        <v>942</v>
      </c>
      <c r="B1233" s="457" t="s">
        <v>946</v>
      </c>
      <c r="C1233" s="233">
        <v>44271</v>
      </c>
      <c r="D1233" s="435" t="s">
        <v>1267</v>
      </c>
      <c r="E1233" s="436" t="s">
        <v>1438</v>
      </c>
      <c r="F1233" s="338">
        <v>0.46111111111111108</v>
      </c>
      <c r="G1233" s="338">
        <v>0.46458333333333335</v>
      </c>
      <c r="H1233" s="338" t="s">
        <v>970</v>
      </c>
      <c r="I1233" s="353">
        <v>715</v>
      </c>
      <c r="J1233" s="338" t="str">
        <f>IFERROR(VLOOKUP(I1233,'Chart of accounts'!A:H,2,FALSE),"")</f>
        <v>50102040 01</v>
      </c>
      <c r="K1233" s="338" t="str">
        <f>IFERROR(VLOOKUP(I1233,'Chart of accounts'!A:H,3,FALSE),"")</f>
        <v>Clothing/Uniform Allowance - Civilian</v>
      </c>
      <c r="L1233" s="338" t="str">
        <f>IFERROR(VLOOKUP(I1233,'Chart of accounts'!A:H,4,FALSE),"")</f>
        <v>50102040 01 - Clothing/Uniform Allowance - Civilian (715)</v>
      </c>
      <c r="M1233" s="361">
        <v>1</v>
      </c>
      <c r="N1233" s="355" t="s">
        <v>10</v>
      </c>
      <c r="O1233" s="355" t="s">
        <v>1439</v>
      </c>
      <c r="P1233" s="355"/>
      <c r="Q1233" s="363">
        <f>5*6000</f>
        <v>30000</v>
      </c>
      <c r="R1233" s="319">
        <f>P1233-Q1233</f>
        <v>-30000</v>
      </c>
      <c r="S1233" s="239" t="str">
        <f>VLOOKUP(H1233,'Fund Utilization Report'!$A$4:$U$1800,13,FALSE)</f>
        <v>PS</v>
      </c>
      <c r="T1233" s="239" t="str">
        <f>VLOOKUP(H1233,'Fund Utilization Report'!$A$4:$U$1800,2,FALSE)</f>
        <v>GAA</v>
      </c>
      <c r="U1233" s="239" t="str">
        <f>VLOOKUP(H1233,'Fund Utilization Report'!$A$4:$U$1800,3,FALSE)</f>
        <v>FY2021, RA11518</v>
      </c>
      <c r="V1233" s="239" t="str">
        <f>VLOOKUP(H1233,'Fund Utilization Report'!$A$4:$U$1800,4,FALSE)</f>
        <v>OO3</v>
      </c>
      <c r="W1233" s="239" t="str">
        <f>VLOOKUP(H1233,'Fund Utilization Report'!$A$4:$U$1800,5,FALSE)</f>
        <v>01101101</v>
      </c>
      <c r="X1233" s="239" t="str">
        <f>VLOOKUP(H1233,'Fund Utilization Report'!$A$4:$U$1800,6,FALSE)</f>
        <v>GOP</v>
      </c>
      <c r="Y1233" s="440" t="str">
        <f>VLOOKUP(H1233,'Fund Utilization Report'!$A$4:$U$1800,7,FALSE)</f>
        <v>PS</v>
      </c>
      <c r="Z1233" s="441">
        <f>VLOOKUP(H1233,'Fund Utilization Report'!$A$4:$U$1800,8,FALSE)</f>
        <v>5010000000</v>
      </c>
      <c r="AA1233" s="239" t="str">
        <f>VLOOKUP(H1233,'Fund Utilization Report'!$A$4:$U$1800,14,FALSE)</f>
        <v>330100100002000</v>
      </c>
      <c r="AB1233" s="242" t="str">
        <f>VLOOKUP(H1233,'Fund Utilization Report'!$A$4:$U$1800,15,FALSE)</f>
        <v>Implementation of the MSME Development Plan and other initiatives to promote the growth of Micro, Small and Medium Enterprises</v>
      </c>
      <c r="AC1233" s="51"/>
      <c r="AD1233" s="435"/>
      <c r="AE1233" s="51"/>
      <c r="AF1233" s="51"/>
      <c r="AG1233" s="442"/>
      <c r="AH1233" s="442"/>
      <c r="AI1233" s="443"/>
    </row>
    <row r="1234" spans="1:35" s="32" customFormat="1">
      <c r="A1234" s="434" t="s">
        <v>942</v>
      </c>
      <c r="B1234" s="457" t="s">
        <v>946</v>
      </c>
      <c r="C1234" s="233">
        <v>44271</v>
      </c>
      <c r="D1234" s="435" t="s">
        <v>1267</v>
      </c>
      <c r="E1234" s="436" t="s">
        <v>1438</v>
      </c>
      <c r="F1234" s="338">
        <v>0.46111111111111108</v>
      </c>
      <c r="G1234" s="338">
        <v>0.46458333333333335</v>
      </c>
      <c r="H1234" s="338" t="s">
        <v>973</v>
      </c>
      <c r="I1234" s="353">
        <v>715</v>
      </c>
      <c r="J1234" s="338" t="str">
        <f>IFERROR(VLOOKUP(I1234,'Chart of accounts'!A:H,2,FALSE),"")</f>
        <v>50102040 01</v>
      </c>
      <c r="K1234" s="338" t="str">
        <f>IFERROR(VLOOKUP(I1234,'Chart of accounts'!A:H,3,FALSE),"")</f>
        <v>Clothing/Uniform Allowance - Civilian</v>
      </c>
      <c r="L1234" s="338" t="str">
        <f>IFERROR(VLOOKUP(I1234,'Chart of accounts'!A:H,4,FALSE),"")</f>
        <v>50102040 01 - Clothing/Uniform Allowance - Civilian (715)</v>
      </c>
      <c r="M1234" s="361">
        <v>1</v>
      </c>
      <c r="N1234" s="355" t="s">
        <v>10</v>
      </c>
      <c r="O1234" s="355" t="s">
        <v>1439</v>
      </c>
      <c r="P1234" s="355"/>
      <c r="Q1234" s="363">
        <f>5*6000</f>
        <v>30000</v>
      </c>
      <c r="R1234" s="319">
        <f>P1234-Q1234</f>
        <v>-30000</v>
      </c>
      <c r="S1234" s="239" t="str">
        <f>VLOOKUP(H1234,'Fund Utilization Report'!$A$4:$U$1800,13,FALSE)</f>
        <v>PS</v>
      </c>
      <c r="T1234" s="239" t="str">
        <f>VLOOKUP(H1234,'Fund Utilization Report'!$A$4:$U$1800,2,FALSE)</f>
        <v>GAA</v>
      </c>
      <c r="U1234" s="239" t="str">
        <f>VLOOKUP(H1234,'Fund Utilization Report'!$A$4:$U$1800,3,FALSE)</f>
        <v>FY2021, RA11518</v>
      </c>
      <c r="V1234" s="239" t="str">
        <f>VLOOKUP(H1234,'Fund Utilization Report'!$A$4:$U$1800,4,FALSE)</f>
        <v>OO4.1(FTL)</v>
      </c>
      <c r="W1234" s="239" t="str">
        <f>VLOOKUP(H1234,'Fund Utilization Report'!$A$4:$U$1800,5,FALSE)</f>
        <v>01101101</v>
      </c>
      <c r="X1234" s="239" t="str">
        <f>VLOOKUP(H1234,'Fund Utilization Report'!$A$4:$U$1800,6,FALSE)</f>
        <v>GOP</v>
      </c>
      <c r="Y1234" s="440" t="str">
        <f>VLOOKUP(H1234,'Fund Utilization Report'!$A$4:$U$1800,7,FALSE)</f>
        <v>PS</v>
      </c>
      <c r="Z1234" s="441">
        <f>VLOOKUP(H1234,'Fund Utilization Report'!$A$4:$U$1800,8,FALSE)</f>
        <v>5010000000</v>
      </c>
      <c r="AA1234" s="239" t="str">
        <f>VLOOKUP(H1234,'Fund Utilization Report'!$A$4:$U$1800,14,FALSE)</f>
        <v>340100100002000</v>
      </c>
      <c r="AB1234" s="242" t="str">
        <f>VLOOKUP(H1234,'Fund Utilization Report'!$A$4:$U$1800,15,FALSE)</f>
        <v>Monitoring and Enforcement of FTL including consumer complaints handling</v>
      </c>
      <c r="AC1234" s="51"/>
      <c r="AD1234" s="435"/>
      <c r="AE1234" s="51"/>
      <c r="AF1234" s="51"/>
      <c r="AG1234" s="442"/>
      <c r="AH1234" s="442"/>
      <c r="AI1234" s="443"/>
    </row>
    <row r="1235" spans="1:35" s="32" customFormat="1">
      <c r="A1235" s="434" t="s">
        <v>942</v>
      </c>
      <c r="B1235" s="457" t="s">
        <v>946</v>
      </c>
      <c r="C1235" s="233">
        <v>44271</v>
      </c>
      <c r="D1235" s="435" t="s">
        <v>1267</v>
      </c>
      <c r="E1235" s="436" t="s">
        <v>1440</v>
      </c>
      <c r="F1235" s="338">
        <v>0.46458333333333335</v>
      </c>
      <c r="G1235" s="338">
        <v>0.46597222222222223</v>
      </c>
      <c r="H1235" s="338" t="s">
        <v>960</v>
      </c>
      <c r="I1235" s="353">
        <v>715</v>
      </c>
      <c r="J1235" s="338" t="str">
        <f>IFERROR(VLOOKUP(I1235,'Chart of accounts'!A:H,2,FALSE),"")</f>
        <v>50102040 01</v>
      </c>
      <c r="K1235" s="338" t="str">
        <f>IFERROR(VLOOKUP(I1235,'Chart of accounts'!A:H,3,FALSE),"")</f>
        <v>Clothing/Uniform Allowance - Civilian</v>
      </c>
      <c r="L1235" s="338" t="str">
        <f>IFERROR(VLOOKUP(I1235,'Chart of accounts'!A:H,4,FALSE),"")</f>
        <v>50102040 01 - Clothing/Uniform Allowance - Civilian (715)</v>
      </c>
      <c r="M1235" s="361">
        <v>2</v>
      </c>
      <c r="N1235" s="355" t="s">
        <v>789</v>
      </c>
      <c r="O1235" s="355" t="s">
        <v>1439</v>
      </c>
      <c r="P1235" s="355"/>
      <c r="Q1235" s="363">
        <v>12000</v>
      </c>
      <c r="R1235" s="319" t="e">
        <f>#REF!-#REF!</f>
        <v>#REF!</v>
      </c>
      <c r="S1235" s="239" t="str">
        <f>VLOOKUP(H1235,'Fund Utilization Report'!$A$4:$U$1800,13,FALSE)</f>
        <v>PS</v>
      </c>
      <c r="T1235" s="239" t="str">
        <f>VLOOKUP(H1235,'Fund Utilization Report'!$A$4:$U$1800,2,FALSE)</f>
        <v>GAA</v>
      </c>
      <c r="U1235" s="239" t="str">
        <f>VLOOKUP(H1235,'Fund Utilization Report'!$A$4:$U$1800,3,FALSE)</f>
        <v>FY2021, RA11518</v>
      </c>
      <c r="V1235" s="239" t="str">
        <f>VLOOKUP(H1235,'Fund Utilization Report'!$A$4:$U$1800,4,FALSE)</f>
        <v>GAS(GMS)</v>
      </c>
      <c r="W1235" s="239" t="str">
        <f>VLOOKUP(H1235,'Fund Utilization Report'!$A$4:$U$1800,5,FALSE)</f>
        <v>01101101</v>
      </c>
      <c r="X1235" s="239" t="str">
        <f>VLOOKUP(H1235,'Fund Utilization Report'!$A$4:$U$1800,6,FALSE)</f>
        <v>GOP</v>
      </c>
      <c r="Y1235" s="440" t="str">
        <f>VLOOKUP(H1235,'Fund Utilization Report'!$A$4:$U$1800,7,FALSE)</f>
        <v>PS</v>
      </c>
      <c r="Z1235" s="441">
        <f>VLOOKUP(H1235,'Fund Utilization Report'!$A$4:$U$1800,8,FALSE)</f>
        <v>5010000000</v>
      </c>
      <c r="AA1235" s="239" t="str">
        <f>VLOOKUP(H1235,'Fund Utilization Report'!$A$4:$U$1800,14,FALSE)</f>
        <v>100000100001000</v>
      </c>
      <c r="AB1235" s="242" t="str">
        <f>VLOOKUP(H1235,'Fund Utilization Report'!$A$4:$U$1800,15,FALSE)</f>
        <v>General Administration and Supervision - General Management and Supervision</v>
      </c>
      <c r="AC1235" s="51"/>
      <c r="AD1235" s="435"/>
      <c r="AE1235" s="51"/>
      <c r="AF1235" s="51"/>
      <c r="AG1235" s="442"/>
      <c r="AH1235" s="442"/>
      <c r="AI1235" s="443"/>
    </row>
    <row r="1236" spans="1:35" s="32" customFormat="1">
      <c r="A1236" s="434" t="s">
        <v>942</v>
      </c>
      <c r="B1236" s="457" t="s">
        <v>946</v>
      </c>
      <c r="C1236" s="233">
        <v>44271</v>
      </c>
      <c r="D1236" s="435" t="s">
        <v>1267</v>
      </c>
      <c r="E1236" s="436" t="s">
        <v>1440</v>
      </c>
      <c r="F1236" s="338">
        <v>0.46458333333333335</v>
      </c>
      <c r="G1236" s="338">
        <v>0.46597222222222223</v>
      </c>
      <c r="H1236" s="338" t="s">
        <v>964</v>
      </c>
      <c r="I1236" s="353">
        <v>715</v>
      </c>
      <c r="J1236" s="338" t="str">
        <f>IFERROR(VLOOKUP(I1236,'Chart of accounts'!A:H,2,FALSE),"")</f>
        <v>50102040 01</v>
      </c>
      <c r="K1236" s="338" t="str">
        <f>IFERROR(VLOOKUP(I1236,'Chart of accounts'!A:H,3,FALSE),"")</f>
        <v>Clothing/Uniform Allowance - Civilian</v>
      </c>
      <c r="L1236" s="338" t="str">
        <f>IFERROR(VLOOKUP(I1236,'Chart of accounts'!A:H,4,FALSE),"")</f>
        <v>50102040 01 - Clothing/Uniform Allowance - Civilian (715)</v>
      </c>
      <c r="M1236" s="361">
        <v>2</v>
      </c>
      <c r="N1236" s="355" t="s">
        <v>789</v>
      </c>
      <c r="O1236" s="355" t="s">
        <v>1439</v>
      </c>
      <c r="P1236" s="355"/>
      <c r="Q1236" s="363">
        <v>12000</v>
      </c>
      <c r="R1236" s="319" t="e">
        <f>#REF!-#REF!</f>
        <v>#REF!</v>
      </c>
      <c r="S1236" s="239" t="str">
        <f>VLOOKUP(H1236,'Fund Utilization Report'!$A$4:$U$1800,13,FALSE)</f>
        <v>PS</v>
      </c>
      <c r="T1236" s="239" t="str">
        <f>VLOOKUP(H1236,'Fund Utilization Report'!$A$4:$U$1800,2,FALSE)</f>
        <v>GAA</v>
      </c>
      <c r="U1236" s="239" t="str">
        <f>VLOOKUP(H1236,'Fund Utilization Report'!$A$4:$U$1800,3,FALSE)</f>
        <v>FY2021, RA11518</v>
      </c>
      <c r="V1236" s="239" t="str">
        <f>VLOOKUP(H1236,'Fund Utilization Report'!$A$4:$U$1800,4,FALSE)</f>
        <v>OO1</v>
      </c>
      <c r="W1236" s="239" t="str">
        <f>VLOOKUP(H1236,'Fund Utilization Report'!$A$4:$U$1800,5,FALSE)</f>
        <v>01101101</v>
      </c>
      <c r="X1236" s="239" t="str">
        <f>VLOOKUP(H1236,'Fund Utilization Report'!$A$4:$U$1800,6,FALSE)</f>
        <v>GOP</v>
      </c>
      <c r="Y1236" s="440" t="str">
        <f>VLOOKUP(H1236,'Fund Utilization Report'!$A$4:$U$1800,7,FALSE)</f>
        <v>PS</v>
      </c>
      <c r="Z1236" s="441">
        <f>VLOOKUP(H1236,'Fund Utilization Report'!$A$4:$U$1800,8,FALSE)</f>
        <v>5010000000</v>
      </c>
      <c r="AA1236" s="239" t="str">
        <f>VLOOKUP(H1236,'Fund Utilization Report'!$A$4:$U$1800,14,FALSE)</f>
        <v>310100100002000</v>
      </c>
      <c r="AB1236" s="242" t="str">
        <f>VLOOKUP(H1236,'Fund Utilization Report'!$A$4:$U$1800,15,FALSE)</f>
        <v>Development,Facilitation, and promotion of exports and investment, domestic and foreign</v>
      </c>
      <c r="AC1236" s="51"/>
      <c r="AD1236" s="435"/>
      <c r="AE1236" s="51"/>
      <c r="AF1236" s="51"/>
      <c r="AG1236" s="442"/>
      <c r="AH1236" s="442"/>
      <c r="AI1236" s="443"/>
    </row>
    <row r="1237" spans="1:35" s="32" customFormat="1">
      <c r="A1237" s="434" t="s">
        <v>942</v>
      </c>
      <c r="B1237" s="457" t="s">
        <v>946</v>
      </c>
      <c r="C1237" s="233">
        <v>44271</v>
      </c>
      <c r="D1237" s="435" t="s">
        <v>1267</v>
      </c>
      <c r="E1237" s="436" t="s">
        <v>1440</v>
      </c>
      <c r="F1237" s="338">
        <v>0.46458333333333335</v>
      </c>
      <c r="G1237" s="338">
        <v>0.46597222222222223</v>
      </c>
      <c r="H1237" s="338" t="s">
        <v>967</v>
      </c>
      <c r="I1237" s="353">
        <v>715</v>
      </c>
      <c r="J1237" s="338" t="str">
        <f>IFERROR(VLOOKUP(I1237,'Chart of accounts'!A:H,2,FALSE),"")</f>
        <v>50102040 01</v>
      </c>
      <c r="K1237" s="338" t="str">
        <f>IFERROR(VLOOKUP(I1237,'Chart of accounts'!A:H,3,FALSE),"")</f>
        <v>Clothing/Uniform Allowance - Civilian</v>
      </c>
      <c r="L1237" s="338" t="str">
        <f>IFERROR(VLOOKUP(I1237,'Chart of accounts'!A:H,4,FALSE),"")</f>
        <v>50102040 01 - Clothing/Uniform Allowance - Civilian (715)</v>
      </c>
      <c r="M1237" s="361">
        <v>2</v>
      </c>
      <c r="N1237" s="355" t="s">
        <v>789</v>
      </c>
      <c r="O1237" s="355" t="s">
        <v>1439</v>
      </c>
      <c r="P1237" s="355"/>
      <c r="Q1237" s="363">
        <v>6000</v>
      </c>
      <c r="R1237" s="319" t="e">
        <f>#REF!-#REF!</f>
        <v>#REF!</v>
      </c>
      <c r="S1237" s="239" t="str">
        <f>VLOOKUP(H1237,'Fund Utilization Report'!$A$4:$U$1800,13,FALSE)</f>
        <v>PS</v>
      </c>
      <c r="T1237" s="239" t="str">
        <f>VLOOKUP(H1237,'Fund Utilization Report'!$A$4:$U$1800,2,FALSE)</f>
        <v>GAA</v>
      </c>
      <c r="U1237" s="239" t="str">
        <f>VLOOKUP(H1237,'Fund Utilization Report'!$A$4:$U$1800,3,FALSE)</f>
        <v>FY2021, RA11518</v>
      </c>
      <c r="V1237" s="239" t="str">
        <f>VLOOKUP(H1237,'Fund Utilization Report'!$A$4:$U$1800,4,FALSE)</f>
        <v>OO2</v>
      </c>
      <c r="W1237" s="239" t="str">
        <f>VLOOKUP(H1237,'Fund Utilization Report'!$A$4:$U$1800,5,FALSE)</f>
        <v>01101101</v>
      </c>
      <c r="X1237" s="239" t="str">
        <f>VLOOKUP(H1237,'Fund Utilization Report'!$A$4:$U$1800,6,FALSE)</f>
        <v>GOP</v>
      </c>
      <c r="Y1237" s="440" t="str">
        <f>VLOOKUP(H1237,'Fund Utilization Report'!$A$4:$U$1800,7,FALSE)</f>
        <v>PS</v>
      </c>
      <c r="Z1237" s="441">
        <f>VLOOKUP(H1237,'Fund Utilization Report'!$A$4:$U$1800,8,FALSE)</f>
        <v>5010000000</v>
      </c>
      <c r="AA1237" s="239" t="str">
        <f>VLOOKUP(H1237,'Fund Utilization Report'!$A$4:$U$1800,14,FALSE)</f>
        <v>320100100001000</v>
      </c>
      <c r="AB1237" s="242" t="str">
        <f>VLOOKUP(H1237,'Fund Utilization Report'!$A$4:$U$1800,15,FALSE)</f>
        <v>Formulation of Strategic plans,programs, and policies to develop competitve industries</v>
      </c>
      <c r="AC1237" s="51"/>
      <c r="AD1237" s="435"/>
      <c r="AE1237" s="51"/>
      <c r="AF1237" s="51"/>
      <c r="AG1237" s="442"/>
      <c r="AH1237" s="442"/>
      <c r="AI1237" s="443"/>
    </row>
    <row r="1238" spans="1:35" s="32" customFormat="1">
      <c r="A1238" s="434" t="s">
        <v>942</v>
      </c>
      <c r="B1238" s="457" t="s">
        <v>946</v>
      </c>
      <c r="C1238" s="233">
        <v>44271</v>
      </c>
      <c r="D1238" s="435" t="s">
        <v>1267</v>
      </c>
      <c r="E1238" s="436" t="s">
        <v>1440</v>
      </c>
      <c r="F1238" s="338">
        <v>0.46458333333333335</v>
      </c>
      <c r="G1238" s="338">
        <v>0.46597222222222223</v>
      </c>
      <c r="H1238" s="338" t="s">
        <v>970</v>
      </c>
      <c r="I1238" s="353">
        <v>715</v>
      </c>
      <c r="J1238" s="338" t="str">
        <f>IFERROR(VLOOKUP(I1238,'Chart of accounts'!A:H,2,FALSE),"")</f>
        <v>50102040 01</v>
      </c>
      <c r="K1238" s="338" t="str">
        <f>IFERROR(VLOOKUP(I1238,'Chart of accounts'!A:H,3,FALSE),"")</f>
        <v>Clothing/Uniform Allowance - Civilian</v>
      </c>
      <c r="L1238" s="338" t="str">
        <f>IFERROR(VLOOKUP(I1238,'Chart of accounts'!A:H,4,FALSE),"")</f>
        <v>50102040 01 - Clothing/Uniform Allowance - Civilian (715)</v>
      </c>
      <c r="M1238" s="361">
        <v>2</v>
      </c>
      <c r="N1238" s="355" t="s">
        <v>789</v>
      </c>
      <c r="O1238" s="355" t="s">
        <v>1439</v>
      </c>
      <c r="P1238" s="355"/>
      <c r="Q1238" s="363">
        <v>12000</v>
      </c>
      <c r="R1238" s="319" t="e">
        <f>#REF!-#REF!</f>
        <v>#REF!</v>
      </c>
      <c r="S1238" s="239" t="str">
        <f>VLOOKUP(H1238,'Fund Utilization Report'!$A$4:$U$1800,13,FALSE)</f>
        <v>PS</v>
      </c>
      <c r="T1238" s="239" t="str">
        <f>VLOOKUP(H1238,'Fund Utilization Report'!$A$4:$U$1800,2,FALSE)</f>
        <v>GAA</v>
      </c>
      <c r="U1238" s="239" t="str">
        <f>VLOOKUP(H1238,'Fund Utilization Report'!$A$4:$U$1800,3,FALSE)</f>
        <v>FY2021, RA11518</v>
      </c>
      <c r="V1238" s="239" t="str">
        <f>VLOOKUP(H1238,'Fund Utilization Report'!$A$4:$U$1800,4,FALSE)</f>
        <v>OO3</v>
      </c>
      <c r="W1238" s="239" t="str">
        <f>VLOOKUP(H1238,'Fund Utilization Report'!$A$4:$U$1800,5,FALSE)</f>
        <v>01101101</v>
      </c>
      <c r="X1238" s="239" t="str">
        <f>VLOOKUP(H1238,'Fund Utilization Report'!$A$4:$U$1800,6,FALSE)</f>
        <v>GOP</v>
      </c>
      <c r="Y1238" s="440" t="str">
        <f>VLOOKUP(H1238,'Fund Utilization Report'!$A$4:$U$1800,7,FALSE)</f>
        <v>PS</v>
      </c>
      <c r="Z1238" s="441">
        <f>VLOOKUP(H1238,'Fund Utilization Report'!$A$4:$U$1800,8,FALSE)</f>
        <v>5010000000</v>
      </c>
      <c r="AA1238" s="239" t="str">
        <f>VLOOKUP(H1238,'Fund Utilization Report'!$A$4:$U$1800,14,FALSE)</f>
        <v>330100100002000</v>
      </c>
      <c r="AB1238" s="242" t="str">
        <f>VLOOKUP(H1238,'Fund Utilization Report'!$A$4:$U$1800,15,FALSE)</f>
        <v>Implementation of the MSME Development Plan and other initiatives to promote the growth of Micro, Small and Medium Enterprises</v>
      </c>
      <c r="AC1238" s="51"/>
      <c r="AD1238" s="435"/>
      <c r="AE1238" s="51"/>
      <c r="AF1238" s="51"/>
      <c r="AG1238" s="442"/>
      <c r="AH1238" s="442"/>
      <c r="AI1238" s="443"/>
    </row>
    <row r="1239" spans="1:35" s="32" customFormat="1">
      <c r="A1239" s="434" t="s">
        <v>942</v>
      </c>
      <c r="B1239" s="457" t="s">
        <v>946</v>
      </c>
      <c r="C1239" s="233">
        <v>44271</v>
      </c>
      <c r="D1239" s="435" t="s">
        <v>1267</v>
      </c>
      <c r="E1239" s="436" t="s">
        <v>1440</v>
      </c>
      <c r="F1239" s="338">
        <v>0.46458333333333335</v>
      </c>
      <c r="G1239" s="338">
        <v>0.46597222222222223</v>
      </c>
      <c r="H1239" s="338" t="s">
        <v>973</v>
      </c>
      <c r="I1239" s="353">
        <v>715</v>
      </c>
      <c r="J1239" s="338" t="str">
        <f>IFERROR(VLOOKUP(I1239,'Chart of accounts'!A:H,2,FALSE),"")</f>
        <v>50102040 01</v>
      </c>
      <c r="K1239" s="338" t="str">
        <f>IFERROR(VLOOKUP(I1239,'Chart of accounts'!A:H,3,FALSE),"")</f>
        <v>Clothing/Uniform Allowance - Civilian</v>
      </c>
      <c r="L1239" s="338" t="str">
        <f>IFERROR(VLOOKUP(I1239,'Chart of accounts'!A:H,4,FALSE),"")</f>
        <v>50102040 01 - Clothing/Uniform Allowance - Civilian (715)</v>
      </c>
      <c r="M1239" s="361">
        <v>2</v>
      </c>
      <c r="N1239" s="355" t="s">
        <v>789</v>
      </c>
      <c r="O1239" s="355" t="s">
        <v>1439</v>
      </c>
      <c r="P1239" s="355"/>
      <c r="Q1239" s="363">
        <v>12000</v>
      </c>
      <c r="R1239" s="319" t="e">
        <f>#REF!-#REF!</f>
        <v>#REF!</v>
      </c>
      <c r="S1239" s="239" t="str">
        <f>VLOOKUP(H1239,'Fund Utilization Report'!$A$4:$U$1800,13,FALSE)</f>
        <v>PS</v>
      </c>
      <c r="T1239" s="239" t="str">
        <f>VLOOKUP(H1239,'Fund Utilization Report'!$A$4:$U$1800,2,FALSE)</f>
        <v>GAA</v>
      </c>
      <c r="U1239" s="239" t="str">
        <f>VLOOKUP(H1239,'Fund Utilization Report'!$A$4:$U$1800,3,FALSE)</f>
        <v>FY2021, RA11518</v>
      </c>
      <c r="V1239" s="239" t="str">
        <f>VLOOKUP(H1239,'Fund Utilization Report'!$A$4:$U$1800,4,FALSE)</f>
        <v>OO4.1(FTL)</v>
      </c>
      <c r="W1239" s="239" t="str">
        <f>VLOOKUP(H1239,'Fund Utilization Report'!$A$4:$U$1800,5,FALSE)</f>
        <v>01101101</v>
      </c>
      <c r="X1239" s="239" t="str">
        <f>VLOOKUP(H1239,'Fund Utilization Report'!$A$4:$U$1800,6,FALSE)</f>
        <v>GOP</v>
      </c>
      <c r="Y1239" s="440" t="str">
        <f>VLOOKUP(H1239,'Fund Utilization Report'!$A$4:$U$1800,7,FALSE)</f>
        <v>PS</v>
      </c>
      <c r="Z1239" s="441">
        <f>VLOOKUP(H1239,'Fund Utilization Report'!$A$4:$U$1800,8,FALSE)</f>
        <v>5010000000</v>
      </c>
      <c r="AA1239" s="239" t="str">
        <f>VLOOKUP(H1239,'Fund Utilization Report'!$A$4:$U$1800,14,FALSE)</f>
        <v>340100100002000</v>
      </c>
      <c r="AB1239" s="242" t="str">
        <f>VLOOKUP(H1239,'Fund Utilization Report'!$A$4:$U$1800,15,FALSE)</f>
        <v>Monitoring and Enforcement of FTL including consumer complaints handling</v>
      </c>
      <c r="AC1239" s="51"/>
      <c r="AD1239" s="435"/>
      <c r="AE1239" s="51"/>
      <c r="AF1239" s="51"/>
      <c r="AG1239" s="442"/>
      <c r="AH1239" s="442"/>
      <c r="AI1239" s="443"/>
    </row>
    <row r="1240" spans="1:35" s="32" customFormat="1">
      <c r="A1240" s="434" t="s">
        <v>942</v>
      </c>
      <c r="B1240" s="457" t="s">
        <v>946</v>
      </c>
      <c r="C1240" s="233">
        <v>44271</v>
      </c>
      <c r="D1240" s="435" t="s">
        <v>1267</v>
      </c>
      <c r="E1240" s="436" t="s">
        <v>1440</v>
      </c>
      <c r="F1240" s="338">
        <v>0.46458333333333335</v>
      </c>
      <c r="G1240" s="338">
        <v>0.46597222222222223</v>
      </c>
      <c r="H1240" s="338" t="s">
        <v>976</v>
      </c>
      <c r="I1240" s="353">
        <v>715</v>
      </c>
      <c r="J1240" s="338" t="str">
        <f>IFERROR(VLOOKUP(I1240,'Chart of accounts'!A:H,2,FALSE),"")</f>
        <v>50102040 01</v>
      </c>
      <c r="K1240" s="338" t="str">
        <f>IFERROR(VLOOKUP(I1240,'Chart of accounts'!A:H,3,FALSE),"")</f>
        <v>Clothing/Uniform Allowance - Civilian</v>
      </c>
      <c r="L1240" s="338" t="str">
        <f>IFERROR(VLOOKUP(I1240,'Chart of accounts'!A:H,4,FALSE),"")</f>
        <v>50102040 01 - Clothing/Uniform Allowance - Civilian (715)</v>
      </c>
      <c r="M1240" s="361">
        <v>2</v>
      </c>
      <c r="N1240" s="355" t="s">
        <v>789</v>
      </c>
      <c r="O1240" s="355" t="s">
        <v>1439</v>
      </c>
      <c r="P1240" s="355"/>
      <c r="Q1240" s="363">
        <v>6000</v>
      </c>
      <c r="R1240" s="319" t="e">
        <f>#REF!-#REF!</f>
        <v>#REF!</v>
      </c>
      <c r="S1240" s="239" t="str">
        <f>VLOOKUP(H1240,'Fund Utilization Report'!$A$4:$U$1800,13,FALSE)</f>
        <v>PS</v>
      </c>
      <c r="T1240" s="239" t="str">
        <f>VLOOKUP(H1240,'Fund Utilization Report'!$A$4:$U$1800,2,FALSE)</f>
        <v>GAA</v>
      </c>
      <c r="U1240" s="239" t="str">
        <f>VLOOKUP(H1240,'Fund Utilization Report'!$A$4:$U$1800,3,FALSE)</f>
        <v>FY2021, RA11518</v>
      </c>
      <c r="V1240" s="239" t="str">
        <f>VLOOKUP(H1240,'Fund Utilization Report'!$A$4:$U$1800,4,FALSE)</f>
        <v>OO4.1(Acc)</v>
      </c>
      <c r="W1240" s="239" t="str">
        <f>VLOOKUP(H1240,'Fund Utilization Report'!$A$4:$U$1800,5,FALSE)</f>
        <v>01101101</v>
      </c>
      <c r="X1240" s="239" t="str">
        <f>VLOOKUP(H1240,'Fund Utilization Report'!$A$4:$U$1800,6,FALSE)</f>
        <v>GOP</v>
      </c>
      <c r="Y1240" s="440" t="str">
        <f>VLOOKUP(H1240,'Fund Utilization Report'!$A$4:$U$1800,7,FALSE)</f>
        <v>PS</v>
      </c>
      <c r="Z1240" s="441">
        <f>VLOOKUP(H1240,'Fund Utilization Report'!$A$4:$U$1800,8,FALSE)</f>
        <v>5010000000</v>
      </c>
      <c r="AA1240" s="239" t="str">
        <f>VLOOKUP(H1240,'Fund Utilization Report'!$A$4:$U$1800,14,FALSE)</f>
        <v>340100100003000</v>
      </c>
      <c r="AB1240" s="242" t="str">
        <f>VLOOKUP(H1240,'Fund Utilization Report'!$A$4:$U$1800,15,FALSE)</f>
        <v>Accreditation and Issuance of Business Licenses, Permits, registration and authorities</v>
      </c>
      <c r="AC1240" s="51"/>
      <c r="AD1240" s="435"/>
      <c r="AE1240" s="51"/>
      <c r="AF1240" s="51"/>
      <c r="AG1240" s="442"/>
      <c r="AH1240" s="442"/>
      <c r="AI1240" s="443"/>
    </row>
    <row r="1241" spans="1:35" s="32" customFormat="1">
      <c r="A1241" s="434" t="s">
        <v>942</v>
      </c>
      <c r="B1241" s="457" t="s">
        <v>946</v>
      </c>
      <c r="C1241" s="233">
        <v>44271</v>
      </c>
      <c r="D1241" s="435" t="s">
        <v>1267</v>
      </c>
      <c r="E1241" s="436" t="s">
        <v>1441</v>
      </c>
      <c r="F1241" s="338">
        <v>0.46597222222222223</v>
      </c>
      <c r="G1241" s="338">
        <v>0.46736111111111112</v>
      </c>
      <c r="H1241" s="338" t="s">
        <v>960</v>
      </c>
      <c r="I1241" s="353">
        <v>715</v>
      </c>
      <c r="J1241" s="338" t="str">
        <f>IFERROR(VLOOKUP(I1241,'Chart of accounts'!A:H,2,FALSE),"")</f>
        <v>50102040 01</v>
      </c>
      <c r="K1241" s="338" t="str">
        <f>IFERROR(VLOOKUP(I1241,'Chart of accounts'!A:H,3,FALSE),"")</f>
        <v>Clothing/Uniform Allowance - Civilian</v>
      </c>
      <c r="L1241" s="338" t="str">
        <f>IFERROR(VLOOKUP(I1241,'Chart of accounts'!A:H,4,FALSE),"")</f>
        <v>50102040 01 - Clothing/Uniform Allowance - Civilian (715)</v>
      </c>
      <c r="M1241" s="361">
        <v>3</v>
      </c>
      <c r="N1241" s="355" t="s">
        <v>777</v>
      </c>
      <c r="O1241" s="355" t="s">
        <v>1439</v>
      </c>
      <c r="P1241" s="355"/>
      <c r="Q1241" s="363">
        <f>6000*4</f>
        <v>24000</v>
      </c>
      <c r="R1241" s="319" t="e">
        <f>#REF!-#REF!</f>
        <v>#REF!</v>
      </c>
      <c r="S1241" s="239" t="str">
        <f>VLOOKUP(H1241,'Fund Utilization Report'!$A$4:$U$1800,13,FALSE)</f>
        <v>PS</v>
      </c>
      <c r="T1241" s="239" t="str">
        <f>VLOOKUP(H1241,'Fund Utilization Report'!$A$4:$U$1800,2,FALSE)</f>
        <v>GAA</v>
      </c>
      <c r="U1241" s="239" t="str">
        <f>VLOOKUP(H1241,'Fund Utilization Report'!$A$4:$U$1800,3,FALSE)</f>
        <v>FY2021, RA11518</v>
      </c>
      <c r="V1241" s="239" t="str">
        <f>VLOOKUP(H1241,'Fund Utilization Report'!$A$4:$U$1800,4,FALSE)</f>
        <v>GAS(GMS)</v>
      </c>
      <c r="W1241" s="239" t="str">
        <f>VLOOKUP(H1241,'Fund Utilization Report'!$A$4:$U$1800,5,FALSE)</f>
        <v>01101101</v>
      </c>
      <c r="X1241" s="239" t="str">
        <f>VLOOKUP(H1241,'Fund Utilization Report'!$A$4:$U$1800,6,FALSE)</f>
        <v>GOP</v>
      </c>
      <c r="Y1241" s="440" t="str">
        <f>VLOOKUP(H1241,'Fund Utilization Report'!$A$4:$U$1800,7,FALSE)</f>
        <v>PS</v>
      </c>
      <c r="Z1241" s="441">
        <f>VLOOKUP(H1241,'Fund Utilization Report'!$A$4:$U$1800,8,FALSE)</f>
        <v>5010000000</v>
      </c>
      <c r="AA1241" s="239" t="str">
        <f>VLOOKUP(H1241,'Fund Utilization Report'!$A$4:$U$1800,14,FALSE)</f>
        <v>100000100001000</v>
      </c>
      <c r="AB1241" s="242" t="str">
        <f>VLOOKUP(H1241,'Fund Utilization Report'!$A$4:$U$1800,15,FALSE)</f>
        <v>General Administration and Supervision - General Management and Supervision</v>
      </c>
      <c r="AC1241" s="51"/>
      <c r="AD1241" s="435"/>
      <c r="AE1241" s="51"/>
      <c r="AF1241" s="51"/>
      <c r="AG1241" s="442"/>
      <c r="AH1241" s="442"/>
      <c r="AI1241" s="443"/>
    </row>
    <row r="1242" spans="1:35" s="32" customFormat="1">
      <c r="A1242" s="434" t="s">
        <v>942</v>
      </c>
      <c r="B1242" s="457" t="s">
        <v>946</v>
      </c>
      <c r="C1242" s="233">
        <v>44271</v>
      </c>
      <c r="D1242" s="435" t="s">
        <v>1267</v>
      </c>
      <c r="E1242" s="436" t="s">
        <v>1441</v>
      </c>
      <c r="F1242" s="338">
        <v>0.46597222222222223</v>
      </c>
      <c r="G1242" s="338">
        <v>0.46736111111111112</v>
      </c>
      <c r="H1242" s="338" t="s">
        <v>964</v>
      </c>
      <c r="I1242" s="353">
        <v>715</v>
      </c>
      <c r="J1242" s="338" t="str">
        <f>IFERROR(VLOOKUP(I1242,'Chart of accounts'!A:H,2,FALSE),"")</f>
        <v>50102040 01</v>
      </c>
      <c r="K1242" s="338" t="str">
        <f>IFERROR(VLOOKUP(I1242,'Chart of accounts'!A:H,3,FALSE),"")</f>
        <v>Clothing/Uniform Allowance - Civilian</v>
      </c>
      <c r="L1242" s="338" t="str">
        <f>IFERROR(VLOOKUP(I1242,'Chart of accounts'!A:H,4,FALSE),"")</f>
        <v>50102040 01 - Clothing/Uniform Allowance - Civilian (715)</v>
      </c>
      <c r="M1242" s="361">
        <v>3</v>
      </c>
      <c r="N1242" s="355" t="s">
        <v>777</v>
      </c>
      <c r="O1242" s="355" t="s">
        <v>1439</v>
      </c>
      <c r="P1242" s="355"/>
      <c r="Q1242" s="363">
        <v>6000</v>
      </c>
      <c r="R1242" s="319" t="e">
        <f>#REF!-#REF!</f>
        <v>#REF!</v>
      </c>
      <c r="S1242" s="239" t="str">
        <f>VLOOKUP(H1242,'Fund Utilization Report'!$A$4:$U$1800,13,FALSE)</f>
        <v>PS</v>
      </c>
      <c r="T1242" s="239" t="str">
        <f>VLOOKUP(H1242,'Fund Utilization Report'!$A$4:$U$1800,2,FALSE)</f>
        <v>GAA</v>
      </c>
      <c r="U1242" s="239" t="str">
        <f>VLOOKUP(H1242,'Fund Utilization Report'!$A$4:$U$1800,3,FALSE)</f>
        <v>FY2021, RA11518</v>
      </c>
      <c r="V1242" s="239" t="str">
        <f>VLOOKUP(H1242,'Fund Utilization Report'!$A$4:$U$1800,4,FALSE)</f>
        <v>OO1</v>
      </c>
      <c r="W1242" s="239" t="str">
        <f>VLOOKUP(H1242,'Fund Utilization Report'!$A$4:$U$1800,5,FALSE)</f>
        <v>01101101</v>
      </c>
      <c r="X1242" s="239" t="str">
        <f>VLOOKUP(H1242,'Fund Utilization Report'!$A$4:$U$1800,6,FALSE)</f>
        <v>GOP</v>
      </c>
      <c r="Y1242" s="440" t="str">
        <f>VLOOKUP(H1242,'Fund Utilization Report'!$A$4:$U$1800,7,FALSE)</f>
        <v>PS</v>
      </c>
      <c r="Z1242" s="441">
        <f>VLOOKUP(H1242,'Fund Utilization Report'!$A$4:$U$1800,8,FALSE)</f>
        <v>5010000000</v>
      </c>
      <c r="AA1242" s="239" t="str">
        <f>VLOOKUP(H1242,'Fund Utilization Report'!$A$4:$U$1800,14,FALSE)</f>
        <v>310100100002000</v>
      </c>
      <c r="AB1242" s="242" t="str">
        <f>VLOOKUP(H1242,'Fund Utilization Report'!$A$4:$U$1800,15,FALSE)</f>
        <v>Development,Facilitation, and promotion of exports and investment, domestic and foreign</v>
      </c>
      <c r="AC1242" s="51"/>
      <c r="AD1242" s="435"/>
      <c r="AE1242" s="51"/>
      <c r="AF1242" s="51"/>
      <c r="AG1242" s="442"/>
      <c r="AH1242" s="442"/>
      <c r="AI1242" s="443"/>
    </row>
    <row r="1243" spans="1:35" s="32" customFormat="1">
      <c r="A1243" s="434" t="s">
        <v>942</v>
      </c>
      <c r="B1243" s="457" t="s">
        <v>946</v>
      </c>
      <c r="C1243" s="233">
        <v>44271</v>
      </c>
      <c r="D1243" s="435" t="s">
        <v>1267</v>
      </c>
      <c r="E1243" s="436" t="s">
        <v>1441</v>
      </c>
      <c r="F1243" s="338">
        <v>0.46597222222222223</v>
      </c>
      <c r="G1243" s="338">
        <v>0.46736111111111112</v>
      </c>
      <c r="H1243" s="338" t="s">
        <v>970</v>
      </c>
      <c r="I1243" s="353">
        <v>715</v>
      </c>
      <c r="J1243" s="338" t="str">
        <f>IFERROR(VLOOKUP(I1243,'Chart of accounts'!A:H,2,FALSE),"")</f>
        <v>50102040 01</v>
      </c>
      <c r="K1243" s="338" t="str">
        <f>IFERROR(VLOOKUP(I1243,'Chart of accounts'!A:H,3,FALSE),"")</f>
        <v>Clothing/Uniform Allowance - Civilian</v>
      </c>
      <c r="L1243" s="338" t="str">
        <f>IFERROR(VLOOKUP(I1243,'Chart of accounts'!A:H,4,FALSE),"")</f>
        <v>50102040 01 - Clothing/Uniform Allowance - Civilian (715)</v>
      </c>
      <c r="M1243" s="361">
        <v>3</v>
      </c>
      <c r="N1243" s="355" t="s">
        <v>777</v>
      </c>
      <c r="O1243" s="355" t="s">
        <v>1439</v>
      </c>
      <c r="P1243" s="355"/>
      <c r="Q1243" s="363">
        <v>12000</v>
      </c>
      <c r="R1243" s="319" t="e">
        <f>#REF!-#REF!</f>
        <v>#REF!</v>
      </c>
      <c r="S1243" s="239" t="str">
        <f>VLOOKUP(H1243,'Fund Utilization Report'!$A$4:$U$1800,13,FALSE)</f>
        <v>PS</v>
      </c>
      <c r="T1243" s="239" t="str">
        <f>VLOOKUP(H1243,'Fund Utilization Report'!$A$4:$U$1800,2,FALSE)</f>
        <v>GAA</v>
      </c>
      <c r="U1243" s="239" t="str">
        <f>VLOOKUP(H1243,'Fund Utilization Report'!$A$4:$U$1800,3,FALSE)</f>
        <v>FY2021, RA11518</v>
      </c>
      <c r="V1243" s="239" t="str">
        <f>VLOOKUP(H1243,'Fund Utilization Report'!$A$4:$U$1800,4,FALSE)</f>
        <v>OO3</v>
      </c>
      <c r="W1243" s="239" t="str">
        <f>VLOOKUP(H1243,'Fund Utilization Report'!$A$4:$U$1800,5,FALSE)</f>
        <v>01101101</v>
      </c>
      <c r="X1243" s="239" t="str">
        <f>VLOOKUP(H1243,'Fund Utilization Report'!$A$4:$U$1800,6,FALSE)</f>
        <v>GOP</v>
      </c>
      <c r="Y1243" s="440" t="str">
        <f>VLOOKUP(H1243,'Fund Utilization Report'!$A$4:$U$1800,7,FALSE)</f>
        <v>PS</v>
      </c>
      <c r="Z1243" s="441">
        <f>VLOOKUP(H1243,'Fund Utilization Report'!$A$4:$U$1800,8,FALSE)</f>
        <v>5010000000</v>
      </c>
      <c r="AA1243" s="239" t="str">
        <f>VLOOKUP(H1243,'Fund Utilization Report'!$A$4:$U$1800,14,FALSE)</f>
        <v>330100100002000</v>
      </c>
      <c r="AB1243" s="242" t="str">
        <f>VLOOKUP(H1243,'Fund Utilization Report'!$A$4:$U$1800,15,FALSE)</f>
        <v>Implementation of the MSME Development Plan and other initiatives to promote the growth of Micro, Small and Medium Enterprises</v>
      </c>
      <c r="AC1243" s="51"/>
      <c r="AD1243" s="435"/>
      <c r="AE1243" s="51"/>
      <c r="AF1243" s="51"/>
      <c r="AG1243" s="442"/>
      <c r="AH1243" s="442"/>
      <c r="AI1243" s="443"/>
    </row>
    <row r="1244" spans="1:35" s="32" customFormat="1">
      <c r="A1244" s="434" t="s">
        <v>942</v>
      </c>
      <c r="B1244" s="457" t="s">
        <v>946</v>
      </c>
      <c r="C1244" s="233">
        <v>44271</v>
      </c>
      <c r="D1244" s="435" t="s">
        <v>1267</v>
      </c>
      <c r="E1244" s="436" t="s">
        <v>1441</v>
      </c>
      <c r="F1244" s="338">
        <v>0.46597222222222223</v>
      </c>
      <c r="G1244" s="338">
        <v>0.46736111111111112</v>
      </c>
      <c r="H1244" s="338" t="s">
        <v>973</v>
      </c>
      <c r="I1244" s="353">
        <v>715</v>
      </c>
      <c r="J1244" s="338" t="str">
        <f>IFERROR(VLOOKUP(I1244,'Chart of accounts'!A:H,2,FALSE),"")</f>
        <v>50102040 01</v>
      </c>
      <c r="K1244" s="338" t="str">
        <f>IFERROR(VLOOKUP(I1244,'Chart of accounts'!A:H,3,FALSE),"")</f>
        <v>Clothing/Uniform Allowance - Civilian</v>
      </c>
      <c r="L1244" s="338" t="str">
        <f>IFERROR(VLOOKUP(I1244,'Chart of accounts'!A:H,4,FALSE),"")</f>
        <v>50102040 01 - Clothing/Uniform Allowance - Civilian (715)</v>
      </c>
      <c r="M1244" s="361">
        <v>3</v>
      </c>
      <c r="N1244" s="355" t="s">
        <v>777</v>
      </c>
      <c r="O1244" s="355" t="s">
        <v>1439</v>
      </c>
      <c r="P1244" s="355"/>
      <c r="Q1244" s="363">
        <v>18000</v>
      </c>
      <c r="R1244" s="319" t="e">
        <f>#REF!-#REF!</f>
        <v>#REF!</v>
      </c>
      <c r="S1244" s="239" t="str">
        <f>VLOOKUP(H1244,'Fund Utilization Report'!$A$4:$U$1800,13,FALSE)</f>
        <v>PS</v>
      </c>
      <c r="T1244" s="239" t="str">
        <f>VLOOKUP(H1244,'Fund Utilization Report'!$A$4:$U$1800,2,FALSE)</f>
        <v>GAA</v>
      </c>
      <c r="U1244" s="239" t="str">
        <f>VLOOKUP(H1244,'Fund Utilization Report'!$A$4:$U$1800,3,FALSE)</f>
        <v>FY2021, RA11518</v>
      </c>
      <c r="V1244" s="239" t="str">
        <f>VLOOKUP(H1244,'Fund Utilization Report'!$A$4:$U$1800,4,FALSE)</f>
        <v>OO4.1(FTL)</v>
      </c>
      <c r="W1244" s="239" t="str">
        <f>VLOOKUP(H1244,'Fund Utilization Report'!$A$4:$U$1800,5,FALSE)</f>
        <v>01101101</v>
      </c>
      <c r="X1244" s="239" t="str">
        <f>VLOOKUP(H1244,'Fund Utilization Report'!$A$4:$U$1800,6,FALSE)</f>
        <v>GOP</v>
      </c>
      <c r="Y1244" s="440" t="str">
        <f>VLOOKUP(H1244,'Fund Utilization Report'!$A$4:$U$1800,7,FALSE)</f>
        <v>PS</v>
      </c>
      <c r="Z1244" s="441">
        <f>VLOOKUP(H1244,'Fund Utilization Report'!$A$4:$U$1800,8,FALSE)</f>
        <v>5010000000</v>
      </c>
      <c r="AA1244" s="239" t="str">
        <f>VLOOKUP(H1244,'Fund Utilization Report'!$A$4:$U$1800,14,FALSE)</f>
        <v>340100100002000</v>
      </c>
      <c r="AB1244" s="242" t="str">
        <f>VLOOKUP(H1244,'Fund Utilization Report'!$A$4:$U$1800,15,FALSE)</f>
        <v>Monitoring and Enforcement of FTL including consumer complaints handling</v>
      </c>
      <c r="AC1244" s="51"/>
      <c r="AD1244" s="435"/>
      <c r="AE1244" s="51"/>
      <c r="AF1244" s="51"/>
      <c r="AG1244" s="442"/>
      <c r="AH1244" s="442"/>
      <c r="AI1244" s="443"/>
    </row>
    <row r="1245" spans="1:35" s="32" customFormat="1">
      <c r="A1245" s="434" t="s">
        <v>942</v>
      </c>
      <c r="B1245" s="457" t="s">
        <v>946</v>
      </c>
      <c r="C1245" s="233">
        <v>44271</v>
      </c>
      <c r="D1245" s="435" t="s">
        <v>1267</v>
      </c>
      <c r="E1245" s="436" t="s">
        <v>1442</v>
      </c>
      <c r="F1245" s="338">
        <v>0.46736111111111112</v>
      </c>
      <c r="G1245" s="338">
        <v>0.47083333333333338</v>
      </c>
      <c r="H1245" s="338" t="s">
        <v>960</v>
      </c>
      <c r="I1245" s="353">
        <v>715</v>
      </c>
      <c r="J1245" s="338" t="str">
        <f>IFERROR(VLOOKUP(I1245,'Chart of accounts'!A:H,2,FALSE),"")</f>
        <v>50102040 01</v>
      </c>
      <c r="K1245" s="338" t="str">
        <f>IFERROR(VLOOKUP(I1245,'Chart of accounts'!A:H,3,FALSE),"")</f>
        <v>Clothing/Uniform Allowance - Civilian</v>
      </c>
      <c r="L1245" s="338" t="str">
        <f>IFERROR(VLOOKUP(I1245,'Chart of accounts'!A:H,4,FALSE),"")</f>
        <v>50102040 01 - Clothing/Uniform Allowance - Civilian (715)</v>
      </c>
      <c r="M1245" s="361">
        <v>68</v>
      </c>
      <c r="N1245" s="355" t="s">
        <v>764</v>
      </c>
      <c r="O1245" s="355" t="s">
        <v>1439</v>
      </c>
      <c r="P1245" s="355"/>
      <c r="Q1245" s="363">
        <f>4*6000</f>
        <v>24000</v>
      </c>
      <c r="R1245" s="428" t="e">
        <f>#REF!-#REF!</f>
        <v>#REF!</v>
      </c>
      <c r="S1245" s="239" t="str">
        <f>VLOOKUP(H1245,'Fund Utilization Report'!$A$4:$U$1800,13,FALSE)</f>
        <v>PS</v>
      </c>
      <c r="T1245" s="239" t="str">
        <f>VLOOKUP(H1245,'Fund Utilization Report'!$A$4:$U$1800,2,FALSE)</f>
        <v>GAA</v>
      </c>
      <c r="U1245" s="239" t="str">
        <f>VLOOKUP(H1245,'Fund Utilization Report'!$A$4:$U$1800,3,FALSE)</f>
        <v>FY2021, RA11518</v>
      </c>
      <c r="V1245" s="239" t="str">
        <f>VLOOKUP(H1245,'Fund Utilization Report'!$A$4:$U$1800,4,FALSE)</f>
        <v>GAS(GMS)</v>
      </c>
      <c r="W1245" s="239" t="str">
        <f>VLOOKUP(H1245,'Fund Utilization Report'!$A$4:$U$1800,5,FALSE)</f>
        <v>01101101</v>
      </c>
      <c r="X1245" s="239" t="str">
        <f>VLOOKUP(H1245,'Fund Utilization Report'!$A$4:$U$1800,6,FALSE)</f>
        <v>GOP</v>
      </c>
      <c r="Y1245" s="440" t="str">
        <f>VLOOKUP(H1245,'Fund Utilization Report'!$A$4:$U$1800,7,FALSE)</f>
        <v>PS</v>
      </c>
      <c r="Z1245" s="441">
        <f>VLOOKUP(H1245,'Fund Utilization Report'!$A$4:$U$1800,8,FALSE)</f>
        <v>5010000000</v>
      </c>
      <c r="AA1245" s="239" t="str">
        <f>VLOOKUP(H1245,'Fund Utilization Report'!$A$4:$U$1800,14,FALSE)</f>
        <v>100000100001000</v>
      </c>
      <c r="AB1245" s="242" t="str">
        <f>VLOOKUP(H1245,'Fund Utilization Report'!$A$4:$U$1800,15,FALSE)</f>
        <v>General Administration and Supervision - General Management and Supervision</v>
      </c>
      <c r="AC1245" s="51"/>
      <c r="AD1245" s="435"/>
      <c r="AE1245" s="51"/>
      <c r="AF1245" s="51"/>
      <c r="AG1245" s="442"/>
      <c r="AH1245" s="442"/>
      <c r="AI1245" s="443"/>
    </row>
    <row r="1246" spans="1:35" s="32" customFormat="1">
      <c r="A1246" s="434" t="s">
        <v>942</v>
      </c>
      <c r="B1246" s="457" t="s">
        <v>946</v>
      </c>
      <c r="C1246" s="233">
        <v>44271</v>
      </c>
      <c r="D1246" s="435" t="s">
        <v>1267</v>
      </c>
      <c r="E1246" s="436" t="s">
        <v>1442</v>
      </c>
      <c r="F1246" s="338">
        <v>0.46736111111111112</v>
      </c>
      <c r="G1246" s="338">
        <v>0.47083333333333338</v>
      </c>
      <c r="H1246" s="338" t="s">
        <v>964</v>
      </c>
      <c r="I1246" s="353">
        <v>715</v>
      </c>
      <c r="J1246" s="338" t="str">
        <f>IFERROR(VLOOKUP(I1246,'Chart of accounts'!A:H,2,FALSE),"")</f>
        <v>50102040 01</v>
      </c>
      <c r="K1246" s="338" t="str">
        <f>IFERROR(VLOOKUP(I1246,'Chart of accounts'!A:H,3,FALSE),"")</f>
        <v>Clothing/Uniform Allowance - Civilian</v>
      </c>
      <c r="L1246" s="338" t="str">
        <f>IFERROR(VLOOKUP(I1246,'Chart of accounts'!A:H,4,FALSE),"")</f>
        <v>50102040 01 - Clothing/Uniform Allowance - Civilian (715)</v>
      </c>
      <c r="M1246" s="361">
        <v>68</v>
      </c>
      <c r="N1246" s="355" t="s">
        <v>764</v>
      </c>
      <c r="O1246" s="355" t="s">
        <v>1439</v>
      </c>
      <c r="P1246" s="355"/>
      <c r="Q1246" s="363">
        <v>6000</v>
      </c>
      <c r="R1246" s="428" t="e">
        <f>#REF!-#REF!</f>
        <v>#REF!</v>
      </c>
      <c r="S1246" s="239" t="str">
        <f>VLOOKUP(H1246,'Fund Utilization Report'!$A$4:$U$1800,13,FALSE)</f>
        <v>PS</v>
      </c>
      <c r="T1246" s="239" t="str">
        <f>VLOOKUP(H1246,'Fund Utilization Report'!$A$4:$U$1800,2,FALSE)</f>
        <v>GAA</v>
      </c>
      <c r="U1246" s="239" t="str">
        <f>VLOOKUP(H1246,'Fund Utilization Report'!$A$4:$U$1800,3,FALSE)</f>
        <v>FY2021, RA11518</v>
      </c>
      <c r="V1246" s="239" t="str">
        <f>VLOOKUP(H1246,'Fund Utilization Report'!$A$4:$U$1800,4,FALSE)</f>
        <v>OO1</v>
      </c>
      <c r="W1246" s="239" t="str">
        <f>VLOOKUP(H1246,'Fund Utilization Report'!$A$4:$U$1800,5,FALSE)</f>
        <v>01101101</v>
      </c>
      <c r="X1246" s="239" t="str">
        <f>VLOOKUP(H1246,'Fund Utilization Report'!$A$4:$U$1800,6,FALSE)</f>
        <v>GOP</v>
      </c>
      <c r="Y1246" s="440" t="str">
        <f>VLOOKUP(H1246,'Fund Utilization Report'!$A$4:$U$1800,7,FALSE)</f>
        <v>PS</v>
      </c>
      <c r="Z1246" s="441">
        <f>VLOOKUP(H1246,'Fund Utilization Report'!$A$4:$U$1800,8,FALSE)</f>
        <v>5010000000</v>
      </c>
      <c r="AA1246" s="239" t="str">
        <f>VLOOKUP(H1246,'Fund Utilization Report'!$A$4:$U$1800,14,FALSE)</f>
        <v>310100100002000</v>
      </c>
      <c r="AB1246" s="242" t="str">
        <f>VLOOKUP(H1246,'Fund Utilization Report'!$A$4:$U$1800,15,FALSE)</f>
        <v>Development,Facilitation, and promotion of exports and investment, domestic and foreign</v>
      </c>
      <c r="AC1246" s="51"/>
      <c r="AD1246" s="435"/>
      <c r="AE1246" s="51"/>
      <c r="AF1246" s="51"/>
      <c r="AG1246" s="442"/>
      <c r="AH1246" s="442"/>
      <c r="AI1246" s="443"/>
    </row>
    <row r="1247" spans="1:35" s="32" customFormat="1">
      <c r="A1247" s="434" t="s">
        <v>942</v>
      </c>
      <c r="B1247" s="457" t="s">
        <v>946</v>
      </c>
      <c r="C1247" s="233">
        <v>44271</v>
      </c>
      <c r="D1247" s="435" t="s">
        <v>1267</v>
      </c>
      <c r="E1247" s="436" t="s">
        <v>1442</v>
      </c>
      <c r="F1247" s="338">
        <v>0.46736111111111112</v>
      </c>
      <c r="G1247" s="338">
        <v>0.47083333333333338</v>
      </c>
      <c r="H1247" s="338" t="s">
        <v>970</v>
      </c>
      <c r="I1247" s="353">
        <v>715</v>
      </c>
      <c r="J1247" s="338" t="str">
        <f>IFERROR(VLOOKUP(I1247,'Chart of accounts'!A:H,2,FALSE),"")</f>
        <v>50102040 01</v>
      </c>
      <c r="K1247" s="338" t="str">
        <f>IFERROR(VLOOKUP(I1247,'Chart of accounts'!A:H,3,FALSE),"")</f>
        <v>Clothing/Uniform Allowance - Civilian</v>
      </c>
      <c r="L1247" s="338" t="str">
        <f>IFERROR(VLOOKUP(I1247,'Chart of accounts'!A:H,4,FALSE),"")</f>
        <v>50102040 01 - Clothing/Uniform Allowance - Civilian (715)</v>
      </c>
      <c r="M1247" s="361">
        <v>68</v>
      </c>
      <c r="N1247" s="355" t="s">
        <v>764</v>
      </c>
      <c r="O1247" s="355" t="s">
        <v>1439</v>
      </c>
      <c r="P1247" s="355"/>
      <c r="Q1247" s="363">
        <f>3*6000</f>
        <v>18000</v>
      </c>
      <c r="R1247" s="428" t="e">
        <f>#REF!-#REF!</f>
        <v>#REF!</v>
      </c>
      <c r="S1247" s="239" t="str">
        <f>VLOOKUP(H1247,'Fund Utilization Report'!$A$4:$U$1800,13,FALSE)</f>
        <v>PS</v>
      </c>
      <c r="T1247" s="239" t="str">
        <f>VLOOKUP(H1247,'Fund Utilization Report'!$A$4:$U$1800,2,FALSE)</f>
        <v>GAA</v>
      </c>
      <c r="U1247" s="239" t="str">
        <f>VLOOKUP(H1247,'Fund Utilization Report'!$A$4:$U$1800,3,FALSE)</f>
        <v>FY2021, RA11518</v>
      </c>
      <c r="V1247" s="239" t="str">
        <f>VLOOKUP(H1247,'Fund Utilization Report'!$A$4:$U$1800,4,FALSE)</f>
        <v>OO3</v>
      </c>
      <c r="W1247" s="239" t="str">
        <f>VLOOKUP(H1247,'Fund Utilization Report'!$A$4:$U$1800,5,FALSE)</f>
        <v>01101101</v>
      </c>
      <c r="X1247" s="239" t="str">
        <f>VLOOKUP(H1247,'Fund Utilization Report'!$A$4:$U$1800,6,FALSE)</f>
        <v>GOP</v>
      </c>
      <c r="Y1247" s="440" t="str">
        <f>VLOOKUP(H1247,'Fund Utilization Report'!$A$4:$U$1800,7,FALSE)</f>
        <v>PS</v>
      </c>
      <c r="Z1247" s="441">
        <f>VLOOKUP(H1247,'Fund Utilization Report'!$A$4:$U$1800,8,FALSE)</f>
        <v>5010000000</v>
      </c>
      <c r="AA1247" s="239" t="str">
        <f>VLOOKUP(H1247,'Fund Utilization Report'!$A$4:$U$1800,14,FALSE)</f>
        <v>330100100002000</v>
      </c>
      <c r="AB1247" s="242" t="str">
        <f>VLOOKUP(H1247,'Fund Utilization Report'!$A$4:$U$1800,15,FALSE)</f>
        <v>Implementation of the MSME Development Plan and other initiatives to promote the growth of Micro, Small and Medium Enterprises</v>
      </c>
      <c r="AC1247" s="51"/>
      <c r="AD1247" s="435"/>
      <c r="AE1247" s="51"/>
      <c r="AF1247" s="51"/>
      <c r="AG1247" s="442"/>
      <c r="AH1247" s="442"/>
      <c r="AI1247" s="443"/>
    </row>
    <row r="1248" spans="1:35" s="32" customFormat="1">
      <c r="A1248" s="434" t="s">
        <v>942</v>
      </c>
      <c r="B1248" s="457" t="s">
        <v>946</v>
      </c>
      <c r="C1248" s="233">
        <v>44271</v>
      </c>
      <c r="D1248" s="435" t="s">
        <v>1267</v>
      </c>
      <c r="E1248" s="436" t="s">
        <v>1442</v>
      </c>
      <c r="F1248" s="338">
        <v>0.46736111111111112</v>
      </c>
      <c r="G1248" s="338">
        <v>0.47083333333333338</v>
      </c>
      <c r="H1248" s="338" t="s">
        <v>973</v>
      </c>
      <c r="I1248" s="353">
        <v>715</v>
      </c>
      <c r="J1248" s="338" t="str">
        <f>IFERROR(VLOOKUP(I1248,'Chart of accounts'!A:H,2,FALSE),"")</f>
        <v>50102040 01</v>
      </c>
      <c r="K1248" s="338" t="str">
        <f>IFERROR(VLOOKUP(I1248,'Chart of accounts'!A:H,3,FALSE),"")</f>
        <v>Clothing/Uniform Allowance - Civilian</v>
      </c>
      <c r="L1248" s="338" t="str">
        <f>IFERROR(VLOOKUP(I1248,'Chart of accounts'!A:H,4,FALSE),"")</f>
        <v>50102040 01 - Clothing/Uniform Allowance - Civilian (715)</v>
      </c>
      <c r="M1248" s="361">
        <v>68</v>
      </c>
      <c r="N1248" s="355" t="s">
        <v>764</v>
      </c>
      <c r="O1248" s="355" t="s">
        <v>1439</v>
      </c>
      <c r="P1248" s="355"/>
      <c r="Q1248" s="363">
        <f>3*6000</f>
        <v>18000</v>
      </c>
      <c r="R1248" s="428" t="e">
        <f>#REF!-#REF!</f>
        <v>#REF!</v>
      </c>
      <c r="S1248" s="239" t="str">
        <f>VLOOKUP(H1248,'Fund Utilization Report'!$A$4:$U$1800,13,FALSE)</f>
        <v>PS</v>
      </c>
      <c r="T1248" s="239" t="str">
        <f>VLOOKUP(H1248,'Fund Utilization Report'!$A$4:$U$1800,2,FALSE)</f>
        <v>GAA</v>
      </c>
      <c r="U1248" s="239" t="str">
        <f>VLOOKUP(H1248,'Fund Utilization Report'!$A$4:$U$1800,3,FALSE)</f>
        <v>FY2021, RA11518</v>
      </c>
      <c r="V1248" s="239" t="str">
        <f>VLOOKUP(H1248,'Fund Utilization Report'!$A$4:$U$1800,4,FALSE)</f>
        <v>OO4.1(FTL)</v>
      </c>
      <c r="W1248" s="239" t="str">
        <f>VLOOKUP(H1248,'Fund Utilization Report'!$A$4:$U$1800,5,FALSE)</f>
        <v>01101101</v>
      </c>
      <c r="X1248" s="239" t="str">
        <f>VLOOKUP(H1248,'Fund Utilization Report'!$A$4:$U$1800,6,FALSE)</f>
        <v>GOP</v>
      </c>
      <c r="Y1248" s="440" t="str">
        <f>VLOOKUP(H1248,'Fund Utilization Report'!$A$4:$U$1800,7,FALSE)</f>
        <v>PS</v>
      </c>
      <c r="Z1248" s="441">
        <f>VLOOKUP(H1248,'Fund Utilization Report'!$A$4:$U$1800,8,FALSE)</f>
        <v>5010000000</v>
      </c>
      <c r="AA1248" s="239" t="str">
        <f>VLOOKUP(H1248,'Fund Utilization Report'!$A$4:$U$1800,14,FALSE)</f>
        <v>340100100002000</v>
      </c>
      <c r="AB1248" s="242" t="str">
        <f>VLOOKUP(H1248,'Fund Utilization Report'!$A$4:$U$1800,15,FALSE)</f>
        <v>Monitoring and Enforcement of FTL including consumer complaints handling</v>
      </c>
      <c r="AC1248" s="51"/>
      <c r="AD1248" s="435"/>
      <c r="AE1248" s="51"/>
      <c r="AF1248" s="51"/>
      <c r="AG1248" s="442"/>
      <c r="AH1248" s="442"/>
      <c r="AI1248" s="443"/>
    </row>
    <row r="1249" spans="1:35" s="32" customFormat="1">
      <c r="A1249" s="434" t="s">
        <v>942</v>
      </c>
      <c r="B1249" s="457" t="s">
        <v>946</v>
      </c>
      <c r="C1249" s="233">
        <v>44271</v>
      </c>
      <c r="D1249" s="435" t="s">
        <v>1267</v>
      </c>
      <c r="E1249" s="436" t="s">
        <v>1443</v>
      </c>
      <c r="F1249" s="338">
        <v>0.47083333333333338</v>
      </c>
      <c r="G1249" s="338">
        <v>0.47152777777777777</v>
      </c>
      <c r="H1249" s="338" t="s">
        <v>960</v>
      </c>
      <c r="I1249" s="353">
        <v>715</v>
      </c>
      <c r="J1249" s="338" t="str">
        <f>IFERROR(VLOOKUP(I1249,'Chart of accounts'!A:H,2,FALSE),"")</f>
        <v>50102040 01</v>
      </c>
      <c r="K1249" s="338" t="str">
        <f>IFERROR(VLOOKUP(I1249,'Chart of accounts'!A:H,3,FALSE),"")</f>
        <v>Clothing/Uniform Allowance - Civilian</v>
      </c>
      <c r="L1249" s="338" t="str">
        <f>IFERROR(VLOOKUP(I1249,'Chart of accounts'!A:H,4,FALSE),"")</f>
        <v>50102040 01 - Clothing/Uniform Allowance - Civilian (715)</v>
      </c>
      <c r="M1249" s="361">
        <v>67</v>
      </c>
      <c r="N1249" s="355" t="s">
        <v>768</v>
      </c>
      <c r="O1249" s="355" t="s">
        <v>1439</v>
      </c>
      <c r="P1249" s="355"/>
      <c r="Q1249" s="363">
        <v>18000</v>
      </c>
      <c r="R1249" s="428" t="e">
        <f>#REF!-#REF!</f>
        <v>#REF!</v>
      </c>
      <c r="S1249" s="239" t="str">
        <f>VLOOKUP(H1249,'Fund Utilization Report'!$A$4:$U$1800,13,FALSE)</f>
        <v>PS</v>
      </c>
      <c r="T1249" s="239" t="str">
        <f>VLOOKUP(H1249,'Fund Utilization Report'!$A$4:$U$1800,2,FALSE)</f>
        <v>GAA</v>
      </c>
      <c r="U1249" s="239" t="str">
        <f>VLOOKUP(H1249,'Fund Utilization Report'!$A$4:$U$1800,3,FALSE)</f>
        <v>FY2021, RA11518</v>
      </c>
      <c r="V1249" s="239" t="str">
        <f>VLOOKUP(H1249,'Fund Utilization Report'!$A$4:$U$1800,4,FALSE)</f>
        <v>GAS(GMS)</v>
      </c>
      <c r="W1249" s="239" t="str">
        <f>VLOOKUP(H1249,'Fund Utilization Report'!$A$4:$U$1800,5,FALSE)</f>
        <v>01101101</v>
      </c>
      <c r="X1249" s="239" t="str">
        <f>VLOOKUP(H1249,'Fund Utilization Report'!$A$4:$U$1800,6,FALSE)</f>
        <v>GOP</v>
      </c>
      <c r="Y1249" s="440" t="str">
        <f>VLOOKUP(H1249,'Fund Utilization Report'!$A$4:$U$1800,7,FALSE)</f>
        <v>PS</v>
      </c>
      <c r="Z1249" s="441">
        <f>VLOOKUP(H1249,'Fund Utilization Report'!$A$4:$U$1800,8,FALSE)</f>
        <v>5010000000</v>
      </c>
      <c r="AA1249" s="239" t="str">
        <f>VLOOKUP(H1249,'Fund Utilization Report'!$A$4:$U$1800,14,FALSE)</f>
        <v>100000100001000</v>
      </c>
      <c r="AB1249" s="242" t="str">
        <f>VLOOKUP(H1249,'Fund Utilization Report'!$A$4:$U$1800,15,FALSE)</f>
        <v>General Administration and Supervision - General Management and Supervision</v>
      </c>
      <c r="AC1249" s="51"/>
      <c r="AD1249" s="435"/>
      <c r="AE1249" s="51"/>
      <c r="AF1249" s="51"/>
      <c r="AG1249" s="442"/>
      <c r="AH1249" s="442"/>
      <c r="AI1249" s="443"/>
    </row>
    <row r="1250" spans="1:35" s="32" customFormat="1">
      <c r="A1250" s="434" t="s">
        <v>942</v>
      </c>
      <c r="B1250" s="457" t="s">
        <v>946</v>
      </c>
      <c r="C1250" s="233">
        <v>44271</v>
      </c>
      <c r="D1250" s="435" t="s">
        <v>1267</v>
      </c>
      <c r="E1250" s="436" t="s">
        <v>1443</v>
      </c>
      <c r="F1250" s="338">
        <v>0.47083333333333338</v>
      </c>
      <c r="G1250" s="338">
        <v>0.47152777777777777</v>
      </c>
      <c r="H1250" s="338" t="s">
        <v>964</v>
      </c>
      <c r="I1250" s="353">
        <v>715</v>
      </c>
      <c r="J1250" s="338" t="str">
        <f>IFERROR(VLOOKUP(I1250,'Chart of accounts'!A:H,2,FALSE),"")</f>
        <v>50102040 01</v>
      </c>
      <c r="K1250" s="338" t="str">
        <f>IFERROR(VLOOKUP(I1250,'Chart of accounts'!A:H,3,FALSE),"")</f>
        <v>Clothing/Uniform Allowance - Civilian</v>
      </c>
      <c r="L1250" s="338" t="str">
        <f>IFERROR(VLOOKUP(I1250,'Chart of accounts'!A:H,4,FALSE),"")</f>
        <v>50102040 01 - Clothing/Uniform Allowance - Civilian (715)</v>
      </c>
      <c r="M1250" s="361">
        <v>67</v>
      </c>
      <c r="N1250" s="355" t="s">
        <v>768</v>
      </c>
      <c r="O1250" s="355" t="s">
        <v>1439</v>
      </c>
      <c r="P1250" s="355"/>
      <c r="Q1250" s="363">
        <v>6000</v>
      </c>
      <c r="R1250" s="428" t="e">
        <f>#REF!-#REF!</f>
        <v>#REF!</v>
      </c>
      <c r="S1250" s="239" t="str">
        <f>VLOOKUP(H1250,'Fund Utilization Report'!$A$4:$U$1800,13,FALSE)</f>
        <v>PS</v>
      </c>
      <c r="T1250" s="239" t="str">
        <f>VLOOKUP(H1250,'Fund Utilization Report'!$A$4:$U$1800,2,FALSE)</f>
        <v>GAA</v>
      </c>
      <c r="U1250" s="239" t="str">
        <f>VLOOKUP(H1250,'Fund Utilization Report'!$A$4:$U$1800,3,FALSE)</f>
        <v>FY2021, RA11518</v>
      </c>
      <c r="V1250" s="239" t="str">
        <f>VLOOKUP(H1250,'Fund Utilization Report'!$A$4:$U$1800,4,FALSE)</f>
        <v>OO1</v>
      </c>
      <c r="W1250" s="239" t="str">
        <f>VLOOKUP(H1250,'Fund Utilization Report'!$A$4:$U$1800,5,FALSE)</f>
        <v>01101101</v>
      </c>
      <c r="X1250" s="239" t="str">
        <f>VLOOKUP(H1250,'Fund Utilization Report'!$A$4:$U$1800,6,FALSE)</f>
        <v>GOP</v>
      </c>
      <c r="Y1250" s="440" t="str">
        <f>VLOOKUP(H1250,'Fund Utilization Report'!$A$4:$U$1800,7,FALSE)</f>
        <v>PS</v>
      </c>
      <c r="Z1250" s="441">
        <f>VLOOKUP(H1250,'Fund Utilization Report'!$A$4:$U$1800,8,FALSE)</f>
        <v>5010000000</v>
      </c>
      <c r="AA1250" s="239" t="str">
        <f>VLOOKUP(H1250,'Fund Utilization Report'!$A$4:$U$1800,14,FALSE)</f>
        <v>310100100002000</v>
      </c>
      <c r="AB1250" s="242" t="str">
        <f>VLOOKUP(H1250,'Fund Utilization Report'!$A$4:$U$1800,15,FALSE)</f>
        <v>Development,Facilitation, and promotion of exports and investment, domestic and foreign</v>
      </c>
      <c r="AC1250" s="51"/>
      <c r="AD1250" s="435"/>
      <c r="AE1250" s="51"/>
      <c r="AF1250" s="51"/>
      <c r="AG1250" s="442"/>
      <c r="AH1250" s="442"/>
      <c r="AI1250" s="443"/>
    </row>
    <row r="1251" spans="1:35" s="32" customFormat="1">
      <c r="A1251" s="434" t="s">
        <v>942</v>
      </c>
      <c r="B1251" s="457" t="s">
        <v>946</v>
      </c>
      <c r="C1251" s="233">
        <v>44271</v>
      </c>
      <c r="D1251" s="435" t="s">
        <v>1267</v>
      </c>
      <c r="E1251" s="436" t="s">
        <v>1443</v>
      </c>
      <c r="F1251" s="338">
        <v>0.47083333333333338</v>
      </c>
      <c r="G1251" s="338">
        <v>0.47152777777777777</v>
      </c>
      <c r="H1251" s="338" t="s">
        <v>967</v>
      </c>
      <c r="I1251" s="353">
        <v>715</v>
      </c>
      <c r="J1251" s="338" t="str">
        <f>IFERROR(VLOOKUP(I1251,'Chart of accounts'!A:H,2,FALSE),"")</f>
        <v>50102040 01</v>
      </c>
      <c r="K1251" s="338" t="str">
        <f>IFERROR(VLOOKUP(I1251,'Chart of accounts'!A:H,3,FALSE),"")</f>
        <v>Clothing/Uniform Allowance - Civilian</v>
      </c>
      <c r="L1251" s="338" t="str">
        <f>IFERROR(VLOOKUP(I1251,'Chart of accounts'!A:H,4,FALSE),"")</f>
        <v>50102040 01 - Clothing/Uniform Allowance - Civilian (715)</v>
      </c>
      <c r="M1251" s="361">
        <v>67</v>
      </c>
      <c r="N1251" s="355" t="s">
        <v>768</v>
      </c>
      <c r="O1251" s="355" t="s">
        <v>1439</v>
      </c>
      <c r="P1251" s="355"/>
      <c r="Q1251" s="363">
        <v>6000</v>
      </c>
      <c r="R1251" s="428" t="e">
        <f>#REF!-#REF!</f>
        <v>#REF!</v>
      </c>
      <c r="S1251" s="239" t="str">
        <f>VLOOKUP(H1251,'Fund Utilization Report'!$A$4:$U$1800,13,FALSE)</f>
        <v>PS</v>
      </c>
      <c r="T1251" s="239" t="str">
        <f>VLOOKUP(H1251,'Fund Utilization Report'!$A$4:$U$1800,2,FALSE)</f>
        <v>GAA</v>
      </c>
      <c r="U1251" s="239" t="str">
        <f>VLOOKUP(H1251,'Fund Utilization Report'!$A$4:$U$1800,3,FALSE)</f>
        <v>FY2021, RA11518</v>
      </c>
      <c r="V1251" s="239" t="str">
        <f>VLOOKUP(H1251,'Fund Utilization Report'!$A$4:$U$1800,4,FALSE)</f>
        <v>OO2</v>
      </c>
      <c r="W1251" s="239" t="str">
        <f>VLOOKUP(H1251,'Fund Utilization Report'!$A$4:$U$1800,5,FALSE)</f>
        <v>01101101</v>
      </c>
      <c r="X1251" s="239" t="str">
        <f>VLOOKUP(H1251,'Fund Utilization Report'!$A$4:$U$1800,6,FALSE)</f>
        <v>GOP</v>
      </c>
      <c r="Y1251" s="440" t="str">
        <f>VLOOKUP(H1251,'Fund Utilization Report'!$A$4:$U$1800,7,FALSE)</f>
        <v>PS</v>
      </c>
      <c r="Z1251" s="441">
        <f>VLOOKUP(H1251,'Fund Utilization Report'!$A$4:$U$1800,8,FALSE)</f>
        <v>5010000000</v>
      </c>
      <c r="AA1251" s="239" t="str">
        <f>VLOOKUP(H1251,'Fund Utilization Report'!$A$4:$U$1800,14,FALSE)</f>
        <v>320100100001000</v>
      </c>
      <c r="AB1251" s="242" t="str">
        <f>VLOOKUP(H1251,'Fund Utilization Report'!$A$4:$U$1800,15,FALSE)</f>
        <v>Formulation of Strategic plans,programs, and policies to develop competitve industries</v>
      </c>
      <c r="AC1251" s="51"/>
      <c r="AD1251" s="435"/>
      <c r="AE1251" s="51"/>
      <c r="AF1251" s="51"/>
      <c r="AG1251" s="442"/>
      <c r="AH1251" s="442"/>
      <c r="AI1251" s="443"/>
    </row>
    <row r="1252" spans="1:35" s="32" customFormat="1">
      <c r="A1252" s="434" t="s">
        <v>942</v>
      </c>
      <c r="B1252" s="457" t="s">
        <v>946</v>
      </c>
      <c r="C1252" s="233">
        <v>44271</v>
      </c>
      <c r="D1252" s="435" t="s">
        <v>1267</v>
      </c>
      <c r="E1252" s="436" t="s">
        <v>1443</v>
      </c>
      <c r="F1252" s="338">
        <v>0.47083333333333338</v>
      </c>
      <c r="G1252" s="338">
        <v>0.47152777777777777</v>
      </c>
      <c r="H1252" s="338" t="s">
        <v>970</v>
      </c>
      <c r="I1252" s="353">
        <v>715</v>
      </c>
      <c r="J1252" s="338" t="str">
        <f>IFERROR(VLOOKUP(I1252,'Chart of accounts'!A:H,2,FALSE),"")</f>
        <v>50102040 01</v>
      </c>
      <c r="K1252" s="338" t="str">
        <f>IFERROR(VLOOKUP(I1252,'Chart of accounts'!A:H,3,FALSE),"")</f>
        <v>Clothing/Uniform Allowance - Civilian</v>
      </c>
      <c r="L1252" s="338" t="str">
        <f>IFERROR(VLOOKUP(I1252,'Chart of accounts'!A:H,4,FALSE),"")</f>
        <v>50102040 01 - Clothing/Uniform Allowance - Civilian (715)</v>
      </c>
      <c r="M1252" s="361">
        <v>67</v>
      </c>
      <c r="N1252" s="355" t="s">
        <v>768</v>
      </c>
      <c r="O1252" s="355" t="s">
        <v>1439</v>
      </c>
      <c r="P1252" s="355"/>
      <c r="Q1252" s="363">
        <f>6*6000</f>
        <v>36000</v>
      </c>
      <c r="R1252" s="428" t="e">
        <f>#REF!-#REF!</f>
        <v>#REF!</v>
      </c>
      <c r="S1252" s="239" t="str">
        <f>VLOOKUP(H1252,'Fund Utilization Report'!$A$4:$U$1800,13,FALSE)</f>
        <v>PS</v>
      </c>
      <c r="T1252" s="239" t="str">
        <f>VLOOKUP(H1252,'Fund Utilization Report'!$A$4:$U$1800,2,FALSE)</f>
        <v>GAA</v>
      </c>
      <c r="U1252" s="239" t="str">
        <f>VLOOKUP(H1252,'Fund Utilization Report'!$A$4:$U$1800,3,FALSE)</f>
        <v>FY2021, RA11518</v>
      </c>
      <c r="V1252" s="239" t="str">
        <f>VLOOKUP(H1252,'Fund Utilization Report'!$A$4:$U$1800,4,FALSE)</f>
        <v>OO3</v>
      </c>
      <c r="W1252" s="239" t="str">
        <f>VLOOKUP(H1252,'Fund Utilization Report'!$A$4:$U$1800,5,FALSE)</f>
        <v>01101101</v>
      </c>
      <c r="X1252" s="239" t="str">
        <f>VLOOKUP(H1252,'Fund Utilization Report'!$A$4:$U$1800,6,FALSE)</f>
        <v>GOP</v>
      </c>
      <c r="Y1252" s="440" t="str">
        <f>VLOOKUP(H1252,'Fund Utilization Report'!$A$4:$U$1800,7,FALSE)</f>
        <v>PS</v>
      </c>
      <c r="Z1252" s="441">
        <f>VLOOKUP(H1252,'Fund Utilization Report'!$A$4:$U$1800,8,FALSE)</f>
        <v>5010000000</v>
      </c>
      <c r="AA1252" s="239" t="str">
        <f>VLOOKUP(H1252,'Fund Utilization Report'!$A$4:$U$1800,14,FALSE)</f>
        <v>330100100002000</v>
      </c>
      <c r="AB1252" s="242" t="str">
        <f>VLOOKUP(H1252,'Fund Utilization Report'!$A$4:$U$1800,15,FALSE)</f>
        <v>Implementation of the MSME Development Plan and other initiatives to promote the growth of Micro, Small and Medium Enterprises</v>
      </c>
      <c r="AC1252" s="51"/>
      <c r="AD1252" s="435"/>
      <c r="AE1252" s="51"/>
      <c r="AF1252" s="51"/>
      <c r="AG1252" s="442"/>
      <c r="AH1252" s="442"/>
      <c r="AI1252" s="443"/>
    </row>
    <row r="1253" spans="1:35" s="32" customFormat="1">
      <c r="A1253" s="434" t="s">
        <v>942</v>
      </c>
      <c r="B1253" s="457" t="s">
        <v>946</v>
      </c>
      <c r="C1253" s="233">
        <v>44271</v>
      </c>
      <c r="D1253" s="435" t="s">
        <v>1267</v>
      </c>
      <c r="E1253" s="436" t="s">
        <v>1443</v>
      </c>
      <c r="F1253" s="338">
        <v>0.47083333333333338</v>
      </c>
      <c r="G1253" s="338">
        <v>0.47152777777777777</v>
      </c>
      <c r="H1253" s="338" t="s">
        <v>973</v>
      </c>
      <c r="I1253" s="353">
        <v>715</v>
      </c>
      <c r="J1253" s="338" t="str">
        <f>IFERROR(VLOOKUP(I1253,'Chart of accounts'!A:H,2,FALSE),"")</f>
        <v>50102040 01</v>
      </c>
      <c r="K1253" s="338" t="str">
        <f>IFERROR(VLOOKUP(I1253,'Chart of accounts'!A:H,3,FALSE),"")</f>
        <v>Clothing/Uniform Allowance - Civilian</v>
      </c>
      <c r="L1253" s="338" t="str">
        <f>IFERROR(VLOOKUP(I1253,'Chart of accounts'!A:H,4,FALSE),"")</f>
        <v>50102040 01 - Clothing/Uniform Allowance - Civilian (715)</v>
      </c>
      <c r="M1253" s="361">
        <v>67</v>
      </c>
      <c r="N1253" s="355" t="s">
        <v>768</v>
      </c>
      <c r="O1253" s="355" t="s">
        <v>1439</v>
      </c>
      <c r="P1253" s="355"/>
      <c r="Q1253" s="363">
        <v>6000</v>
      </c>
      <c r="R1253" s="428" t="e">
        <f>#REF!-#REF!</f>
        <v>#REF!</v>
      </c>
      <c r="S1253" s="239" t="str">
        <f>VLOOKUP(H1253,'Fund Utilization Report'!$A$4:$U$1800,13,FALSE)</f>
        <v>PS</v>
      </c>
      <c r="T1253" s="239" t="str">
        <f>VLOOKUP(H1253,'Fund Utilization Report'!$A$4:$U$1800,2,FALSE)</f>
        <v>GAA</v>
      </c>
      <c r="U1253" s="239" t="str">
        <f>VLOOKUP(H1253,'Fund Utilization Report'!$A$4:$U$1800,3,FALSE)</f>
        <v>FY2021, RA11518</v>
      </c>
      <c r="V1253" s="239" t="str">
        <f>VLOOKUP(H1253,'Fund Utilization Report'!$A$4:$U$1800,4,FALSE)</f>
        <v>OO4.1(FTL)</v>
      </c>
      <c r="W1253" s="239" t="str">
        <f>VLOOKUP(H1253,'Fund Utilization Report'!$A$4:$U$1800,5,FALSE)</f>
        <v>01101101</v>
      </c>
      <c r="X1253" s="239" t="str">
        <f>VLOOKUP(H1253,'Fund Utilization Report'!$A$4:$U$1800,6,FALSE)</f>
        <v>GOP</v>
      </c>
      <c r="Y1253" s="440" t="str">
        <f>VLOOKUP(H1253,'Fund Utilization Report'!$A$4:$U$1800,7,FALSE)</f>
        <v>PS</v>
      </c>
      <c r="Z1253" s="441">
        <f>VLOOKUP(H1253,'Fund Utilization Report'!$A$4:$U$1800,8,FALSE)</f>
        <v>5010000000</v>
      </c>
      <c r="AA1253" s="239" t="str">
        <f>VLOOKUP(H1253,'Fund Utilization Report'!$A$4:$U$1800,14,FALSE)</f>
        <v>340100100002000</v>
      </c>
      <c r="AB1253" s="242" t="str">
        <f>VLOOKUP(H1253,'Fund Utilization Report'!$A$4:$U$1800,15,FALSE)</f>
        <v>Monitoring and Enforcement of FTL including consumer complaints handling</v>
      </c>
      <c r="AC1253" s="51"/>
      <c r="AD1253" s="435"/>
      <c r="AE1253" s="51"/>
      <c r="AF1253" s="51"/>
      <c r="AG1253" s="442"/>
      <c r="AH1253" s="442"/>
      <c r="AI1253" s="443"/>
    </row>
    <row r="1254" spans="1:35" s="32" customFormat="1">
      <c r="A1254" s="434" t="s">
        <v>942</v>
      </c>
      <c r="B1254" s="457" t="s">
        <v>946</v>
      </c>
      <c r="C1254" s="233">
        <v>44271</v>
      </c>
      <c r="D1254" s="435" t="s">
        <v>1267</v>
      </c>
      <c r="E1254" s="436" t="s">
        <v>1444</v>
      </c>
      <c r="F1254" s="338">
        <v>0.47152777777777777</v>
      </c>
      <c r="G1254" s="338">
        <v>0.47222222222222227</v>
      </c>
      <c r="H1254" s="338" t="s">
        <v>960</v>
      </c>
      <c r="I1254" s="353">
        <v>715</v>
      </c>
      <c r="J1254" s="338" t="str">
        <f>IFERROR(VLOOKUP(I1254,'Chart of accounts'!A:H,2,FALSE),"")</f>
        <v>50102040 01</v>
      </c>
      <c r="K1254" s="338" t="str">
        <f>IFERROR(VLOOKUP(I1254,'Chart of accounts'!A:H,3,FALSE),"")</f>
        <v>Clothing/Uniform Allowance - Civilian</v>
      </c>
      <c r="L1254" s="338" t="str">
        <f>IFERROR(VLOOKUP(I1254,'Chart of accounts'!A:H,4,FALSE),"")</f>
        <v>50102040 01 - Clothing/Uniform Allowance - Civilian (715)</v>
      </c>
      <c r="M1254" s="361">
        <v>85</v>
      </c>
      <c r="N1254" s="355" t="s">
        <v>765</v>
      </c>
      <c r="O1254" s="355" t="s">
        <v>1439</v>
      </c>
      <c r="P1254" s="355"/>
      <c r="Q1254" s="363">
        <v>12000</v>
      </c>
      <c r="R1254" s="428" t="e">
        <f>#REF!-#REF!</f>
        <v>#REF!</v>
      </c>
      <c r="S1254" s="239" t="str">
        <f>VLOOKUP(H1254,'Fund Utilization Report'!$A$4:$U$1800,13,FALSE)</f>
        <v>PS</v>
      </c>
      <c r="T1254" s="239" t="str">
        <f>VLOOKUP(H1254,'Fund Utilization Report'!$A$4:$U$1800,2,FALSE)</f>
        <v>GAA</v>
      </c>
      <c r="U1254" s="239" t="str">
        <f>VLOOKUP(H1254,'Fund Utilization Report'!$A$4:$U$1800,3,FALSE)</f>
        <v>FY2021, RA11518</v>
      </c>
      <c r="V1254" s="239" t="str">
        <f>VLOOKUP(H1254,'Fund Utilization Report'!$A$4:$U$1800,4,FALSE)</f>
        <v>GAS(GMS)</v>
      </c>
      <c r="W1254" s="239" t="str">
        <f>VLOOKUP(H1254,'Fund Utilization Report'!$A$4:$U$1800,5,FALSE)</f>
        <v>01101101</v>
      </c>
      <c r="X1254" s="239" t="str">
        <f>VLOOKUP(H1254,'Fund Utilization Report'!$A$4:$U$1800,6,FALSE)</f>
        <v>GOP</v>
      </c>
      <c r="Y1254" s="440" t="str">
        <f>VLOOKUP(H1254,'Fund Utilization Report'!$A$4:$U$1800,7,FALSE)</f>
        <v>PS</v>
      </c>
      <c r="Z1254" s="441">
        <f>VLOOKUP(H1254,'Fund Utilization Report'!$A$4:$U$1800,8,FALSE)</f>
        <v>5010000000</v>
      </c>
      <c r="AA1254" s="239" t="str">
        <f>VLOOKUP(H1254,'Fund Utilization Report'!$A$4:$U$1800,14,FALSE)</f>
        <v>100000100001000</v>
      </c>
      <c r="AB1254" s="242" t="str">
        <f>VLOOKUP(H1254,'Fund Utilization Report'!$A$4:$U$1800,15,FALSE)</f>
        <v>General Administration and Supervision - General Management and Supervision</v>
      </c>
      <c r="AC1254" s="51"/>
      <c r="AD1254" s="435"/>
      <c r="AE1254" s="51"/>
      <c r="AF1254" s="51"/>
      <c r="AG1254" s="442"/>
      <c r="AH1254" s="442"/>
      <c r="AI1254" s="443"/>
    </row>
    <row r="1255" spans="1:35" s="32" customFormat="1">
      <c r="A1255" s="434" t="s">
        <v>942</v>
      </c>
      <c r="B1255" s="457" t="s">
        <v>946</v>
      </c>
      <c r="C1255" s="233">
        <v>44271</v>
      </c>
      <c r="D1255" s="435" t="s">
        <v>1267</v>
      </c>
      <c r="E1255" s="436" t="s">
        <v>1444</v>
      </c>
      <c r="F1255" s="338">
        <v>0.47152777777777777</v>
      </c>
      <c r="G1255" s="338">
        <v>0.47222222222222227</v>
      </c>
      <c r="H1255" s="338" t="s">
        <v>964</v>
      </c>
      <c r="I1255" s="353">
        <v>715</v>
      </c>
      <c r="J1255" s="338" t="str">
        <f>IFERROR(VLOOKUP(I1255,'Chart of accounts'!A:H,2,FALSE),"")</f>
        <v>50102040 01</v>
      </c>
      <c r="K1255" s="338" t="str">
        <f>IFERROR(VLOOKUP(I1255,'Chart of accounts'!A:H,3,FALSE),"")</f>
        <v>Clothing/Uniform Allowance - Civilian</v>
      </c>
      <c r="L1255" s="338" t="str">
        <f>IFERROR(VLOOKUP(I1255,'Chart of accounts'!A:H,4,FALSE),"")</f>
        <v>50102040 01 - Clothing/Uniform Allowance - Civilian (715)</v>
      </c>
      <c r="M1255" s="361">
        <v>85</v>
      </c>
      <c r="N1255" s="355" t="s">
        <v>765</v>
      </c>
      <c r="O1255" s="355" t="s">
        <v>1439</v>
      </c>
      <c r="P1255" s="355"/>
      <c r="Q1255" s="363">
        <v>6000</v>
      </c>
      <c r="R1255" s="428" t="e">
        <f>#REF!-#REF!</f>
        <v>#REF!</v>
      </c>
      <c r="S1255" s="239" t="str">
        <f>VLOOKUP(H1255,'Fund Utilization Report'!$A$4:$U$1800,13,FALSE)</f>
        <v>PS</v>
      </c>
      <c r="T1255" s="239" t="str">
        <f>VLOOKUP(H1255,'Fund Utilization Report'!$A$4:$U$1800,2,FALSE)</f>
        <v>GAA</v>
      </c>
      <c r="U1255" s="239" t="str">
        <f>VLOOKUP(H1255,'Fund Utilization Report'!$A$4:$U$1800,3,FALSE)</f>
        <v>FY2021, RA11518</v>
      </c>
      <c r="V1255" s="239" t="str">
        <f>VLOOKUP(H1255,'Fund Utilization Report'!$A$4:$U$1800,4,FALSE)</f>
        <v>OO1</v>
      </c>
      <c r="W1255" s="239" t="str">
        <f>VLOOKUP(H1255,'Fund Utilization Report'!$A$4:$U$1800,5,FALSE)</f>
        <v>01101101</v>
      </c>
      <c r="X1255" s="239" t="str">
        <f>VLOOKUP(H1255,'Fund Utilization Report'!$A$4:$U$1800,6,FALSE)</f>
        <v>GOP</v>
      </c>
      <c r="Y1255" s="440" t="str">
        <f>VLOOKUP(H1255,'Fund Utilization Report'!$A$4:$U$1800,7,FALSE)</f>
        <v>PS</v>
      </c>
      <c r="Z1255" s="441">
        <f>VLOOKUP(H1255,'Fund Utilization Report'!$A$4:$U$1800,8,FALSE)</f>
        <v>5010000000</v>
      </c>
      <c r="AA1255" s="239" t="str">
        <f>VLOOKUP(H1255,'Fund Utilization Report'!$A$4:$U$1800,14,FALSE)</f>
        <v>310100100002000</v>
      </c>
      <c r="AB1255" s="242" t="str">
        <f>VLOOKUP(H1255,'Fund Utilization Report'!$A$4:$U$1800,15,FALSE)</f>
        <v>Development,Facilitation, and promotion of exports and investment, domestic and foreign</v>
      </c>
      <c r="AC1255" s="51"/>
      <c r="AD1255" s="435"/>
      <c r="AE1255" s="51"/>
      <c r="AF1255" s="51"/>
      <c r="AG1255" s="442"/>
      <c r="AH1255" s="442"/>
      <c r="AI1255" s="443"/>
    </row>
    <row r="1256" spans="1:35" s="32" customFormat="1">
      <c r="A1256" s="434" t="s">
        <v>942</v>
      </c>
      <c r="B1256" s="457" t="s">
        <v>946</v>
      </c>
      <c r="C1256" s="233">
        <v>44271</v>
      </c>
      <c r="D1256" s="435" t="s">
        <v>1267</v>
      </c>
      <c r="E1256" s="436" t="s">
        <v>1444</v>
      </c>
      <c r="F1256" s="338">
        <v>0.47152777777777777</v>
      </c>
      <c r="G1256" s="338">
        <v>0.47222222222222227</v>
      </c>
      <c r="H1256" s="338" t="s">
        <v>967</v>
      </c>
      <c r="I1256" s="353">
        <v>715</v>
      </c>
      <c r="J1256" s="338" t="str">
        <f>IFERROR(VLOOKUP(I1256,'Chart of accounts'!A:H,2,FALSE),"")</f>
        <v>50102040 01</v>
      </c>
      <c r="K1256" s="338" t="str">
        <f>IFERROR(VLOOKUP(I1256,'Chart of accounts'!A:H,3,FALSE),"")</f>
        <v>Clothing/Uniform Allowance - Civilian</v>
      </c>
      <c r="L1256" s="338" t="str">
        <f>IFERROR(VLOOKUP(I1256,'Chart of accounts'!A:H,4,FALSE),"")</f>
        <v>50102040 01 - Clothing/Uniform Allowance - Civilian (715)</v>
      </c>
      <c r="M1256" s="361">
        <v>85</v>
      </c>
      <c r="N1256" s="355" t="s">
        <v>765</v>
      </c>
      <c r="O1256" s="355" t="s">
        <v>1439</v>
      </c>
      <c r="P1256" s="355"/>
      <c r="Q1256" s="363">
        <v>18000</v>
      </c>
      <c r="R1256" s="428" t="e">
        <f>#REF!-#REF!</f>
        <v>#REF!</v>
      </c>
      <c r="S1256" s="239" t="str">
        <f>VLOOKUP(H1256,'Fund Utilization Report'!$A$4:$U$1800,13,FALSE)</f>
        <v>PS</v>
      </c>
      <c r="T1256" s="239" t="str">
        <f>VLOOKUP(H1256,'Fund Utilization Report'!$A$4:$U$1800,2,FALSE)</f>
        <v>GAA</v>
      </c>
      <c r="U1256" s="239" t="str">
        <f>VLOOKUP(H1256,'Fund Utilization Report'!$A$4:$U$1800,3,FALSE)</f>
        <v>FY2021, RA11518</v>
      </c>
      <c r="V1256" s="239" t="str">
        <f>VLOOKUP(H1256,'Fund Utilization Report'!$A$4:$U$1800,4,FALSE)</f>
        <v>OO2</v>
      </c>
      <c r="W1256" s="239" t="str">
        <f>VLOOKUP(H1256,'Fund Utilization Report'!$A$4:$U$1800,5,FALSE)</f>
        <v>01101101</v>
      </c>
      <c r="X1256" s="239" t="str">
        <f>VLOOKUP(H1256,'Fund Utilization Report'!$A$4:$U$1800,6,FALSE)</f>
        <v>GOP</v>
      </c>
      <c r="Y1256" s="440" t="str">
        <f>VLOOKUP(H1256,'Fund Utilization Report'!$A$4:$U$1800,7,FALSE)</f>
        <v>PS</v>
      </c>
      <c r="Z1256" s="441">
        <f>VLOOKUP(H1256,'Fund Utilization Report'!$A$4:$U$1800,8,FALSE)</f>
        <v>5010000000</v>
      </c>
      <c r="AA1256" s="239" t="str">
        <f>VLOOKUP(H1256,'Fund Utilization Report'!$A$4:$U$1800,14,FALSE)</f>
        <v>320100100001000</v>
      </c>
      <c r="AB1256" s="242" t="str">
        <f>VLOOKUP(H1256,'Fund Utilization Report'!$A$4:$U$1800,15,FALSE)</f>
        <v>Formulation of Strategic plans,programs, and policies to develop competitve industries</v>
      </c>
      <c r="AC1256" s="51"/>
      <c r="AD1256" s="435"/>
      <c r="AE1256" s="51"/>
      <c r="AF1256" s="51"/>
      <c r="AG1256" s="442"/>
      <c r="AH1256" s="442"/>
      <c r="AI1256" s="443"/>
    </row>
    <row r="1257" spans="1:35" s="32" customFormat="1">
      <c r="A1257" s="434" t="s">
        <v>942</v>
      </c>
      <c r="B1257" s="457" t="s">
        <v>946</v>
      </c>
      <c r="C1257" s="233">
        <v>44271</v>
      </c>
      <c r="D1257" s="435" t="s">
        <v>1267</v>
      </c>
      <c r="E1257" s="436" t="s">
        <v>1444</v>
      </c>
      <c r="F1257" s="338">
        <v>0.47152777777777777</v>
      </c>
      <c r="G1257" s="338">
        <v>0.47222222222222227</v>
      </c>
      <c r="H1257" s="338" t="s">
        <v>970</v>
      </c>
      <c r="I1257" s="353">
        <v>715</v>
      </c>
      <c r="J1257" s="338" t="str">
        <f>IFERROR(VLOOKUP(I1257,'Chart of accounts'!A:H,2,FALSE),"")</f>
        <v>50102040 01</v>
      </c>
      <c r="K1257" s="338" t="str">
        <f>IFERROR(VLOOKUP(I1257,'Chart of accounts'!A:H,3,FALSE),"")</f>
        <v>Clothing/Uniform Allowance - Civilian</v>
      </c>
      <c r="L1257" s="338" t="str">
        <f>IFERROR(VLOOKUP(I1257,'Chart of accounts'!A:H,4,FALSE),"")</f>
        <v>50102040 01 - Clothing/Uniform Allowance - Civilian (715)</v>
      </c>
      <c r="M1257" s="361">
        <v>85</v>
      </c>
      <c r="N1257" s="355" t="s">
        <v>765</v>
      </c>
      <c r="O1257" s="355" t="s">
        <v>1439</v>
      </c>
      <c r="P1257" s="355"/>
      <c r="Q1257" s="363">
        <v>12000</v>
      </c>
      <c r="R1257" s="428" t="e">
        <f>#REF!-#REF!</f>
        <v>#REF!</v>
      </c>
      <c r="S1257" s="239" t="str">
        <f>VLOOKUP(H1257,'Fund Utilization Report'!$A$4:$U$1800,13,FALSE)</f>
        <v>PS</v>
      </c>
      <c r="T1257" s="239" t="str">
        <f>VLOOKUP(H1257,'Fund Utilization Report'!$A$4:$U$1800,2,FALSE)</f>
        <v>GAA</v>
      </c>
      <c r="U1257" s="239" t="str">
        <f>VLOOKUP(H1257,'Fund Utilization Report'!$A$4:$U$1800,3,FALSE)</f>
        <v>FY2021, RA11518</v>
      </c>
      <c r="V1257" s="239" t="str">
        <f>VLOOKUP(H1257,'Fund Utilization Report'!$A$4:$U$1800,4,FALSE)</f>
        <v>OO3</v>
      </c>
      <c r="W1257" s="239" t="str">
        <f>VLOOKUP(H1257,'Fund Utilization Report'!$A$4:$U$1800,5,FALSE)</f>
        <v>01101101</v>
      </c>
      <c r="X1257" s="239" t="str">
        <f>VLOOKUP(H1257,'Fund Utilization Report'!$A$4:$U$1800,6,FALSE)</f>
        <v>GOP</v>
      </c>
      <c r="Y1257" s="440" t="str">
        <f>VLOOKUP(H1257,'Fund Utilization Report'!$A$4:$U$1800,7,FALSE)</f>
        <v>PS</v>
      </c>
      <c r="Z1257" s="441">
        <f>VLOOKUP(H1257,'Fund Utilization Report'!$A$4:$U$1800,8,FALSE)</f>
        <v>5010000000</v>
      </c>
      <c r="AA1257" s="239" t="str">
        <f>VLOOKUP(H1257,'Fund Utilization Report'!$A$4:$U$1800,14,FALSE)</f>
        <v>330100100002000</v>
      </c>
      <c r="AB1257" s="242" t="str">
        <f>VLOOKUP(H1257,'Fund Utilization Report'!$A$4:$U$1800,15,FALSE)</f>
        <v>Implementation of the MSME Development Plan and other initiatives to promote the growth of Micro, Small and Medium Enterprises</v>
      </c>
      <c r="AC1257" s="51"/>
      <c r="AD1257" s="435"/>
      <c r="AE1257" s="51"/>
      <c r="AF1257" s="51"/>
      <c r="AG1257" s="442"/>
      <c r="AH1257" s="442"/>
      <c r="AI1257" s="443"/>
    </row>
    <row r="1258" spans="1:35" s="32" customFormat="1" ht="27.6">
      <c r="A1258" s="434" t="s">
        <v>942</v>
      </c>
      <c r="B1258" s="457" t="s">
        <v>946</v>
      </c>
      <c r="C1258" s="233">
        <v>44271</v>
      </c>
      <c r="D1258" s="435" t="s">
        <v>1267</v>
      </c>
      <c r="E1258" s="436" t="s">
        <v>1445</v>
      </c>
      <c r="F1258" s="338">
        <v>0.68263888888888891</v>
      </c>
      <c r="G1258" s="338">
        <v>0.68541666666666667</v>
      </c>
      <c r="H1258" s="338" t="s">
        <v>961</v>
      </c>
      <c r="I1258" s="353">
        <v>773</v>
      </c>
      <c r="J1258" s="338" t="str">
        <f>IFERROR(VLOOKUP(I1258,'Chart of accounts'!A:H,2,FALSE),"")</f>
        <v>50205020 01</v>
      </c>
      <c r="K1258" s="338" t="str">
        <f>IFERROR(VLOOKUP(I1258,'Chart of accounts'!A:H,3,FALSE),"")</f>
        <v xml:space="preserve">Telephone Expenses - Mobile </v>
      </c>
      <c r="L1258" s="338" t="str">
        <f>IFERROR(VLOOKUP(I1258,'Chart of accounts'!A:H,4,FALSE),"")</f>
        <v>50205020 01 - Telephone Expenses - Mobile  (773)</v>
      </c>
      <c r="M1258" s="361">
        <v>1</v>
      </c>
      <c r="N1258" s="355" t="s">
        <v>1102</v>
      </c>
      <c r="O1258" s="355" t="s">
        <v>1446</v>
      </c>
      <c r="P1258" s="355"/>
      <c r="Q1258" s="363">
        <v>3500</v>
      </c>
      <c r="R1258" s="428">
        <f>P1258-Q1258</f>
        <v>-3500</v>
      </c>
      <c r="S1258" s="239" t="str">
        <f>VLOOKUP(H1258,'Fund Utilization Report'!$A$4:$U$1800,13,FALSE)</f>
        <v>MOOE</v>
      </c>
      <c r="T1258" s="239" t="str">
        <f>VLOOKUP(H1258,'Fund Utilization Report'!$A$4:$U$1800,2,FALSE)</f>
        <v>GAA</v>
      </c>
      <c r="U1258" s="239" t="str">
        <f>VLOOKUP(H1258,'Fund Utilization Report'!$A$4:$U$1800,3,FALSE)</f>
        <v>FY2021, RA11518</v>
      </c>
      <c r="V1258" s="239" t="str">
        <f>VLOOKUP(H1258,'Fund Utilization Report'!$A$4:$U$1800,4,FALSE)</f>
        <v>GAS(GMS)</v>
      </c>
      <c r="W1258" s="239" t="str">
        <f>VLOOKUP(H1258,'Fund Utilization Report'!$A$4:$U$1800,5,FALSE)</f>
        <v>01101101</v>
      </c>
      <c r="X1258" s="239" t="str">
        <f>VLOOKUP(H1258,'Fund Utilization Report'!$A$4:$U$1800,6,FALSE)</f>
        <v>GOP</v>
      </c>
      <c r="Y1258" s="440" t="str">
        <f>VLOOKUP(H1258,'Fund Utilization Report'!$A$4:$U$1800,7,FALSE)</f>
        <v>MOOE</v>
      </c>
      <c r="Z1258" s="441">
        <f>VLOOKUP(H1258,'Fund Utilization Report'!$A$4:$U$1800,8,FALSE)</f>
        <v>5020000000</v>
      </c>
      <c r="AA1258" s="239" t="str">
        <f>VLOOKUP(H1258,'Fund Utilization Report'!$A$4:$U$1800,14,FALSE)</f>
        <v>100000100001000</v>
      </c>
      <c r="AB1258" s="242" t="str">
        <f>VLOOKUP(H1258,'Fund Utilization Report'!$A$4:$U$1800,15,FALSE)</f>
        <v>General Administration and Supervision - General Management and Supervision</v>
      </c>
      <c r="AC1258" s="51"/>
      <c r="AD1258" s="435"/>
      <c r="AE1258" s="51"/>
      <c r="AF1258" s="51"/>
      <c r="AG1258" s="442"/>
      <c r="AH1258" s="442"/>
      <c r="AI1258" s="443"/>
    </row>
    <row r="1259" spans="1:35" s="32" customFormat="1" ht="27.6">
      <c r="A1259" s="434" t="s">
        <v>942</v>
      </c>
      <c r="B1259" s="457" t="s">
        <v>946</v>
      </c>
      <c r="C1259" s="233">
        <v>44271</v>
      </c>
      <c r="D1259" s="435" t="s">
        <v>1267</v>
      </c>
      <c r="E1259" s="436" t="s">
        <v>1448</v>
      </c>
      <c r="F1259" s="338">
        <v>0.37083333333333335</v>
      </c>
      <c r="G1259" s="338">
        <v>0.37291666666666662</v>
      </c>
      <c r="H1259" s="338" t="s">
        <v>985</v>
      </c>
      <c r="I1259" s="353">
        <v>783</v>
      </c>
      <c r="J1259" s="338" t="str">
        <f>IFERROR(VLOOKUP(I1259,'Chart of accounts'!A:H,2,FALSE),"")</f>
        <v>50299030 00</v>
      </c>
      <c r="K1259" s="338" t="str">
        <f>IFERROR(VLOOKUP(I1259,'Chart of accounts'!A:H,3,FALSE),"")</f>
        <v>Representation Expenses</v>
      </c>
      <c r="L1259" s="338" t="str">
        <f>IFERROR(VLOOKUP(I1259,'Chart of accounts'!A:H,4,FALSE),"")</f>
        <v>50299030 00 - Representation Expenses (783)</v>
      </c>
      <c r="M1259" s="361" t="s">
        <v>7</v>
      </c>
      <c r="N1259" s="355" t="s">
        <v>1449</v>
      </c>
      <c r="O1259" s="355" t="s">
        <v>1450</v>
      </c>
      <c r="P1259" s="355"/>
      <c r="Q1259" s="363">
        <v>976560</v>
      </c>
      <c r="R1259" s="428">
        <f>P1259-Q1259</f>
        <v>-976560</v>
      </c>
      <c r="S1259" s="239" t="str">
        <f>VLOOKUP(H1259,'Fund Utilization Report'!$A$4:$U$1800,13,FALSE)</f>
        <v>MOOE</v>
      </c>
      <c r="T1259" s="239" t="str">
        <f>VLOOKUP(H1259,'Fund Utilization Report'!$A$4:$U$1800,2,FALSE)</f>
        <v>GAA</v>
      </c>
      <c r="U1259" s="239" t="str">
        <f>VLOOKUP(H1259,'Fund Utilization Report'!$A$4:$U$1800,3,FALSE)</f>
        <v>FY2021, RA11518</v>
      </c>
      <c r="V1259" s="239" t="str">
        <f>VLOOKUP(H1259,'Fund Utilization Report'!$A$4:$U$1800,4,FALSE)</f>
        <v>LSP-PBG</v>
      </c>
      <c r="W1259" s="239" t="str">
        <f>VLOOKUP(H1259,'Fund Utilization Report'!$A$4:$U$1800,5,FALSE)</f>
        <v>01101101</v>
      </c>
      <c r="X1259" s="239" t="str">
        <f>VLOOKUP(H1259,'Fund Utilization Report'!$A$4:$U$1800,6,FALSE)</f>
        <v>GOP</v>
      </c>
      <c r="Y1259" s="440" t="str">
        <f>VLOOKUP(H1259,'Fund Utilization Report'!$A$4:$U$1800,7,FALSE)</f>
        <v>MOOE</v>
      </c>
      <c r="Z1259" s="441">
        <f>VLOOKUP(H1259,'Fund Utilization Report'!$A$4:$U$1800,8,FALSE)</f>
        <v>5020000000</v>
      </c>
      <c r="AA1259" s="239" t="str">
        <f>VLOOKUP(H1259,'Fund Utilization Report'!$A$4:$U$1800,14,FALSE)</f>
        <v>330100200004000</v>
      </c>
      <c r="AB1259" s="242" t="str">
        <f>VLOOKUP(H1259,'Fund Utilization Report'!$A$4:$U$1800,15,FALSE)</f>
        <v>MSME Development Program : Livelihood Seeding Program and Pangkabuhayan sa Pagbangon at Ginhawa</v>
      </c>
      <c r="AC1259" s="51"/>
      <c r="AD1259" s="435"/>
      <c r="AE1259" s="51"/>
      <c r="AF1259" s="51"/>
      <c r="AG1259" s="442"/>
      <c r="AH1259" s="442"/>
      <c r="AI1259" s="443"/>
    </row>
    <row r="1260" spans="1:35" s="32" customFormat="1" ht="27.6">
      <c r="A1260" s="434" t="s">
        <v>942</v>
      </c>
      <c r="B1260" s="457" t="s">
        <v>946</v>
      </c>
      <c r="C1260" s="233">
        <v>44271</v>
      </c>
      <c r="D1260" s="435" t="s">
        <v>1267</v>
      </c>
      <c r="E1260" s="436" t="s">
        <v>1451</v>
      </c>
      <c r="F1260" s="338">
        <v>0.37291666666666662</v>
      </c>
      <c r="G1260" s="338">
        <v>0.375</v>
      </c>
      <c r="H1260" s="338" t="s">
        <v>968</v>
      </c>
      <c r="I1260" s="353">
        <v>761</v>
      </c>
      <c r="J1260" s="338" t="str">
        <f>IFERROR(VLOOKUP(I1260,'Chart of accounts'!A:H,2,FALSE),"")</f>
        <v>50203090 00</v>
      </c>
      <c r="K1260" s="338" t="str">
        <f>IFERROR(VLOOKUP(I1260,'Chart of accounts'!A:H,3,FALSE),"")</f>
        <v>Fuel, Oil and Lubricants Expenses</v>
      </c>
      <c r="L1260" s="338" t="str">
        <f>IFERROR(VLOOKUP(I1260,'Chart of accounts'!A:H,4,FALSE),"")</f>
        <v>50203090 00 - Fuel, Oil and Lubricants Expenses (761)</v>
      </c>
      <c r="M1260" s="361" t="s">
        <v>1011</v>
      </c>
      <c r="N1260" s="355" t="s">
        <v>859</v>
      </c>
      <c r="O1260" s="355" t="s">
        <v>1452</v>
      </c>
      <c r="P1260" s="355"/>
      <c r="Q1260" s="363">
        <v>2000</v>
      </c>
      <c r="R1260" s="428">
        <f>P1260-Q1260</f>
        <v>-2000</v>
      </c>
      <c r="S1260" s="239" t="str">
        <f>VLOOKUP(H1260,'Fund Utilization Report'!$A$4:$U$1800,13,FALSE)</f>
        <v>MOOE</v>
      </c>
      <c r="T1260" s="239" t="str">
        <f>VLOOKUP(H1260,'Fund Utilization Report'!$A$4:$U$1800,2,FALSE)</f>
        <v>GAA</v>
      </c>
      <c r="U1260" s="239" t="str">
        <f>VLOOKUP(H1260,'Fund Utilization Report'!$A$4:$U$1800,3,FALSE)</f>
        <v>FY2021, RA11518</v>
      </c>
      <c r="V1260" s="239" t="str">
        <f>VLOOKUP(H1260,'Fund Utilization Report'!$A$4:$U$1800,4,FALSE)</f>
        <v>OO2</v>
      </c>
      <c r="W1260" s="239" t="str">
        <f>VLOOKUP(H1260,'Fund Utilization Report'!$A$4:$U$1800,5,FALSE)</f>
        <v>01101101</v>
      </c>
      <c r="X1260" s="239" t="str">
        <f>VLOOKUP(H1260,'Fund Utilization Report'!$A$4:$U$1800,6,FALSE)</f>
        <v>GOP</v>
      </c>
      <c r="Y1260" s="440" t="str">
        <f>VLOOKUP(H1260,'Fund Utilization Report'!$A$4:$U$1800,7,FALSE)</f>
        <v>MOOE</v>
      </c>
      <c r="Z1260" s="441">
        <f>VLOOKUP(H1260,'Fund Utilization Report'!$A$4:$U$1800,8,FALSE)</f>
        <v>5020000000</v>
      </c>
      <c r="AA1260" s="239" t="str">
        <f>VLOOKUP(H1260,'Fund Utilization Report'!$A$4:$U$1800,14,FALSE)</f>
        <v>320100100001000</v>
      </c>
      <c r="AB1260" s="242" t="str">
        <f>VLOOKUP(H1260,'Fund Utilization Report'!$A$4:$U$1800,15,FALSE)</f>
        <v>Formulation of Strategic plans,programs, and policies to develop competitve industries</v>
      </c>
      <c r="AC1260" s="51"/>
      <c r="AD1260" s="435"/>
      <c r="AE1260" s="51"/>
      <c r="AF1260" s="51"/>
      <c r="AG1260" s="442"/>
      <c r="AH1260" s="442"/>
      <c r="AI1260" s="443"/>
    </row>
    <row r="1261" spans="1:35" s="32" customFormat="1" ht="27.6">
      <c r="A1261" s="434" t="s">
        <v>942</v>
      </c>
      <c r="B1261" s="457" t="s">
        <v>946</v>
      </c>
      <c r="C1261" s="233">
        <v>44271</v>
      </c>
      <c r="D1261" s="435" t="s">
        <v>1267</v>
      </c>
      <c r="E1261" s="436" t="s">
        <v>1453</v>
      </c>
      <c r="F1261" s="338">
        <v>0.375</v>
      </c>
      <c r="G1261" s="338">
        <v>0.3756944444444445</v>
      </c>
      <c r="H1261" s="338" t="s">
        <v>1221</v>
      </c>
      <c r="I1261" s="353">
        <v>799</v>
      </c>
      <c r="J1261" s="338" t="str">
        <f>IFERROR(VLOOKUP(I1261,'Chart of accounts'!A:H,2,FALSE),"")</f>
        <v>50211990 00</v>
      </c>
      <c r="K1261" s="338" t="str">
        <f>IFERROR(VLOOKUP(I1261,'Chart of accounts'!A:H,3,FALSE),"")</f>
        <v>Other Professional Services</v>
      </c>
      <c r="L1261" s="338" t="str">
        <f>IFERROR(VLOOKUP(I1261,'Chart of accounts'!A:H,4,FALSE),"")</f>
        <v>50211990 00 - Other Professional Services (799)</v>
      </c>
      <c r="M1261" s="361" t="s">
        <v>1011</v>
      </c>
      <c r="N1261" s="355" t="s">
        <v>1030</v>
      </c>
      <c r="O1261" s="355" t="s">
        <v>1454</v>
      </c>
      <c r="P1261" s="355"/>
      <c r="Q1261" s="363">
        <v>70905.22</v>
      </c>
      <c r="R1261" s="428">
        <f>P1261-Q1261</f>
        <v>-70905.22</v>
      </c>
      <c r="S1261" s="239" t="str">
        <f>VLOOKUP(H1261,'Fund Utilization Report'!$A$4:$U$1800,13,FALSE)</f>
        <v>MOOE</v>
      </c>
      <c r="T1261" s="239" t="str">
        <f>VLOOKUP(H1261,'Fund Utilization Report'!$A$4:$U$1800,2,FALSE)</f>
        <v>SAA040</v>
      </c>
      <c r="U1261" s="239" t="str">
        <f>VLOOKUP(H1261,'Fund Utilization Report'!$A$4:$U$1800,3,FALSE)</f>
        <v>21-02-0040</v>
      </c>
      <c r="V1261" s="239" t="str">
        <f>VLOOKUP(H1261,'Fund Utilization Report'!$A$4:$U$1800,4,FALSE)</f>
        <v>RAPID GOP</v>
      </c>
      <c r="W1261" s="239" t="str">
        <f>VLOOKUP(H1261,'Fund Utilization Report'!$A$4:$U$1800,5,FALSE)</f>
        <v>01101101</v>
      </c>
      <c r="X1261" s="239" t="str">
        <f>VLOOKUP(H1261,'Fund Utilization Report'!$A$4:$U$1800,6,FALSE)</f>
        <v>GOP</v>
      </c>
      <c r="Y1261" s="440">
        <f>VLOOKUP(H1261,'Fund Utilization Report'!$A$4:$U$1800,7,FALSE)</f>
        <v>799</v>
      </c>
      <c r="Z1261" s="441">
        <f>VLOOKUP(H1261,'Fund Utilization Report'!$A$4:$U$1800,8,FALSE)</f>
        <v>5021199000</v>
      </c>
      <c r="AA1261" s="239" t="str">
        <f>VLOOKUP(H1261,'Fund Utilization Report'!$A$4:$U$1800,14,FALSE)</f>
        <v>330100300001000</v>
      </c>
      <c r="AB1261" s="242" t="str">
        <f>VLOOKUP(H1261,'Fund Utilization Report'!$A$4:$U$1800,15,FALSE)</f>
        <v>Rural Agro Enterprise Partnership for Inclusive Development (RAPID) Growth GOP Continuing</v>
      </c>
      <c r="AC1261" s="51"/>
      <c r="AD1261" s="435"/>
      <c r="AE1261" s="51"/>
      <c r="AF1261" s="51"/>
      <c r="AG1261" s="442"/>
      <c r="AH1261" s="442"/>
      <c r="AI1261" s="443"/>
    </row>
    <row r="1262" spans="1:35" s="32" customFormat="1" ht="27.6">
      <c r="A1262" s="434" t="s">
        <v>942</v>
      </c>
      <c r="B1262" s="457" t="s">
        <v>946</v>
      </c>
      <c r="C1262" s="233">
        <v>44271</v>
      </c>
      <c r="D1262" s="435" t="s">
        <v>1267</v>
      </c>
      <c r="E1262" s="436" t="s">
        <v>1455</v>
      </c>
      <c r="F1262" s="338">
        <v>0.3756944444444445</v>
      </c>
      <c r="G1262" s="338">
        <v>0.37777777777777777</v>
      </c>
      <c r="H1262" s="338" t="s">
        <v>1221</v>
      </c>
      <c r="I1262" s="353">
        <v>799</v>
      </c>
      <c r="J1262" s="338" t="str">
        <f>IFERROR(VLOOKUP(I1262,'Chart of accounts'!A:H,2,FALSE),"")</f>
        <v>50211990 00</v>
      </c>
      <c r="K1262" s="338" t="str">
        <f>IFERROR(VLOOKUP(I1262,'Chart of accounts'!A:H,3,FALSE),"")</f>
        <v>Other Professional Services</v>
      </c>
      <c r="L1262" s="338" t="str">
        <f>IFERROR(VLOOKUP(I1262,'Chart of accounts'!A:H,4,FALSE),"")</f>
        <v>50211990 00 - Other Professional Services (799)</v>
      </c>
      <c r="M1262" s="361" t="s">
        <v>1011</v>
      </c>
      <c r="N1262" s="355" t="s">
        <v>1030</v>
      </c>
      <c r="O1262" s="355" t="s">
        <v>1456</v>
      </c>
      <c r="P1262" s="463"/>
      <c r="Q1262" s="468">
        <v>82098.38</v>
      </c>
      <c r="R1262" s="428">
        <f>P1245-Q1245</f>
        <v>-24000</v>
      </c>
      <c r="S1262" s="239" t="str">
        <f>VLOOKUP(H1262,'Fund Utilization Report'!$A$4:$U$1800,13,FALSE)</f>
        <v>MOOE</v>
      </c>
      <c r="T1262" s="239" t="str">
        <f>VLOOKUP(H1262,'Fund Utilization Report'!$A$4:$U$1800,2,FALSE)</f>
        <v>SAA040</v>
      </c>
      <c r="U1262" s="239" t="str">
        <f>VLOOKUP(H1262,'Fund Utilization Report'!$A$4:$U$1800,3,FALSE)</f>
        <v>21-02-0040</v>
      </c>
      <c r="V1262" s="239" t="str">
        <f>VLOOKUP(H1262,'Fund Utilization Report'!$A$4:$U$1800,4,FALSE)</f>
        <v>RAPID GOP</v>
      </c>
      <c r="W1262" s="239" t="str">
        <f>VLOOKUP(H1262,'Fund Utilization Report'!$A$4:$U$1800,5,FALSE)</f>
        <v>01101101</v>
      </c>
      <c r="X1262" s="239" t="str">
        <f>VLOOKUP(H1262,'Fund Utilization Report'!$A$4:$U$1800,6,FALSE)</f>
        <v>GOP</v>
      </c>
      <c r="Y1262" s="440">
        <f>VLOOKUP(H1262,'Fund Utilization Report'!$A$4:$U$1800,7,FALSE)</f>
        <v>799</v>
      </c>
      <c r="Z1262" s="441">
        <f>VLOOKUP(H1262,'Fund Utilization Report'!$A$4:$U$1800,8,FALSE)</f>
        <v>5021199000</v>
      </c>
      <c r="AA1262" s="239" t="str">
        <f>VLOOKUP(H1262,'Fund Utilization Report'!$A$4:$U$1800,14,FALSE)</f>
        <v>330100300001000</v>
      </c>
      <c r="AB1262" s="242" t="str">
        <f>VLOOKUP(H1262,'Fund Utilization Report'!$A$4:$U$1800,15,FALSE)</f>
        <v>Rural Agro Enterprise Partnership for Inclusive Development (RAPID) Growth GOP Continuing</v>
      </c>
      <c r="AC1262" s="51"/>
      <c r="AD1262" s="435"/>
      <c r="AE1262" s="51"/>
      <c r="AF1262" s="51"/>
      <c r="AG1262" s="442"/>
      <c r="AH1262" s="442"/>
      <c r="AI1262" s="443"/>
    </row>
    <row r="1263" spans="1:35" s="32" customFormat="1" ht="27.6">
      <c r="A1263" s="434" t="s">
        <v>942</v>
      </c>
      <c r="B1263" s="457" t="s">
        <v>946</v>
      </c>
      <c r="C1263" s="233">
        <v>44271</v>
      </c>
      <c r="D1263" s="435" t="s">
        <v>1267</v>
      </c>
      <c r="E1263" s="436" t="s">
        <v>1457</v>
      </c>
      <c r="F1263" s="338">
        <v>0.37777777777777777</v>
      </c>
      <c r="G1263" s="338">
        <v>0.37777777777777777</v>
      </c>
      <c r="H1263" s="458" t="s">
        <v>961</v>
      </c>
      <c r="I1263" s="459">
        <v>753</v>
      </c>
      <c r="J1263" s="338" t="str">
        <f>IFERROR(VLOOKUP(I1263,'Chart of accounts'!A:H,2,FALSE),"")</f>
        <v>50202010 00</v>
      </c>
      <c r="K1263" s="338" t="str">
        <f>IFERROR(VLOOKUP(I1263,'Chart of accounts'!A:H,3,FALSE),"")</f>
        <v>Training Expenses</v>
      </c>
      <c r="L1263" s="338" t="str">
        <f>IFERROR(VLOOKUP(I1263,'Chart of accounts'!A:H,4,FALSE),"")</f>
        <v>50202010 00 - Training Expenses (753)</v>
      </c>
      <c r="M1263" s="467" t="s">
        <v>1256</v>
      </c>
      <c r="N1263" s="463" t="s">
        <v>1344</v>
      </c>
      <c r="O1263" s="463" t="s">
        <v>1458</v>
      </c>
      <c r="P1263" s="463"/>
      <c r="Q1263" s="468">
        <v>9600</v>
      </c>
      <c r="R1263" s="428">
        <f>P1246-Q1246</f>
        <v>-6000</v>
      </c>
      <c r="S1263" s="239" t="str">
        <f>VLOOKUP(H1263,'Fund Utilization Report'!$A$4:$U$1800,13,FALSE)</f>
        <v>MOOE</v>
      </c>
      <c r="T1263" s="239" t="str">
        <f>VLOOKUP(H1263,'Fund Utilization Report'!$A$4:$U$1800,2,FALSE)</f>
        <v>GAA</v>
      </c>
      <c r="U1263" s="239" t="str">
        <f>VLOOKUP(H1263,'Fund Utilization Report'!$A$4:$U$1800,3,FALSE)</f>
        <v>FY2021, RA11518</v>
      </c>
      <c r="V1263" s="239" t="str">
        <f>VLOOKUP(H1263,'Fund Utilization Report'!$A$4:$U$1800,4,FALSE)</f>
        <v>GAS(GMS)</v>
      </c>
      <c r="W1263" s="239" t="str">
        <f>VLOOKUP(H1263,'Fund Utilization Report'!$A$4:$U$1800,5,FALSE)</f>
        <v>01101101</v>
      </c>
      <c r="X1263" s="239" t="str">
        <f>VLOOKUP(H1263,'Fund Utilization Report'!$A$4:$U$1800,6,FALSE)</f>
        <v>GOP</v>
      </c>
      <c r="Y1263" s="440" t="str">
        <f>VLOOKUP(H1263,'Fund Utilization Report'!$A$4:$U$1800,7,FALSE)</f>
        <v>MOOE</v>
      </c>
      <c r="Z1263" s="441">
        <f>VLOOKUP(H1263,'Fund Utilization Report'!$A$4:$U$1800,8,FALSE)</f>
        <v>5020000000</v>
      </c>
      <c r="AA1263" s="239" t="str">
        <f>VLOOKUP(H1263,'Fund Utilization Report'!$A$4:$U$1800,14,FALSE)</f>
        <v>100000100001000</v>
      </c>
      <c r="AB1263" s="242" t="str">
        <f>VLOOKUP(H1263,'Fund Utilization Report'!$A$4:$U$1800,15,FALSE)</f>
        <v>General Administration and Supervision - General Management and Supervision</v>
      </c>
      <c r="AC1263" s="51"/>
      <c r="AD1263" s="435"/>
      <c r="AE1263" s="51"/>
      <c r="AF1263" s="51"/>
      <c r="AG1263" s="442"/>
      <c r="AH1263" s="442"/>
      <c r="AI1263" s="443"/>
    </row>
    <row r="1264" spans="1:35" s="32" customFormat="1">
      <c r="A1264" s="434" t="s">
        <v>942</v>
      </c>
      <c r="B1264" s="457" t="s">
        <v>946</v>
      </c>
      <c r="C1264" s="233">
        <v>44271</v>
      </c>
      <c r="D1264" s="435" t="s">
        <v>1267</v>
      </c>
      <c r="E1264" s="436" t="s">
        <v>1459</v>
      </c>
      <c r="F1264" s="338">
        <v>0.37777777777777777</v>
      </c>
      <c r="G1264" s="338">
        <v>0.37916666666666665</v>
      </c>
      <c r="H1264" s="458" t="s">
        <v>961</v>
      </c>
      <c r="I1264" s="459">
        <v>883</v>
      </c>
      <c r="J1264" s="338" t="str">
        <f>IFERROR(VLOOKUP(I1264,'Chart of accounts'!A:H,2,FALSE),"")</f>
        <v>50210030 00</v>
      </c>
      <c r="K1264" s="338" t="str">
        <f>IFERROR(VLOOKUP(I1264,'Chart of accounts'!A:H,3,FALSE),"")</f>
        <v>Extraordinary and Miscellaneous Expense</v>
      </c>
      <c r="L1264" s="338" t="str">
        <f>IFERROR(VLOOKUP(I1264,'Chart of accounts'!A:H,4,FALSE),"")</f>
        <v>50210030 00 - Extraordinary and Miscellaneous Expense (883)</v>
      </c>
      <c r="M1264" s="467">
        <v>1</v>
      </c>
      <c r="N1264" s="463" t="s">
        <v>6</v>
      </c>
      <c r="O1264" s="463" t="s">
        <v>1460</v>
      </c>
      <c r="P1264" s="463"/>
      <c r="Q1264" s="468">
        <v>10000</v>
      </c>
      <c r="R1264" s="428">
        <f>P1247-Q1247</f>
        <v>-18000</v>
      </c>
      <c r="S1264" s="239" t="str">
        <f>VLOOKUP(H1264,'Fund Utilization Report'!$A$4:$U$1800,13,FALSE)</f>
        <v>MOOE</v>
      </c>
      <c r="T1264" s="239" t="str">
        <f>VLOOKUP(H1264,'Fund Utilization Report'!$A$4:$U$1800,2,FALSE)</f>
        <v>GAA</v>
      </c>
      <c r="U1264" s="239" t="str">
        <f>VLOOKUP(H1264,'Fund Utilization Report'!$A$4:$U$1800,3,FALSE)</f>
        <v>FY2021, RA11518</v>
      </c>
      <c r="V1264" s="239" t="str">
        <f>VLOOKUP(H1264,'Fund Utilization Report'!$A$4:$U$1800,4,FALSE)</f>
        <v>GAS(GMS)</v>
      </c>
      <c r="W1264" s="239" t="str">
        <f>VLOOKUP(H1264,'Fund Utilization Report'!$A$4:$U$1800,5,FALSE)</f>
        <v>01101101</v>
      </c>
      <c r="X1264" s="239" t="str">
        <f>VLOOKUP(H1264,'Fund Utilization Report'!$A$4:$U$1800,6,FALSE)</f>
        <v>GOP</v>
      </c>
      <c r="Y1264" s="440" t="str">
        <f>VLOOKUP(H1264,'Fund Utilization Report'!$A$4:$U$1800,7,FALSE)</f>
        <v>MOOE</v>
      </c>
      <c r="Z1264" s="441">
        <f>VLOOKUP(H1264,'Fund Utilization Report'!$A$4:$U$1800,8,FALSE)</f>
        <v>5020000000</v>
      </c>
      <c r="AA1264" s="239" t="str">
        <f>VLOOKUP(H1264,'Fund Utilization Report'!$A$4:$U$1800,14,FALSE)</f>
        <v>100000100001000</v>
      </c>
      <c r="AB1264" s="242" t="str">
        <f>VLOOKUP(H1264,'Fund Utilization Report'!$A$4:$U$1800,15,FALSE)</f>
        <v>General Administration and Supervision - General Management and Supervision</v>
      </c>
      <c r="AC1264" s="51"/>
      <c r="AD1264" s="435"/>
      <c r="AE1264" s="51"/>
      <c r="AF1264" s="51"/>
      <c r="AG1264" s="442"/>
      <c r="AH1264" s="442"/>
      <c r="AI1264" s="443"/>
    </row>
    <row r="1265" spans="1:35" s="32" customFormat="1">
      <c r="A1265" s="434" t="s">
        <v>942</v>
      </c>
      <c r="B1265" s="457" t="s">
        <v>946</v>
      </c>
      <c r="C1265" s="233">
        <v>44271</v>
      </c>
      <c r="D1265" s="435" t="s">
        <v>1267</v>
      </c>
      <c r="E1265" s="436" t="s">
        <v>1461</v>
      </c>
      <c r="F1265" s="338">
        <v>0.37916666666666665</v>
      </c>
      <c r="G1265" s="338">
        <v>0.37986111111111115</v>
      </c>
      <c r="H1265" s="458" t="s">
        <v>983</v>
      </c>
      <c r="I1265" s="459">
        <v>799</v>
      </c>
      <c r="J1265" s="338" t="str">
        <f>IFERROR(VLOOKUP(I1265,'Chart of accounts'!A:H,2,FALSE),"")</f>
        <v>50211990 00</v>
      </c>
      <c r="K1265" s="338" t="str">
        <f>IFERROR(VLOOKUP(I1265,'Chart of accounts'!A:H,3,FALSE),"")</f>
        <v>Other Professional Services</v>
      </c>
      <c r="L1265" s="338" t="str">
        <f>IFERROR(VLOOKUP(I1265,'Chart of accounts'!A:H,4,FALSE),"")</f>
        <v>50211990 00 - Other Professional Services (799)</v>
      </c>
      <c r="M1265" s="467" t="s">
        <v>5</v>
      </c>
      <c r="N1265" s="463" t="s">
        <v>1462</v>
      </c>
      <c r="O1265" s="472" t="s">
        <v>1463</v>
      </c>
      <c r="P1265" s="463"/>
      <c r="Q1265" s="468">
        <v>10000</v>
      </c>
      <c r="R1265" s="428">
        <f>P1248-Q1248</f>
        <v>-18000</v>
      </c>
      <c r="S1265" s="239" t="str">
        <f>VLOOKUP(H1265,'Fund Utilization Report'!$A$4:$U$1800,13,FALSE)</f>
        <v>MOOE</v>
      </c>
      <c r="T1265" s="239" t="str">
        <f>VLOOKUP(H1265,'Fund Utilization Report'!$A$4:$U$1800,2,FALSE)</f>
        <v>GAA</v>
      </c>
      <c r="U1265" s="239" t="str">
        <f>VLOOKUP(H1265,'Fund Utilization Report'!$A$4:$U$1800,3,FALSE)</f>
        <v>FY2021, RA11518</v>
      </c>
      <c r="V1265" s="239" t="str">
        <f>VLOOKUP(H1265,'Fund Utilization Report'!$A$4:$U$1800,4,FALSE)</f>
        <v>SSF</v>
      </c>
      <c r="W1265" s="239" t="str">
        <f>VLOOKUP(H1265,'Fund Utilization Report'!$A$4:$U$1800,5,FALSE)</f>
        <v>01101101</v>
      </c>
      <c r="X1265" s="239" t="str">
        <f>VLOOKUP(H1265,'Fund Utilization Report'!$A$4:$U$1800,6,FALSE)</f>
        <v>GOP</v>
      </c>
      <c r="Y1265" s="440" t="str">
        <f>VLOOKUP(H1265,'Fund Utilization Report'!$A$4:$U$1800,7,FALSE)</f>
        <v>MOOE</v>
      </c>
      <c r="Z1265" s="441">
        <f>VLOOKUP(H1265,'Fund Utilization Report'!$A$4:$U$1800,8,FALSE)</f>
        <v>5020000000</v>
      </c>
      <c r="AA1265" s="239" t="str">
        <f>VLOOKUP(H1265,'Fund Utilization Report'!$A$4:$U$1800,14,FALSE)</f>
        <v>330100200003000</v>
      </c>
      <c r="AB1265" s="242" t="str">
        <f>VLOOKUP(H1265,'Fund Utilization Report'!$A$4:$U$1800,15,FALSE)</f>
        <v>Shared Service Facilities Project</v>
      </c>
      <c r="AC1265" s="51"/>
      <c r="AD1265" s="435"/>
      <c r="AE1265" s="51"/>
      <c r="AF1265" s="51"/>
      <c r="AG1265" s="442"/>
      <c r="AH1265" s="442"/>
      <c r="AI1265" s="443"/>
    </row>
    <row r="1266" spans="1:35" s="32" customFormat="1" ht="27.6">
      <c r="A1266" s="434" t="s">
        <v>942</v>
      </c>
      <c r="B1266" s="457" t="s">
        <v>946</v>
      </c>
      <c r="C1266" s="233">
        <v>44271</v>
      </c>
      <c r="D1266" s="435" t="s">
        <v>1267</v>
      </c>
      <c r="E1266" s="436" t="s">
        <v>1464</v>
      </c>
      <c r="F1266" s="338">
        <v>0.3888888888888889</v>
      </c>
      <c r="G1266" s="338">
        <v>0.38958333333333334</v>
      </c>
      <c r="H1266" s="458" t="s">
        <v>968</v>
      </c>
      <c r="I1266" s="459">
        <v>755</v>
      </c>
      <c r="J1266" s="338" t="str">
        <f>IFERROR(VLOOKUP(I1266,'Chart of accounts'!A:H,2,FALSE),"")</f>
        <v>50203010 00</v>
      </c>
      <c r="K1266" s="338" t="str">
        <f>IFERROR(VLOOKUP(I1266,'Chart of accounts'!A:H,3,FALSE),"")</f>
        <v>Office Supplies Expenses</v>
      </c>
      <c r="L1266" s="338" t="str">
        <f>IFERROR(VLOOKUP(I1266,'Chart of accounts'!A:H,4,FALSE),"")</f>
        <v>50203010 00 - Office Supplies Expenses (755)</v>
      </c>
      <c r="M1266" s="467" t="s">
        <v>814</v>
      </c>
      <c r="N1266" s="463" t="s">
        <v>1245</v>
      </c>
      <c r="O1266" s="463" t="s">
        <v>1465</v>
      </c>
      <c r="P1266" s="463"/>
      <c r="Q1266" s="468">
        <v>6320</v>
      </c>
      <c r="R1266" s="428">
        <f t="shared" ref="R1266:R1275" si="47">P1235-Q1235</f>
        <v>-12000</v>
      </c>
      <c r="S1266" s="239" t="str">
        <f>VLOOKUP(H1266,'Fund Utilization Report'!$A$4:$U$1800,13,FALSE)</f>
        <v>MOOE</v>
      </c>
      <c r="T1266" s="239" t="str">
        <f>VLOOKUP(H1266,'Fund Utilization Report'!$A$4:$U$1800,2,FALSE)</f>
        <v>GAA</v>
      </c>
      <c r="U1266" s="239" t="str">
        <f>VLOOKUP(H1266,'Fund Utilization Report'!$A$4:$U$1800,3,FALSE)</f>
        <v>FY2021, RA11518</v>
      </c>
      <c r="V1266" s="239" t="str">
        <f>VLOOKUP(H1266,'Fund Utilization Report'!$A$4:$U$1800,4,FALSE)</f>
        <v>OO2</v>
      </c>
      <c r="W1266" s="239" t="str">
        <f>VLOOKUP(H1266,'Fund Utilization Report'!$A$4:$U$1800,5,FALSE)</f>
        <v>01101101</v>
      </c>
      <c r="X1266" s="239" t="str">
        <f>VLOOKUP(H1266,'Fund Utilization Report'!$A$4:$U$1800,6,FALSE)</f>
        <v>GOP</v>
      </c>
      <c r="Y1266" s="440" t="str">
        <f>VLOOKUP(H1266,'Fund Utilization Report'!$A$4:$U$1800,7,FALSE)</f>
        <v>MOOE</v>
      </c>
      <c r="Z1266" s="441">
        <f>VLOOKUP(H1266,'Fund Utilization Report'!$A$4:$U$1800,8,FALSE)</f>
        <v>5020000000</v>
      </c>
      <c r="AA1266" s="239" t="str">
        <f>VLOOKUP(H1266,'Fund Utilization Report'!$A$4:$U$1800,14,FALSE)</f>
        <v>320100100001000</v>
      </c>
      <c r="AB1266" s="242" t="str">
        <f>VLOOKUP(H1266,'Fund Utilization Report'!$A$4:$U$1800,15,FALSE)</f>
        <v>Formulation of Strategic plans,programs, and policies to develop competitve industries</v>
      </c>
      <c r="AC1266" s="51"/>
      <c r="AD1266" s="435"/>
      <c r="AE1266" s="51"/>
      <c r="AF1266" s="51"/>
      <c r="AG1266" s="442"/>
      <c r="AH1266" s="442"/>
      <c r="AI1266" s="443"/>
    </row>
    <row r="1267" spans="1:35" s="32" customFormat="1" ht="27.6">
      <c r="A1267" s="434" t="s">
        <v>942</v>
      </c>
      <c r="B1267" s="457" t="s">
        <v>946</v>
      </c>
      <c r="C1267" s="233">
        <v>44271</v>
      </c>
      <c r="D1267" s="435" t="s">
        <v>1267</v>
      </c>
      <c r="E1267" s="436" t="s">
        <v>1466</v>
      </c>
      <c r="F1267" s="338">
        <v>0.38958333333333334</v>
      </c>
      <c r="G1267" s="338">
        <v>0.39097222222222222</v>
      </c>
      <c r="H1267" s="458" t="s">
        <v>968</v>
      </c>
      <c r="I1267" s="459">
        <v>755</v>
      </c>
      <c r="J1267" s="338" t="str">
        <f>IFERROR(VLOOKUP(I1267,'Chart of accounts'!A:H,2,FALSE),"")</f>
        <v>50203010 00</v>
      </c>
      <c r="K1267" s="338" t="str">
        <f>IFERROR(VLOOKUP(I1267,'Chart of accounts'!A:H,3,FALSE),"")</f>
        <v>Office Supplies Expenses</v>
      </c>
      <c r="L1267" s="338" t="str">
        <f>IFERROR(VLOOKUP(I1267,'Chart of accounts'!A:H,4,FALSE),"")</f>
        <v>50203010 00 - Office Supplies Expenses (755)</v>
      </c>
      <c r="M1267" s="467" t="s">
        <v>814</v>
      </c>
      <c r="N1267" s="463" t="s">
        <v>1467</v>
      </c>
      <c r="O1267" s="463" t="s">
        <v>1465</v>
      </c>
      <c r="P1267" s="463"/>
      <c r="Q1267" s="468">
        <v>2800</v>
      </c>
      <c r="R1267" s="428">
        <f t="shared" si="47"/>
        <v>-12000</v>
      </c>
      <c r="S1267" s="239" t="str">
        <f>VLOOKUP(H1267,'Fund Utilization Report'!$A$4:$U$1800,13,FALSE)</f>
        <v>MOOE</v>
      </c>
      <c r="T1267" s="239" t="str">
        <f>VLOOKUP(H1267,'Fund Utilization Report'!$A$4:$U$1800,2,FALSE)</f>
        <v>GAA</v>
      </c>
      <c r="U1267" s="239" t="str">
        <f>VLOOKUP(H1267,'Fund Utilization Report'!$A$4:$U$1800,3,FALSE)</f>
        <v>FY2021, RA11518</v>
      </c>
      <c r="V1267" s="239" t="str">
        <f>VLOOKUP(H1267,'Fund Utilization Report'!$A$4:$U$1800,4,FALSE)</f>
        <v>OO2</v>
      </c>
      <c r="W1267" s="239" t="str">
        <f>VLOOKUP(H1267,'Fund Utilization Report'!$A$4:$U$1800,5,FALSE)</f>
        <v>01101101</v>
      </c>
      <c r="X1267" s="239" t="str">
        <f>VLOOKUP(H1267,'Fund Utilization Report'!$A$4:$U$1800,6,FALSE)</f>
        <v>GOP</v>
      </c>
      <c r="Y1267" s="440" t="str">
        <f>VLOOKUP(H1267,'Fund Utilization Report'!$A$4:$U$1800,7,FALSE)</f>
        <v>MOOE</v>
      </c>
      <c r="Z1267" s="441">
        <f>VLOOKUP(H1267,'Fund Utilization Report'!$A$4:$U$1800,8,FALSE)</f>
        <v>5020000000</v>
      </c>
      <c r="AA1267" s="239" t="str">
        <f>VLOOKUP(H1267,'Fund Utilization Report'!$A$4:$U$1800,14,FALSE)</f>
        <v>320100100001000</v>
      </c>
      <c r="AB1267" s="242" t="str">
        <f>VLOOKUP(H1267,'Fund Utilization Report'!$A$4:$U$1800,15,FALSE)</f>
        <v>Formulation of Strategic plans,programs, and policies to develop competitve industries</v>
      </c>
      <c r="AC1267" s="51"/>
      <c r="AD1267" s="435"/>
      <c r="AE1267" s="51"/>
      <c r="AF1267" s="51"/>
      <c r="AG1267" s="442"/>
      <c r="AH1267" s="442"/>
      <c r="AI1267" s="443"/>
    </row>
    <row r="1268" spans="1:35" s="32" customFormat="1" ht="27.6">
      <c r="A1268" s="434" t="s">
        <v>942</v>
      </c>
      <c r="B1268" s="457" t="s">
        <v>946</v>
      </c>
      <c r="C1268" s="233">
        <v>44271</v>
      </c>
      <c r="D1268" s="435" t="s">
        <v>1267</v>
      </c>
      <c r="E1268" s="436" t="s">
        <v>1468</v>
      </c>
      <c r="F1268" s="338">
        <v>0.52986111111111112</v>
      </c>
      <c r="G1268" s="338">
        <v>0.53194444444444444</v>
      </c>
      <c r="H1268" s="458" t="s">
        <v>961</v>
      </c>
      <c r="I1268" s="459">
        <v>773</v>
      </c>
      <c r="J1268" s="338" t="str">
        <f>IFERROR(VLOOKUP(I1268,'Chart of accounts'!A:H,2,FALSE),"")</f>
        <v>50205020 01</v>
      </c>
      <c r="K1268" s="338" t="str">
        <f>IFERROR(VLOOKUP(I1268,'Chart of accounts'!A:H,3,FALSE),"")</f>
        <v xml:space="preserve">Telephone Expenses - Mobile </v>
      </c>
      <c r="L1268" s="338" t="str">
        <f>IFERROR(VLOOKUP(I1268,'Chart of accounts'!A:H,4,FALSE),"")</f>
        <v>50205020 01 - Telephone Expenses - Mobile  (773)</v>
      </c>
      <c r="M1268" s="467">
        <v>1</v>
      </c>
      <c r="N1268" s="463" t="s">
        <v>1102</v>
      </c>
      <c r="O1268" s="463" t="s">
        <v>1474</v>
      </c>
      <c r="P1268" s="463"/>
      <c r="Q1268" s="468">
        <v>5390.81</v>
      </c>
      <c r="R1268" s="428">
        <f t="shared" si="47"/>
        <v>-6000</v>
      </c>
      <c r="S1268" s="239" t="str">
        <f>VLOOKUP(H1268,'Fund Utilization Report'!$A$4:$U$1800,13,FALSE)</f>
        <v>MOOE</v>
      </c>
      <c r="T1268" s="239" t="str">
        <f>VLOOKUP(H1268,'Fund Utilization Report'!$A$4:$U$1800,2,FALSE)</f>
        <v>GAA</v>
      </c>
      <c r="U1268" s="239" t="str">
        <f>VLOOKUP(H1268,'Fund Utilization Report'!$A$4:$U$1800,3,FALSE)</f>
        <v>FY2021, RA11518</v>
      </c>
      <c r="V1268" s="239" t="str">
        <f>VLOOKUP(H1268,'Fund Utilization Report'!$A$4:$U$1800,4,FALSE)</f>
        <v>GAS(GMS)</v>
      </c>
      <c r="W1268" s="239" t="str">
        <f>VLOOKUP(H1268,'Fund Utilization Report'!$A$4:$U$1800,5,FALSE)</f>
        <v>01101101</v>
      </c>
      <c r="X1268" s="239" t="str">
        <f>VLOOKUP(H1268,'Fund Utilization Report'!$A$4:$U$1800,6,FALSE)</f>
        <v>GOP</v>
      </c>
      <c r="Y1268" s="440" t="str">
        <f>VLOOKUP(H1268,'Fund Utilization Report'!$A$4:$U$1800,7,FALSE)</f>
        <v>MOOE</v>
      </c>
      <c r="Z1268" s="441">
        <f>VLOOKUP(H1268,'Fund Utilization Report'!$A$4:$U$1800,8,FALSE)</f>
        <v>5020000000</v>
      </c>
      <c r="AA1268" s="239" t="str">
        <f>VLOOKUP(H1268,'Fund Utilization Report'!$A$4:$U$1800,14,FALSE)</f>
        <v>100000100001000</v>
      </c>
      <c r="AB1268" s="242" t="str">
        <f>VLOOKUP(H1268,'Fund Utilization Report'!$A$4:$U$1800,15,FALSE)</f>
        <v>General Administration and Supervision - General Management and Supervision</v>
      </c>
      <c r="AC1268" s="51"/>
      <c r="AD1268" s="435"/>
      <c r="AE1268" s="51"/>
      <c r="AF1268" s="51"/>
      <c r="AG1268" s="442"/>
      <c r="AH1268" s="442"/>
      <c r="AI1268" s="443"/>
    </row>
    <row r="1269" spans="1:35" s="32" customFormat="1">
      <c r="A1269" s="434" t="s">
        <v>942</v>
      </c>
      <c r="B1269" s="457" t="s">
        <v>946</v>
      </c>
      <c r="C1269" s="233">
        <v>44271</v>
      </c>
      <c r="D1269" s="435" t="s">
        <v>1267</v>
      </c>
      <c r="E1269" s="436" t="s">
        <v>1469</v>
      </c>
      <c r="F1269" s="338">
        <v>0.53194444444444444</v>
      </c>
      <c r="G1269" s="338">
        <v>0.53333333333333333</v>
      </c>
      <c r="H1269" s="458" t="s">
        <v>968</v>
      </c>
      <c r="I1269" s="459">
        <v>755</v>
      </c>
      <c r="J1269" s="338" t="str">
        <f>IFERROR(VLOOKUP(I1269,'Chart of accounts'!A:H,2,FALSE),"")</f>
        <v>50203010 00</v>
      </c>
      <c r="K1269" s="338" t="str">
        <f>IFERROR(VLOOKUP(I1269,'Chart of accounts'!A:H,3,FALSE),"")</f>
        <v>Office Supplies Expenses</v>
      </c>
      <c r="L1269" s="338" t="str">
        <f>IFERROR(VLOOKUP(I1269,'Chart of accounts'!A:H,4,FALSE),"")</f>
        <v>50203010 00 - Office Supplies Expenses (755)</v>
      </c>
      <c r="M1269" s="467" t="s">
        <v>814</v>
      </c>
      <c r="N1269" s="463" t="s">
        <v>1325</v>
      </c>
      <c r="O1269" s="463" t="s">
        <v>1475</v>
      </c>
      <c r="P1269" s="463"/>
      <c r="Q1269" s="468">
        <v>13600</v>
      </c>
      <c r="R1269" s="428">
        <f t="shared" si="47"/>
        <v>-12000</v>
      </c>
      <c r="S1269" s="239" t="str">
        <f>VLOOKUP(H1269,'Fund Utilization Report'!$A$4:$U$1800,13,FALSE)</f>
        <v>MOOE</v>
      </c>
      <c r="T1269" s="239" t="str">
        <f>VLOOKUP(H1269,'Fund Utilization Report'!$A$4:$U$1800,2,FALSE)</f>
        <v>GAA</v>
      </c>
      <c r="U1269" s="239" t="str">
        <f>VLOOKUP(H1269,'Fund Utilization Report'!$A$4:$U$1800,3,FALSE)</f>
        <v>FY2021, RA11518</v>
      </c>
      <c r="V1269" s="239" t="str">
        <f>VLOOKUP(H1269,'Fund Utilization Report'!$A$4:$U$1800,4,FALSE)</f>
        <v>OO2</v>
      </c>
      <c r="W1269" s="239" t="str">
        <f>VLOOKUP(H1269,'Fund Utilization Report'!$A$4:$U$1800,5,FALSE)</f>
        <v>01101101</v>
      </c>
      <c r="X1269" s="239" t="str">
        <f>VLOOKUP(H1269,'Fund Utilization Report'!$A$4:$U$1800,6,FALSE)</f>
        <v>GOP</v>
      </c>
      <c r="Y1269" s="440" t="str">
        <f>VLOOKUP(H1269,'Fund Utilization Report'!$A$4:$U$1800,7,FALSE)</f>
        <v>MOOE</v>
      </c>
      <c r="Z1269" s="441">
        <f>VLOOKUP(H1269,'Fund Utilization Report'!$A$4:$U$1800,8,FALSE)</f>
        <v>5020000000</v>
      </c>
      <c r="AA1269" s="239" t="str">
        <f>VLOOKUP(H1269,'Fund Utilization Report'!$A$4:$U$1800,14,FALSE)</f>
        <v>320100100001000</v>
      </c>
      <c r="AB1269" s="242" t="str">
        <f>VLOOKUP(H1269,'Fund Utilization Report'!$A$4:$U$1800,15,FALSE)</f>
        <v>Formulation of Strategic plans,programs, and policies to develop competitve industries</v>
      </c>
      <c r="AC1269" s="51"/>
      <c r="AD1269" s="435"/>
      <c r="AE1269" s="51"/>
      <c r="AF1269" s="51"/>
      <c r="AG1269" s="442"/>
      <c r="AH1269" s="442"/>
      <c r="AI1269" s="443"/>
    </row>
    <row r="1270" spans="1:35" s="32" customFormat="1">
      <c r="A1270" s="434" t="s">
        <v>942</v>
      </c>
      <c r="B1270" s="457" t="s">
        <v>946</v>
      </c>
      <c r="C1270" s="233">
        <v>44271</v>
      </c>
      <c r="D1270" s="435" t="s">
        <v>1267</v>
      </c>
      <c r="E1270" s="436" t="s">
        <v>1470</v>
      </c>
      <c r="F1270" s="338">
        <v>0.53333333333333333</v>
      </c>
      <c r="G1270" s="338">
        <v>0.53472222222222221</v>
      </c>
      <c r="H1270" s="458" t="s">
        <v>983</v>
      </c>
      <c r="I1270" s="459">
        <v>799</v>
      </c>
      <c r="J1270" s="338" t="str">
        <f>IFERROR(VLOOKUP(I1270,'Chart of accounts'!A:H,2,FALSE),"")</f>
        <v>50211990 00</v>
      </c>
      <c r="K1270" s="338" t="str">
        <f>IFERROR(VLOOKUP(I1270,'Chart of accounts'!A:H,3,FALSE),"")</f>
        <v>Other Professional Services</v>
      </c>
      <c r="L1270" s="338" t="str">
        <f>IFERROR(VLOOKUP(I1270,'Chart of accounts'!A:H,4,FALSE),"")</f>
        <v>50211990 00 - Other Professional Services (799)</v>
      </c>
      <c r="M1270" s="467" t="s">
        <v>5</v>
      </c>
      <c r="N1270" s="463" t="s">
        <v>1075</v>
      </c>
      <c r="O1270" s="463" t="s">
        <v>1476</v>
      </c>
      <c r="P1270" s="463"/>
      <c r="Q1270" s="468">
        <v>5534</v>
      </c>
      <c r="R1270" s="428">
        <f t="shared" si="47"/>
        <v>-12000</v>
      </c>
      <c r="S1270" s="239" t="str">
        <f>VLOOKUP(H1270,'Fund Utilization Report'!$A$4:$U$1800,13,FALSE)</f>
        <v>MOOE</v>
      </c>
      <c r="T1270" s="239" t="str">
        <f>VLOOKUP(H1270,'Fund Utilization Report'!$A$4:$U$1800,2,FALSE)</f>
        <v>GAA</v>
      </c>
      <c r="U1270" s="239" t="str">
        <f>VLOOKUP(H1270,'Fund Utilization Report'!$A$4:$U$1800,3,FALSE)</f>
        <v>FY2021, RA11518</v>
      </c>
      <c r="V1270" s="239" t="str">
        <f>VLOOKUP(H1270,'Fund Utilization Report'!$A$4:$U$1800,4,FALSE)</f>
        <v>SSF</v>
      </c>
      <c r="W1270" s="239" t="str">
        <f>VLOOKUP(H1270,'Fund Utilization Report'!$A$4:$U$1800,5,FALSE)</f>
        <v>01101101</v>
      </c>
      <c r="X1270" s="239" t="str">
        <f>VLOOKUP(H1270,'Fund Utilization Report'!$A$4:$U$1800,6,FALSE)</f>
        <v>GOP</v>
      </c>
      <c r="Y1270" s="440" t="str">
        <f>VLOOKUP(H1270,'Fund Utilization Report'!$A$4:$U$1800,7,FALSE)</f>
        <v>MOOE</v>
      </c>
      <c r="Z1270" s="441">
        <f>VLOOKUP(H1270,'Fund Utilization Report'!$A$4:$U$1800,8,FALSE)</f>
        <v>5020000000</v>
      </c>
      <c r="AA1270" s="239" t="str">
        <f>VLOOKUP(H1270,'Fund Utilization Report'!$A$4:$U$1800,14,FALSE)</f>
        <v>330100200003000</v>
      </c>
      <c r="AB1270" s="242" t="str">
        <f>VLOOKUP(H1270,'Fund Utilization Report'!$A$4:$U$1800,15,FALSE)</f>
        <v>Shared Service Facilities Project</v>
      </c>
      <c r="AC1270" s="51"/>
      <c r="AD1270" s="435"/>
      <c r="AE1270" s="51"/>
      <c r="AF1270" s="51"/>
      <c r="AG1270" s="442"/>
      <c r="AH1270" s="442"/>
      <c r="AI1270" s="443"/>
    </row>
    <row r="1271" spans="1:35" s="32" customFormat="1">
      <c r="A1271" s="434" t="s">
        <v>942</v>
      </c>
      <c r="B1271" s="457" t="s">
        <v>946</v>
      </c>
      <c r="C1271" s="233">
        <v>44271</v>
      </c>
      <c r="D1271" s="435" t="s">
        <v>1267</v>
      </c>
      <c r="E1271" s="436" t="s">
        <v>1470</v>
      </c>
      <c r="F1271" s="338">
        <v>0.53333333333333333</v>
      </c>
      <c r="G1271" s="338">
        <v>0.53472222222222221</v>
      </c>
      <c r="H1271" s="458" t="s">
        <v>961</v>
      </c>
      <c r="I1271" s="459">
        <v>792</v>
      </c>
      <c r="J1271" s="338" t="str">
        <f>IFERROR(VLOOKUP(I1271,'Chart of accounts'!A:H,2,FALSE),"")</f>
        <v>50211020 00</v>
      </c>
      <c r="K1271" s="338" t="str">
        <f>IFERROR(VLOOKUP(I1271,'Chart of accounts'!A:H,3,FALSE),"")</f>
        <v>Auditing Services</v>
      </c>
      <c r="L1271" s="338" t="str">
        <f>IFERROR(VLOOKUP(I1271,'Chart of accounts'!A:H,4,FALSE),"")</f>
        <v>50211020 00 - Auditing Services (792)</v>
      </c>
      <c r="M1271" s="467" t="s">
        <v>1404</v>
      </c>
      <c r="N1271" s="463" t="s">
        <v>1075</v>
      </c>
      <c r="O1271" s="463" t="s">
        <v>1476</v>
      </c>
      <c r="P1271" s="463"/>
      <c r="Q1271" s="468">
        <v>5534</v>
      </c>
      <c r="R1271" s="428">
        <f t="shared" si="47"/>
        <v>-6000</v>
      </c>
      <c r="S1271" s="239" t="str">
        <f>VLOOKUP(H1271,'Fund Utilization Report'!$A$4:$U$1800,13,FALSE)</f>
        <v>MOOE</v>
      </c>
      <c r="T1271" s="239" t="str">
        <f>VLOOKUP(H1271,'Fund Utilization Report'!$A$4:$U$1800,2,FALSE)</f>
        <v>GAA</v>
      </c>
      <c r="U1271" s="239" t="str">
        <f>VLOOKUP(H1271,'Fund Utilization Report'!$A$4:$U$1800,3,FALSE)</f>
        <v>FY2021, RA11518</v>
      </c>
      <c r="V1271" s="239" t="str">
        <f>VLOOKUP(H1271,'Fund Utilization Report'!$A$4:$U$1800,4,FALSE)</f>
        <v>GAS(GMS)</v>
      </c>
      <c r="W1271" s="239" t="str">
        <f>VLOOKUP(H1271,'Fund Utilization Report'!$A$4:$U$1800,5,FALSE)</f>
        <v>01101101</v>
      </c>
      <c r="X1271" s="239" t="str">
        <f>VLOOKUP(H1271,'Fund Utilization Report'!$A$4:$U$1800,6,FALSE)</f>
        <v>GOP</v>
      </c>
      <c r="Y1271" s="440" t="str">
        <f>VLOOKUP(H1271,'Fund Utilization Report'!$A$4:$U$1800,7,FALSE)</f>
        <v>MOOE</v>
      </c>
      <c r="Z1271" s="441">
        <f>VLOOKUP(H1271,'Fund Utilization Report'!$A$4:$U$1800,8,FALSE)</f>
        <v>5020000000</v>
      </c>
      <c r="AA1271" s="239" t="str">
        <f>VLOOKUP(H1271,'Fund Utilization Report'!$A$4:$U$1800,14,FALSE)</f>
        <v>100000100001000</v>
      </c>
      <c r="AB1271" s="242" t="str">
        <f>VLOOKUP(H1271,'Fund Utilization Report'!$A$4:$U$1800,15,FALSE)</f>
        <v>General Administration and Supervision - General Management and Supervision</v>
      </c>
      <c r="AC1271" s="51"/>
      <c r="AD1271" s="435"/>
      <c r="AE1271" s="51"/>
      <c r="AF1271" s="51"/>
      <c r="AG1271" s="442"/>
      <c r="AH1271" s="442"/>
      <c r="AI1271" s="443"/>
    </row>
    <row r="1272" spans="1:35" s="32" customFormat="1">
      <c r="A1272" s="434" t="s">
        <v>942</v>
      </c>
      <c r="B1272" s="457" t="s">
        <v>946</v>
      </c>
      <c r="C1272" s="233">
        <v>44271</v>
      </c>
      <c r="D1272" s="435" t="s">
        <v>1267</v>
      </c>
      <c r="E1272" s="436" t="s">
        <v>1470</v>
      </c>
      <c r="F1272" s="338">
        <v>0.53333333333333333</v>
      </c>
      <c r="G1272" s="338">
        <v>0.53472222222222221</v>
      </c>
      <c r="H1272" s="458" t="s">
        <v>961</v>
      </c>
      <c r="I1272" s="459">
        <v>799</v>
      </c>
      <c r="J1272" s="338" t="str">
        <f>IFERROR(VLOOKUP(I1272,'Chart of accounts'!A:H,2,FALSE),"")</f>
        <v>50211990 00</v>
      </c>
      <c r="K1272" s="338" t="str">
        <f>IFERROR(VLOOKUP(I1272,'Chart of accounts'!A:H,3,FALSE),"")</f>
        <v>Other Professional Services</v>
      </c>
      <c r="L1272" s="338" t="str">
        <f>IFERROR(VLOOKUP(I1272,'Chart of accounts'!A:H,4,FALSE),"")</f>
        <v>50211990 00 - Other Professional Services (799)</v>
      </c>
      <c r="M1272" s="467" t="s">
        <v>816</v>
      </c>
      <c r="N1272" s="463" t="s">
        <v>1075</v>
      </c>
      <c r="O1272" s="463" t="s">
        <v>1476</v>
      </c>
      <c r="P1272" s="463"/>
      <c r="Q1272" s="468">
        <f>11158+5030.91</f>
        <v>16188.91</v>
      </c>
      <c r="R1272" s="428">
        <f t="shared" si="47"/>
        <v>-24000</v>
      </c>
      <c r="S1272" s="239" t="str">
        <f>VLOOKUP(H1272,'Fund Utilization Report'!$A$4:$U$1800,13,FALSE)</f>
        <v>MOOE</v>
      </c>
      <c r="T1272" s="239" t="str">
        <f>VLOOKUP(H1272,'Fund Utilization Report'!$A$4:$U$1800,2,FALSE)</f>
        <v>GAA</v>
      </c>
      <c r="U1272" s="239" t="str">
        <f>VLOOKUP(H1272,'Fund Utilization Report'!$A$4:$U$1800,3,FALSE)</f>
        <v>FY2021, RA11518</v>
      </c>
      <c r="V1272" s="239" t="str">
        <f>VLOOKUP(H1272,'Fund Utilization Report'!$A$4:$U$1800,4,FALSE)</f>
        <v>GAS(GMS)</v>
      </c>
      <c r="W1272" s="239" t="str">
        <f>VLOOKUP(H1272,'Fund Utilization Report'!$A$4:$U$1800,5,FALSE)</f>
        <v>01101101</v>
      </c>
      <c r="X1272" s="239" t="str">
        <f>VLOOKUP(H1272,'Fund Utilization Report'!$A$4:$U$1800,6,FALSE)</f>
        <v>GOP</v>
      </c>
      <c r="Y1272" s="440" t="str">
        <f>VLOOKUP(H1272,'Fund Utilization Report'!$A$4:$U$1800,7,FALSE)</f>
        <v>MOOE</v>
      </c>
      <c r="Z1272" s="441">
        <f>VLOOKUP(H1272,'Fund Utilization Report'!$A$4:$U$1800,8,FALSE)</f>
        <v>5020000000</v>
      </c>
      <c r="AA1272" s="239" t="str">
        <f>VLOOKUP(H1272,'Fund Utilization Report'!$A$4:$U$1800,14,FALSE)</f>
        <v>100000100001000</v>
      </c>
      <c r="AB1272" s="242" t="str">
        <f>VLOOKUP(H1272,'Fund Utilization Report'!$A$4:$U$1800,15,FALSE)</f>
        <v>General Administration and Supervision - General Management and Supervision</v>
      </c>
      <c r="AC1272" s="51"/>
      <c r="AD1272" s="435"/>
      <c r="AE1272" s="51"/>
      <c r="AF1272" s="51"/>
      <c r="AG1272" s="442"/>
      <c r="AH1272" s="442"/>
      <c r="AI1272" s="443"/>
    </row>
    <row r="1273" spans="1:35" s="32" customFormat="1">
      <c r="A1273" s="434" t="s">
        <v>942</v>
      </c>
      <c r="B1273" s="457" t="s">
        <v>946</v>
      </c>
      <c r="C1273" s="233">
        <v>44271</v>
      </c>
      <c r="D1273" s="435" t="s">
        <v>1267</v>
      </c>
      <c r="E1273" s="436" t="s">
        <v>1470</v>
      </c>
      <c r="F1273" s="338">
        <v>0.53333333333333333</v>
      </c>
      <c r="G1273" s="338">
        <v>0.53472222222222221</v>
      </c>
      <c r="H1273" s="458" t="s">
        <v>971</v>
      </c>
      <c r="I1273" s="459">
        <v>799</v>
      </c>
      <c r="J1273" s="338" t="str">
        <f>IFERROR(VLOOKUP(I1273,'Chart of accounts'!A:H,2,FALSE),"")</f>
        <v>50211990 00</v>
      </c>
      <c r="K1273" s="338" t="str">
        <f>IFERROR(VLOOKUP(I1273,'Chart of accounts'!A:H,3,FALSE),"")</f>
        <v>Other Professional Services</v>
      </c>
      <c r="L1273" s="338" t="str">
        <f>IFERROR(VLOOKUP(I1273,'Chart of accounts'!A:H,4,FALSE),"")</f>
        <v>50211990 00 - Other Professional Services (799)</v>
      </c>
      <c r="M1273" s="467" t="s">
        <v>816</v>
      </c>
      <c r="N1273" s="463" t="s">
        <v>1075</v>
      </c>
      <c r="O1273" s="463" t="s">
        <v>1476</v>
      </c>
      <c r="P1273" s="463"/>
      <c r="Q1273" s="468">
        <v>13112.59</v>
      </c>
      <c r="R1273" s="428">
        <f t="shared" si="47"/>
        <v>-6000</v>
      </c>
      <c r="S1273" s="239" t="str">
        <f>VLOOKUP(H1273,'Fund Utilization Report'!$A$4:$U$1800,13,FALSE)</f>
        <v>MOOE</v>
      </c>
      <c r="T1273" s="239" t="str">
        <f>VLOOKUP(H1273,'Fund Utilization Report'!$A$4:$U$1800,2,FALSE)</f>
        <v>GAA</v>
      </c>
      <c r="U1273" s="239" t="str">
        <f>VLOOKUP(H1273,'Fund Utilization Report'!$A$4:$U$1800,3,FALSE)</f>
        <v>FY2021, RA11518</v>
      </c>
      <c r="V1273" s="239" t="str">
        <f>VLOOKUP(H1273,'Fund Utilization Report'!$A$4:$U$1800,4,FALSE)</f>
        <v>OO3</v>
      </c>
      <c r="W1273" s="239" t="str">
        <f>VLOOKUP(H1273,'Fund Utilization Report'!$A$4:$U$1800,5,FALSE)</f>
        <v>01101101</v>
      </c>
      <c r="X1273" s="239" t="str">
        <f>VLOOKUP(H1273,'Fund Utilization Report'!$A$4:$U$1800,6,FALSE)</f>
        <v>GOP</v>
      </c>
      <c r="Y1273" s="440" t="str">
        <f>VLOOKUP(H1273,'Fund Utilization Report'!$A$4:$U$1800,7,FALSE)</f>
        <v>MOOE</v>
      </c>
      <c r="Z1273" s="441">
        <f>VLOOKUP(H1273,'Fund Utilization Report'!$A$4:$U$1800,8,FALSE)</f>
        <v>5020000000</v>
      </c>
      <c r="AA1273" s="239" t="str">
        <f>VLOOKUP(H1273,'Fund Utilization Report'!$A$4:$U$1800,14,FALSE)</f>
        <v>330100100002000</v>
      </c>
      <c r="AB1273" s="242" t="str">
        <f>VLOOKUP(H1273,'Fund Utilization Report'!$A$4:$U$1800,15,FALSE)</f>
        <v>Implementation of the MSME Development Plan and other initiatives to promote the growth of Micro, Small and Medium Enterprises</v>
      </c>
      <c r="AC1273" s="51"/>
      <c r="AD1273" s="435"/>
      <c r="AE1273" s="51"/>
      <c r="AF1273" s="51"/>
      <c r="AG1273" s="442"/>
      <c r="AH1273" s="442"/>
      <c r="AI1273" s="443"/>
    </row>
    <row r="1274" spans="1:35" s="32" customFormat="1">
      <c r="A1274" s="434" t="s">
        <v>942</v>
      </c>
      <c r="B1274" s="457" t="s">
        <v>946</v>
      </c>
      <c r="C1274" s="233">
        <v>44271</v>
      </c>
      <c r="D1274" s="435" t="s">
        <v>1267</v>
      </c>
      <c r="E1274" s="436" t="s">
        <v>1471</v>
      </c>
      <c r="F1274" s="338">
        <v>0.54999999999999993</v>
      </c>
      <c r="G1274" s="338">
        <v>0.55138888888888882</v>
      </c>
      <c r="H1274" s="458" t="s">
        <v>961</v>
      </c>
      <c r="I1274" s="459">
        <v>796</v>
      </c>
      <c r="J1274" s="338" t="str">
        <f>IFERROR(VLOOKUP(I1274,'Chart of accounts'!A:H,2,FALSE),"")</f>
        <v>50212020 00</v>
      </c>
      <c r="K1274" s="338" t="str">
        <f>IFERROR(VLOOKUP(I1274,'Chart of accounts'!A:H,3,FALSE),"")</f>
        <v>Janitorial Services</v>
      </c>
      <c r="L1274" s="338" t="str">
        <f>IFERROR(VLOOKUP(I1274,'Chart of accounts'!A:H,4,FALSE),"")</f>
        <v>50212020 00 - Janitorial Services (796)</v>
      </c>
      <c r="M1274" s="361" t="s">
        <v>816</v>
      </c>
      <c r="N1274" s="463" t="s">
        <v>1075</v>
      </c>
      <c r="O1274" s="463" t="s">
        <v>1476</v>
      </c>
      <c r="P1274" s="463"/>
      <c r="Q1274" s="468">
        <f>4400+4800</f>
        <v>9200</v>
      </c>
      <c r="R1274" s="428">
        <f t="shared" si="47"/>
        <v>-12000</v>
      </c>
      <c r="S1274" s="239" t="str">
        <f>VLOOKUP(H1274,'Fund Utilization Report'!$A$4:$U$1800,13,FALSE)</f>
        <v>MOOE</v>
      </c>
      <c r="T1274" s="239" t="str">
        <f>VLOOKUP(H1274,'Fund Utilization Report'!$A$4:$U$1800,2,FALSE)</f>
        <v>GAA</v>
      </c>
      <c r="U1274" s="239" t="str">
        <f>VLOOKUP(H1274,'Fund Utilization Report'!$A$4:$U$1800,3,FALSE)</f>
        <v>FY2021, RA11518</v>
      </c>
      <c r="V1274" s="239" t="str">
        <f>VLOOKUP(H1274,'Fund Utilization Report'!$A$4:$U$1800,4,FALSE)</f>
        <v>GAS(GMS)</v>
      </c>
      <c r="W1274" s="239" t="str">
        <f>VLOOKUP(H1274,'Fund Utilization Report'!$A$4:$U$1800,5,FALSE)</f>
        <v>01101101</v>
      </c>
      <c r="X1274" s="239" t="str">
        <f>VLOOKUP(H1274,'Fund Utilization Report'!$A$4:$U$1800,6,FALSE)</f>
        <v>GOP</v>
      </c>
      <c r="Y1274" s="440" t="str">
        <f>VLOOKUP(H1274,'Fund Utilization Report'!$A$4:$U$1800,7,FALSE)</f>
        <v>MOOE</v>
      </c>
      <c r="Z1274" s="441">
        <f>VLOOKUP(H1274,'Fund Utilization Report'!$A$4:$U$1800,8,FALSE)</f>
        <v>5020000000</v>
      </c>
      <c r="AA1274" s="239" t="str">
        <f>VLOOKUP(H1274,'Fund Utilization Report'!$A$4:$U$1800,14,FALSE)</f>
        <v>100000100001000</v>
      </c>
      <c r="AB1274" s="242" t="str">
        <f>VLOOKUP(H1274,'Fund Utilization Report'!$A$4:$U$1800,15,FALSE)</f>
        <v>General Administration and Supervision - General Management and Supervision</v>
      </c>
      <c r="AC1274" s="51"/>
      <c r="AD1274" s="435"/>
      <c r="AE1274" s="51"/>
      <c r="AF1274" s="51"/>
      <c r="AG1274" s="442"/>
      <c r="AH1274" s="442"/>
      <c r="AI1274" s="443"/>
    </row>
    <row r="1275" spans="1:35" s="32" customFormat="1">
      <c r="A1275" s="434" t="s">
        <v>942</v>
      </c>
      <c r="B1275" s="457" t="s">
        <v>946</v>
      </c>
      <c r="C1275" s="233">
        <v>44271</v>
      </c>
      <c r="D1275" s="435" t="s">
        <v>1267</v>
      </c>
      <c r="E1275" s="436" t="s">
        <v>1471</v>
      </c>
      <c r="F1275" s="338">
        <v>0.54999999999999993</v>
      </c>
      <c r="G1275" s="338">
        <v>0.55138888888888882</v>
      </c>
      <c r="H1275" s="458" t="s">
        <v>961</v>
      </c>
      <c r="I1275" s="459">
        <v>795</v>
      </c>
      <c r="J1275" s="338" t="str">
        <f>IFERROR(VLOOKUP(I1275,'Chart of accounts'!A:H,2,FALSE),"")</f>
        <v>50212990 00</v>
      </c>
      <c r="K1275" s="338" t="str">
        <f>IFERROR(VLOOKUP(I1275,'Chart of accounts'!A:H,3,FALSE),"")</f>
        <v>Other General Services</v>
      </c>
      <c r="L1275" s="338" t="str">
        <f>IFERROR(VLOOKUP(I1275,'Chart of accounts'!A:H,4,FALSE),"")</f>
        <v>50212990 00 - Other General Services (795)</v>
      </c>
      <c r="M1275" s="361" t="s">
        <v>816</v>
      </c>
      <c r="N1275" s="463" t="s">
        <v>1075</v>
      </c>
      <c r="O1275" s="463" t="s">
        <v>1476</v>
      </c>
      <c r="P1275" s="463"/>
      <c r="Q1275" s="468">
        <v>3100</v>
      </c>
      <c r="R1275" s="428">
        <f t="shared" si="47"/>
        <v>-18000</v>
      </c>
      <c r="S1275" s="239" t="str">
        <f>VLOOKUP(H1275,'Fund Utilization Report'!$A$4:$U$1800,13,FALSE)</f>
        <v>MOOE</v>
      </c>
      <c r="T1275" s="239" t="str">
        <f>VLOOKUP(H1275,'Fund Utilization Report'!$A$4:$U$1800,2,FALSE)</f>
        <v>GAA</v>
      </c>
      <c r="U1275" s="239" t="str">
        <f>VLOOKUP(H1275,'Fund Utilization Report'!$A$4:$U$1800,3,FALSE)</f>
        <v>FY2021, RA11518</v>
      </c>
      <c r="V1275" s="239" t="str">
        <f>VLOOKUP(H1275,'Fund Utilization Report'!$A$4:$U$1800,4,FALSE)</f>
        <v>GAS(GMS)</v>
      </c>
      <c r="W1275" s="239" t="str">
        <f>VLOOKUP(H1275,'Fund Utilization Report'!$A$4:$U$1800,5,FALSE)</f>
        <v>01101101</v>
      </c>
      <c r="X1275" s="239" t="str">
        <f>VLOOKUP(H1275,'Fund Utilization Report'!$A$4:$U$1800,6,FALSE)</f>
        <v>GOP</v>
      </c>
      <c r="Y1275" s="440" t="str">
        <f>VLOOKUP(H1275,'Fund Utilization Report'!$A$4:$U$1800,7,FALSE)</f>
        <v>MOOE</v>
      </c>
      <c r="Z1275" s="441">
        <f>VLOOKUP(H1275,'Fund Utilization Report'!$A$4:$U$1800,8,FALSE)</f>
        <v>5020000000</v>
      </c>
      <c r="AA1275" s="239" t="str">
        <f>VLOOKUP(H1275,'Fund Utilization Report'!$A$4:$U$1800,14,FALSE)</f>
        <v>100000100001000</v>
      </c>
      <c r="AB1275" s="242" t="str">
        <f>VLOOKUP(H1275,'Fund Utilization Report'!$A$4:$U$1800,15,FALSE)</f>
        <v>General Administration and Supervision - General Management and Supervision</v>
      </c>
      <c r="AC1275" s="51"/>
      <c r="AD1275" s="435"/>
      <c r="AE1275" s="51"/>
      <c r="AF1275" s="51"/>
      <c r="AG1275" s="442"/>
      <c r="AH1275" s="442"/>
      <c r="AI1275" s="443"/>
    </row>
    <row r="1276" spans="1:35" s="32" customFormat="1">
      <c r="A1276" s="434" t="s">
        <v>942</v>
      </c>
      <c r="B1276" s="457" t="s">
        <v>946</v>
      </c>
      <c r="C1276" s="233">
        <v>44271</v>
      </c>
      <c r="D1276" s="435" t="s">
        <v>1267</v>
      </c>
      <c r="E1276" s="436" t="s">
        <v>1472</v>
      </c>
      <c r="F1276" s="338">
        <v>0.55138888888888882</v>
      </c>
      <c r="G1276" s="338">
        <v>0.55208333333333337</v>
      </c>
      <c r="H1276" s="458" t="s">
        <v>961</v>
      </c>
      <c r="I1276" s="459">
        <v>761</v>
      </c>
      <c r="J1276" s="338" t="str">
        <f>IFERROR(VLOOKUP(I1276,'Chart of accounts'!A:H,2,FALSE),"")</f>
        <v>50203090 00</v>
      </c>
      <c r="K1276" s="338" t="str">
        <f>IFERROR(VLOOKUP(I1276,'Chart of accounts'!A:H,3,FALSE),"")</f>
        <v>Fuel, Oil and Lubricants Expenses</v>
      </c>
      <c r="L1276" s="338" t="str">
        <f>IFERROR(VLOOKUP(I1276,'Chart of accounts'!A:H,4,FALSE),"")</f>
        <v>50203090 00 - Fuel, Oil and Lubricants Expenses (761)</v>
      </c>
      <c r="M1276" s="467" t="s">
        <v>812</v>
      </c>
      <c r="N1276" s="463" t="s">
        <v>810</v>
      </c>
      <c r="O1276" s="463" t="s">
        <v>1477</v>
      </c>
      <c r="P1276" s="463"/>
      <c r="Q1276" s="468">
        <v>5585.05</v>
      </c>
      <c r="R1276" s="428">
        <f t="shared" ref="R1276:R1284" si="48">P1249-Q1249</f>
        <v>-18000</v>
      </c>
      <c r="S1276" s="239" t="str">
        <f>VLOOKUP(H1276,'Fund Utilization Report'!$A$4:$U$1800,13,FALSE)</f>
        <v>MOOE</v>
      </c>
      <c r="T1276" s="239" t="str">
        <f>VLOOKUP(H1276,'Fund Utilization Report'!$A$4:$U$1800,2,FALSE)</f>
        <v>GAA</v>
      </c>
      <c r="U1276" s="239" t="str">
        <f>VLOOKUP(H1276,'Fund Utilization Report'!$A$4:$U$1800,3,FALSE)</f>
        <v>FY2021, RA11518</v>
      </c>
      <c r="V1276" s="239" t="str">
        <f>VLOOKUP(H1276,'Fund Utilization Report'!$A$4:$U$1800,4,FALSE)</f>
        <v>GAS(GMS)</v>
      </c>
      <c r="W1276" s="239" t="str">
        <f>VLOOKUP(H1276,'Fund Utilization Report'!$A$4:$U$1800,5,FALSE)</f>
        <v>01101101</v>
      </c>
      <c r="X1276" s="239" t="str">
        <f>VLOOKUP(H1276,'Fund Utilization Report'!$A$4:$U$1800,6,FALSE)</f>
        <v>GOP</v>
      </c>
      <c r="Y1276" s="440" t="str">
        <f>VLOOKUP(H1276,'Fund Utilization Report'!$A$4:$U$1800,7,FALSE)</f>
        <v>MOOE</v>
      </c>
      <c r="Z1276" s="441">
        <f>VLOOKUP(H1276,'Fund Utilization Report'!$A$4:$U$1800,8,FALSE)</f>
        <v>5020000000</v>
      </c>
      <c r="AA1276" s="239" t="str">
        <f>VLOOKUP(H1276,'Fund Utilization Report'!$A$4:$U$1800,14,FALSE)</f>
        <v>100000100001000</v>
      </c>
      <c r="AB1276" s="242" t="str">
        <f>VLOOKUP(H1276,'Fund Utilization Report'!$A$4:$U$1800,15,FALSE)</f>
        <v>General Administration and Supervision - General Management and Supervision</v>
      </c>
      <c r="AC1276" s="51"/>
      <c r="AD1276" s="435"/>
      <c r="AE1276" s="51"/>
      <c r="AF1276" s="51"/>
      <c r="AG1276" s="442"/>
      <c r="AH1276" s="442"/>
      <c r="AI1276" s="443"/>
    </row>
    <row r="1277" spans="1:35" s="32" customFormat="1">
      <c r="A1277" s="434" t="s">
        <v>942</v>
      </c>
      <c r="B1277" s="457" t="s">
        <v>946</v>
      </c>
      <c r="C1277" s="233">
        <v>44271</v>
      </c>
      <c r="D1277" s="435" t="s">
        <v>1267</v>
      </c>
      <c r="E1277" s="436" t="s">
        <v>1472</v>
      </c>
      <c r="F1277" s="338">
        <v>0.55138888888888882</v>
      </c>
      <c r="G1277" s="338">
        <v>0.55208333333333337</v>
      </c>
      <c r="H1277" s="458" t="s">
        <v>980</v>
      </c>
      <c r="I1277" s="459">
        <v>761</v>
      </c>
      <c r="J1277" s="338" t="str">
        <f>IFERROR(VLOOKUP(I1277,'Chart of accounts'!A:H,2,FALSE),"")</f>
        <v>50203090 00</v>
      </c>
      <c r="K1277" s="338" t="str">
        <f>IFERROR(VLOOKUP(I1277,'Chart of accounts'!A:H,3,FALSE),"")</f>
        <v>Fuel, Oil and Lubricants Expenses</v>
      </c>
      <c r="L1277" s="338" t="str">
        <f>IFERROR(VLOOKUP(I1277,'Chart of accounts'!A:H,4,FALSE),"")</f>
        <v>50203090 00 - Fuel, Oil and Lubricants Expenses (761)</v>
      </c>
      <c r="M1277" s="467" t="s">
        <v>845</v>
      </c>
      <c r="N1277" s="463" t="s">
        <v>810</v>
      </c>
      <c r="O1277" s="463" t="s">
        <v>1477</v>
      </c>
      <c r="P1277" s="463"/>
      <c r="Q1277" s="468">
        <v>5448.23</v>
      </c>
      <c r="R1277" s="428">
        <f t="shared" si="48"/>
        <v>-6000</v>
      </c>
      <c r="S1277" s="239" t="str">
        <f>VLOOKUP(H1277,'Fund Utilization Report'!$A$4:$U$1800,13,FALSE)</f>
        <v>MOOE</v>
      </c>
      <c r="T1277" s="239" t="str">
        <f>VLOOKUP(H1277,'Fund Utilization Report'!$A$4:$U$1800,2,FALSE)</f>
        <v>GAA</v>
      </c>
      <c r="U1277" s="239" t="str">
        <f>VLOOKUP(H1277,'Fund Utilization Report'!$A$4:$U$1800,3,FALSE)</f>
        <v>FY2021, RA11518</v>
      </c>
      <c r="V1277" s="239" t="str">
        <f>VLOOKUP(H1277,'Fund Utilization Report'!$A$4:$U$1800,4,FALSE)</f>
        <v>NC</v>
      </c>
      <c r="W1277" s="239" t="str">
        <f>VLOOKUP(H1277,'Fund Utilization Report'!$A$4:$U$1800,5,FALSE)</f>
        <v>01101101</v>
      </c>
      <c r="X1277" s="239" t="str">
        <f>VLOOKUP(H1277,'Fund Utilization Report'!$A$4:$U$1800,6,FALSE)</f>
        <v>GOP</v>
      </c>
      <c r="Y1277" s="440" t="str">
        <f>VLOOKUP(H1277,'Fund Utilization Report'!$A$4:$U$1800,7,FALSE)</f>
        <v>MOOE</v>
      </c>
      <c r="Z1277" s="441">
        <f>VLOOKUP(H1277,'Fund Utilization Report'!$A$4:$U$1800,8,FALSE)</f>
        <v>5020000000</v>
      </c>
      <c r="AA1277" s="239" t="str">
        <f>VLOOKUP(H1277,'Fund Utilization Report'!$A$4:$U$1800,14,FALSE)</f>
        <v>330100200001000</v>
      </c>
      <c r="AB1277" s="242" t="str">
        <f>VLOOKUP(H1277,'Fund Utilization Report'!$A$4:$U$1800,15,FALSE)</f>
        <v>Establishment of Negosyo Centers</v>
      </c>
      <c r="AC1277" s="51"/>
      <c r="AD1277" s="435"/>
      <c r="AE1277" s="51"/>
      <c r="AF1277" s="51"/>
      <c r="AG1277" s="442"/>
      <c r="AH1277" s="442"/>
      <c r="AI1277" s="443"/>
    </row>
    <row r="1278" spans="1:35" s="32" customFormat="1">
      <c r="A1278" s="434" t="s">
        <v>942</v>
      </c>
      <c r="B1278" s="457" t="s">
        <v>946</v>
      </c>
      <c r="C1278" s="233">
        <v>44271</v>
      </c>
      <c r="D1278" s="435" t="s">
        <v>1267</v>
      </c>
      <c r="E1278" s="436" t="s">
        <v>1472</v>
      </c>
      <c r="F1278" s="338">
        <v>0.55138888888888882</v>
      </c>
      <c r="G1278" s="338">
        <v>0.55208333333333337</v>
      </c>
      <c r="H1278" s="458" t="s">
        <v>968</v>
      </c>
      <c r="I1278" s="459">
        <v>761</v>
      </c>
      <c r="J1278" s="338" t="str">
        <f>IFERROR(VLOOKUP(I1278,'Chart of accounts'!A:H,2,FALSE),"")</f>
        <v>50203090 00</v>
      </c>
      <c r="K1278" s="338" t="str">
        <f>IFERROR(VLOOKUP(I1278,'Chart of accounts'!A:H,3,FALSE),"")</f>
        <v>Fuel, Oil and Lubricants Expenses</v>
      </c>
      <c r="L1278" s="338" t="str">
        <f>IFERROR(VLOOKUP(I1278,'Chart of accounts'!A:H,4,FALSE),"")</f>
        <v>50203090 00 - Fuel, Oil and Lubricants Expenses (761)</v>
      </c>
      <c r="M1278" s="467" t="s">
        <v>814</v>
      </c>
      <c r="N1278" s="463" t="s">
        <v>810</v>
      </c>
      <c r="O1278" s="463" t="s">
        <v>1477</v>
      </c>
      <c r="P1278" s="463"/>
      <c r="Q1278" s="468">
        <v>1373.55</v>
      </c>
      <c r="R1278" s="428">
        <f t="shared" si="48"/>
        <v>-6000</v>
      </c>
      <c r="S1278" s="239" t="str">
        <f>VLOOKUP(H1278,'Fund Utilization Report'!$A$4:$U$1800,13,FALSE)</f>
        <v>MOOE</v>
      </c>
      <c r="T1278" s="239" t="str">
        <f>VLOOKUP(H1278,'Fund Utilization Report'!$A$4:$U$1800,2,FALSE)</f>
        <v>GAA</v>
      </c>
      <c r="U1278" s="239" t="str">
        <f>VLOOKUP(H1278,'Fund Utilization Report'!$A$4:$U$1800,3,FALSE)</f>
        <v>FY2021, RA11518</v>
      </c>
      <c r="V1278" s="239" t="str">
        <f>VLOOKUP(H1278,'Fund Utilization Report'!$A$4:$U$1800,4,FALSE)</f>
        <v>OO2</v>
      </c>
      <c r="W1278" s="239" t="str">
        <f>VLOOKUP(H1278,'Fund Utilization Report'!$A$4:$U$1800,5,FALSE)</f>
        <v>01101101</v>
      </c>
      <c r="X1278" s="239" t="str">
        <f>VLOOKUP(H1278,'Fund Utilization Report'!$A$4:$U$1800,6,FALSE)</f>
        <v>GOP</v>
      </c>
      <c r="Y1278" s="440" t="str">
        <f>VLOOKUP(H1278,'Fund Utilization Report'!$A$4:$U$1800,7,FALSE)</f>
        <v>MOOE</v>
      </c>
      <c r="Z1278" s="441">
        <f>VLOOKUP(H1278,'Fund Utilization Report'!$A$4:$U$1800,8,FALSE)</f>
        <v>5020000000</v>
      </c>
      <c r="AA1278" s="239" t="str">
        <f>VLOOKUP(H1278,'Fund Utilization Report'!$A$4:$U$1800,14,FALSE)</f>
        <v>320100100001000</v>
      </c>
      <c r="AB1278" s="242" t="str">
        <f>VLOOKUP(H1278,'Fund Utilization Report'!$A$4:$U$1800,15,FALSE)</f>
        <v>Formulation of Strategic plans,programs, and policies to develop competitve industries</v>
      </c>
      <c r="AC1278" s="51"/>
      <c r="AD1278" s="435"/>
      <c r="AE1278" s="51"/>
      <c r="AF1278" s="51"/>
      <c r="AG1278" s="442"/>
      <c r="AH1278" s="442"/>
      <c r="AI1278" s="443"/>
    </row>
    <row r="1279" spans="1:35" s="32" customFormat="1">
      <c r="A1279" s="434" t="s">
        <v>942</v>
      </c>
      <c r="B1279" s="457" t="s">
        <v>946</v>
      </c>
      <c r="C1279" s="233">
        <v>44271</v>
      </c>
      <c r="D1279" s="435" t="s">
        <v>1267</v>
      </c>
      <c r="E1279" s="436" t="s">
        <v>1472</v>
      </c>
      <c r="F1279" s="338">
        <v>0.55138888888888882</v>
      </c>
      <c r="G1279" s="338">
        <v>0.55208333333333337</v>
      </c>
      <c r="H1279" s="458" t="s">
        <v>974</v>
      </c>
      <c r="I1279" s="459">
        <v>761</v>
      </c>
      <c r="J1279" s="338" t="str">
        <f>IFERROR(VLOOKUP(I1279,'Chart of accounts'!A:H,2,FALSE),"")</f>
        <v>50203090 00</v>
      </c>
      <c r="K1279" s="338" t="str">
        <f>IFERROR(VLOOKUP(I1279,'Chart of accounts'!A:H,3,FALSE),"")</f>
        <v>Fuel, Oil and Lubricants Expenses</v>
      </c>
      <c r="L1279" s="338" t="str">
        <f>IFERROR(VLOOKUP(I1279,'Chart of accounts'!A:H,4,FALSE),"")</f>
        <v>50203090 00 - Fuel, Oil and Lubricants Expenses (761)</v>
      </c>
      <c r="M1279" s="467" t="s">
        <v>815</v>
      </c>
      <c r="N1279" s="463" t="s">
        <v>810</v>
      </c>
      <c r="O1279" s="463" t="s">
        <v>1477</v>
      </c>
      <c r="P1279" s="463"/>
      <c r="Q1279" s="468">
        <v>511.22</v>
      </c>
      <c r="R1279" s="428">
        <f t="shared" si="48"/>
        <v>-36000</v>
      </c>
      <c r="S1279" s="239" t="str">
        <f>VLOOKUP(H1279,'Fund Utilization Report'!$A$4:$U$1800,13,FALSE)</f>
        <v>MOOE</v>
      </c>
      <c r="T1279" s="239" t="str">
        <f>VLOOKUP(H1279,'Fund Utilization Report'!$A$4:$U$1800,2,FALSE)</f>
        <v>GAA</v>
      </c>
      <c r="U1279" s="239" t="str">
        <f>VLOOKUP(H1279,'Fund Utilization Report'!$A$4:$U$1800,3,FALSE)</f>
        <v>FY2021, RA11518</v>
      </c>
      <c r="V1279" s="239" t="str">
        <f>VLOOKUP(H1279,'Fund Utilization Report'!$A$4:$U$1800,4,FALSE)</f>
        <v>OO4.1(FTL)</v>
      </c>
      <c r="W1279" s="239" t="str">
        <f>VLOOKUP(H1279,'Fund Utilization Report'!$A$4:$U$1800,5,FALSE)</f>
        <v>01101101</v>
      </c>
      <c r="X1279" s="239" t="str">
        <f>VLOOKUP(H1279,'Fund Utilization Report'!$A$4:$U$1800,6,FALSE)</f>
        <v>GOP</v>
      </c>
      <c r="Y1279" s="440" t="str">
        <f>VLOOKUP(H1279,'Fund Utilization Report'!$A$4:$U$1800,7,FALSE)</f>
        <v>MOOE</v>
      </c>
      <c r="Z1279" s="441">
        <f>VLOOKUP(H1279,'Fund Utilization Report'!$A$4:$U$1800,8,FALSE)</f>
        <v>5020000000</v>
      </c>
      <c r="AA1279" s="239" t="str">
        <f>VLOOKUP(H1279,'Fund Utilization Report'!$A$4:$U$1800,14,FALSE)</f>
        <v>340100100002000</v>
      </c>
      <c r="AB1279" s="242" t="str">
        <f>VLOOKUP(H1279,'Fund Utilization Report'!$A$4:$U$1800,15,FALSE)</f>
        <v>Monitoring and Enforcement of FTL including consumer complaints handling</v>
      </c>
      <c r="AC1279" s="51"/>
      <c r="AD1279" s="435"/>
      <c r="AE1279" s="51"/>
      <c r="AF1279" s="51"/>
      <c r="AG1279" s="442"/>
      <c r="AH1279" s="442"/>
      <c r="AI1279" s="443"/>
    </row>
    <row r="1280" spans="1:35" s="32" customFormat="1">
      <c r="A1280" s="434" t="s">
        <v>942</v>
      </c>
      <c r="B1280" s="457" t="s">
        <v>946</v>
      </c>
      <c r="C1280" s="233">
        <v>44271</v>
      </c>
      <c r="D1280" s="435" t="s">
        <v>1267</v>
      </c>
      <c r="E1280" s="436" t="s">
        <v>1472</v>
      </c>
      <c r="F1280" s="338">
        <v>0.55138888888888882</v>
      </c>
      <c r="G1280" s="338">
        <v>0.55208333333333337</v>
      </c>
      <c r="H1280" s="458" t="s">
        <v>961</v>
      </c>
      <c r="I1280" s="459">
        <v>761</v>
      </c>
      <c r="J1280" s="338" t="str">
        <f>IFERROR(VLOOKUP(I1280,'Chart of accounts'!A:H,2,FALSE),"")</f>
        <v>50203090 00</v>
      </c>
      <c r="K1280" s="338" t="str">
        <f>IFERROR(VLOOKUP(I1280,'Chart of accounts'!A:H,3,FALSE),"")</f>
        <v>Fuel, Oil and Lubricants Expenses</v>
      </c>
      <c r="L1280" s="338" t="str">
        <f>IFERROR(VLOOKUP(I1280,'Chart of accounts'!A:H,4,FALSE),"")</f>
        <v>50203090 00 - Fuel, Oil and Lubricants Expenses (761)</v>
      </c>
      <c r="M1280" s="467" t="s">
        <v>816</v>
      </c>
      <c r="N1280" s="463" t="s">
        <v>810</v>
      </c>
      <c r="O1280" s="463" t="s">
        <v>1477</v>
      </c>
      <c r="P1280" s="463"/>
      <c r="Q1280" s="468">
        <v>5503.08</v>
      </c>
      <c r="R1280" s="428">
        <f t="shared" si="48"/>
        <v>-6000</v>
      </c>
      <c r="S1280" s="239" t="str">
        <f>VLOOKUP(H1280,'Fund Utilization Report'!$A$4:$U$1800,13,FALSE)</f>
        <v>MOOE</v>
      </c>
      <c r="T1280" s="239" t="str">
        <f>VLOOKUP(H1280,'Fund Utilization Report'!$A$4:$U$1800,2,FALSE)</f>
        <v>GAA</v>
      </c>
      <c r="U1280" s="239" t="str">
        <f>VLOOKUP(H1280,'Fund Utilization Report'!$A$4:$U$1800,3,FALSE)</f>
        <v>FY2021, RA11518</v>
      </c>
      <c r="V1280" s="239" t="str">
        <f>VLOOKUP(H1280,'Fund Utilization Report'!$A$4:$U$1800,4,FALSE)</f>
        <v>GAS(GMS)</v>
      </c>
      <c r="W1280" s="239" t="str">
        <f>VLOOKUP(H1280,'Fund Utilization Report'!$A$4:$U$1800,5,FALSE)</f>
        <v>01101101</v>
      </c>
      <c r="X1280" s="239" t="str">
        <f>VLOOKUP(H1280,'Fund Utilization Report'!$A$4:$U$1800,6,FALSE)</f>
        <v>GOP</v>
      </c>
      <c r="Y1280" s="440" t="str">
        <f>VLOOKUP(H1280,'Fund Utilization Report'!$A$4:$U$1800,7,FALSE)</f>
        <v>MOOE</v>
      </c>
      <c r="Z1280" s="441">
        <f>VLOOKUP(H1280,'Fund Utilization Report'!$A$4:$U$1800,8,FALSE)</f>
        <v>5020000000</v>
      </c>
      <c r="AA1280" s="239" t="str">
        <f>VLOOKUP(H1280,'Fund Utilization Report'!$A$4:$U$1800,14,FALSE)</f>
        <v>100000100001000</v>
      </c>
      <c r="AB1280" s="242" t="str">
        <f>VLOOKUP(H1280,'Fund Utilization Report'!$A$4:$U$1800,15,FALSE)</f>
        <v>General Administration and Supervision - General Management and Supervision</v>
      </c>
      <c r="AC1280" s="51"/>
      <c r="AD1280" s="435"/>
      <c r="AE1280" s="51"/>
      <c r="AF1280" s="51"/>
      <c r="AG1280" s="442"/>
      <c r="AH1280" s="442"/>
      <c r="AI1280" s="443"/>
    </row>
    <row r="1281" spans="1:35" s="32" customFormat="1" ht="27.6">
      <c r="A1281" s="434" t="s">
        <v>942</v>
      </c>
      <c r="B1281" s="457" t="s">
        <v>946</v>
      </c>
      <c r="C1281" s="233">
        <v>44271</v>
      </c>
      <c r="D1281" s="435" t="s">
        <v>1267</v>
      </c>
      <c r="E1281" s="436" t="s">
        <v>1473</v>
      </c>
      <c r="F1281" s="338">
        <v>0.56736111111111109</v>
      </c>
      <c r="G1281" s="338">
        <v>0.56874999999999998</v>
      </c>
      <c r="H1281" s="458" t="s">
        <v>961</v>
      </c>
      <c r="I1281" s="459">
        <v>781</v>
      </c>
      <c r="J1281" s="338" t="str">
        <f>IFERROR(VLOOKUP(I1281,'Chart of accounts'!A:H,2,FALSE),"")</f>
        <v>50299020 00</v>
      </c>
      <c r="K1281" s="338" t="str">
        <f>IFERROR(VLOOKUP(I1281,'Chart of accounts'!A:H,3,FALSE),"")</f>
        <v>Printing and Binding Expenses</v>
      </c>
      <c r="L1281" s="338" t="str">
        <f>IFERROR(VLOOKUP(I1281,'Chart of accounts'!A:H,4,FALSE),"")</f>
        <v>50299020 00 - Printing and Binding Expenses (781)</v>
      </c>
      <c r="M1281" s="467" t="s">
        <v>816</v>
      </c>
      <c r="N1281" s="463" t="s">
        <v>1433</v>
      </c>
      <c r="O1281" s="463" t="s">
        <v>1478</v>
      </c>
      <c r="P1281" s="463"/>
      <c r="Q1281" s="468">
        <v>920</v>
      </c>
      <c r="R1281" s="428">
        <f t="shared" si="48"/>
        <v>-12000</v>
      </c>
      <c r="S1281" s="239" t="str">
        <f>VLOOKUP(H1281,'Fund Utilization Report'!$A$4:$U$1800,13,FALSE)</f>
        <v>MOOE</v>
      </c>
      <c r="T1281" s="239" t="str">
        <f>VLOOKUP(H1281,'Fund Utilization Report'!$A$4:$U$1800,2,FALSE)</f>
        <v>GAA</v>
      </c>
      <c r="U1281" s="239" t="str">
        <f>VLOOKUP(H1281,'Fund Utilization Report'!$A$4:$U$1800,3,FALSE)</f>
        <v>FY2021, RA11518</v>
      </c>
      <c r="V1281" s="239" t="str">
        <f>VLOOKUP(H1281,'Fund Utilization Report'!$A$4:$U$1800,4,FALSE)</f>
        <v>GAS(GMS)</v>
      </c>
      <c r="W1281" s="239" t="str">
        <f>VLOOKUP(H1281,'Fund Utilization Report'!$A$4:$U$1800,5,FALSE)</f>
        <v>01101101</v>
      </c>
      <c r="X1281" s="239" t="str">
        <f>VLOOKUP(H1281,'Fund Utilization Report'!$A$4:$U$1800,6,FALSE)</f>
        <v>GOP</v>
      </c>
      <c r="Y1281" s="440" t="str">
        <f>VLOOKUP(H1281,'Fund Utilization Report'!$A$4:$U$1800,7,FALSE)</f>
        <v>MOOE</v>
      </c>
      <c r="Z1281" s="441">
        <f>VLOOKUP(H1281,'Fund Utilization Report'!$A$4:$U$1800,8,FALSE)</f>
        <v>5020000000</v>
      </c>
      <c r="AA1281" s="239" t="str">
        <f>VLOOKUP(H1281,'Fund Utilization Report'!$A$4:$U$1800,14,FALSE)</f>
        <v>100000100001000</v>
      </c>
      <c r="AB1281" s="242" t="str">
        <f>VLOOKUP(H1281,'Fund Utilization Report'!$A$4:$U$1800,15,FALSE)</f>
        <v>General Administration and Supervision - General Management and Supervision</v>
      </c>
      <c r="AC1281" s="51"/>
      <c r="AD1281" s="435"/>
      <c r="AE1281" s="51"/>
      <c r="AF1281" s="51"/>
      <c r="AG1281" s="442"/>
      <c r="AH1281" s="442"/>
      <c r="AI1281" s="443"/>
    </row>
    <row r="1282" spans="1:35" s="32" customFormat="1">
      <c r="A1282" s="434" t="s">
        <v>942</v>
      </c>
      <c r="B1282" s="457" t="s">
        <v>946</v>
      </c>
      <c r="C1282" s="233">
        <v>44271</v>
      </c>
      <c r="D1282" s="435" t="s">
        <v>1267</v>
      </c>
      <c r="E1282" s="436" t="s">
        <v>1479</v>
      </c>
      <c r="F1282" s="338">
        <v>0.7104166666666667</v>
      </c>
      <c r="G1282" s="338">
        <v>0.71111111111111114</v>
      </c>
      <c r="H1282" s="458" t="s">
        <v>961</v>
      </c>
      <c r="I1282" s="459">
        <v>783</v>
      </c>
      <c r="J1282" s="338" t="str">
        <f>IFERROR(VLOOKUP(I1282,'Chart of accounts'!A:H,2,FALSE),"")</f>
        <v>50299030 00</v>
      </c>
      <c r="K1282" s="338" t="str">
        <f>IFERROR(VLOOKUP(I1282,'Chart of accounts'!A:H,3,FALSE),"")</f>
        <v>Representation Expenses</v>
      </c>
      <c r="L1282" s="338" t="str">
        <f>IFERROR(VLOOKUP(I1282,'Chart of accounts'!A:H,4,FALSE),"")</f>
        <v>50299030 00 - Representation Expenses (783)</v>
      </c>
      <c r="M1282" s="467" t="s">
        <v>1366</v>
      </c>
      <c r="N1282" s="463" t="s">
        <v>1480</v>
      </c>
      <c r="O1282" s="463" t="s">
        <v>1481</v>
      </c>
      <c r="P1282" s="463"/>
      <c r="Q1282" s="468">
        <v>2486</v>
      </c>
      <c r="R1282" s="428">
        <f t="shared" si="48"/>
        <v>-6000</v>
      </c>
      <c r="S1282" s="239" t="str">
        <f>VLOOKUP(H1282,'Fund Utilization Report'!$A$4:$U$1800,13,FALSE)</f>
        <v>MOOE</v>
      </c>
      <c r="T1282" s="239" t="str">
        <f>VLOOKUP(H1282,'Fund Utilization Report'!$A$4:$U$1800,2,FALSE)</f>
        <v>GAA</v>
      </c>
      <c r="U1282" s="239" t="str">
        <f>VLOOKUP(H1282,'Fund Utilization Report'!$A$4:$U$1800,3,FALSE)</f>
        <v>FY2021, RA11518</v>
      </c>
      <c r="V1282" s="239" t="str">
        <f>VLOOKUP(H1282,'Fund Utilization Report'!$A$4:$U$1800,4,FALSE)</f>
        <v>GAS(GMS)</v>
      </c>
      <c r="W1282" s="239" t="str">
        <f>VLOOKUP(H1282,'Fund Utilization Report'!$A$4:$U$1800,5,FALSE)</f>
        <v>01101101</v>
      </c>
      <c r="X1282" s="239" t="str">
        <f>VLOOKUP(H1282,'Fund Utilization Report'!$A$4:$U$1800,6,FALSE)</f>
        <v>GOP</v>
      </c>
      <c r="Y1282" s="440" t="str">
        <f>VLOOKUP(H1282,'Fund Utilization Report'!$A$4:$U$1800,7,FALSE)</f>
        <v>MOOE</v>
      </c>
      <c r="Z1282" s="441">
        <f>VLOOKUP(H1282,'Fund Utilization Report'!$A$4:$U$1800,8,FALSE)</f>
        <v>5020000000</v>
      </c>
      <c r="AA1282" s="239" t="str">
        <f>VLOOKUP(H1282,'Fund Utilization Report'!$A$4:$U$1800,14,FALSE)</f>
        <v>100000100001000</v>
      </c>
      <c r="AB1282" s="242" t="str">
        <f>VLOOKUP(H1282,'Fund Utilization Report'!$A$4:$U$1800,15,FALSE)</f>
        <v>General Administration and Supervision - General Management and Supervision</v>
      </c>
      <c r="AC1282" s="51"/>
      <c r="AD1282" s="435"/>
      <c r="AE1282" s="51"/>
      <c r="AF1282" s="51"/>
      <c r="AG1282" s="442"/>
      <c r="AH1282" s="442"/>
      <c r="AI1282" s="443"/>
    </row>
    <row r="1283" spans="1:35" s="32" customFormat="1" ht="27.6">
      <c r="A1283" s="434" t="s">
        <v>942</v>
      </c>
      <c r="B1283" s="457" t="s">
        <v>946</v>
      </c>
      <c r="C1283" s="233">
        <v>44271</v>
      </c>
      <c r="D1283" s="435" t="s">
        <v>1267</v>
      </c>
      <c r="E1283" s="436" t="s">
        <v>1482</v>
      </c>
      <c r="F1283" s="338">
        <v>0.71111111111111114</v>
      </c>
      <c r="G1283" s="338">
        <v>0.71180555555555547</v>
      </c>
      <c r="H1283" s="458" t="s">
        <v>971</v>
      </c>
      <c r="I1283" s="459">
        <v>773</v>
      </c>
      <c r="J1283" s="338" t="str">
        <f>IFERROR(VLOOKUP(I1283,'Chart of accounts'!A:H,2,FALSE),"")</f>
        <v>50205020 01</v>
      </c>
      <c r="K1283" s="338" t="str">
        <f>IFERROR(VLOOKUP(I1283,'Chart of accounts'!A:H,3,FALSE),"")</f>
        <v xml:space="preserve">Telephone Expenses - Mobile </v>
      </c>
      <c r="L1283" s="338" t="str">
        <f>IFERROR(VLOOKUP(I1283,'Chart of accounts'!A:H,4,FALSE),"")</f>
        <v>50205020 01 - Telephone Expenses - Mobile  (773)</v>
      </c>
      <c r="M1283" s="467" t="s">
        <v>813</v>
      </c>
      <c r="N1283" s="463" t="s">
        <v>1102</v>
      </c>
      <c r="O1283" s="463" t="s">
        <v>1483</v>
      </c>
      <c r="P1283" s="463"/>
      <c r="Q1283" s="468">
        <v>1200</v>
      </c>
      <c r="R1283" s="428">
        <f t="shared" si="48"/>
        <v>-18000</v>
      </c>
      <c r="S1283" s="239" t="str">
        <f>VLOOKUP(H1283,'Fund Utilization Report'!$A$4:$U$1800,13,FALSE)</f>
        <v>MOOE</v>
      </c>
      <c r="T1283" s="239" t="str">
        <f>VLOOKUP(H1283,'Fund Utilization Report'!$A$4:$U$1800,2,FALSE)</f>
        <v>GAA</v>
      </c>
      <c r="U1283" s="239" t="str">
        <f>VLOOKUP(H1283,'Fund Utilization Report'!$A$4:$U$1800,3,FALSE)</f>
        <v>FY2021, RA11518</v>
      </c>
      <c r="V1283" s="239" t="str">
        <f>VLOOKUP(H1283,'Fund Utilization Report'!$A$4:$U$1800,4,FALSE)</f>
        <v>OO3</v>
      </c>
      <c r="W1283" s="239" t="str">
        <f>VLOOKUP(H1283,'Fund Utilization Report'!$A$4:$U$1800,5,FALSE)</f>
        <v>01101101</v>
      </c>
      <c r="X1283" s="239" t="str">
        <f>VLOOKUP(H1283,'Fund Utilization Report'!$A$4:$U$1800,6,FALSE)</f>
        <v>GOP</v>
      </c>
      <c r="Y1283" s="440" t="str">
        <f>VLOOKUP(H1283,'Fund Utilization Report'!$A$4:$U$1800,7,FALSE)</f>
        <v>MOOE</v>
      </c>
      <c r="Z1283" s="441">
        <f>VLOOKUP(H1283,'Fund Utilization Report'!$A$4:$U$1800,8,FALSE)</f>
        <v>5020000000</v>
      </c>
      <c r="AA1283" s="239" t="str">
        <f>VLOOKUP(H1283,'Fund Utilization Report'!$A$4:$U$1800,14,FALSE)</f>
        <v>330100100002000</v>
      </c>
      <c r="AB1283" s="242" t="str">
        <f>VLOOKUP(H1283,'Fund Utilization Report'!$A$4:$U$1800,15,FALSE)</f>
        <v>Implementation of the MSME Development Plan and other initiatives to promote the growth of Micro, Small and Medium Enterprises</v>
      </c>
      <c r="AC1283" s="51"/>
      <c r="AD1283" s="435"/>
      <c r="AE1283" s="51"/>
      <c r="AF1283" s="51"/>
      <c r="AG1283" s="442"/>
      <c r="AH1283" s="442"/>
      <c r="AI1283" s="443"/>
    </row>
    <row r="1284" spans="1:35" s="32" customFormat="1">
      <c r="A1284" s="434" t="s">
        <v>942</v>
      </c>
      <c r="B1284" s="457" t="s">
        <v>946</v>
      </c>
      <c r="C1284" s="233">
        <v>44271</v>
      </c>
      <c r="D1284" s="435" t="s">
        <v>1267</v>
      </c>
      <c r="E1284" s="436" t="s">
        <v>1484</v>
      </c>
      <c r="F1284" s="338">
        <v>0.71180555555555547</v>
      </c>
      <c r="G1284" s="338">
        <v>0.71250000000000002</v>
      </c>
      <c r="H1284" s="458" t="s">
        <v>961</v>
      </c>
      <c r="I1284" s="459">
        <v>795</v>
      </c>
      <c r="J1284" s="338" t="str">
        <f>IFERROR(VLOOKUP(I1284,'Chart of accounts'!A:H,2,FALSE),"")</f>
        <v>50212990 00</v>
      </c>
      <c r="K1284" s="338" t="str">
        <f>IFERROR(VLOOKUP(I1284,'Chart of accounts'!A:H,3,FALSE),"")</f>
        <v>Other General Services</v>
      </c>
      <c r="L1284" s="338" t="str">
        <f>IFERROR(VLOOKUP(I1284,'Chart of accounts'!A:H,4,FALSE),"")</f>
        <v>50212990 00 - Other General Services (795)</v>
      </c>
      <c r="M1284" s="467" t="s">
        <v>812</v>
      </c>
      <c r="N1284" s="463" t="s">
        <v>1075</v>
      </c>
      <c r="O1284" s="463" t="s">
        <v>1476</v>
      </c>
      <c r="P1284" s="463"/>
      <c r="Q1284" s="468">
        <v>5534</v>
      </c>
      <c r="R1284" s="428">
        <f t="shared" si="48"/>
        <v>-12000</v>
      </c>
      <c r="S1284" s="239" t="str">
        <f>VLOOKUP(H1284,'Fund Utilization Report'!$A$4:$U$1800,13,FALSE)</f>
        <v>MOOE</v>
      </c>
      <c r="T1284" s="239" t="str">
        <f>VLOOKUP(H1284,'Fund Utilization Report'!$A$4:$U$1800,2,FALSE)</f>
        <v>GAA</v>
      </c>
      <c r="U1284" s="239" t="str">
        <f>VLOOKUP(H1284,'Fund Utilization Report'!$A$4:$U$1800,3,FALSE)</f>
        <v>FY2021, RA11518</v>
      </c>
      <c r="V1284" s="239" t="str">
        <f>VLOOKUP(H1284,'Fund Utilization Report'!$A$4:$U$1800,4,FALSE)</f>
        <v>GAS(GMS)</v>
      </c>
      <c r="W1284" s="239" t="str">
        <f>VLOOKUP(H1284,'Fund Utilization Report'!$A$4:$U$1800,5,FALSE)</f>
        <v>01101101</v>
      </c>
      <c r="X1284" s="239" t="str">
        <f>VLOOKUP(H1284,'Fund Utilization Report'!$A$4:$U$1800,6,FALSE)</f>
        <v>GOP</v>
      </c>
      <c r="Y1284" s="440" t="str">
        <f>VLOOKUP(H1284,'Fund Utilization Report'!$A$4:$U$1800,7,FALSE)</f>
        <v>MOOE</v>
      </c>
      <c r="Z1284" s="441">
        <f>VLOOKUP(H1284,'Fund Utilization Report'!$A$4:$U$1800,8,FALSE)</f>
        <v>5020000000</v>
      </c>
      <c r="AA1284" s="239" t="str">
        <f>VLOOKUP(H1284,'Fund Utilization Report'!$A$4:$U$1800,14,FALSE)</f>
        <v>100000100001000</v>
      </c>
      <c r="AB1284" s="242" t="str">
        <f>VLOOKUP(H1284,'Fund Utilization Report'!$A$4:$U$1800,15,FALSE)</f>
        <v>General Administration and Supervision - General Management and Supervision</v>
      </c>
      <c r="AC1284" s="51"/>
      <c r="AD1284" s="435"/>
      <c r="AE1284" s="51"/>
      <c r="AF1284" s="51"/>
      <c r="AG1284" s="442"/>
      <c r="AH1284" s="442"/>
      <c r="AI1284" s="443"/>
    </row>
    <row r="1285" spans="1:35" s="32" customFormat="1">
      <c r="A1285" s="434" t="s">
        <v>942</v>
      </c>
      <c r="B1285" s="457" t="s">
        <v>946</v>
      </c>
      <c r="C1285" s="233">
        <v>44271</v>
      </c>
      <c r="D1285" s="435" t="s">
        <v>1267</v>
      </c>
      <c r="E1285" s="436" t="s">
        <v>1484</v>
      </c>
      <c r="F1285" s="338">
        <v>0.71180555555555547</v>
      </c>
      <c r="G1285" s="338">
        <v>0.71250000000000002</v>
      </c>
      <c r="H1285" s="458" t="s">
        <v>961</v>
      </c>
      <c r="I1285" s="459">
        <v>795</v>
      </c>
      <c r="J1285" s="338" t="str">
        <f>IFERROR(VLOOKUP(I1285,'Chart of accounts'!A:H,2,FALSE),"")</f>
        <v>50212990 00</v>
      </c>
      <c r="K1285" s="338" t="str">
        <f>IFERROR(VLOOKUP(I1285,'Chart of accounts'!A:H,3,FALSE),"")</f>
        <v>Other General Services</v>
      </c>
      <c r="L1285" s="338" t="str">
        <f>IFERROR(VLOOKUP(I1285,'Chart of accounts'!A:H,4,FALSE),"")</f>
        <v>50212990 00 - Other General Services (795)</v>
      </c>
      <c r="M1285" s="361" t="s">
        <v>812</v>
      </c>
      <c r="N1285" s="463" t="s">
        <v>1075</v>
      </c>
      <c r="O1285" s="463" t="s">
        <v>1476</v>
      </c>
      <c r="P1285" s="355"/>
      <c r="Q1285" s="363">
        <v>7500</v>
      </c>
      <c r="R1285" s="428">
        <f t="shared" ref="R1285:R1296" si="49">P1285-Q1285</f>
        <v>-7500</v>
      </c>
      <c r="S1285" s="239" t="str">
        <f>VLOOKUP(H1285,'Fund Utilization Report'!$A$4:$U$1800,13,FALSE)</f>
        <v>MOOE</v>
      </c>
      <c r="T1285" s="239" t="str">
        <f>VLOOKUP(H1285,'Fund Utilization Report'!$A$4:$U$1800,2,FALSE)</f>
        <v>GAA</v>
      </c>
      <c r="U1285" s="239" t="str">
        <f>VLOOKUP(H1285,'Fund Utilization Report'!$A$4:$U$1800,3,FALSE)</f>
        <v>FY2021, RA11518</v>
      </c>
      <c r="V1285" s="239" t="str">
        <f>VLOOKUP(H1285,'Fund Utilization Report'!$A$4:$U$1800,4,FALSE)</f>
        <v>GAS(GMS)</v>
      </c>
      <c r="W1285" s="239" t="str">
        <f>VLOOKUP(H1285,'Fund Utilization Report'!$A$4:$U$1800,5,FALSE)</f>
        <v>01101101</v>
      </c>
      <c r="X1285" s="239" t="str">
        <f>VLOOKUP(H1285,'Fund Utilization Report'!$A$4:$U$1800,6,FALSE)</f>
        <v>GOP</v>
      </c>
      <c r="Y1285" s="440" t="str">
        <f>VLOOKUP(H1285,'Fund Utilization Report'!$A$4:$U$1800,7,FALSE)</f>
        <v>MOOE</v>
      </c>
      <c r="Z1285" s="441">
        <f>VLOOKUP(H1285,'Fund Utilization Report'!$A$4:$U$1800,8,FALSE)</f>
        <v>5020000000</v>
      </c>
      <c r="AA1285" s="239" t="str">
        <f>VLOOKUP(H1285,'Fund Utilization Report'!$A$4:$U$1800,14,FALSE)</f>
        <v>100000100001000</v>
      </c>
      <c r="AB1285" s="242" t="str">
        <f>VLOOKUP(H1285,'Fund Utilization Report'!$A$4:$U$1800,15,FALSE)</f>
        <v>General Administration and Supervision - General Management and Supervision</v>
      </c>
      <c r="AC1285" s="51"/>
      <c r="AD1285" s="435"/>
      <c r="AE1285" s="51"/>
      <c r="AF1285" s="51"/>
      <c r="AG1285" s="442"/>
      <c r="AH1285" s="442"/>
      <c r="AI1285" s="443"/>
    </row>
    <row r="1286" spans="1:35" s="32" customFormat="1">
      <c r="A1286" s="434" t="s">
        <v>942</v>
      </c>
      <c r="B1286" s="457" t="s">
        <v>946</v>
      </c>
      <c r="C1286" s="233">
        <v>44271</v>
      </c>
      <c r="D1286" s="435" t="s">
        <v>1267</v>
      </c>
      <c r="E1286" s="436" t="s">
        <v>1485</v>
      </c>
      <c r="F1286" s="338">
        <v>0.71250000000000002</v>
      </c>
      <c r="G1286" s="338">
        <v>0.71458333333333324</v>
      </c>
      <c r="H1286" s="338" t="s">
        <v>982</v>
      </c>
      <c r="I1286" s="353">
        <v>799</v>
      </c>
      <c r="J1286" s="338" t="str">
        <f>IFERROR(VLOOKUP(I1286,'Chart of accounts'!A:H,2,FALSE),"")</f>
        <v>50211990 00</v>
      </c>
      <c r="K1286" s="338" t="str">
        <f>IFERROR(VLOOKUP(I1286,'Chart of accounts'!A:H,3,FALSE),"")</f>
        <v>Other Professional Services</v>
      </c>
      <c r="L1286" s="338" t="str">
        <f>IFERROR(VLOOKUP(I1286,'Chart of accounts'!A:H,4,FALSE),"")</f>
        <v>50211990 00 - Other Professional Services (799)</v>
      </c>
      <c r="M1286" s="361" t="s">
        <v>905</v>
      </c>
      <c r="N1286" s="463" t="s">
        <v>1075</v>
      </c>
      <c r="O1286" s="463" t="s">
        <v>1476</v>
      </c>
      <c r="P1286" s="355"/>
      <c r="Q1286" s="363">
        <v>11158</v>
      </c>
      <c r="R1286" s="428">
        <f t="shared" si="49"/>
        <v>-11158</v>
      </c>
      <c r="S1286" s="239" t="str">
        <f>VLOOKUP(H1286,'Fund Utilization Report'!$A$4:$U$1800,13,FALSE)</f>
        <v>MOOE</v>
      </c>
      <c r="T1286" s="239" t="str">
        <f>VLOOKUP(H1286,'Fund Utilization Report'!$A$4:$U$1800,2,FALSE)</f>
        <v>GAA</v>
      </c>
      <c r="U1286" s="239" t="str">
        <f>VLOOKUP(H1286,'Fund Utilization Report'!$A$4:$U$1800,3,FALSE)</f>
        <v>FY2021, RA11518</v>
      </c>
      <c r="V1286" s="239" t="str">
        <f>VLOOKUP(H1286,'Fund Utilization Report'!$A$4:$U$1800,4,FALSE)</f>
        <v>OTOP</v>
      </c>
      <c r="W1286" s="239" t="str">
        <f>VLOOKUP(H1286,'Fund Utilization Report'!$A$4:$U$1800,5,FALSE)</f>
        <v>01101101</v>
      </c>
      <c r="X1286" s="239" t="str">
        <f>VLOOKUP(H1286,'Fund Utilization Report'!$A$4:$U$1800,6,FALSE)</f>
        <v>GOP</v>
      </c>
      <c r="Y1286" s="440" t="str">
        <f>VLOOKUP(H1286,'Fund Utilization Report'!$A$4:$U$1800,7,FALSE)</f>
        <v>MOOE</v>
      </c>
      <c r="Z1286" s="441">
        <f>VLOOKUP(H1286,'Fund Utilization Report'!$A$4:$U$1800,8,FALSE)</f>
        <v>5020000000</v>
      </c>
      <c r="AA1286" s="239" t="str">
        <f>VLOOKUP(H1286,'Fund Utilization Report'!$A$4:$U$1800,14,FALSE)</f>
        <v>330100200002000</v>
      </c>
      <c r="AB1286" s="242" t="str">
        <f>VLOOKUP(H1286,'Fund Utilization Report'!$A$4:$U$1800,15,FALSE)</f>
        <v>OTOP - Next Generation</v>
      </c>
      <c r="AC1286" s="51"/>
      <c r="AD1286" s="435"/>
      <c r="AE1286" s="51"/>
      <c r="AF1286" s="51"/>
      <c r="AG1286" s="442"/>
      <c r="AH1286" s="442"/>
      <c r="AI1286" s="443"/>
    </row>
    <row r="1287" spans="1:35" s="32" customFormat="1">
      <c r="A1287" s="434" t="s">
        <v>942</v>
      </c>
      <c r="B1287" s="457" t="s">
        <v>946</v>
      </c>
      <c r="C1287" s="233">
        <v>44271</v>
      </c>
      <c r="D1287" s="435" t="s">
        <v>1267</v>
      </c>
      <c r="E1287" s="436" t="s">
        <v>1485</v>
      </c>
      <c r="F1287" s="338">
        <v>0.71250000000000002</v>
      </c>
      <c r="G1287" s="338">
        <v>0.71458333333333324</v>
      </c>
      <c r="H1287" s="338" t="s">
        <v>985</v>
      </c>
      <c r="I1287" s="353">
        <v>799</v>
      </c>
      <c r="J1287" s="338" t="str">
        <f>IFERROR(VLOOKUP(I1287,'Chart of accounts'!A:H,2,FALSE),"")</f>
        <v>50211990 00</v>
      </c>
      <c r="K1287" s="338" t="str">
        <f>IFERROR(VLOOKUP(I1287,'Chart of accounts'!A:H,3,FALSE),"")</f>
        <v>Other Professional Services</v>
      </c>
      <c r="L1287" s="338" t="str">
        <f>IFERROR(VLOOKUP(I1287,'Chart of accounts'!A:H,4,FALSE),"")</f>
        <v>50211990 00 - Other Professional Services (799)</v>
      </c>
      <c r="M1287" s="361" t="s">
        <v>7</v>
      </c>
      <c r="N1287" s="463" t="s">
        <v>1075</v>
      </c>
      <c r="O1287" s="463" t="s">
        <v>1476</v>
      </c>
      <c r="P1287" s="355"/>
      <c r="Q1287" s="363">
        <v>10143.64</v>
      </c>
      <c r="R1287" s="428">
        <f t="shared" si="49"/>
        <v>-10143.64</v>
      </c>
      <c r="S1287" s="239" t="str">
        <f>VLOOKUP(H1287,'Fund Utilization Report'!$A$4:$U$1800,13,FALSE)</f>
        <v>MOOE</v>
      </c>
      <c r="T1287" s="239" t="str">
        <f>VLOOKUP(H1287,'Fund Utilization Report'!$A$4:$U$1800,2,FALSE)</f>
        <v>GAA</v>
      </c>
      <c r="U1287" s="239" t="str">
        <f>VLOOKUP(H1287,'Fund Utilization Report'!$A$4:$U$1800,3,FALSE)</f>
        <v>FY2021, RA11518</v>
      </c>
      <c r="V1287" s="239" t="str">
        <f>VLOOKUP(H1287,'Fund Utilization Report'!$A$4:$U$1800,4,FALSE)</f>
        <v>LSP-PBG</v>
      </c>
      <c r="W1287" s="239" t="str">
        <f>VLOOKUP(H1287,'Fund Utilization Report'!$A$4:$U$1800,5,FALSE)</f>
        <v>01101101</v>
      </c>
      <c r="X1287" s="239" t="str">
        <f>VLOOKUP(H1287,'Fund Utilization Report'!$A$4:$U$1800,6,FALSE)</f>
        <v>GOP</v>
      </c>
      <c r="Y1287" s="440" t="str">
        <f>VLOOKUP(H1287,'Fund Utilization Report'!$A$4:$U$1800,7,FALSE)</f>
        <v>MOOE</v>
      </c>
      <c r="Z1287" s="441">
        <f>VLOOKUP(H1287,'Fund Utilization Report'!$A$4:$U$1800,8,FALSE)</f>
        <v>5020000000</v>
      </c>
      <c r="AA1287" s="239" t="str">
        <f>VLOOKUP(H1287,'Fund Utilization Report'!$A$4:$U$1800,14,FALSE)</f>
        <v>330100200004000</v>
      </c>
      <c r="AB1287" s="242" t="str">
        <f>VLOOKUP(H1287,'Fund Utilization Report'!$A$4:$U$1800,15,FALSE)</f>
        <v>MSME Development Program : Livelihood Seeding Program and Pangkabuhayan sa Pagbangon at Ginhawa</v>
      </c>
      <c r="AC1287" s="51"/>
      <c r="AD1287" s="435"/>
      <c r="AE1287" s="51"/>
      <c r="AF1287" s="51"/>
      <c r="AG1287" s="442"/>
      <c r="AH1287" s="442"/>
      <c r="AI1287" s="443"/>
    </row>
    <row r="1288" spans="1:35" s="32" customFormat="1" ht="27.6">
      <c r="A1288" s="434" t="s">
        <v>942</v>
      </c>
      <c r="B1288" s="457" t="s">
        <v>946</v>
      </c>
      <c r="C1288" s="233">
        <v>44271</v>
      </c>
      <c r="D1288" s="435" t="s">
        <v>1267</v>
      </c>
      <c r="E1288" s="436" t="s">
        <v>1486</v>
      </c>
      <c r="F1288" s="338">
        <v>0.71458333333333324</v>
      </c>
      <c r="G1288" s="338">
        <v>0.71666666666666667</v>
      </c>
      <c r="H1288" s="338" t="s">
        <v>977</v>
      </c>
      <c r="I1288" s="353">
        <v>773</v>
      </c>
      <c r="J1288" s="338" t="str">
        <f>IFERROR(VLOOKUP(I1288,'Chart of accounts'!A:H,2,FALSE),"")</f>
        <v>50205020 01</v>
      </c>
      <c r="K1288" s="338" t="str">
        <f>IFERROR(VLOOKUP(I1288,'Chart of accounts'!A:H,3,FALSE),"")</f>
        <v xml:space="preserve">Telephone Expenses - Mobile </v>
      </c>
      <c r="L1288" s="338" t="str">
        <f>IFERROR(VLOOKUP(I1288,'Chart of accounts'!A:H,4,FALSE),"")</f>
        <v>50205020 01 - Telephone Expenses - Mobile  (773)</v>
      </c>
      <c r="M1288" s="361" t="s">
        <v>815</v>
      </c>
      <c r="N1288" s="355" t="s">
        <v>1102</v>
      </c>
      <c r="O1288" s="463" t="s">
        <v>1487</v>
      </c>
      <c r="P1288" s="355"/>
      <c r="Q1288" s="363">
        <v>1200</v>
      </c>
      <c r="R1288" s="428">
        <f t="shared" si="49"/>
        <v>-1200</v>
      </c>
      <c r="S1288" s="239" t="str">
        <f>VLOOKUP(H1288,'Fund Utilization Report'!$A$4:$U$1800,13,FALSE)</f>
        <v>MOOE</v>
      </c>
      <c r="T1288" s="239" t="str">
        <f>VLOOKUP(H1288,'Fund Utilization Report'!$A$4:$U$1800,2,FALSE)</f>
        <v>GAA</v>
      </c>
      <c r="U1288" s="239" t="str">
        <f>VLOOKUP(H1288,'Fund Utilization Report'!$A$4:$U$1800,3,FALSE)</f>
        <v>FY2021, RA11518</v>
      </c>
      <c r="V1288" s="239" t="str">
        <f>VLOOKUP(H1288,'Fund Utilization Report'!$A$4:$U$1800,4,FALSE)</f>
        <v>OO4.1(Acc)</v>
      </c>
      <c r="W1288" s="239" t="str">
        <f>VLOOKUP(H1288,'Fund Utilization Report'!$A$4:$U$1800,5,FALSE)</f>
        <v>01101101</v>
      </c>
      <c r="X1288" s="239" t="str">
        <f>VLOOKUP(H1288,'Fund Utilization Report'!$A$4:$U$1800,6,FALSE)</f>
        <v>GOP</v>
      </c>
      <c r="Y1288" s="440" t="str">
        <f>VLOOKUP(H1288,'Fund Utilization Report'!$A$4:$U$1800,7,FALSE)</f>
        <v>MOOE</v>
      </c>
      <c r="Z1288" s="441">
        <f>VLOOKUP(H1288,'Fund Utilization Report'!$A$4:$U$1800,8,FALSE)</f>
        <v>5020000000</v>
      </c>
      <c r="AA1288" s="239" t="str">
        <f>VLOOKUP(H1288,'Fund Utilization Report'!$A$4:$U$1800,14,FALSE)</f>
        <v>340100100003000</v>
      </c>
      <c r="AB1288" s="242" t="str">
        <f>VLOOKUP(H1288,'Fund Utilization Report'!$A$4:$U$1800,15,FALSE)</f>
        <v>Accreditation and Issuance of Business Licenses, Permits, registration and authorities</v>
      </c>
      <c r="AC1288" s="51"/>
      <c r="AD1288" s="435"/>
      <c r="AE1288" s="51"/>
      <c r="AF1288" s="51"/>
      <c r="AG1288" s="442"/>
      <c r="AH1288" s="442"/>
      <c r="AI1288" s="443"/>
    </row>
    <row r="1289" spans="1:35" s="32" customFormat="1" ht="27.6">
      <c r="A1289" s="434" t="s">
        <v>942</v>
      </c>
      <c r="B1289" s="457" t="s">
        <v>946</v>
      </c>
      <c r="C1289" s="233">
        <v>44271</v>
      </c>
      <c r="D1289" s="435" t="s">
        <v>1267</v>
      </c>
      <c r="E1289" s="436" t="s">
        <v>1488</v>
      </c>
      <c r="F1289" s="338">
        <v>0.3972222222222222</v>
      </c>
      <c r="G1289" s="338">
        <v>0.3979166666666667</v>
      </c>
      <c r="H1289" s="338" t="s">
        <v>968</v>
      </c>
      <c r="I1289" s="353">
        <v>783</v>
      </c>
      <c r="J1289" s="338" t="str">
        <f>IFERROR(VLOOKUP(I1289,'Chart of accounts'!A:H,2,FALSE),"")</f>
        <v>50299030 00</v>
      </c>
      <c r="K1289" s="338" t="str">
        <f>IFERROR(VLOOKUP(I1289,'Chart of accounts'!A:H,3,FALSE),"")</f>
        <v>Representation Expenses</v>
      </c>
      <c r="L1289" s="338" t="str">
        <f>IFERROR(VLOOKUP(I1289,'Chart of accounts'!A:H,4,FALSE),"")</f>
        <v>50299030 00 - Representation Expenses (783)</v>
      </c>
      <c r="M1289" s="361" t="s">
        <v>1011</v>
      </c>
      <c r="N1289" s="355" t="s">
        <v>800</v>
      </c>
      <c r="O1289" s="355" t="s">
        <v>1489</v>
      </c>
      <c r="P1289" s="355"/>
      <c r="Q1289" s="363">
        <v>1500</v>
      </c>
      <c r="R1289" s="428">
        <f t="shared" si="49"/>
        <v>-1500</v>
      </c>
      <c r="S1289" s="239" t="str">
        <f>VLOOKUP(H1289,'Fund Utilization Report'!$A$4:$U$1800,13,FALSE)</f>
        <v>MOOE</v>
      </c>
      <c r="T1289" s="239" t="str">
        <f>VLOOKUP(H1289,'Fund Utilization Report'!$A$4:$U$1800,2,FALSE)</f>
        <v>GAA</v>
      </c>
      <c r="U1289" s="239" t="str">
        <f>VLOOKUP(H1289,'Fund Utilization Report'!$A$4:$U$1800,3,FALSE)</f>
        <v>FY2021, RA11518</v>
      </c>
      <c r="V1289" s="239" t="str">
        <f>VLOOKUP(H1289,'Fund Utilization Report'!$A$4:$U$1800,4,FALSE)</f>
        <v>OO2</v>
      </c>
      <c r="W1289" s="239" t="str">
        <f>VLOOKUP(H1289,'Fund Utilization Report'!$A$4:$U$1800,5,FALSE)</f>
        <v>01101101</v>
      </c>
      <c r="X1289" s="239" t="str">
        <f>VLOOKUP(H1289,'Fund Utilization Report'!$A$4:$U$1800,6,FALSE)</f>
        <v>GOP</v>
      </c>
      <c r="Y1289" s="440" t="str">
        <f>VLOOKUP(H1289,'Fund Utilization Report'!$A$4:$U$1800,7,FALSE)</f>
        <v>MOOE</v>
      </c>
      <c r="Z1289" s="441">
        <f>VLOOKUP(H1289,'Fund Utilization Report'!$A$4:$U$1800,8,FALSE)</f>
        <v>5020000000</v>
      </c>
      <c r="AA1289" s="239" t="str">
        <f>VLOOKUP(H1289,'Fund Utilization Report'!$A$4:$U$1800,14,FALSE)</f>
        <v>320100100001000</v>
      </c>
      <c r="AB1289" s="242" t="str">
        <f>VLOOKUP(H1289,'Fund Utilization Report'!$A$4:$U$1800,15,FALSE)</f>
        <v>Formulation of Strategic plans,programs, and policies to develop competitve industries</v>
      </c>
      <c r="AC1289" s="51"/>
      <c r="AD1289" s="435"/>
      <c r="AE1289" s="51"/>
      <c r="AF1289" s="51"/>
      <c r="AG1289" s="442"/>
      <c r="AH1289" s="442"/>
      <c r="AI1289" s="443"/>
    </row>
    <row r="1290" spans="1:35" s="32" customFormat="1" ht="27.6">
      <c r="A1290" s="434" t="s">
        <v>942</v>
      </c>
      <c r="B1290" s="457" t="s">
        <v>946</v>
      </c>
      <c r="C1290" s="233">
        <v>44271</v>
      </c>
      <c r="D1290" s="435" t="s">
        <v>1267</v>
      </c>
      <c r="E1290" s="436" t="s">
        <v>1490</v>
      </c>
      <c r="F1290" s="338">
        <v>0.3979166666666667</v>
      </c>
      <c r="G1290" s="338">
        <v>0.39930555555555558</v>
      </c>
      <c r="H1290" s="338" t="s">
        <v>961</v>
      </c>
      <c r="I1290" s="353">
        <v>783</v>
      </c>
      <c r="J1290" s="338" t="str">
        <f>IFERROR(VLOOKUP(I1290,'Chart of accounts'!A:H,2,FALSE),"")</f>
        <v>50299030 00</v>
      </c>
      <c r="K1290" s="338" t="str">
        <f>IFERROR(VLOOKUP(I1290,'Chart of accounts'!A:H,3,FALSE),"")</f>
        <v>Representation Expenses</v>
      </c>
      <c r="L1290" s="338" t="str">
        <f>IFERROR(VLOOKUP(I1290,'Chart of accounts'!A:H,4,FALSE),"")</f>
        <v>50299030 00 - Representation Expenses (783)</v>
      </c>
      <c r="M1290" s="361" t="s">
        <v>1366</v>
      </c>
      <c r="N1290" s="355" t="s">
        <v>798</v>
      </c>
      <c r="O1290" s="355" t="s">
        <v>1491</v>
      </c>
      <c r="P1290" s="355"/>
      <c r="Q1290" s="363">
        <v>350</v>
      </c>
      <c r="R1290" s="428">
        <f t="shared" si="49"/>
        <v>-350</v>
      </c>
      <c r="S1290" s="239" t="str">
        <f>VLOOKUP(H1290,'Fund Utilization Report'!$A$4:$U$1800,13,FALSE)</f>
        <v>MOOE</v>
      </c>
      <c r="T1290" s="239" t="str">
        <f>VLOOKUP(H1290,'Fund Utilization Report'!$A$4:$U$1800,2,FALSE)</f>
        <v>GAA</v>
      </c>
      <c r="U1290" s="239" t="str">
        <f>VLOOKUP(H1290,'Fund Utilization Report'!$A$4:$U$1800,3,FALSE)</f>
        <v>FY2021, RA11518</v>
      </c>
      <c r="V1290" s="239" t="str">
        <f>VLOOKUP(H1290,'Fund Utilization Report'!$A$4:$U$1800,4,FALSE)</f>
        <v>GAS(GMS)</v>
      </c>
      <c r="W1290" s="239" t="str">
        <f>VLOOKUP(H1290,'Fund Utilization Report'!$A$4:$U$1800,5,FALSE)</f>
        <v>01101101</v>
      </c>
      <c r="X1290" s="239" t="str">
        <f>VLOOKUP(H1290,'Fund Utilization Report'!$A$4:$U$1800,6,FALSE)</f>
        <v>GOP</v>
      </c>
      <c r="Y1290" s="440" t="str">
        <f>VLOOKUP(H1290,'Fund Utilization Report'!$A$4:$U$1800,7,FALSE)</f>
        <v>MOOE</v>
      </c>
      <c r="Z1290" s="441">
        <f>VLOOKUP(H1290,'Fund Utilization Report'!$A$4:$U$1800,8,FALSE)</f>
        <v>5020000000</v>
      </c>
      <c r="AA1290" s="239" t="str">
        <f>VLOOKUP(H1290,'Fund Utilization Report'!$A$4:$U$1800,14,FALSE)</f>
        <v>100000100001000</v>
      </c>
      <c r="AB1290" s="242" t="str">
        <f>VLOOKUP(H1290,'Fund Utilization Report'!$A$4:$U$1800,15,FALSE)</f>
        <v>General Administration and Supervision - General Management and Supervision</v>
      </c>
      <c r="AC1290" s="51"/>
      <c r="AD1290" s="435"/>
      <c r="AE1290" s="51"/>
      <c r="AF1290" s="51"/>
      <c r="AG1290" s="442"/>
      <c r="AH1290" s="442"/>
      <c r="AI1290" s="443"/>
    </row>
    <row r="1291" spans="1:35" s="32" customFormat="1" ht="27.6">
      <c r="A1291" s="434" t="s">
        <v>942</v>
      </c>
      <c r="B1291" s="457" t="s">
        <v>946</v>
      </c>
      <c r="C1291" s="233">
        <v>44271</v>
      </c>
      <c r="D1291" s="435" t="s">
        <v>1267</v>
      </c>
      <c r="E1291" s="436" t="s">
        <v>1492</v>
      </c>
      <c r="F1291" s="338">
        <v>0.39930555555555558</v>
      </c>
      <c r="G1291" s="338">
        <v>0.40138888888888885</v>
      </c>
      <c r="H1291" s="338" t="s">
        <v>961</v>
      </c>
      <c r="I1291" s="353">
        <v>783</v>
      </c>
      <c r="J1291" s="338" t="str">
        <f>IFERROR(VLOOKUP(I1291,'Chart of accounts'!A:H,2,FALSE),"")</f>
        <v>50299030 00</v>
      </c>
      <c r="K1291" s="338" t="str">
        <f>IFERROR(VLOOKUP(I1291,'Chart of accounts'!A:H,3,FALSE),"")</f>
        <v>Representation Expenses</v>
      </c>
      <c r="L1291" s="338" t="str">
        <f>IFERROR(VLOOKUP(I1291,'Chart of accounts'!A:H,4,FALSE),"")</f>
        <v>50299030 00 - Representation Expenses (783)</v>
      </c>
      <c r="M1291" s="361" t="s">
        <v>1366</v>
      </c>
      <c r="N1291" s="355" t="s">
        <v>1433</v>
      </c>
      <c r="O1291" s="355" t="s">
        <v>1493</v>
      </c>
      <c r="P1291" s="355"/>
      <c r="Q1291" s="363">
        <v>3800</v>
      </c>
      <c r="R1291" s="428">
        <f t="shared" si="49"/>
        <v>-3800</v>
      </c>
      <c r="S1291" s="239" t="str">
        <f>VLOOKUP(H1291,'Fund Utilization Report'!$A$4:$U$1800,13,FALSE)</f>
        <v>MOOE</v>
      </c>
      <c r="T1291" s="239" t="str">
        <f>VLOOKUP(H1291,'Fund Utilization Report'!$A$4:$U$1800,2,FALSE)</f>
        <v>GAA</v>
      </c>
      <c r="U1291" s="239" t="str">
        <f>VLOOKUP(H1291,'Fund Utilization Report'!$A$4:$U$1800,3,FALSE)</f>
        <v>FY2021, RA11518</v>
      </c>
      <c r="V1291" s="239" t="str">
        <f>VLOOKUP(H1291,'Fund Utilization Report'!$A$4:$U$1800,4,FALSE)</f>
        <v>GAS(GMS)</v>
      </c>
      <c r="W1291" s="239" t="str">
        <f>VLOOKUP(H1291,'Fund Utilization Report'!$A$4:$U$1800,5,FALSE)</f>
        <v>01101101</v>
      </c>
      <c r="X1291" s="239" t="str">
        <f>VLOOKUP(H1291,'Fund Utilization Report'!$A$4:$U$1800,6,FALSE)</f>
        <v>GOP</v>
      </c>
      <c r="Y1291" s="440" t="str">
        <f>VLOOKUP(H1291,'Fund Utilization Report'!$A$4:$U$1800,7,FALSE)</f>
        <v>MOOE</v>
      </c>
      <c r="Z1291" s="441">
        <f>VLOOKUP(H1291,'Fund Utilization Report'!$A$4:$U$1800,8,FALSE)</f>
        <v>5020000000</v>
      </c>
      <c r="AA1291" s="239" t="str">
        <f>VLOOKUP(H1291,'Fund Utilization Report'!$A$4:$U$1800,14,FALSE)</f>
        <v>100000100001000</v>
      </c>
      <c r="AB1291" s="242" t="str">
        <f>VLOOKUP(H1291,'Fund Utilization Report'!$A$4:$U$1800,15,FALSE)</f>
        <v>General Administration and Supervision - General Management and Supervision</v>
      </c>
      <c r="AC1291" s="51"/>
      <c r="AD1291" s="435"/>
      <c r="AE1291" s="51"/>
      <c r="AF1291" s="51"/>
      <c r="AG1291" s="442"/>
      <c r="AH1291" s="442"/>
      <c r="AI1291" s="443"/>
    </row>
    <row r="1292" spans="1:35" s="32" customFormat="1" ht="27.6">
      <c r="A1292" s="434" t="s">
        <v>942</v>
      </c>
      <c r="B1292" s="457" t="s">
        <v>946</v>
      </c>
      <c r="C1292" s="233">
        <v>44271</v>
      </c>
      <c r="D1292" s="435" t="s">
        <v>1267</v>
      </c>
      <c r="E1292" s="436" t="s">
        <v>1494</v>
      </c>
      <c r="F1292" s="338">
        <v>0.40138888888888885</v>
      </c>
      <c r="G1292" s="338">
        <v>0.40416666666666662</v>
      </c>
      <c r="H1292" s="338" t="s">
        <v>961</v>
      </c>
      <c r="I1292" s="353">
        <v>783</v>
      </c>
      <c r="J1292" s="338" t="str">
        <f>IFERROR(VLOOKUP(I1292,'Chart of accounts'!A:H,2,FALSE),"")</f>
        <v>50299030 00</v>
      </c>
      <c r="K1292" s="338" t="str">
        <f>IFERROR(VLOOKUP(I1292,'Chart of accounts'!A:H,3,FALSE),"")</f>
        <v>Representation Expenses</v>
      </c>
      <c r="L1292" s="338" t="str">
        <f>IFERROR(VLOOKUP(I1292,'Chart of accounts'!A:H,4,FALSE),"")</f>
        <v>50299030 00 - Representation Expenses (783)</v>
      </c>
      <c r="M1292" s="361" t="s">
        <v>1366</v>
      </c>
      <c r="N1292" s="355" t="s">
        <v>1108</v>
      </c>
      <c r="O1292" s="355" t="s">
        <v>1495</v>
      </c>
      <c r="P1292" s="355"/>
      <c r="Q1292" s="363">
        <v>31800</v>
      </c>
      <c r="R1292" s="428">
        <f t="shared" si="49"/>
        <v>-31800</v>
      </c>
      <c r="S1292" s="239" t="str">
        <f>VLOOKUP(H1292,'Fund Utilization Report'!$A$4:$U$1800,13,FALSE)</f>
        <v>MOOE</v>
      </c>
      <c r="T1292" s="239" t="str">
        <f>VLOOKUP(H1292,'Fund Utilization Report'!$A$4:$U$1800,2,FALSE)</f>
        <v>GAA</v>
      </c>
      <c r="U1292" s="239" t="str">
        <f>VLOOKUP(H1292,'Fund Utilization Report'!$A$4:$U$1800,3,FALSE)</f>
        <v>FY2021, RA11518</v>
      </c>
      <c r="V1292" s="239" t="str">
        <f>VLOOKUP(H1292,'Fund Utilization Report'!$A$4:$U$1800,4,FALSE)</f>
        <v>GAS(GMS)</v>
      </c>
      <c r="W1292" s="239" t="str">
        <f>VLOOKUP(H1292,'Fund Utilization Report'!$A$4:$U$1800,5,FALSE)</f>
        <v>01101101</v>
      </c>
      <c r="X1292" s="239" t="str">
        <f>VLOOKUP(H1292,'Fund Utilization Report'!$A$4:$U$1800,6,FALSE)</f>
        <v>GOP</v>
      </c>
      <c r="Y1292" s="440" t="str">
        <f>VLOOKUP(H1292,'Fund Utilization Report'!$A$4:$U$1800,7,FALSE)</f>
        <v>MOOE</v>
      </c>
      <c r="Z1292" s="441">
        <f>VLOOKUP(H1292,'Fund Utilization Report'!$A$4:$U$1800,8,FALSE)</f>
        <v>5020000000</v>
      </c>
      <c r="AA1292" s="239" t="str">
        <f>VLOOKUP(H1292,'Fund Utilization Report'!$A$4:$U$1800,14,FALSE)</f>
        <v>100000100001000</v>
      </c>
      <c r="AB1292" s="242" t="str">
        <f>VLOOKUP(H1292,'Fund Utilization Report'!$A$4:$U$1800,15,FALSE)</f>
        <v>General Administration and Supervision - General Management and Supervision</v>
      </c>
      <c r="AC1292" s="51"/>
      <c r="AD1292" s="435"/>
      <c r="AE1292" s="51"/>
      <c r="AF1292" s="51"/>
      <c r="AG1292" s="442"/>
      <c r="AH1292" s="442"/>
      <c r="AI1292" s="443"/>
    </row>
    <row r="1293" spans="1:35" s="32" customFormat="1" ht="27.6">
      <c r="A1293" s="434" t="s">
        <v>942</v>
      </c>
      <c r="B1293" s="457" t="s">
        <v>946</v>
      </c>
      <c r="C1293" s="233">
        <v>44271</v>
      </c>
      <c r="D1293" s="435" t="s">
        <v>1267</v>
      </c>
      <c r="E1293" s="436" t="s">
        <v>1496</v>
      </c>
      <c r="F1293" s="338">
        <v>0.40416666666666662</v>
      </c>
      <c r="G1293" s="338">
        <v>0.40486111111111112</v>
      </c>
      <c r="H1293" s="338" t="s">
        <v>961</v>
      </c>
      <c r="I1293" s="353">
        <v>781</v>
      </c>
      <c r="J1293" s="338" t="str">
        <f>IFERROR(VLOOKUP(I1293,'Chart of accounts'!A:H,2,FALSE),"")</f>
        <v>50299020 00</v>
      </c>
      <c r="K1293" s="338" t="str">
        <f>IFERROR(VLOOKUP(I1293,'Chart of accounts'!A:H,3,FALSE),"")</f>
        <v>Printing and Binding Expenses</v>
      </c>
      <c r="L1293" s="338" t="str">
        <f>IFERROR(VLOOKUP(I1293,'Chart of accounts'!A:H,4,FALSE),"")</f>
        <v>50299020 00 - Printing and Binding Expenses (781)</v>
      </c>
      <c r="M1293" s="361" t="s">
        <v>1366</v>
      </c>
      <c r="N1293" s="355" t="s">
        <v>1433</v>
      </c>
      <c r="O1293" s="355" t="s">
        <v>1497</v>
      </c>
      <c r="P1293" s="355"/>
      <c r="Q1293" s="363">
        <v>480</v>
      </c>
      <c r="R1293" s="428">
        <f t="shared" si="49"/>
        <v>-480</v>
      </c>
      <c r="S1293" s="239" t="str">
        <f>VLOOKUP(H1293,'Fund Utilization Report'!$A$4:$U$1800,13,FALSE)</f>
        <v>MOOE</v>
      </c>
      <c r="T1293" s="239" t="str">
        <f>VLOOKUP(H1293,'Fund Utilization Report'!$A$4:$U$1800,2,FALSE)</f>
        <v>GAA</v>
      </c>
      <c r="U1293" s="239" t="str">
        <f>VLOOKUP(H1293,'Fund Utilization Report'!$A$4:$U$1800,3,FALSE)</f>
        <v>FY2021, RA11518</v>
      </c>
      <c r="V1293" s="239" t="str">
        <f>VLOOKUP(H1293,'Fund Utilization Report'!$A$4:$U$1800,4,FALSE)</f>
        <v>GAS(GMS)</v>
      </c>
      <c r="W1293" s="239" t="str">
        <f>VLOOKUP(H1293,'Fund Utilization Report'!$A$4:$U$1800,5,FALSE)</f>
        <v>01101101</v>
      </c>
      <c r="X1293" s="239" t="str">
        <f>VLOOKUP(H1293,'Fund Utilization Report'!$A$4:$U$1800,6,FALSE)</f>
        <v>GOP</v>
      </c>
      <c r="Y1293" s="440" t="str">
        <f>VLOOKUP(H1293,'Fund Utilization Report'!$A$4:$U$1800,7,FALSE)</f>
        <v>MOOE</v>
      </c>
      <c r="Z1293" s="441">
        <f>VLOOKUP(H1293,'Fund Utilization Report'!$A$4:$U$1800,8,FALSE)</f>
        <v>5020000000</v>
      </c>
      <c r="AA1293" s="239" t="str">
        <f>VLOOKUP(H1293,'Fund Utilization Report'!$A$4:$U$1800,14,FALSE)</f>
        <v>100000100001000</v>
      </c>
      <c r="AB1293" s="242" t="str">
        <f>VLOOKUP(H1293,'Fund Utilization Report'!$A$4:$U$1800,15,FALSE)</f>
        <v>General Administration and Supervision - General Management and Supervision</v>
      </c>
      <c r="AC1293" s="51"/>
      <c r="AD1293" s="435"/>
      <c r="AE1293" s="51"/>
      <c r="AF1293" s="51"/>
      <c r="AG1293" s="442"/>
      <c r="AH1293" s="442"/>
      <c r="AI1293" s="443"/>
    </row>
    <row r="1294" spans="1:35" s="32" customFormat="1">
      <c r="A1294" s="434" t="s">
        <v>942</v>
      </c>
      <c r="B1294" s="457" t="s">
        <v>946</v>
      </c>
      <c r="C1294" s="233">
        <v>44271</v>
      </c>
      <c r="D1294" s="435" t="s">
        <v>1267</v>
      </c>
      <c r="E1294" s="436" t="s">
        <v>1498</v>
      </c>
      <c r="F1294" s="338">
        <v>0.58333333333333337</v>
      </c>
      <c r="G1294" s="338">
        <v>0.58402777777777781</v>
      </c>
      <c r="H1294" s="338" t="s">
        <v>999</v>
      </c>
      <c r="I1294" s="353">
        <v>715</v>
      </c>
      <c r="J1294" s="338" t="str">
        <f>IFERROR(VLOOKUP(I1294,'Chart of accounts'!A:H,2,FALSE),"")</f>
        <v>50102040 01</v>
      </c>
      <c r="K1294" s="338" t="str">
        <f>IFERROR(VLOOKUP(I1294,'Chart of accounts'!A:H,3,FALSE),"")</f>
        <v>Clothing/Uniform Allowance - Civilian</v>
      </c>
      <c r="L1294" s="338" t="str">
        <f>IFERROR(VLOOKUP(I1294,'Chart of accounts'!A:H,4,FALSE),"")</f>
        <v>50102040 01 - Clothing/Uniform Allowance - Civilian (715)</v>
      </c>
      <c r="M1294" s="361" t="s">
        <v>923</v>
      </c>
      <c r="N1294" s="355" t="s">
        <v>1499</v>
      </c>
      <c r="O1294" s="355" t="s">
        <v>1500</v>
      </c>
      <c r="P1294" s="355"/>
      <c r="Q1294" s="363">
        <v>48000</v>
      </c>
      <c r="R1294" s="428">
        <f t="shared" si="49"/>
        <v>-48000</v>
      </c>
      <c r="S1294" s="239" t="str">
        <f>VLOOKUP(H1294,'Fund Utilization Report'!$A$4:$U$1800,13,FALSE)</f>
        <v>PS</v>
      </c>
      <c r="T1294" s="239" t="str">
        <f>VLOOKUP(H1294,'Fund Utilization Report'!$A$4:$U$1800,2,FALSE)</f>
        <v>SAA15</v>
      </c>
      <c r="U1294" s="239" t="str">
        <f>VLOOKUP(H1294,'Fund Utilization Report'!$A$4:$U$1800,3,FALSE)</f>
        <v>2021-01-0015</v>
      </c>
      <c r="V1294" s="239" t="str">
        <f>VLOOKUP(H1294,'Fund Utilization Report'!$A$4:$U$1800,4,FALSE)</f>
        <v>CARP</v>
      </c>
      <c r="W1294" s="239" t="str">
        <f>VLOOKUP(H1294,'Fund Utilization Report'!$A$4:$U$1800,5,FALSE)</f>
        <v>01101101</v>
      </c>
      <c r="X1294" s="239" t="str">
        <f>VLOOKUP(H1294,'Fund Utilization Report'!$A$4:$U$1800,6,FALSE)</f>
        <v>GOP</v>
      </c>
      <c r="Y1294" s="440">
        <f>VLOOKUP(H1294,'Fund Utilization Report'!$A$4:$U$1800,7,FALSE)</f>
        <v>706</v>
      </c>
      <c r="Z1294" s="441" t="str">
        <f>VLOOKUP(H1294,'Fund Utilization Report'!$A$4:$U$1800,8,FALSE)</f>
        <v>50101020 00</v>
      </c>
      <c r="AA1294" s="239" t="str">
        <f>VLOOKUP(H1294,'Fund Utilization Report'!$A$4:$U$1800,14,FALSE)</f>
        <v>330100100003000</v>
      </c>
      <c r="AB1294" s="242" t="str">
        <f>VLOOKUP(H1294,'Fund Utilization Report'!$A$4:$U$1800,15,FALSE)</f>
        <v>MSME Development Program : Program Beneficiaries Development Component of the Comprehensive Agrarian Reform Program</v>
      </c>
      <c r="AC1294" s="51"/>
      <c r="AD1294" s="435"/>
      <c r="AE1294" s="51"/>
      <c r="AF1294" s="51"/>
      <c r="AG1294" s="442"/>
      <c r="AH1294" s="442"/>
      <c r="AI1294" s="443"/>
    </row>
    <row r="1295" spans="1:35" s="32" customFormat="1" ht="27.6">
      <c r="A1295" s="434" t="s">
        <v>942</v>
      </c>
      <c r="B1295" s="457" t="s">
        <v>946</v>
      </c>
      <c r="C1295" s="233">
        <v>44271</v>
      </c>
      <c r="D1295" s="435" t="s">
        <v>1267</v>
      </c>
      <c r="E1295" s="436" t="s">
        <v>1501</v>
      </c>
      <c r="F1295" s="338">
        <v>0.59444444444444444</v>
      </c>
      <c r="G1295" s="338">
        <v>0.59513888888888888</v>
      </c>
      <c r="H1295" s="338" t="s">
        <v>1221</v>
      </c>
      <c r="I1295" s="353">
        <v>799</v>
      </c>
      <c r="J1295" s="338" t="str">
        <f>IFERROR(VLOOKUP(I1295,'Chart of accounts'!A:H,2,FALSE),"")</f>
        <v>50211990 00</v>
      </c>
      <c r="K1295" s="338" t="str">
        <f>IFERROR(VLOOKUP(I1295,'Chart of accounts'!A:H,3,FALSE),"")</f>
        <v>Other Professional Services</v>
      </c>
      <c r="L1295" s="338" t="str">
        <f>IFERROR(VLOOKUP(I1295,'Chart of accounts'!A:H,4,FALSE),"")</f>
        <v>50211990 00 - Other Professional Services (799)</v>
      </c>
      <c r="M1295" s="361" t="s">
        <v>1011</v>
      </c>
      <c r="N1295" s="355" t="s">
        <v>1030</v>
      </c>
      <c r="O1295" s="355" t="s">
        <v>1502</v>
      </c>
      <c r="P1295" s="355"/>
      <c r="Q1295" s="363">
        <v>45808.9</v>
      </c>
      <c r="R1295" s="428">
        <f t="shared" si="49"/>
        <v>-45808.9</v>
      </c>
      <c r="S1295" s="239" t="str">
        <f>VLOOKUP(H1295,'Fund Utilization Report'!$A$4:$U$1800,13,FALSE)</f>
        <v>MOOE</v>
      </c>
      <c r="T1295" s="239" t="str">
        <f>VLOOKUP(H1295,'Fund Utilization Report'!$A$4:$U$1800,2,FALSE)</f>
        <v>SAA040</v>
      </c>
      <c r="U1295" s="239" t="str">
        <f>VLOOKUP(H1295,'Fund Utilization Report'!$A$4:$U$1800,3,FALSE)</f>
        <v>21-02-0040</v>
      </c>
      <c r="V1295" s="239" t="str">
        <f>VLOOKUP(H1295,'Fund Utilization Report'!$A$4:$U$1800,4,FALSE)</f>
        <v>RAPID GOP</v>
      </c>
      <c r="W1295" s="239" t="str">
        <f>VLOOKUP(H1295,'Fund Utilization Report'!$A$4:$U$1800,5,FALSE)</f>
        <v>01101101</v>
      </c>
      <c r="X1295" s="239" t="str">
        <f>VLOOKUP(H1295,'Fund Utilization Report'!$A$4:$U$1800,6,FALSE)</f>
        <v>GOP</v>
      </c>
      <c r="Y1295" s="440">
        <f>VLOOKUP(H1295,'Fund Utilization Report'!$A$4:$U$1800,7,FALSE)</f>
        <v>799</v>
      </c>
      <c r="Z1295" s="441">
        <f>VLOOKUP(H1295,'Fund Utilization Report'!$A$4:$U$1800,8,FALSE)</f>
        <v>5021199000</v>
      </c>
      <c r="AA1295" s="239" t="str">
        <f>VLOOKUP(H1295,'Fund Utilization Report'!$A$4:$U$1800,14,FALSE)</f>
        <v>330100300001000</v>
      </c>
      <c r="AB1295" s="242" t="str">
        <f>VLOOKUP(H1295,'Fund Utilization Report'!$A$4:$U$1800,15,FALSE)</f>
        <v>Rural Agro Enterprise Partnership for Inclusive Development (RAPID) Growth GOP Continuing</v>
      </c>
      <c r="AC1295" s="51"/>
      <c r="AD1295" s="435"/>
      <c r="AE1295" s="51"/>
      <c r="AF1295" s="51"/>
      <c r="AG1295" s="442"/>
      <c r="AH1295" s="442"/>
      <c r="AI1295" s="443"/>
    </row>
    <row r="1296" spans="1:35" s="32" customFormat="1" ht="27.6">
      <c r="A1296" s="434" t="s">
        <v>942</v>
      </c>
      <c r="B1296" s="457" t="s">
        <v>946</v>
      </c>
      <c r="C1296" s="233">
        <v>44271</v>
      </c>
      <c r="D1296" s="435" t="s">
        <v>1267</v>
      </c>
      <c r="E1296" s="436" t="s">
        <v>1503</v>
      </c>
      <c r="F1296" s="338">
        <v>0.59513888888888888</v>
      </c>
      <c r="G1296" s="338">
        <v>0.59583333333333333</v>
      </c>
      <c r="H1296" s="338" t="s">
        <v>1221</v>
      </c>
      <c r="I1296" s="353">
        <v>799</v>
      </c>
      <c r="J1296" s="338" t="str">
        <f>IFERROR(VLOOKUP(I1296,'Chart of accounts'!A:H,2,FALSE),"")</f>
        <v>50211990 00</v>
      </c>
      <c r="K1296" s="338" t="str">
        <f>IFERROR(VLOOKUP(I1296,'Chart of accounts'!A:H,3,FALSE),"")</f>
        <v>Other Professional Services</v>
      </c>
      <c r="L1296" s="338" t="str">
        <f>IFERROR(VLOOKUP(I1296,'Chart of accounts'!A:H,4,FALSE),"")</f>
        <v>50211990 00 - Other Professional Services (799)</v>
      </c>
      <c r="M1296" s="361" t="s">
        <v>1011</v>
      </c>
      <c r="N1296" s="355" t="s">
        <v>1030</v>
      </c>
      <c r="O1296" s="355" t="s">
        <v>1504</v>
      </c>
      <c r="P1296" s="355"/>
      <c r="Q1296" s="363">
        <v>41497.269999999997</v>
      </c>
      <c r="R1296" s="428">
        <f t="shared" si="49"/>
        <v>-41497.269999999997</v>
      </c>
      <c r="S1296" s="239" t="str">
        <f>VLOOKUP(H1296,'Fund Utilization Report'!$A$4:$U$1800,13,FALSE)</f>
        <v>MOOE</v>
      </c>
      <c r="T1296" s="239" t="str">
        <f>VLOOKUP(H1296,'Fund Utilization Report'!$A$4:$U$1800,2,FALSE)</f>
        <v>SAA040</v>
      </c>
      <c r="U1296" s="239" t="str">
        <f>VLOOKUP(H1296,'Fund Utilization Report'!$A$4:$U$1800,3,FALSE)</f>
        <v>21-02-0040</v>
      </c>
      <c r="V1296" s="239" t="str">
        <f>VLOOKUP(H1296,'Fund Utilization Report'!$A$4:$U$1800,4,FALSE)</f>
        <v>RAPID GOP</v>
      </c>
      <c r="W1296" s="239" t="str">
        <f>VLOOKUP(H1296,'Fund Utilization Report'!$A$4:$U$1800,5,FALSE)</f>
        <v>01101101</v>
      </c>
      <c r="X1296" s="239" t="str">
        <f>VLOOKUP(H1296,'Fund Utilization Report'!$A$4:$U$1800,6,FALSE)</f>
        <v>GOP</v>
      </c>
      <c r="Y1296" s="440">
        <f>VLOOKUP(H1296,'Fund Utilization Report'!$A$4:$U$1800,7,FALSE)</f>
        <v>799</v>
      </c>
      <c r="Z1296" s="441">
        <f>VLOOKUP(H1296,'Fund Utilization Report'!$A$4:$U$1800,8,FALSE)</f>
        <v>5021199000</v>
      </c>
      <c r="AA1296" s="239" t="str">
        <f>VLOOKUP(H1296,'Fund Utilization Report'!$A$4:$U$1800,14,FALSE)</f>
        <v>330100300001000</v>
      </c>
      <c r="AB1296" s="242" t="str">
        <f>VLOOKUP(H1296,'Fund Utilization Report'!$A$4:$U$1800,15,FALSE)</f>
        <v>Rural Agro Enterprise Partnership for Inclusive Development (RAPID) Growth GOP Continuing</v>
      </c>
      <c r="AC1296" s="51"/>
      <c r="AD1296" s="435"/>
      <c r="AE1296" s="51"/>
      <c r="AF1296" s="51"/>
      <c r="AG1296" s="442"/>
      <c r="AH1296" s="442"/>
      <c r="AI1296" s="443"/>
    </row>
    <row r="1297" spans="1:35" s="32" customFormat="1" ht="27.6">
      <c r="A1297" s="434" t="s">
        <v>942</v>
      </c>
      <c r="B1297" s="457" t="s">
        <v>946</v>
      </c>
      <c r="C1297" s="233">
        <v>44279</v>
      </c>
      <c r="D1297" s="435" t="s">
        <v>1267</v>
      </c>
      <c r="E1297" s="436" t="s">
        <v>1505</v>
      </c>
      <c r="F1297" s="338">
        <v>0.41180555555555554</v>
      </c>
      <c r="G1297" s="338">
        <v>0.41319444444444442</v>
      </c>
      <c r="H1297" s="338" t="s">
        <v>981</v>
      </c>
      <c r="I1297" s="353" t="s">
        <v>828</v>
      </c>
      <c r="J1297" s="338" t="str">
        <f>IFERROR(VLOOKUP(I1297,'Chart of accounts'!A:H,2,FALSE),"")</f>
        <v>50604050 03</v>
      </c>
      <c r="K1297" s="338" t="str">
        <f>IFERROR(VLOOKUP(I1297,'Chart of accounts'!A:H,3,FALSE),"")</f>
        <v>ICT Equipment</v>
      </c>
      <c r="L1297" s="338" t="str">
        <f>IFERROR(VLOOKUP(I1297,'Chart of accounts'!A:H,4,FALSE),"")</f>
        <v>50604050 03 - ICT Equipment (223 CO)</v>
      </c>
      <c r="M1297" s="361" t="s">
        <v>845</v>
      </c>
      <c r="N1297" s="355" t="s">
        <v>1506</v>
      </c>
      <c r="O1297" s="355" t="s">
        <v>1507</v>
      </c>
      <c r="P1297" s="355"/>
      <c r="Q1297" s="363">
        <v>76000</v>
      </c>
      <c r="R1297" s="428">
        <f t="shared" ref="R1297:R1309" si="50">P1297-Q1297</f>
        <v>-76000</v>
      </c>
      <c r="S1297" s="239" t="str">
        <f>VLOOKUP(H1297,'Fund Utilization Report'!$A$4:$U$1800,13,FALSE)</f>
        <v>CO</v>
      </c>
      <c r="T1297" s="239" t="str">
        <f>VLOOKUP(H1297,'Fund Utilization Report'!$A$4:$U$1800,2,FALSE)</f>
        <v>GAA</v>
      </c>
      <c r="U1297" s="239" t="str">
        <f>VLOOKUP(H1297,'Fund Utilization Report'!$A$4:$U$1800,3,FALSE)</f>
        <v>FY2021, RA11518</v>
      </c>
      <c r="V1297" s="239" t="str">
        <f>VLOOKUP(H1297,'Fund Utilization Report'!$A$4:$U$1800,4,FALSE)</f>
        <v>NC</v>
      </c>
      <c r="W1297" s="239" t="str">
        <f>VLOOKUP(H1297,'Fund Utilization Report'!$A$4:$U$1800,5,FALSE)</f>
        <v>01101101</v>
      </c>
      <c r="X1297" s="239" t="str">
        <f>VLOOKUP(H1297,'Fund Utilization Report'!$A$4:$U$1800,6,FALSE)</f>
        <v>GOP</v>
      </c>
      <c r="Y1297" s="440" t="str">
        <f>VLOOKUP(H1297,'Fund Utilization Report'!$A$4:$U$1800,7,FALSE)</f>
        <v>CO</v>
      </c>
      <c r="Z1297" s="441">
        <f>VLOOKUP(H1297,'Fund Utilization Report'!$A$4:$U$1800,8,FALSE)</f>
        <v>5060000000</v>
      </c>
      <c r="AA1297" s="239" t="str">
        <f>VLOOKUP(H1297,'Fund Utilization Report'!$A$4:$U$1800,14,FALSE)</f>
        <v>330100200001000</v>
      </c>
      <c r="AB1297" s="242" t="str">
        <f>VLOOKUP(H1297,'Fund Utilization Report'!$A$4:$U$1800,15,FALSE)</f>
        <v>Establishment of Negosyo Centers</v>
      </c>
      <c r="AC1297" s="51"/>
      <c r="AD1297" s="435"/>
      <c r="AE1297" s="51"/>
      <c r="AF1297" s="51"/>
      <c r="AG1297" s="442"/>
      <c r="AH1297" s="442"/>
      <c r="AI1297" s="443"/>
    </row>
    <row r="1298" spans="1:35" s="32" customFormat="1">
      <c r="A1298" s="434" t="s">
        <v>942</v>
      </c>
      <c r="B1298" s="457" t="s">
        <v>946</v>
      </c>
      <c r="C1298" s="233">
        <v>44279</v>
      </c>
      <c r="D1298" s="435" t="s">
        <v>1267</v>
      </c>
      <c r="E1298" s="436" t="s">
        <v>1508</v>
      </c>
      <c r="F1298" s="338">
        <v>0.41319444444444442</v>
      </c>
      <c r="G1298" s="338">
        <v>0.4152777777777778</v>
      </c>
      <c r="H1298" s="338" t="s">
        <v>961</v>
      </c>
      <c r="I1298" s="353">
        <v>755</v>
      </c>
      <c r="J1298" s="338" t="str">
        <f>IFERROR(VLOOKUP(I1298,'Chart of accounts'!A:H,2,FALSE),"")</f>
        <v>50203010 00</v>
      </c>
      <c r="K1298" s="338" t="str">
        <f>IFERROR(VLOOKUP(I1298,'Chart of accounts'!A:H,3,FALSE),"")</f>
        <v>Office Supplies Expenses</v>
      </c>
      <c r="L1298" s="338" t="str">
        <f>IFERROR(VLOOKUP(I1298,'Chart of accounts'!A:H,4,FALSE),"")</f>
        <v>50203010 00 - Office Supplies Expenses (755)</v>
      </c>
      <c r="M1298" s="361">
        <v>1</v>
      </c>
      <c r="N1298" s="355" t="s">
        <v>859</v>
      </c>
      <c r="O1298" s="355" t="s">
        <v>1509</v>
      </c>
      <c r="P1298" s="355"/>
      <c r="Q1298" s="363">
        <v>2130</v>
      </c>
      <c r="R1298" s="428">
        <f t="shared" si="50"/>
        <v>-2130</v>
      </c>
      <c r="S1298" s="239" t="str">
        <f>VLOOKUP(H1298,'Fund Utilization Report'!$A$4:$U$1800,13,FALSE)</f>
        <v>MOOE</v>
      </c>
      <c r="T1298" s="239" t="str">
        <f>VLOOKUP(H1298,'Fund Utilization Report'!$A$4:$U$1800,2,FALSE)</f>
        <v>GAA</v>
      </c>
      <c r="U1298" s="239" t="str">
        <f>VLOOKUP(H1298,'Fund Utilization Report'!$A$4:$U$1800,3,FALSE)</f>
        <v>FY2021, RA11518</v>
      </c>
      <c r="V1298" s="239" t="str">
        <f>VLOOKUP(H1298,'Fund Utilization Report'!$A$4:$U$1800,4,FALSE)</f>
        <v>GAS(GMS)</v>
      </c>
      <c r="W1298" s="239" t="str">
        <f>VLOOKUP(H1298,'Fund Utilization Report'!$A$4:$U$1800,5,FALSE)</f>
        <v>01101101</v>
      </c>
      <c r="X1298" s="239" t="str">
        <f>VLOOKUP(H1298,'Fund Utilization Report'!$A$4:$U$1800,6,FALSE)</f>
        <v>GOP</v>
      </c>
      <c r="Y1298" s="440" t="str">
        <f>VLOOKUP(H1298,'Fund Utilization Report'!$A$4:$U$1800,7,FALSE)</f>
        <v>MOOE</v>
      </c>
      <c r="Z1298" s="441">
        <f>VLOOKUP(H1298,'Fund Utilization Report'!$A$4:$U$1800,8,FALSE)</f>
        <v>5020000000</v>
      </c>
      <c r="AA1298" s="239" t="str">
        <f>VLOOKUP(H1298,'Fund Utilization Report'!$A$4:$U$1800,14,FALSE)</f>
        <v>100000100001000</v>
      </c>
      <c r="AB1298" s="242" t="str">
        <f>VLOOKUP(H1298,'Fund Utilization Report'!$A$4:$U$1800,15,FALSE)</f>
        <v>General Administration and Supervision - General Management and Supervision</v>
      </c>
      <c r="AC1298" s="51"/>
      <c r="AD1298" s="435"/>
      <c r="AE1298" s="51"/>
      <c r="AF1298" s="51"/>
      <c r="AG1298" s="442"/>
      <c r="AH1298" s="442"/>
      <c r="AI1298" s="443"/>
    </row>
    <row r="1299" spans="1:35" s="32" customFormat="1" ht="27.6">
      <c r="A1299" s="434" t="s">
        <v>942</v>
      </c>
      <c r="B1299" s="457" t="s">
        <v>946</v>
      </c>
      <c r="C1299" s="233">
        <v>44279</v>
      </c>
      <c r="D1299" s="435" t="s">
        <v>1267</v>
      </c>
      <c r="E1299" s="436" t="s">
        <v>1510</v>
      </c>
      <c r="F1299" s="338">
        <v>0.4152777777777778</v>
      </c>
      <c r="G1299" s="338">
        <v>0.41597222222222219</v>
      </c>
      <c r="H1299" s="338" t="s">
        <v>961</v>
      </c>
      <c r="I1299" s="353">
        <v>892</v>
      </c>
      <c r="J1299" s="338" t="str">
        <f>IFERROR(VLOOKUP(I1299,'Chart of accounts'!A:H,2,FALSE),"")</f>
        <v>50215020 00</v>
      </c>
      <c r="K1299" s="338" t="str">
        <f>IFERROR(VLOOKUP(I1299,'Chart of accounts'!A:H,3,FALSE),"")</f>
        <v>Fidelity Bond Premiums</v>
      </c>
      <c r="L1299" s="338" t="str">
        <f>IFERROR(VLOOKUP(I1299,'Chart of accounts'!A:H,4,FALSE),"")</f>
        <v>50215020 00 - Fidelity Bond Premiums (892)</v>
      </c>
      <c r="M1299" s="361">
        <v>1</v>
      </c>
      <c r="N1299" s="355" t="s">
        <v>1511</v>
      </c>
      <c r="O1299" s="355" t="s">
        <v>1512</v>
      </c>
      <c r="P1299" s="355"/>
      <c r="Q1299" s="363">
        <v>5175</v>
      </c>
      <c r="R1299" s="428">
        <f t="shared" si="50"/>
        <v>-5175</v>
      </c>
      <c r="S1299" s="239" t="str">
        <f>VLOOKUP(H1299,'Fund Utilization Report'!$A$4:$U$1800,13,FALSE)</f>
        <v>MOOE</v>
      </c>
      <c r="T1299" s="239" t="str">
        <f>VLOOKUP(H1299,'Fund Utilization Report'!$A$4:$U$1800,2,FALSE)</f>
        <v>GAA</v>
      </c>
      <c r="U1299" s="239" t="str">
        <f>VLOOKUP(H1299,'Fund Utilization Report'!$A$4:$U$1800,3,FALSE)</f>
        <v>FY2021, RA11518</v>
      </c>
      <c r="V1299" s="239" t="str">
        <f>VLOOKUP(H1299,'Fund Utilization Report'!$A$4:$U$1800,4,FALSE)</f>
        <v>GAS(GMS)</v>
      </c>
      <c r="W1299" s="239" t="str">
        <f>VLOOKUP(H1299,'Fund Utilization Report'!$A$4:$U$1800,5,FALSE)</f>
        <v>01101101</v>
      </c>
      <c r="X1299" s="239" t="str">
        <f>VLOOKUP(H1299,'Fund Utilization Report'!$A$4:$U$1800,6,FALSE)</f>
        <v>GOP</v>
      </c>
      <c r="Y1299" s="440" t="str">
        <f>VLOOKUP(H1299,'Fund Utilization Report'!$A$4:$U$1800,7,FALSE)</f>
        <v>MOOE</v>
      </c>
      <c r="Z1299" s="441">
        <f>VLOOKUP(H1299,'Fund Utilization Report'!$A$4:$U$1800,8,FALSE)</f>
        <v>5020000000</v>
      </c>
      <c r="AA1299" s="239" t="str">
        <f>VLOOKUP(H1299,'Fund Utilization Report'!$A$4:$U$1800,14,FALSE)</f>
        <v>100000100001000</v>
      </c>
      <c r="AB1299" s="242" t="str">
        <f>VLOOKUP(H1299,'Fund Utilization Report'!$A$4:$U$1800,15,FALSE)</f>
        <v>General Administration and Supervision - General Management and Supervision</v>
      </c>
      <c r="AC1299" s="51"/>
      <c r="AD1299" s="435"/>
      <c r="AE1299" s="51"/>
      <c r="AF1299" s="51"/>
      <c r="AG1299" s="442"/>
      <c r="AH1299" s="442"/>
      <c r="AI1299" s="443"/>
    </row>
    <row r="1300" spans="1:35" s="32" customFormat="1" ht="27.6">
      <c r="A1300" s="434" t="s">
        <v>942</v>
      </c>
      <c r="B1300" s="457" t="s">
        <v>946</v>
      </c>
      <c r="C1300" s="233">
        <v>44279</v>
      </c>
      <c r="D1300" s="435" t="s">
        <v>1267</v>
      </c>
      <c r="E1300" s="436" t="s">
        <v>1513</v>
      </c>
      <c r="F1300" s="338">
        <v>0.41597222222222219</v>
      </c>
      <c r="G1300" s="338">
        <v>0.41736111111111113</v>
      </c>
      <c r="H1300" s="338" t="s">
        <v>974</v>
      </c>
      <c r="I1300" s="353">
        <v>755</v>
      </c>
      <c r="J1300" s="338" t="str">
        <f>IFERROR(VLOOKUP(I1300,'Chart of accounts'!A:H,2,FALSE),"")</f>
        <v>50203010 00</v>
      </c>
      <c r="K1300" s="338" t="str">
        <f>IFERROR(VLOOKUP(I1300,'Chart of accounts'!A:H,3,FALSE),"")</f>
        <v>Office Supplies Expenses</v>
      </c>
      <c r="L1300" s="338" t="str">
        <f>IFERROR(VLOOKUP(I1300,'Chart of accounts'!A:H,4,FALSE),"")</f>
        <v>50203010 00 - Office Supplies Expenses (755)</v>
      </c>
      <c r="M1300" s="361" t="s">
        <v>1514</v>
      </c>
      <c r="N1300" s="355" t="s">
        <v>799</v>
      </c>
      <c r="O1300" s="355" t="s">
        <v>1515</v>
      </c>
      <c r="P1300" s="355"/>
      <c r="Q1300" s="363">
        <v>1200</v>
      </c>
      <c r="R1300" s="428">
        <f t="shared" si="50"/>
        <v>-1200</v>
      </c>
      <c r="S1300" s="239" t="str">
        <f>VLOOKUP(H1300,'Fund Utilization Report'!$A$4:$U$1800,13,FALSE)</f>
        <v>MOOE</v>
      </c>
      <c r="T1300" s="239" t="str">
        <f>VLOOKUP(H1300,'Fund Utilization Report'!$A$4:$U$1800,2,FALSE)</f>
        <v>GAA</v>
      </c>
      <c r="U1300" s="239" t="str">
        <f>VLOOKUP(H1300,'Fund Utilization Report'!$A$4:$U$1800,3,FALSE)</f>
        <v>FY2021, RA11518</v>
      </c>
      <c r="V1300" s="239" t="str">
        <f>VLOOKUP(H1300,'Fund Utilization Report'!$A$4:$U$1800,4,FALSE)</f>
        <v>OO4.1(FTL)</v>
      </c>
      <c r="W1300" s="239" t="str">
        <f>VLOOKUP(H1300,'Fund Utilization Report'!$A$4:$U$1800,5,FALSE)</f>
        <v>01101101</v>
      </c>
      <c r="X1300" s="239" t="str">
        <f>VLOOKUP(H1300,'Fund Utilization Report'!$A$4:$U$1800,6,FALSE)</f>
        <v>GOP</v>
      </c>
      <c r="Y1300" s="440" t="str">
        <f>VLOOKUP(H1300,'Fund Utilization Report'!$A$4:$U$1800,7,FALSE)</f>
        <v>MOOE</v>
      </c>
      <c r="Z1300" s="441">
        <f>VLOOKUP(H1300,'Fund Utilization Report'!$A$4:$U$1800,8,FALSE)</f>
        <v>5020000000</v>
      </c>
      <c r="AA1300" s="239" t="str">
        <f>VLOOKUP(H1300,'Fund Utilization Report'!$A$4:$U$1800,14,FALSE)</f>
        <v>340100100002000</v>
      </c>
      <c r="AB1300" s="242" t="str">
        <f>VLOOKUP(H1300,'Fund Utilization Report'!$A$4:$U$1800,15,FALSE)</f>
        <v>Monitoring and Enforcement of FTL including consumer complaints handling</v>
      </c>
      <c r="AC1300" s="51"/>
      <c r="AD1300" s="435"/>
      <c r="AE1300" s="51"/>
      <c r="AF1300" s="51"/>
      <c r="AG1300" s="442"/>
      <c r="AH1300" s="442"/>
      <c r="AI1300" s="443"/>
    </row>
    <row r="1301" spans="1:35" s="32" customFormat="1" ht="27.6">
      <c r="A1301" s="434" t="s">
        <v>942</v>
      </c>
      <c r="B1301" s="457" t="s">
        <v>946</v>
      </c>
      <c r="C1301" s="233">
        <v>44279</v>
      </c>
      <c r="D1301" s="435" t="s">
        <v>1267</v>
      </c>
      <c r="E1301" s="436" t="s">
        <v>1513</v>
      </c>
      <c r="F1301" s="338">
        <v>0.41597222222222219</v>
      </c>
      <c r="G1301" s="338">
        <v>0.41736111111111113</v>
      </c>
      <c r="H1301" s="338" t="s">
        <v>974</v>
      </c>
      <c r="I1301" s="353">
        <v>783</v>
      </c>
      <c r="J1301" s="338" t="str">
        <f>IFERROR(VLOOKUP(I1301,'Chart of accounts'!A:H,2,FALSE),"")</f>
        <v>50299030 00</v>
      </c>
      <c r="K1301" s="338" t="str">
        <f>IFERROR(VLOOKUP(I1301,'Chart of accounts'!A:H,3,FALSE),"")</f>
        <v>Representation Expenses</v>
      </c>
      <c r="L1301" s="338" t="str">
        <f>IFERROR(VLOOKUP(I1301,'Chart of accounts'!A:H,4,FALSE),"")</f>
        <v>50299030 00 - Representation Expenses (783)</v>
      </c>
      <c r="M1301" s="361" t="s">
        <v>1514</v>
      </c>
      <c r="N1301" s="355" t="s">
        <v>799</v>
      </c>
      <c r="O1301" s="355" t="s">
        <v>1515</v>
      </c>
      <c r="P1301" s="355"/>
      <c r="Q1301" s="363">
        <v>3000</v>
      </c>
      <c r="R1301" s="428">
        <f t="shared" si="50"/>
        <v>-3000</v>
      </c>
      <c r="S1301" s="239" t="str">
        <f>VLOOKUP(H1301,'Fund Utilization Report'!$A$4:$U$1800,13,FALSE)</f>
        <v>MOOE</v>
      </c>
      <c r="T1301" s="239" t="str">
        <f>VLOOKUP(H1301,'Fund Utilization Report'!$A$4:$U$1800,2,FALSE)</f>
        <v>GAA</v>
      </c>
      <c r="U1301" s="239" t="str">
        <f>VLOOKUP(H1301,'Fund Utilization Report'!$A$4:$U$1800,3,FALSE)</f>
        <v>FY2021, RA11518</v>
      </c>
      <c r="V1301" s="239" t="str">
        <f>VLOOKUP(H1301,'Fund Utilization Report'!$A$4:$U$1800,4,FALSE)</f>
        <v>OO4.1(FTL)</v>
      </c>
      <c r="W1301" s="239" t="str">
        <f>VLOOKUP(H1301,'Fund Utilization Report'!$A$4:$U$1800,5,FALSE)</f>
        <v>01101101</v>
      </c>
      <c r="X1301" s="239" t="str">
        <f>VLOOKUP(H1301,'Fund Utilization Report'!$A$4:$U$1800,6,FALSE)</f>
        <v>GOP</v>
      </c>
      <c r="Y1301" s="440" t="str">
        <f>VLOOKUP(H1301,'Fund Utilization Report'!$A$4:$U$1800,7,FALSE)</f>
        <v>MOOE</v>
      </c>
      <c r="Z1301" s="441">
        <f>VLOOKUP(H1301,'Fund Utilization Report'!$A$4:$U$1800,8,FALSE)</f>
        <v>5020000000</v>
      </c>
      <c r="AA1301" s="239" t="str">
        <f>VLOOKUP(H1301,'Fund Utilization Report'!$A$4:$U$1800,14,FALSE)</f>
        <v>340100100002000</v>
      </c>
      <c r="AB1301" s="242" t="str">
        <f>VLOOKUP(H1301,'Fund Utilization Report'!$A$4:$U$1800,15,FALSE)</f>
        <v>Monitoring and Enforcement of FTL including consumer complaints handling</v>
      </c>
      <c r="AC1301" s="51"/>
      <c r="AD1301" s="435"/>
      <c r="AE1301" s="51"/>
      <c r="AF1301" s="51"/>
      <c r="AG1301" s="442"/>
      <c r="AH1301" s="442"/>
      <c r="AI1301" s="443"/>
    </row>
    <row r="1302" spans="1:35" s="32" customFormat="1" ht="27.6">
      <c r="A1302" s="434" t="s">
        <v>942</v>
      </c>
      <c r="B1302" s="457" t="s">
        <v>946</v>
      </c>
      <c r="C1302" s="233">
        <v>44279</v>
      </c>
      <c r="D1302" s="435" t="s">
        <v>1267</v>
      </c>
      <c r="E1302" s="436" t="s">
        <v>1516</v>
      </c>
      <c r="F1302" s="338">
        <v>0.41736111111111113</v>
      </c>
      <c r="G1302" s="338">
        <v>0.42083333333333334</v>
      </c>
      <c r="H1302" s="338" t="s">
        <v>971</v>
      </c>
      <c r="I1302" s="353">
        <v>773</v>
      </c>
      <c r="J1302" s="338" t="str">
        <f>IFERROR(VLOOKUP(I1302,'Chart of accounts'!A:H,2,FALSE),"")</f>
        <v>50205020 01</v>
      </c>
      <c r="K1302" s="338" t="str">
        <f>IFERROR(VLOOKUP(I1302,'Chart of accounts'!A:H,3,FALSE),"")</f>
        <v xml:space="preserve">Telephone Expenses - Mobile </v>
      </c>
      <c r="L1302" s="338" t="str">
        <f>IFERROR(VLOOKUP(I1302,'Chart of accounts'!A:H,4,FALSE),"")</f>
        <v>50205020 01 - Telephone Expenses - Mobile  (773)</v>
      </c>
      <c r="M1302" s="361" t="s">
        <v>813</v>
      </c>
      <c r="N1302" s="355" t="s">
        <v>1245</v>
      </c>
      <c r="O1302" s="355" t="s">
        <v>1517</v>
      </c>
      <c r="P1302" s="355"/>
      <c r="Q1302" s="363">
        <v>2688</v>
      </c>
      <c r="R1302" s="428">
        <f t="shared" si="50"/>
        <v>-2688</v>
      </c>
      <c r="S1302" s="239" t="str">
        <f>VLOOKUP(H1302,'Fund Utilization Report'!$A$4:$U$1800,13,FALSE)</f>
        <v>MOOE</v>
      </c>
      <c r="T1302" s="239" t="str">
        <f>VLOOKUP(H1302,'Fund Utilization Report'!$A$4:$U$1800,2,FALSE)</f>
        <v>GAA</v>
      </c>
      <c r="U1302" s="239" t="str">
        <f>VLOOKUP(H1302,'Fund Utilization Report'!$A$4:$U$1800,3,FALSE)</f>
        <v>FY2021, RA11518</v>
      </c>
      <c r="V1302" s="239" t="str">
        <f>VLOOKUP(H1302,'Fund Utilization Report'!$A$4:$U$1800,4,FALSE)</f>
        <v>OO3</v>
      </c>
      <c r="W1302" s="239" t="str">
        <f>VLOOKUP(H1302,'Fund Utilization Report'!$A$4:$U$1800,5,FALSE)</f>
        <v>01101101</v>
      </c>
      <c r="X1302" s="239" t="str">
        <f>VLOOKUP(H1302,'Fund Utilization Report'!$A$4:$U$1800,6,FALSE)</f>
        <v>GOP</v>
      </c>
      <c r="Y1302" s="440" t="str">
        <f>VLOOKUP(H1302,'Fund Utilization Report'!$A$4:$U$1800,7,FALSE)</f>
        <v>MOOE</v>
      </c>
      <c r="Z1302" s="441">
        <f>VLOOKUP(H1302,'Fund Utilization Report'!$A$4:$U$1800,8,FALSE)</f>
        <v>5020000000</v>
      </c>
      <c r="AA1302" s="239" t="str">
        <f>VLOOKUP(H1302,'Fund Utilization Report'!$A$4:$U$1800,14,FALSE)</f>
        <v>330100100002000</v>
      </c>
      <c r="AB1302" s="242" t="str">
        <f>VLOOKUP(H1302,'Fund Utilization Report'!$A$4:$U$1800,15,FALSE)</f>
        <v>Implementation of the MSME Development Plan and other initiatives to promote the growth of Micro, Small and Medium Enterprises</v>
      </c>
      <c r="AC1302" s="51"/>
      <c r="AD1302" s="435"/>
      <c r="AE1302" s="51"/>
      <c r="AF1302" s="51"/>
      <c r="AG1302" s="442"/>
      <c r="AH1302" s="442"/>
      <c r="AI1302" s="443"/>
    </row>
    <row r="1303" spans="1:35" s="32" customFormat="1" ht="27.6">
      <c r="A1303" s="434" t="s">
        <v>942</v>
      </c>
      <c r="B1303" s="457" t="s">
        <v>946</v>
      </c>
      <c r="C1303" s="233">
        <v>44279</v>
      </c>
      <c r="D1303" s="435" t="s">
        <v>1267</v>
      </c>
      <c r="E1303" s="436" t="s">
        <v>1518</v>
      </c>
      <c r="F1303" s="338">
        <v>0.42083333333333334</v>
      </c>
      <c r="G1303" s="338">
        <v>0.42152777777777778</v>
      </c>
      <c r="H1303" s="338" t="s">
        <v>968</v>
      </c>
      <c r="I1303" s="353">
        <v>755</v>
      </c>
      <c r="J1303" s="338" t="str">
        <f>IFERROR(VLOOKUP(I1303,'Chart of accounts'!A:H,2,FALSE),"")</f>
        <v>50203010 00</v>
      </c>
      <c r="K1303" s="338" t="str">
        <f>IFERROR(VLOOKUP(I1303,'Chart of accounts'!A:H,3,FALSE),"")</f>
        <v>Office Supplies Expenses</v>
      </c>
      <c r="L1303" s="338" t="str">
        <f>IFERROR(VLOOKUP(I1303,'Chart of accounts'!A:H,4,FALSE),"")</f>
        <v>50203010 00 - Office Supplies Expenses (755)</v>
      </c>
      <c r="M1303" s="361" t="s">
        <v>814</v>
      </c>
      <c r="N1303" s="355" t="s">
        <v>1354</v>
      </c>
      <c r="O1303" s="355" t="s">
        <v>1519</v>
      </c>
      <c r="P1303" s="355"/>
      <c r="Q1303" s="363">
        <v>2500</v>
      </c>
      <c r="R1303" s="428">
        <f t="shared" si="50"/>
        <v>-2500</v>
      </c>
      <c r="S1303" s="239" t="str">
        <f>VLOOKUP(H1303,'Fund Utilization Report'!$A$4:$U$1800,13,FALSE)</f>
        <v>MOOE</v>
      </c>
      <c r="T1303" s="239" t="str">
        <f>VLOOKUP(H1303,'Fund Utilization Report'!$A$4:$U$1800,2,FALSE)</f>
        <v>GAA</v>
      </c>
      <c r="U1303" s="239" t="str">
        <f>VLOOKUP(H1303,'Fund Utilization Report'!$A$4:$U$1800,3,FALSE)</f>
        <v>FY2021, RA11518</v>
      </c>
      <c r="V1303" s="239" t="str">
        <f>VLOOKUP(H1303,'Fund Utilization Report'!$A$4:$U$1800,4,FALSE)</f>
        <v>OO2</v>
      </c>
      <c r="W1303" s="239" t="str">
        <f>VLOOKUP(H1303,'Fund Utilization Report'!$A$4:$U$1800,5,FALSE)</f>
        <v>01101101</v>
      </c>
      <c r="X1303" s="239" t="str">
        <f>VLOOKUP(H1303,'Fund Utilization Report'!$A$4:$U$1800,6,FALSE)</f>
        <v>GOP</v>
      </c>
      <c r="Y1303" s="440" t="str">
        <f>VLOOKUP(H1303,'Fund Utilization Report'!$A$4:$U$1800,7,FALSE)</f>
        <v>MOOE</v>
      </c>
      <c r="Z1303" s="441">
        <f>VLOOKUP(H1303,'Fund Utilization Report'!$A$4:$U$1800,8,FALSE)</f>
        <v>5020000000</v>
      </c>
      <c r="AA1303" s="239" t="str">
        <f>VLOOKUP(H1303,'Fund Utilization Report'!$A$4:$U$1800,14,FALSE)</f>
        <v>320100100001000</v>
      </c>
      <c r="AB1303" s="242" t="str">
        <f>VLOOKUP(H1303,'Fund Utilization Report'!$A$4:$U$1800,15,FALSE)</f>
        <v>Formulation of Strategic plans,programs, and policies to develop competitve industries</v>
      </c>
      <c r="AC1303" s="51"/>
      <c r="AD1303" s="435"/>
      <c r="AE1303" s="51"/>
      <c r="AF1303" s="51"/>
      <c r="AG1303" s="442"/>
      <c r="AH1303" s="442"/>
      <c r="AI1303" s="443"/>
    </row>
    <row r="1304" spans="1:35" s="32" customFormat="1" ht="27.6">
      <c r="A1304" s="434" t="s">
        <v>942</v>
      </c>
      <c r="B1304" s="457" t="s">
        <v>946</v>
      </c>
      <c r="C1304" s="233">
        <v>44279</v>
      </c>
      <c r="D1304" s="435" t="s">
        <v>1267</v>
      </c>
      <c r="E1304" s="436" t="s">
        <v>1520</v>
      </c>
      <c r="F1304" s="338">
        <v>0.42152777777777778</v>
      </c>
      <c r="G1304" s="338">
        <v>0.42291666666666666</v>
      </c>
      <c r="H1304" s="338" t="s">
        <v>977</v>
      </c>
      <c r="I1304" s="353">
        <v>781</v>
      </c>
      <c r="J1304" s="338" t="str">
        <f>IFERROR(VLOOKUP(I1304,'Chart of accounts'!A:H,2,FALSE),"")</f>
        <v>50299020 00</v>
      </c>
      <c r="K1304" s="338" t="str">
        <f>IFERROR(VLOOKUP(I1304,'Chart of accounts'!A:H,3,FALSE),"")</f>
        <v>Printing and Binding Expenses</v>
      </c>
      <c r="L1304" s="338" t="str">
        <f>IFERROR(VLOOKUP(I1304,'Chart of accounts'!A:H,4,FALSE),"")</f>
        <v>50299020 00 - Printing and Binding Expenses (781)</v>
      </c>
      <c r="M1304" s="361" t="s">
        <v>815</v>
      </c>
      <c r="N1304" s="355" t="s">
        <v>1433</v>
      </c>
      <c r="O1304" s="355" t="s">
        <v>1521</v>
      </c>
      <c r="P1304" s="355"/>
      <c r="Q1304" s="363">
        <v>640</v>
      </c>
      <c r="R1304" s="428">
        <f t="shared" si="50"/>
        <v>-640</v>
      </c>
      <c r="S1304" s="239" t="str">
        <f>VLOOKUP(H1304,'Fund Utilization Report'!$A$4:$U$1800,13,FALSE)</f>
        <v>MOOE</v>
      </c>
      <c r="T1304" s="239" t="str">
        <f>VLOOKUP(H1304,'Fund Utilization Report'!$A$4:$U$1800,2,FALSE)</f>
        <v>GAA</v>
      </c>
      <c r="U1304" s="239" t="str">
        <f>VLOOKUP(H1304,'Fund Utilization Report'!$A$4:$U$1800,3,FALSE)</f>
        <v>FY2021, RA11518</v>
      </c>
      <c r="V1304" s="239" t="str">
        <f>VLOOKUP(H1304,'Fund Utilization Report'!$A$4:$U$1800,4,FALSE)</f>
        <v>OO4.1(Acc)</v>
      </c>
      <c r="W1304" s="239" t="str">
        <f>VLOOKUP(H1304,'Fund Utilization Report'!$A$4:$U$1800,5,FALSE)</f>
        <v>01101101</v>
      </c>
      <c r="X1304" s="239" t="str">
        <f>VLOOKUP(H1304,'Fund Utilization Report'!$A$4:$U$1800,6,FALSE)</f>
        <v>GOP</v>
      </c>
      <c r="Y1304" s="440" t="str">
        <f>VLOOKUP(H1304,'Fund Utilization Report'!$A$4:$U$1800,7,FALSE)</f>
        <v>MOOE</v>
      </c>
      <c r="Z1304" s="441">
        <f>VLOOKUP(H1304,'Fund Utilization Report'!$A$4:$U$1800,8,FALSE)</f>
        <v>5020000000</v>
      </c>
      <c r="AA1304" s="239" t="str">
        <f>VLOOKUP(H1304,'Fund Utilization Report'!$A$4:$U$1800,14,FALSE)</f>
        <v>340100100003000</v>
      </c>
      <c r="AB1304" s="242" t="str">
        <f>VLOOKUP(H1304,'Fund Utilization Report'!$A$4:$U$1800,15,FALSE)</f>
        <v>Accreditation and Issuance of Business Licenses, Permits, registration and authorities</v>
      </c>
      <c r="AC1304" s="51"/>
      <c r="AD1304" s="435"/>
      <c r="AE1304" s="51"/>
      <c r="AF1304" s="51"/>
      <c r="AG1304" s="442"/>
      <c r="AH1304" s="442"/>
      <c r="AI1304" s="443"/>
    </row>
    <row r="1305" spans="1:35" s="32" customFormat="1" ht="27.6">
      <c r="A1305" s="434" t="s">
        <v>942</v>
      </c>
      <c r="B1305" s="457" t="s">
        <v>946</v>
      </c>
      <c r="C1305" s="233">
        <v>44279</v>
      </c>
      <c r="D1305" s="435" t="s">
        <v>1267</v>
      </c>
      <c r="E1305" s="436" t="s">
        <v>1522</v>
      </c>
      <c r="F1305" s="338">
        <v>0.42291666666666666</v>
      </c>
      <c r="G1305" s="338">
        <v>0.42430555555555555</v>
      </c>
      <c r="H1305" s="338" t="s">
        <v>961</v>
      </c>
      <c r="I1305" s="353">
        <v>841</v>
      </c>
      <c r="J1305" s="338" t="str">
        <f>IFERROR(VLOOKUP(I1305,'Chart of accounts'!A:H,2,FALSE),"")</f>
        <v>50213060 01</v>
      </c>
      <c r="K1305" s="338" t="str">
        <f>IFERROR(VLOOKUP(I1305,'Chart of accounts'!A:H,3,FALSE),"")</f>
        <v>Motor Vehicles</v>
      </c>
      <c r="L1305" s="338" t="str">
        <f>IFERROR(VLOOKUP(I1305,'Chart of accounts'!A:H,4,FALSE),"")</f>
        <v>50213060 01 - Motor Vehicles (841)</v>
      </c>
      <c r="M1305" s="361">
        <v>1</v>
      </c>
      <c r="N1305" s="355" t="s">
        <v>1523</v>
      </c>
      <c r="O1305" s="355" t="s">
        <v>1524</v>
      </c>
      <c r="P1305" s="355"/>
      <c r="Q1305" s="363">
        <v>11180</v>
      </c>
      <c r="R1305" s="428">
        <f t="shared" si="50"/>
        <v>-11180</v>
      </c>
      <c r="S1305" s="239" t="str">
        <f>VLOOKUP(H1305,'Fund Utilization Report'!$A$4:$U$1800,13,FALSE)</f>
        <v>MOOE</v>
      </c>
      <c r="T1305" s="239" t="str">
        <f>VLOOKUP(H1305,'Fund Utilization Report'!$A$4:$U$1800,2,FALSE)</f>
        <v>GAA</v>
      </c>
      <c r="U1305" s="239" t="str">
        <f>VLOOKUP(H1305,'Fund Utilization Report'!$A$4:$U$1800,3,FALSE)</f>
        <v>FY2021, RA11518</v>
      </c>
      <c r="V1305" s="239" t="str">
        <f>VLOOKUP(H1305,'Fund Utilization Report'!$A$4:$U$1800,4,FALSE)</f>
        <v>GAS(GMS)</v>
      </c>
      <c r="W1305" s="239" t="str">
        <f>VLOOKUP(H1305,'Fund Utilization Report'!$A$4:$U$1800,5,FALSE)</f>
        <v>01101101</v>
      </c>
      <c r="X1305" s="239" t="str">
        <f>VLOOKUP(H1305,'Fund Utilization Report'!$A$4:$U$1800,6,FALSE)</f>
        <v>GOP</v>
      </c>
      <c r="Y1305" s="440" t="str">
        <f>VLOOKUP(H1305,'Fund Utilization Report'!$A$4:$U$1800,7,FALSE)</f>
        <v>MOOE</v>
      </c>
      <c r="Z1305" s="441">
        <f>VLOOKUP(H1305,'Fund Utilization Report'!$A$4:$U$1800,8,FALSE)</f>
        <v>5020000000</v>
      </c>
      <c r="AA1305" s="239" t="str">
        <f>VLOOKUP(H1305,'Fund Utilization Report'!$A$4:$U$1800,14,FALSE)</f>
        <v>100000100001000</v>
      </c>
      <c r="AB1305" s="242" t="str">
        <f>VLOOKUP(H1305,'Fund Utilization Report'!$A$4:$U$1800,15,FALSE)</f>
        <v>General Administration and Supervision - General Management and Supervision</v>
      </c>
      <c r="AC1305" s="51"/>
      <c r="AD1305" s="435"/>
      <c r="AE1305" s="51"/>
      <c r="AF1305" s="51"/>
      <c r="AG1305" s="442"/>
      <c r="AH1305" s="442"/>
      <c r="AI1305" s="443"/>
    </row>
    <row r="1306" spans="1:35" s="32" customFormat="1" ht="27.6">
      <c r="A1306" s="434" t="s">
        <v>942</v>
      </c>
      <c r="B1306" s="457" t="s">
        <v>946</v>
      </c>
      <c r="C1306" s="233">
        <v>44279</v>
      </c>
      <c r="D1306" s="435" t="s">
        <v>1267</v>
      </c>
      <c r="E1306" s="436" t="s">
        <v>1522</v>
      </c>
      <c r="F1306" s="338">
        <v>0.42291666666666666</v>
      </c>
      <c r="G1306" s="338">
        <v>0.42430555555555555</v>
      </c>
      <c r="H1306" s="338" t="s">
        <v>968</v>
      </c>
      <c r="I1306" s="353">
        <v>841</v>
      </c>
      <c r="J1306" s="338" t="str">
        <f>IFERROR(VLOOKUP(I1306,'Chart of accounts'!A:H,2,FALSE),"")</f>
        <v>50213060 01</v>
      </c>
      <c r="K1306" s="338" t="str">
        <f>IFERROR(VLOOKUP(I1306,'Chart of accounts'!A:H,3,FALSE),"")</f>
        <v>Motor Vehicles</v>
      </c>
      <c r="L1306" s="338" t="str">
        <f>IFERROR(VLOOKUP(I1306,'Chart of accounts'!A:H,4,FALSE),"")</f>
        <v>50213060 01 - Motor Vehicles (841)</v>
      </c>
      <c r="M1306" s="361">
        <v>1</v>
      </c>
      <c r="N1306" s="355" t="s">
        <v>1523</v>
      </c>
      <c r="O1306" s="355" t="s">
        <v>1524</v>
      </c>
      <c r="P1306" s="355"/>
      <c r="Q1306" s="363">
        <v>22000</v>
      </c>
      <c r="R1306" s="428">
        <f t="shared" si="50"/>
        <v>-22000</v>
      </c>
      <c r="S1306" s="239" t="str">
        <f>VLOOKUP(H1306,'Fund Utilization Report'!$A$4:$U$1800,13,FALSE)</f>
        <v>MOOE</v>
      </c>
      <c r="T1306" s="239" t="str">
        <f>VLOOKUP(H1306,'Fund Utilization Report'!$A$4:$U$1800,2,FALSE)</f>
        <v>GAA</v>
      </c>
      <c r="U1306" s="239" t="str">
        <f>VLOOKUP(H1306,'Fund Utilization Report'!$A$4:$U$1800,3,FALSE)</f>
        <v>FY2021, RA11518</v>
      </c>
      <c r="V1306" s="239" t="str">
        <f>VLOOKUP(H1306,'Fund Utilization Report'!$A$4:$U$1800,4,FALSE)</f>
        <v>OO2</v>
      </c>
      <c r="W1306" s="239" t="str">
        <f>VLOOKUP(H1306,'Fund Utilization Report'!$A$4:$U$1800,5,FALSE)</f>
        <v>01101101</v>
      </c>
      <c r="X1306" s="239" t="str">
        <f>VLOOKUP(H1306,'Fund Utilization Report'!$A$4:$U$1800,6,FALSE)</f>
        <v>GOP</v>
      </c>
      <c r="Y1306" s="440" t="str">
        <f>VLOOKUP(H1306,'Fund Utilization Report'!$A$4:$U$1800,7,FALSE)</f>
        <v>MOOE</v>
      </c>
      <c r="Z1306" s="441">
        <f>VLOOKUP(H1306,'Fund Utilization Report'!$A$4:$U$1800,8,FALSE)</f>
        <v>5020000000</v>
      </c>
      <c r="AA1306" s="239" t="str">
        <f>VLOOKUP(H1306,'Fund Utilization Report'!$A$4:$U$1800,14,FALSE)</f>
        <v>320100100001000</v>
      </c>
      <c r="AB1306" s="242" t="str">
        <f>VLOOKUP(H1306,'Fund Utilization Report'!$A$4:$U$1800,15,FALSE)</f>
        <v>Formulation of Strategic plans,programs, and policies to develop competitve industries</v>
      </c>
      <c r="AC1306" s="51"/>
      <c r="AD1306" s="435"/>
      <c r="AE1306" s="51"/>
      <c r="AF1306" s="51"/>
      <c r="AG1306" s="442"/>
      <c r="AH1306" s="442"/>
      <c r="AI1306" s="443"/>
    </row>
    <row r="1307" spans="1:35" s="32" customFormat="1" ht="27.6">
      <c r="A1307" s="434" t="s">
        <v>942</v>
      </c>
      <c r="B1307" s="457" t="s">
        <v>946</v>
      </c>
      <c r="C1307" s="233">
        <v>44279</v>
      </c>
      <c r="D1307" s="435" t="s">
        <v>1267</v>
      </c>
      <c r="E1307" s="436" t="s">
        <v>1525</v>
      </c>
      <c r="F1307" s="338">
        <v>0.42430555555555555</v>
      </c>
      <c r="G1307" s="338">
        <v>0.42708333333333331</v>
      </c>
      <c r="H1307" s="338" t="s">
        <v>961</v>
      </c>
      <c r="I1307" s="353">
        <v>755</v>
      </c>
      <c r="J1307" s="338" t="str">
        <f>IFERROR(VLOOKUP(I1307,'Chart of accounts'!A:H,2,FALSE),"")</f>
        <v>50203010 00</v>
      </c>
      <c r="K1307" s="338" t="str">
        <f>IFERROR(VLOOKUP(I1307,'Chart of accounts'!A:H,3,FALSE),"")</f>
        <v>Office Supplies Expenses</v>
      </c>
      <c r="L1307" s="338" t="str">
        <f>IFERROR(VLOOKUP(I1307,'Chart of accounts'!A:H,4,FALSE),"")</f>
        <v>50203010 00 - Office Supplies Expenses (755)</v>
      </c>
      <c r="M1307" s="361" t="s">
        <v>816</v>
      </c>
      <c r="N1307" s="355" t="s">
        <v>773</v>
      </c>
      <c r="O1307" s="355" t="s">
        <v>1526</v>
      </c>
      <c r="P1307" s="355"/>
      <c r="Q1307" s="363">
        <v>750.85</v>
      </c>
      <c r="R1307" s="428">
        <f t="shared" si="50"/>
        <v>-750.85</v>
      </c>
      <c r="S1307" s="239" t="str">
        <f>VLOOKUP(H1307,'Fund Utilization Report'!$A$4:$U$1800,13,FALSE)</f>
        <v>MOOE</v>
      </c>
      <c r="T1307" s="239" t="str">
        <f>VLOOKUP(H1307,'Fund Utilization Report'!$A$4:$U$1800,2,FALSE)</f>
        <v>GAA</v>
      </c>
      <c r="U1307" s="239" t="str">
        <f>VLOOKUP(H1307,'Fund Utilization Report'!$A$4:$U$1800,3,FALSE)</f>
        <v>FY2021, RA11518</v>
      </c>
      <c r="V1307" s="239" t="str">
        <f>VLOOKUP(H1307,'Fund Utilization Report'!$A$4:$U$1800,4,FALSE)</f>
        <v>GAS(GMS)</v>
      </c>
      <c r="W1307" s="239" t="str">
        <f>VLOOKUP(H1307,'Fund Utilization Report'!$A$4:$U$1800,5,FALSE)</f>
        <v>01101101</v>
      </c>
      <c r="X1307" s="239" t="str">
        <f>VLOOKUP(H1307,'Fund Utilization Report'!$A$4:$U$1800,6,FALSE)</f>
        <v>GOP</v>
      </c>
      <c r="Y1307" s="440" t="str">
        <f>VLOOKUP(H1307,'Fund Utilization Report'!$A$4:$U$1800,7,FALSE)</f>
        <v>MOOE</v>
      </c>
      <c r="Z1307" s="441">
        <f>VLOOKUP(H1307,'Fund Utilization Report'!$A$4:$U$1800,8,FALSE)</f>
        <v>5020000000</v>
      </c>
      <c r="AA1307" s="239" t="str">
        <f>VLOOKUP(H1307,'Fund Utilization Report'!$A$4:$U$1800,14,FALSE)</f>
        <v>100000100001000</v>
      </c>
      <c r="AB1307" s="242" t="str">
        <f>VLOOKUP(H1307,'Fund Utilization Report'!$A$4:$U$1800,15,FALSE)</f>
        <v>General Administration and Supervision - General Management and Supervision</v>
      </c>
      <c r="AC1307" s="51"/>
      <c r="AD1307" s="435"/>
      <c r="AE1307" s="51"/>
      <c r="AF1307" s="51"/>
      <c r="AG1307" s="442"/>
      <c r="AH1307" s="442"/>
      <c r="AI1307" s="443"/>
    </row>
    <row r="1308" spans="1:35" s="32" customFormat="1" ht="27.6">
      <c r="A1308" s="434" t="s">
        <v>942</v>
      </c>
      <c r="B1308" s="457" t="s">
        <v>946</v>
      </c>
      <c r="C1308" s="233">
        <v>44279</v>
      </c>
      <c r="D1308" s="435" t="s">
        <v>1267</v>
      </c>
      <c r="E1308" s="436" t="s">
        <v>1525</v>
      </c>
      <c r="F1308" s="338">
        <v>0.42430555555555555</v>
      </c>
      <c r="G1308" s="338">
        <v>0.42708333333333331</v>
      </c>
      <c r="H1308" s="338" t="s">
        <v>961</v>
      </c>
      <c r="I1308" s="353">
        <v>784</v>
      </c>
      <c r="J1308" s="338" t="str">
        <f>IFERROR(VLOOKUP(I1308,'Chart of accounts'!A:H,2,FALSE),"")</f>
        <v>50299040 00</v>
      </c>
      <c r="K1308" s="338" t="str">
        <f>IFERROR(VLOOKUP(I1308,'Chart of accounts'!A:H,3,FALSE),"")</f>
        <v>Transportation and Delivery Expenses</v>
      </c>
      <c r="L1308" s="338" t="str">
        <f>IFERROR(VLOOKUP(I1308,'Chart of accounts'!A:H,4,FALSE),"")</f>
        <v>50299040 00 - Transportation and Delivery Expenses (784)</v>
      </c>
      <c r="M1308" s="361" t="s">
        <v>816</v>
      </c>
      <c r="N1308" s="355" t="s">
        <v>773</v>
      </c>
      <c r="O1308" s="355" t="s">
        <v>1526</v>
      </c>
      <c r="P1308" s="355"/>
      <c r="Q1308" s="363">
        <v>450</v>
      </c>
      <c r="R1308" s="428">
        <f t="shared" si="50"/>
        <v>-450</v>
      </c>
      <c r="S1308" s="239" t="str">
        <f>VLOOKUP(H1308,'Fund Utilization Report'!$A$4:$U$1800,13,FALSE)</f>
        <v>MOOE</v>
      </c>
      <c r="T1308" s="239" t="str">
        <f>VLOOKUP(H1308,'Fund Utilization Report'!$A$4:$U$1800,2,FALSE)</f>
        <v>GAA</v>
      </c>
      <c r="U1308" s="239" t="str">
        <f>VLOOKUP(H1308,'Fund Utilization Report'!$A$4:$U$1800,3,FALSE)</f>
        <v>FY2021, RA11518</v>
      </c>
      <c r="V1308" s="239" t="str">
        <f>VLOOKUP(H1308,'Fund Utilization Report'!$A$4:$U$1800,4,FALSE)</f>
        <v>GAS(GMS)</v>
      </c>
      <c r="W1308" s="239" t="str">
        <f>VLOOKUP(H1308,'Fund Utilization Report'!$A$4:$U$1800,5,FALSE)</f>
        <v>01101101</v>
      </c>
      <c r="X1308" s="239" t="str">
        <f>VLOOKUP(H1308,'Fund Utilization Report'!$A$4:$U$1800,6,FALSE)</f>
        <v>GOP</v>
      </c>
      <c r="Y1308" s="440" t="str">
        <f>VLOOKUP(H1308,'Fund Utilization Report'!$A$4:$U$1800,7,FALSE)</f>
        <v>MOOE</v>
      </c>
      <c r="Z1308" s="441">
        <f>VLOOKUP(H1308,'Fund Utilization Report'!$A$4:$U$1800,8,FALSE)</f>
        <v>5020000000</v>
      </c>
      <c r="AA1308" s="239" t="str">
        <f>VLOOKUP(H1308,'Fund Utilization Report'!$A$4:$U$1800,14,FALSE)</f>
        <v>100000100001000</v>
      </c>
      <c r="AB1308" s="242" t="str">
        <f>VLOOKUP(H1308,'Fund Utilization Report'!$A$4:$U$1800,15,FALSE)</f>
        <v>General Administration and Supervision - General Management and Supervision</v>
      </c>
      <c r="AC1308" s="51"/>
      <c r="AD1308" s="435"/>
      <c r="AE1308" s="51"/>
      <c r="AF1308" s="51"/>
      <c r="AG1308" s="442"/>
      <c r="AH1308" s="442"/>
      <c r="AI1308" s="443"/>
    </row>
    <row r="1309" spans="1:35" s="32" customFormat="1" ht="27.6">
      <c r="A1309" s="434" t="s">
        <v>942</v>
      </c>
      <c r="B1309" s="457" t="s">
        <v>946</v>
      </c>
      <c r="C1309" s="233">
        <v>44279</v>
      </c>
      <c r="D1309" s="435" t="s">
        <v>1267</v>
      </c>
      <c r="E1309" s="436" t="s">
        <v>1525</v>
      </c>
      <c r="F1309" s="338">
        <v>0.42430555555555555</v>
      </c>
      <c r="G1309" s="338">
        <v>0.42708333333333331</v>
      </c>
      <c r="H1309" s="338" t="s">
        <v>961</v>
      </c>
      <c r="I1309" s="353">
        <v>781</v>
      </c>
      <c r="J1309" s="338" t="str">
        <f>IFERROR(VLOOKUP(I1309,'Chart of accounts'!A:H,2,FALSE),"")</f>
        <v>50299020 00</v>
      </c>
      <c r="K1309" s="338" t="str">
        <f>IFERROR(VLOOKUP(I1309,'Chart of accounts'!A:H,3,FALSE),"")</f>
        <v>Printing and Binding Expenses</v>
      </c>
      <c r="L1309" s="338" t="str">
        <f>IFERROR(VLOOKUP(I1309,'Chart of accounts'!A:H,4,FALSE),"")</f>
        <v>50299020 00 - Printing and Binding Expenses (781)</v>
      </c>
      <c r="M1309" s="361" t="s">
        <v>816</v>
      </c>
      <c r="N1309" s="355" t="s">
        <v>773</v>
      </c>
      <c r="O1309" s="355" t="s">
        <v>1526</v>
      </c>
      <c r="P1309" s="355"/>
      <c r="Q1309" s="363">
        <v>205</v>
      </c>
      <c r="R1309" s="428">
        <f t="shared" si="50"/>
        <v>-205</v>
      </c>
      <c r="S1309" s="239" t="str">
        <f>VLOOKUP(H1309,'Fund Utilization Report'!$A$4:$U$1800,13,FALSE)</f>
        <v>MOOE</v>
      </c>
      <c r="T1309" s="239" t="str">
        <f>VLOOKUP(H1309,'Fund Utilization Report'!$A$4:$U$1800,2,FALSE)</f>
        <v>GAA</v>
      </c>
      <c r="U1309" s="239" t="str">
        <f>VLOOKUP(H1309,'Fund Utilization Report'!$A$4:$U$1800,3,FALSE)</f>
        <v>FY2021, RA11518</v>
      </c>
      <c r="V1309" s="239" t="str">
        <f>VLOOKUP(H1309,'Fund Utilization Report'!$A$4:$U$1800,4,FALSE)</f>
        <v>GAS(GMS)</v>
      </c>
      <c r="W1309" s="239" t="str">
        <f>VLOOKUP(H1309,'Fund Utilization Report'!$A$4:$U$1800,5,FALSE)</f>
        <v>01101101</v>
      </c>
      <c r="X1309" s="239" t="str">
        <f>VLOOKUP(H1309,'Fund Utilization Report'!$A$4:$U$1800,6,FALSE)</f>
        <v>GOP</v>
      </c>
      <c r="Y1309" s="440" t="str">
        <f>VLOOKUP(H1309,'Fund Utilization Report'!$A$4:$U$1800,7,FALSE)</f>
        <v>MOOE</v>
      </c>
      <c r="Z1309" s="441">
        <f>VLOOKUP(H1309,'Fund Utilization Report'!$A$4:$U$1800,8,FALSE)</f>
        <v>5020000000</v>
      </c>
      <c r="AA1309" s="239" t="str">
        <f>VLOOKUP(H1309,'Fund Utilization Report'!$A$4:$U$1800,14,FALSE)</f>
        <v>100000100001000</v>
      </c>
      <c r="AB1309" s="242" t="str">
        <f>VLOOKUP(H1309,'Fund Utilization Report'!$A$4:$U$1800,15,FALSE)</f>
        <v>General Administration and Supervision - General Management and Supervision</v>
      </c>
      <c r="AC1309" s="51"/>
      <c r="AD1309" s="435"/>
      <c r="AE1309" s="51"/>
      <c r="AF1309" s="51"/>
      <c r="AG1309" s="442"/>
      <c r="AH1309" s="442"/>
      <c r="AI1309" s="443"/>
    </row>
    <row r="1310" spans="1:35" s="32" customFormat="1" ht="27.6">
      <c r="A1310" s="434" t="s">
        <v>942</v>
      </c>
      <c r="B1310" s="457" t="s">
        <v>946</v>
      </c>
      <c r="C1310" s="233">
        <v>44279</v>
      </c>
      <c r="D1310" s="435" t="s">
        <v>1267</v>
      </c>
      <c r="E1310" s="436" t="s">
        <v>1525</v>
      </c>
      <c r="F1310" s="338">
        <v>0.42430555555555555</v>
      </c>
      <c r="G1310" s="338">
        <v>0.42708333333333331</v>
      </c>
      <c r="H1310" s="338" t="s">
        <v>961</v>
      </c>
      <c r="I1310" s="353">
        <v>795</v>
      </c>
      <c r="J1310" s="338" t="str">
        <f>IFERROR(VLOOKUP(I1310,'Chart of accounts'!A:H,2,FALSE),"")</f>
        <v>50212990 00</v>
      </c>
      <c r="K1310" s="338" t="str">
        <f>IFERROR(VLOOKUP(I1310,'Chart of accounts'!A:H,3,FALSE),"")</f>
        <v>Other General Services</v>
      </c>
      <c r="L1310" s="338" t="str">
        <f>IFERROR(VLOOKUP(I1310,'Chart of accounts'!A:H,4,FALSE),"")</f>
        <v>50212990 00 - Other General Services (795)</v>
      </c>
      <c r="M1310" s="361" t="s">
        <v>816</v>
      </c>
      <c r="N1310" s="355" t="s">
        <v>773</v>
      </c>
      <c r="O1310" s="355" t="s">
        <v>1526</v>
      </c>
      <c r="P1310" s="355"/>
      <c r="Q1310" s="363">
        <v>2550</v>
      </c>
      <c r="R1310" s="428">
        <f t="shared" ref="R1310:R1373" si="51">P1310-Q1310</f>
        <v>-2550</v>
      </c>
      <c r="S1310" s="239" t="str">
        <f>VLOOKUP(H1310,'Fund Utilization Report'!$A$4:$U$1800,13,FALSE)</f>
        <v>MOOE</v>
      </c>
      <c r="T1310" s="239" t="str">
        <f>VLOOKUP(H1310,'Fund Utilization Report'!$A$4:$U$1800,2,FALSE)</f>
        <v>GAA</v>
      </c>
      <c r="U1310" s="239" t="str">
        <f>VLOOKUP(H1310,'Fund Utilization Report'!$A$4:$U$1800,3,FALSE)</f>
        <v>FY2021, RA11518</v>
      </c>
      <c r="V1310" s="239" t="str">
        <f>VLOOKUP(H1310,'Fund Utilization Report'!$A$4:$U$1800,4,FALSE)</f>
        <v>GAS(GMS)</v>
      </c>
      <c r="W1310" s="239" t="str">
        <f>VLOOKUP(H1310,'Fund Utilization Report'!$A$4:$U$1800,5,FALSE)</f>
        <v>01101101</v>
      </c>
      <c r="X1310" s="239" t="str">
        <f>VLOOKUP(H1310,'Fund Utilization Report'!$A$4:$U$1800,6,FALSE)</f>
        <v>GOP</v>
      </c>
      <c r="Y1310" s="440" t="str">
        <f>VLOOKUP(H1310,'Fund Utilization Report'!$A$4:$U$1800,7,FALSE)</f>
        <v>MOOE</v>
      </c>
      <c r="Z1310" s="441">
        <f>VLOOKUP(H1310,'Fund Utilization Report'!$A$4:$U$1800,8,FALSE)</f>
        <v>5020000000</v>
      </c>
      <c r="AA1310" s="239" t="str">
        <f>VLOOKUP(H1310,'Fund Utilization Report'!$A$4:$U$1800,14,FALSE)</f>
        <v>100000100001000</v>
      </c>
      <c r="AB1310" s="242" t="str">
        <f>VLOOKUP(H1310,'Fund Utilization Report'!$A$4:$U$1800,15,FALSE)</f>
        <v>General Administration and Supervision - General Management and Supervision</v>
      </c>
      <c r="AC1310" s="51"/>
      <c r="AD1310" s="435"/>
      <c r="AE1310" s="51"/>
      <c r="AF1310" s="51"/>
      <c r="AG1310" s="442"/>
      <c r="AH1310" s="442"/>
      <c r="AI1310" s="443"/>
    </row>
    <row r="1311" spans="1:35" s="32" customFormat="1" ht="27.6">
      <c r="A1311" s="434" t="s">
        <v>942</v>
      </c>
      <c r="B1311" s="457" t="s">
        <v>946</v>
      </c>
      <c r="C1311" s="233">
        <v>44279</v>
      </c>
      <c r="D1311" s="435" t="s">
        <v>1267</v>
      </c>
      <c r="E1311" s="436" t="s">
        <v>1525</v>
      </c>
      <c r="F1311" s="338">
        <v>0.42430555555555555</v>
      </c>
      <c r="G1311" s="338">
        <v>0.42708333333333331</v>
      </c>
      <c r="H1311" s="338" t="s">
        <v>961</v>
      </c>
      <c r="I1311" s="353">
        <v>799</v>
      </c>
      <c r="J1311" s="338" t="str">
        <f>IFERROR(VLOOKUP(I1311,'Chart of accounts'!A:H,2,FALSE),"")</f>
        <v>50211990 00</v>
      </c>
      <c r="K1311" s="338" t="str">
        <f>IFERROR(VLOOKUP(I1311,'Chart of accounts'!A:H,3,FALSE),"")</f>
        <v>Other Professional Services</v>
      </c>
      <c r="L1311" s="338" t="str">
        <f>IFERROR(VLOOKUP(I1311,'Chart of accounts'!A:H,4,FALSE),"")</f>
        <v>50211990 00 - Other Professional Services (799)</v>
      </c>
      <c r="M1311" s="361" t="s">
        <v>816</v>
      </c>
      <c r="N1311" s="355" t="s">
        <v>773</v>
      </c>
      <c r="O1311" s="355" t="s">
        <v>1526</v>
      </c>
      <c r="P1311" s="355"/>
      <c r="Q1311" s="363">
        <v>400</v>
      </c>
      <c r="R1311" s="428">
        <f t="shared" si="51"/>
        <v>-400</v>
      </c>
      <c r="S1311" s="239" t="str">
        <f>VLOOKUP(H1311,'Fund Utilization Report'!$A$4:$U$1800,13,FALSE)</f>
        <v>MOOE</v>
      </c>
      <c r="T1311" s="239" t="str">
        <f>VLOOKUP(H1311,'Fund Utilization Report'!$A$4:$U$1800,2,FALSE)</f>
        <v>GAA</v>
      </c>
      <c r="U1311" s="239" t="str">
        <f>VLOOKUP(H1311,'Fund Utilization Report'!$A$4:$U$1800,3,FALSE)</f>
        <v>FY2021, RA11518</v>
      </c>
      <c r="V1311" s="239" t="str">
        <f>VLOOKUP(H1311,'Fund Utilization Report'!$A$4:$U$1800,4,FALSE)</f>
        <v>GAS(GMS)</v>
      </c>
      <c r="W1311" s="239" t="str">
        <f>VLOOKUP(H1311,'Fund Utilization Report'!$A$4:$U$1800,5,FALSE)</f>
        <v>01101101</v>
      </c>
      <c r="X1311" s="239" t="str">
        <f>VLOOKUP(H1311,'Fund Utilization Report'!$A$4:$U$1800,6,FALSE)</f>
        <v>GOP</v>
      </c>
      <c r="Y1311" s="440" t="str">
        <f>VLOOKUP(H1311,'Fund Utilization Report'!$A$4:$U$1800,7,FALSE)</f>
        <v>MOOE</v>
      </c>
      <c r="Z1311" s="441">
        <f>VLOOKUP(H1311,'Fund Utilization Report'!$A$4:$U$1800,8,FALSE)</f>
        <v>5020000000</v>
      </c>
      <c r="AA1311" s="239" t="str">
        <f>VLOOKUP(H1311,'Fund Utilization Report'!$A$4:$U$1800,14,FALSE)</f>
        <v>100000100001000</v>
      </c>
      <c r="AB1311" s="242" t="str">
        <f>VLOOKUP(H1311,'Fund Utilization Report'!$A$4:$U$1800,15,FALSE)</f>
        <v>General Administration and Supervision - General Management and Supervision</v>
      </c>
      <c r="AC1311" s="51"/>
      <c r="AD1311" s="435"/>
      <c r="AE1311" s="51"/>
      <c r="AF1311" s="51"/>
      <c r="AG1311" s="442"/>
      <c r="AH1311" s="442"/>
      <c r="AI1311" s="443"/>
    </row>
    <row r="1312" spans="1:35" s="32" customFormat="1">
      <c r="A1312" s="434" t="s">
        <v>942</v>
      </c>
      <c r="B1312" s="457" t="s">
        <v>946</v>
      </c>
      <c r="C1312" s="233">
        <v>44279</v>
      </c>
      <c r="D1312" s="435" t="s">
        <v>1267</v>
      </c>
      <c r="E1312" s="436" t="s">
        <v>1527</v>
      </c>
      <c r="F1312" s="338">
        <v>0.46111111111111108</v>
      </c>
      <c r="G1312" s="338">
        <v>0.46527777777777773</v>
      </c>
      <c r="H1312" s="338" t="s">
        <v>961</v>
      </c>
      <c r="I1312" s="353">
        <v>756</v>
      </c>
      <c r="J1312" s="338" t="str">
        <f>IFERROR(VLOOKUP(I1312,'Chart of accounts'!A:H,2,FALSE),"")</f>
        <v>50203020 00</v>
      </c>
      <c r="K1312" s="338" t="str">
        <f>IFERROR(VLOOKUP(I1312,'Chart of accounts'!A:H,3,FALSE),"")</f>
        <v xml:space="preserve">Accountable Forms Expenses </v>
      </c>
      <c r="L1312" s="338" t="str">
        <f>IFERROR(VLOOKUP(I1312,'Chart of accounts'!A:H,4,FALSE),"")</f>
        <v>50203020 00 - Accountable Forms Expenses  (756)</v>
      </c>
      <c r="M1312" s="361">
        <v>2</v>
      </c>
      <c r="N1312" s="420" t="s">
        <v>818</v>
      </c>
      <c r="O1312" s="420" t="s">
        <v>1532</v>
      </c>
      <c r="P1312" s="420"/>
      <c r="Q1312" s="420">
        <v>2490</v>
      </c>
      <c r="R1312" s="428">
        <f t="shared" si="51"/>
        <v>-2490</v>
      </c>
      <c r="S1312" s="428" t="str">
        <f>VLOOKUP(H1312,'Fund Utilization Report'!$A$4:$U$1800,13,FALSE)</f>
        <v>MOOE</v>
      </c>
      <c r="T1312" s="428" t="str">
        <f>VLOOKUP(H1312,'Fund Utilization Report'!$A$4:$U$1800,2,FALSE)</f>
        <v>GAA</v>
      </c>
      <c r="U1312" s="428" t="str">
        <f>VLOOKUP(H1312,'Fund Utilization Report'!$A$4:$U$1800,3,FALSE)</f>
        <v>FY2021, RA11518</v>
      </c>
      <c r="V1312" s="428" t="str">
        <f>VLOOKUP(H1312,'Fund Utilization Report'!$A$4:$U$1800,4,FALSE)</f>
        <v>GAS(GMS)</v>
      </c>
      <c r="W1312" s="428" t="str">
        <f>VLOOKUP(H1312,'Fund Utilization Report'!$A$4:$U$1800,5,FALSE)</f>
        <v>01101101</v>
      </c>
      <c r="X1312" s="428" t="str">
        <f>VLOOKUP(H1312,'Fund Utilization Report'!$A$4:$U$1800,6,FALSE)</f>
        <v>GOP</v>
      </c>
      <c r="Y1312" s="320" t="str">
        <f>VLOOKUP(H1312,'Fund Utilization Report'!$A$4:$U$1800,7,FALSE)</f>
        <v>MOOE</v>
      </c>
      <c r="Z1312" s="425">
        <f>VLOOKUP(H1312,'Fund Utilization Report'!$A$4:$U$1800,8,FALSE)</f>
        <v>5020000000</v>
      </c>
      <c r="AA1312" s="428" t="str">
        <f>VLOOKUP(H1312,'Fund Utilization Report'!$A$4:$U$1800,14,FALSE)</f>
        <v>100000100001000</v>
      </c>
      <c r="AB1312" s="349" t="str">
        <f>VLOOKUP(H1312,'Fund Utilization Report'!$A$4:$U$1800,15,FALSE)</f>
        <v>General Administration and Supervision - General Management and Supervision</v>
      </c>
      <c r="AC1312" s="39"/>
      <c r="AD1312" s="34"/>
      <c r="AE1312" s="39"/>
      <c r="AF1312" s="51"/>
      <c r="AG1312" s="40"/>
      <c r="AH1312" s="40"/>
    </row>
    <row r="1313" spans="1:34" s="32" customFormat="1">
      <c r="A1313" s="434" t="s">
        <v>942</v>
      </c>
      <c r="B1313" s="457" t="s">
        <v>946</v>
      </c>
      <c r="C1313" s="233">
        <v>44279</v>
      </c>
      <c r="D1313" s="435" t="s">
        <v>1267</v>
      </c>
      <c r="E1313" s="436" t="s">
        <v>1527</v>
      </c>
      <c r="F1313" s="338">
        <v>0.46111111111111108</v>
      </c>
      <c r="G1313" s="338">
        <v>0.46527777777777773</v>
      </c>
      <c r="H1313" s="338" t="s">
        <v>961</v>
      </c>
      <c r="I1313" s="353">
        <v>753</v>
      </c>
      <c r="J1313" s="338" t="str">
        <f>IFERROR(VLOOKUP(I1313,'Chart of accounts'!A:H,2,FALSE),"")</f>
        <v>50202010 00</v>
      </c>
      <c r="K1313" s="338" t="str">
        <f>IFERROR(VLOOKUP(I1313,'Chart of accounts'!A:H,3,FALSE),"")</f>
        <v>Training Expenses</v>
      </c>
      <c r="L1313" s="338" t="str">
        <f>IFERROR(VLOOKUP(I1313,'Chart of accounts'!A:H,4,FALSE),"")</f>
        <v>50202010 00 - Training Expenses (753)</v>
      </c>
      <c r="M1313" s="361">
        <v>2</v>
      </c>
      <c r="N1313" s="420" t="s">
        <v>818</v>
      </c>
      <c r="O1313" s="420" t="s">
        <v>1532</v>
      </c>
      <c r="P1313" s="420"/>
      <c r="Q1313" s="420">
        <v>16185</v>
      </c>
      <c r="R1313" s="428">
        <f t="shared" si="51"/>
        <v>-16185</v>
      </c>
      <c r="S1313" s="428" t="str">
        <f>VLOOKUP(H1313,'Fund Utilization Report'!$A$4:$U$1800,13,FALSE)</f>
        <v>MOOE</v>
      </c>
      <c r="T1313" s="428" t="str">
        <f>VLOOKUP(H1313,'Fund Utilization Report'!$A$4:$U$1800,2,FALSE)</f>
        <v>GAA</v>
      </c>
      <c r="U1313" s="428" t="str">
        <f>VLOOKUP(H1313,'Fund Utilization Report'!$A$4:$U$1800,3,FALSE)</f>
        <v>FY2021, RA11518</v>
      </c>
      <c r="V1313" s="428" t="str">
        <f>VLOOKUP(H1313,'Fund Utilization Report'!$A$4:$U$1800,4,FALSE)</f>
        <v>GAS(GMS)</v>
      </c>
      <c r="W1313" s="428" t="str">
        <f>VLOOKUP(H1313,'Fund Utilization Report'!$A$4:$U$1800,5,FALSE)</f>
        <v>01101101</v>
      </c>
      <c r="X1313" s="428" t="str">
        <f>VLOOKUP(H1313,'Fund Utilization Report'!$A$4:$U$1800,6,FALSE)</f>
        <v>GOP</v>
      </c>
      <c r="Y1313" s="320" t="str">
        <f>VLOOKUP(H1313,'Fund Utilization Report'!$A$4:$U$1800,7,FALSE)</f>
        <v>MOOE</v>
      </c>
      <c r="Z1313" s="425">
        <f>VLOOKUP(H1313,'Fund Utilization Report'!$A$4:$U$1800,8,FALSE)</f>
        <v>5020000000</v>
      </c>
      <c r="AA1313" s="428" t="str">
        <f>VLOOKUP(H1313,'Fund Utilization Report'!$A$4:$U$1800,14,FALSE)</f>
        <v>100000100001000</v>
      </c>
      <c r="AB1313" s="349" t="str">
        <f>VLOOKUP(H1313,'Fund Utilization Report'!$A$4:$U$1800,15,FALSE)</f>
        <v>General Administration and Supervision - General Management and Supervision</v>
      </c>
      <c r="AC1313" s="39"/>
      <c r="AD1313" s="34"/>
      <c r="AE1313" s="39"/>
      <c r="AF1313" s="51"/>
      <c r="AG1313" s="40"/>
      <c r="AH1313" s="40"/>
    </row>
    <row r="1314" spans="1:34" s="32" customFormat="1">
      <c r="A1314" s="434" t="s">
        <v>942</v>
      </c>
      <c r="B1314" s="457" t="s">
        <v>946</v>
      </c>
      <c r="C1314" s="233">
        <v>44279</v>
      </c>
      <c r="D1314" s="435" t="s">
        <v>1267</v>
      </c>
      <c r="E1314" s="436" t="s">
        <v>1527</v>
      </c>
      <c r="F1314" s="338">
        <v>0.46111111111111108</v>
      </c>
      <c r="G1314" s="338">
        <v>0.46527777777777773</v>
      </c>
      <c r="H1314" s="338" t="s">
        <v>961</v>
      </c>
      <c r="I1314" s="353">
        <v>761</v>
      </c>
      <c r="J1314" s="338" t="str">
        <f>IFERROR(VLOOKUP(I1314,'Chart of accounts'!A:H,2,FALSE),"")</f>
        <v>50203090 00</v>
      </c>
      <c r="K1314" s="338" t="str">
        <f>IFERROR(VLOOKUP(I1314,'Chart of accounts'!A:H,3,FALSE),"")</f>
        <v>Fuel, Oil and Lubricants Expenses</v>
      </c>
      <c r="L1314" s="338" t="str">
        <f>IFERROR(VLOOKUP(I1314,'Chart of accounts'!A:H,4,FALSE),"")</f>
        <v>50203090 00 - Fuel, Oil and Lubricants Expenses (761)</v>
      </c>
      <c r="M1314" s="361">
        <v>2</v>
      </c>
      <c r="N1314" s="420" t="s">
        <v>818</v>
      </c>
      <c r="O1314" s="420" t="s">
        <v>1532</v>
      </c>
      <c r="P1314" s="420"/>
      <c r="Q1314" s="420">
        <v>12764.99</v>
      </c>
      <c r="R1314" s="428">
        <f t="shared" si="51"/>
        <v>-12764.99</v>
      </c>
      <c r="S1314" s="428" t="str">
        <f>VLOOKUP(H1314,'Fund Utilization Report'!$A$4:$U$1800,13,FALSE)</f>
        <v>MOOE</v>
      </c>
      <c r="T1314" s="428" t="str">
        <f>VLOOKUP(H1314,'Fund Utilization Report'!$A$4:$U$1800,2,FALSE)</f>
        <v>GAA</v>
      </c>
      <c r="U1314" s="428" t="str">
        <f>VLOOKUP(H1314,'Fund Utilization Report'!$A$4:$U$1800,3,FALSE)</f>
        <v>FY2021, RA11518</v>
      </c>
      <c r="V1314" s="428" t="str">
        <f>VLOOKUP(H1314,'Fund Utilization Report'!$A$4:$U$1800,4,FALSE)</f>
        <v>GAS(GMS)</v>
      </c>
      <c r="W1314" s="428" t="str">
        <f>VLOOKUP(H1314,'Fund Utilization Report'!$A$4:$U$1800,5,FALSE)</f>
        <v>01101101</v>
      </c>
      <c r="X1314" s="428" t="str">
        <f>VLOOKUP(H1314,'Fund Utilization Report'!$A$4:$U$1800,6,FALSE)</f>
        <v>GOP</v>
      </c>
      <c r="Y1314" s="320" t="str">
        <f>VLOOKUP(H1314,'Fund Utilization Report'!$A$4:$U$1800,7,FALSE)</f>
        <v>MOOE</v>
      </c>
      <c r="Z1314" s="425">
        <f>VLOOKUP(H1314,'Fund Utilization Report'!$A$4:$U$1800,8,FALSE)</f>
        <v>5020000000</v>
      </c>
      <c r="AA1314" s="428" t="str">
        <f>VLOOKUP(H1314,'Fund Utilization Report'!$A$4:$U$1800,14,FALSE)</f>
        <v>100000100001000</v>
      </c>
      <c r="AB1314" s="349" t="str">
        <f>VLOOKUP(H1314,'Fund Utilization Report'!$A$4:$U$1800,15,FALSE)</f>
        <v>General Administration and Supervision - General Management and Supervision</v>
      </c>
      <c r="AC1314" s="39"/>
      <c r="AD1314" s="34"/>
      <c r="AE1314" s="39"/>
      <c r="AF1314" s="51"/>
      <c r="AG1314" s="40"/>
      <c r="AH1314" s="40"/>
    </row>
    <row r="1315" spans="1:34" s="32" customFormat="1">
      <c r="A1315" s="434" t="s">
        <v>942</v>
      </c>
      <c r="B1315" s="457" t="s">
        <v>946</v>
      </c>
      <c r="C1315" s="233">
        <v>44279</v>
      </c>
      <c r="D1315" s="435" t="s">
        <v>1267</v>
      </c>
      <c r="E1315" s="436" t="s">
        <v>1527</v>
      </c>
      <c r="F1315" s="338">
        <v>0.46111111111111108</v>
      </c>
      <c r="G1315" s="338">
        <v>0.46527777777777773</v>
      </c>
      <c r="H1315" s="338" t="s">
        <v>961</v>
      </c>
      <c r="I1315" s="353">
        <v>766</v>
      </c>
      <c r="J1315" s="338" t="str">
        <f>IFERROR(VLOOKUP(I1315,'Chart of accounts'!A:H,2,FALSE),"")</f>
        <v>50204010 00</v>
      </c>
      <c r="K1315" s="338" t="str">
        <f>IFERROR(VLOOKUP(I1315,'Chart of accounts'!A:H,3,FALSE),"")</f>
        <v>Water Expenses</v>
      </c>
      <c r="L1315" s="338" t="str">
        <f>IFERROR(VLOOKUP(I1315,'Chart of accounts'!A:H,4,FALSE),"")</f>
        <v>50204010 00 - Water Expenses (766)</v>
      </c>
      <c r="M1315" s="361">
        <v>2</v>
      </c>
      <c r="N1315" s="420" t="s">
        <v>818</v>
      </c>
      <c r="O1315" s="420" t="s">
        <v>1532</v>
      </c>
      <c r="P1315" s="420"/>
      <c r="Q1315" s="420">
        <v>7096.5</v>
      </c>
      <c r="R1315" s="428">
        <f t="shared" si="51"/>
        <v>-7096.5</v>
      </c>
      <c r="S1315" s="428" t="str">
        <f>VLOOKUP(H1315,'Fund Utilization Report'!$A$4:$U$1800,13,FALSE)</f>
        <v>MOOE</v>
      </c>
      <c r="T1315" s="428" t="str">
        <f>VLOOKUP(H1315,'Fund Utilization Report'!$A$4:$U$1800,2,FALSE)</f>
        <v>GAA</v>
      </c>
      <c r="U1315" s="428" t="str">
        <f>VLOOKUP(H1315,'Fund Utilization Report'!$A$4:$U$1800,3,FALSE)</f>
        <v>FY2021, RA11518</v>
      </c>
      <c r="V1315" s="428" t="str">
        <f>VLOOKUP(H1315,'Fund Utilization Report'!$A$4:$U$1800,4,FALSE)</f>
        <v>GAS(GMS)</v>
      </c>
      <c r="W1315" s="428" t="str">
        <f>VLOOKUP(H1315,'Fund Utilization Report'!$A$4:$U$1800,5,FALSE)</f>
        <v>01101101</v>
      </c>
      <c r="X1315" s="428" t="str">
        <f>VLOOKUP(H1315,'Fund Utilization Report'!$A$4:$U$1800,6,FALSE)</f>
        <v>GOP</v>
      </c>
      <c r="Y1315" s="320" t="str">
        <f>VLOOKUP(H1315,'Fund Utilization Report'!$A$4:$U$1800,7,FALSE)</f>
        <v>MOOE</v>
      </c>
      <c r="Z1315" s="425">
        <f>VLOOKUP(H1315,'Fund Utilization Report'!$A$4:$U$1800,8,FALSE)</f>
        <v>5020000000</v>
      </c>
      <c r="AA1315" s="428" t="str">
        <f>VLOOKUP(H1315,'Fund Utilization Report'!$A$4:$U$1800,14,FALSE)</f>
        <v>100000100001000</v>
      </c>
      <c r="AB1315" s="349" t="str">
        <f>VLOOKUP(H1315,'Fund Utilization Report'!$A$4:$U$1800,15,FALSE)</f>
        <v>General Administration and Supervision - General Management and Supervision</v>
      </c>
      <c r="AC1315" s="39"/>
      <c r="AD1315" s="34"/>
      <c r="AE1315" s="39"/>
      <c r="AF1315" s="51"/>
      <c r="AG1315" s="40"/>
      <c r="AH1315" s="40"/>
    </row>
    <row r="1316" spans="1:34" s="32" customFormat="1">
      <c r="A1316" s="434" t="s">
        <v>942</v>
      </c>
      <c r="B1316" s="457" t="s">
        <v>946</v>
      </c>
      <c r="C1316" s="233">
        <v>44279</v>
      </c>
      <c r="D1316" s="435" t="s">
        <v>1267</v>
      </c>
      <c r="E1316" s="436" t="s">
        <v>1527</v>
      </c>
      <c r="F1316" s="338">
        <v>0.46111111111111108</v>
      </c>
      <c r="G1316" s="338">
        <v>0.46527777777777773</v>
      </c>
      <c r="H1316" s="338" t="s">
        <v>961</v>
      </c>
      <c r="I1316" s="353">
        <v>767</v>
      </c>
      <c r="J1316" s="338" t="str">
        <f>IFERROR(VLOOKUP(I1316,'Chart of accounts'!A:H,2,FALSE),"")</f>
        <v>50204020 00</v>
      </c>
      <c r="K1316" s="338" t="str">
        <f>IFERROR(VLOOKUP(I1316,'Chart of accounts'!A:H,3,FALSE),"")</f>
        <v>Electricity Expense</v>
      </c>
      <c r="L1316" s="338" t="str">
        <f>IFERROR(VLOOKUP(I1316,'Chart of accounts'!A:H,4,FALSE),"")</f>
        <v>50204020 00 - Electricity Expense (767)</v>
      </c>
      <c r="M1316" s="361">
        <v>2</v>
      </c>
      <c r="N1316" s="420" t="s">
        <v>818</v>
      </c>
      <c r="O1316" s="420" t="s">
        <v>1532</v>
      </c>
      <c r="P1316" s="420"/>
      <c r="Q1316" s="420">
        <v>64117.5</v>
      </c>
      <c r="R1316" s="428">
        <f t="shared" si="51"/>
        <v>-64117.5</v>
      </c>
      <c r="S1316" s="428" t="str">
        <f>VLOOKUP(H1316,'Fund Utilization Report'!$A$4:$U$1800,13,FALSE)</f>
        <v>MOOE</v>
      </c>
      <c r="T1316" s="428" t="str">
        <f>VLOOKUP(H1316,'Fund Utilization Report'!$A$4:$U$1800,2,FALSE)</f>
        <v>GAA</v>
      </c>
      <c r="U1316" s="428" t="str">
        <f>VLOOKUP(H1316,'Fund Utilization Report'!$A$4:$U$1800,3,FALSE)</f>
        <v>FY2021, RA11518</v>
      </c>
      <c r="V1316" s="428" t="str">
        <f>VLOOKUP(H1316,'Fund Utilization Report'!$A$4:$U$1800,4,FALSE)</f>
        <v>GAS(GMS)</v>
      </c>
      <c r="W1316" s="428" t="str">
        <f>VLOOKUP(H1316,'Fund Utilization Report'!$A$4:$U$1800,5,FALSE)</f>
        <v>01101101</v>
      </c>
      <c r="X1316" s="428" t="str">
        <f>VLOOKUP(H1316,'Fund Utilization Report'!$A$4:$U$1800,6,FALSE)</f>
        <v>GOP</v>
      </c>
      <c r="Y1316" s="320" t="str">
        <f>VLOOKUP(H1316,'Fund Utilization Report'!$A$4:$U$1800,7,FALSE)</f>
        <v>MOOE</v>
      </c>
      <c r="Z1316" s="425">
        <f>VLOOKUP(H1316,'Fund Utilization Report'!$A$4:$U$1800,8,FALSE)</f>
        <v>5020000000</v>
      </c>
      <c r="AA1316" s="428" t="str">
        <f>VLOOKUP(H1316,'Fund Utilization Report'!$A$4:$U$1800,14,FALSE)</f>
        <v>100000100001000</v>
      </c>
      <c r="AB1316" s="349" t="str">
        <f>VLOOKUP(H1316,'Fund Utilization Report'!$A$4:$U$1800,15,FALSE)</f>
        <v>General Administration and Supervision - General Management and Supervision</v>
      </c>
      <c r="AC1316" s="39"/>
      <c r="AD1316" s="34"/>
      <c r="AE1316" s="39"/>
      <c r="AF1316" s="51"/>
      <c r="AG1316" s="40"/>
      <c r="AH1316" s="40"/>
    </row>
    <row r="1317" spans="1:34" s="32" customFormat="1">
      <c r="A1317" s="434" t="s">
        <v>942</v>
      </c>
      <c r="B1317" s="457" t="s">
        <v>946</v>
      </c>
      <c r="C1317" s="233">
        <v>44279</v>
      </c>
      <c r="D1317" s="435" t="s">
        <v>1267</v>
      </c>
      <c r="E1317" s="436" t="s">
        <v>1527</v>
      </c>
      <c r="F1317" s="338">
        <v>0.46111111111111108</v>
      </c>
      <c r="G1317" s="338">
        <v>0.46527777777777773</v>
      </c>
      <c r="H1317" s="338" t="s">
        <v>961</v>
      </c>
      <c r="I1317" s="353">
        <v>771</v>
      </c>
      <c r="J1317" s="338" t="str">
        <f>IFERROR(VLOOKUP(I1317,'Chart of accounts'!A:H,2,FALSE),"")</f>
        <v>50205010 00</v>
      </c>
      <c r="K1317" s="338" t="str">
        <f>IFERROR(VLOOKUP(I1317,'Chart of accounts'!A:H,3,FALSE),"")</f>
        <v>Postage and Courier Services</v>
      </c>
      <c r="L1317" s="338" t="str">
        <f>IFERROR(VLOOKUP(I1317,'Chart of accounts'!A:H,4,FALSE),"")</f>
        <v>50205010 00 - Postage and Courier Services (771)</v>
      </c>
      <c r="M1317" s="361">
        <v>2</v>
      </c>
      <c r="N1317" s="420" t="s">
        <v>818</v>
      </c>
      <c r="O1317" s="420" t="s">
        <v>1532</v>
      </c>
      <c r="P1317" s="420"/>
      <c r="Q1317" s="420">
        <v>3112.5</v>
      </c>
      <c r="R1317" s="428">
        <f t="shared" si="51"/>
        <v>-3112.5</v>
      </c>
      <c r="S1317" s="428" t="str">
        <f>VLOOKUP(H1317,'Fund Utilization Report'!$A$4:$U$1800,13,FALSE)</f>
        <v>MOOE</v>
      </c>
      <c r="T1317" s="428" t="str">
        <f>VLOOKUP(H1317,'Fund Utilization Report'!$A$4:$U$1800,2,FALSE)</f>
        <v>GAA</v>
      </c>
      <c r="U1317" s="428" t="str">
        <f>VLOOKUP(H1317,'Fund Utilization Report'!$A$4:$U$1800,3,FALSE)</f>
        <v>FY2021, RA11518</v>
      </c>
      <c r="V1317" s="428" t="str">
        <f>VLOOKUP(H1317,'Fund Utilization Report'!$A$4:$U$1800,4,FALSE)</f>
        <v>GAS(GMS)</v>
      </c>
      <c r="W1317" s="428" t="str">
        <f>VLOOKUP(H1317,'Fund Utilization Report'!$A$4:$U$1800,5,FALSE)</f>
        <v>01101101</v>
      </c>
      <c r="X1317" s="428" t="str">
        <f>VLOOKUP(H1317,'Fund Utilization Report'!$A$4:$U$1800,6,FALSE)</f>
        <v>GOP</v>
      </c>
      <c r="Y1317" s="320" t="str">
        <f>VLOOKUP(H1317,'Fund Utilization Report'!$A$4:$U$1800,7,FALSE)</f>
        <v>MOOE</v>
      </c>
      <c r="Z1317" s="425">
        <f>VLOOKUP(H1317,'Fund Utilization Report'!$A$4:$U$1800,8,FALSE)</f>
        <v>5020000000</v>
      </c>
      <c r="AA1317" s="428" t="str">
        <f>VLOOKUP(H1317,'Fund Utilization Report'!$A$4:$U$1800,14,FALSE)</f>
        <v>100000100001000</v>
      </c>
      <c r="AB1317" s="349" t="str">
        <f>VLOOKUP(H1317,'Fund Utilization Report'!$A$4:$U$1800,15,FALSE)</f>
        <v>General Administration and Supervision - General Management and Supervision</v>
      </c>
      <c r="AC1317" s="39"/>
      <c r="AD1317" s="34"/>
      <c r="AE1317" s="39"/>
      <c r="AF1317" s="51"/>
      <c r="AG1317" s="40"/>
      <c r="AH1317" s="40"/>
    </row>
    <row r="1318" spans="1:34" s="32" customFormat="1">
      <c r="A1318" s="434" t="s">
        <v>942</v>
      </c>
      <c r="B1318" s="457" t="s">
        <v>946</v>
      </c>
      <c r="C1318" s="233">
        <v>44279</v>
      </c>
      <c r="D1318" s="435" t="s">
        <v>1267</v>
      </c>
      <c r="E1318" s="436" t="s">
        <v>1527</v>
      </c>
      <c r="F1318" s="338">
        <v>0.46111111111111108</v>
      </c>
      <c r="G1318" s="338">
        <v>0.46527777777777773</v>
      </c>
      <c r="H1318" s="338" t="s">
        <v>961</v>
      </c>
      <c r="I1318" s="353">
        <v>772</v>
      </c>
      <c r="J1318" s="338" t="str">
        <f>IFERROR(VLOOKUP(I1318,'Chart of accounts'!A:H,2,FALSE),"")</f>
        <v>50205020 02</v>
      </c>
      <c r="K1318" s="338" t="str">
        <f>IFERROR(VLOOKUP(I1318,'Chart of accounts'!A:H,3,FALSE),"")</f>
        <v xml:space="preserve">Telephone Expenses - Landline </v>
      </c>
      <c r="L1318" s="338" t="str">
        <f>IFERROR(VLOOKUP(I1318,'Chart of accounts'!A:H,4,FALSE),"")</f>
        <v>50205020 02 - Telephone Expenses - Landline  (772)</v>
      </c>
      <c r="M1318" s="361">
        <v>2</v>
      </c>
      <c r="N1318" s="420" t="s">
        <v>818</v>
      </c>
      <c r="O1318" s="420" t="s">
        <v>1532</v>
      </c>
      <c r="P1318" s="420"/>
      <c r="Q1318" s="420">
        <v>1143.4100000000001</v>
      </c>
      <c r="R1318" s="428">
        <f t="shared" si="51"/>
        <v>-1143.4100000000001</v>
      </c>
      <c r="S1318" s="428" t="str">
        <f>VLOOKUP(H1318,'Fund Utilization Report'!$A$4:$U$1800,13,FALSE)</f>
        <v>MOOE</v>
      </c>
      <c r="T1318" s="428" t="str">
        <f>VLOOKUP(H1318,'Fund Utilization Report'!$A$4:$U$1800,2,FALSE)</f>
        <v>GAA</v>
      </c>
      <c r="U1318" s="428" t="str">
        <f>VLOOKUP(H1318,'Fund Utilization Report'!$A$4:$U$1800,3,FALSE)</f>
        <v>FY2021, RA11518</v>
      </c>
      <c r="V1318" s="428" t="str">
        <f>VLOOKUP(H1318,'Fund Utilization Report'!$A$4:$U$1800,4,FALSE)</f>
        <v>GAS(GMS)</v>
      </c>
      <c r="W1318" s="428" t="str">
        <f>VLOOKUP(H1318,'Fund Utilization Report'!$A$4:$U$1800,5,FALSE)</f>
        <v>01101101</v>
      </c>
      <c r="X1318" s="428" t="str">
        <f>VLOOKUP(H1318,'Fund Utilization Report'!$A$4:$U$1800,6,FALSE)</f>
        <v>GOP</v>
      </c>
      <c r="Y1318" s="320" t="str">
        <f>VLOOKUP(H1318,'Fund Utilization Report'!$A$4:$U$1800,7,FALSE)</f>
        <v>MOOE</v>
      </c>
      <c r="Z1318" s="425">
        <f>VLOOKUP(H1318,'Fund Utilization Report'!$A$4:$U$1800,8,FALSE)</f>
        <v>5020000000</v>
      </c>
      <c r="AA1318" s="428" t="str">
        <f>VLOOKUP(H1318,'Fund Utilization Report'!$A$4:$U$1800,14,FALSE)</f>
        <v>100000100001000</v>
      </c>
      <c r="AB1318" s="349" t="str">
        <f>VLOOKUP(H1318,'Fund Utilization Report'!$A$4:$U$1800,15,FALSE)</f>
        <v>General Administration and Supervision - General Management and Supervision</v>
      </c>
      <c r="AC1318" s="39"/>
      <c r="AD1318" s="34"/>
      <c r="AE1318" s="39"/>
      <c r="AF1318" s="51"/>
      <c r="AG1318" s="40"/>
      <c r="AH1318" s="40"/>
    </row>
    <row r="1319" spans="1:34" s="32" customFormat="1">
      <c r="A1319" s="434" t="s">
        <v>942</v>
      </c>
      <c r="B1319" s="457" t="s">
        <v>946</v>
      </c>
      <c r="C1319" s="233">
        <v>44279</v>
      </c>
      <c r="D1319" s="435" t="s">
        <v>1267</v>
      </c>
      <c r="E1319" s="436" t="s">
        <v>1527</v>
      </c>
      <c r="F1319" s="338">
        <v>0.46111111111111108</v>
      </c>
      <c r="G1319" s="338">
        <v>0.46527777777777773</v>
      </c>
      <c r="H1319" s="338" t="s">
        <v>961</v>
      </c>
      <c r="I1319" s="353">
        <v>773</v>
      </c>
      <c r="J1319" s="338" t="str">
        <f>IFERROR(VLOOKUP(I1319,'Chart of accounts'!A:H,2,FALSE),"")</f>
        <v>50205020 01</v>
      </c>
      <c r="K1319" s="338" t="str">
        <f>IFERROR(VLOOKUP(I1319,'Chart of accounts'!A:H,3,FALSE),"")</f>
        <v xml:space="preserve">Telephone Expenses - Mobile </v>
      </c>
      <c r="L1319" s="338" t="str">
        <f>IFERROR(VLOOKUP(I1319,'Chart of accounts'!A:H,4,FALSE),"")</f>
        <v>50205020 01 - Telephone Expenses - Mobile  (773)</v>
      </c>
      <c r="M1319" s="361">
        <v>2</v>
      </c>
      <c r="N1319" s="420" t="s">
        <v>818</v>
      </c>
      <c r="O1319" s="420" t="s">
        <v>1532</v>
      </c>
      <c r="P1319" s="420"/>
      <c r="Q1319" s="420">
        <v>10458</v>
      </c>
      <c r="R1319" s="428">
        <f t="shared" si="51"/>
        <v>-10458</v>
      </c>
      <c r="S1319" s="428" t="str">
        <f>VLOOKUP(H1319,'Fund Utilization Report'!$A$4:$U$1800,13,FALSE)</f>
        <v>MOOE</v>
      </c>
      <c r="T1319" s="428" t="str">
        <f>VLOOKUP(H1319,'Fund Utilization Report'!$A$4:$U$1800,2,FALSE)</f>
        <v>GAA</v>
      </c>
      <c r="U1319" s="428" t="str">
        <f>VLOOKUP(H1319,'Fund Utilization Report'!$A$4:$U$1800,3,FALSE)</f>
        <v>FY2021, RA11518</v>
      </c>
      <c r="V1319" s="428" t="str">
        <f>VLOOKUP(H1319,'Fund Utilization Report'!$A$4:$U$1800,4,FALSE)</f>
        <v>GAS(GMS)</v>
      </c>
      <c r="W1319" s="428" t="str">
        <f>VLOOKUP(H1319,'Fund Utilization Report'!$A$4:$U$1800,5,FALSE)</f>
        <v>01101101</v>
      </c>
      <c r="X1319" s="428" t="str">
        <f>VLOOKUP(H1319,'Fund Utilization Report'!$A$4:$U$1800,6,FALSE)</f>
        <v>GOP</v>
      </c>
      <c r="Y1319" s="320" t="str">
        <f>VLOOKUP(H1319,'Fund Utilization Report'!$A$4:$U$1800,7,FALSE)</f>
        <v>MOOE</v>
      </c>
      <c r="Z1319" s="425">
        <f>VLOOKUP(H1319,'Fund Utilization Report'!$A$4:$U$1800,8,FALSE)</f>
        <v>5020000000</v>
      </c>
      <c r="AA1319" s="428" t="str">
        <f>VLOOKUP(H1319,'Fund Utilization Report'!$A$4:$U$1800,14,FALSE)</f>
        <v>100000100001000</v>
      </c>
      <c r="AB1319" s="349" t="str">
        <f>VLOOKUP(H1319,'Fund Utilization Report'!$A$4:$U$1800,15,FALSE)</f>
        <v>General Administration and Supervision - General Management and Supervision</v>
      </c>
      <c r="AC1319" s="39"/>
      <c r="AD1319" s="34"/>
      <c r="AE1319" s="39"/>
      <c r="AF1319" s="51"/>
      <c r="AG1319" s="40"/>
      <c r="AH1319" s="40"/>
    </row>
    <row r="1320" spans="1:34" s="32" customFormat="1">
      <c r="A1320" s="434" t="s">
        <v>942</v>
      </c>
      <c r="B1320" s="457" t="s">
        <v>946</v>
      </c>
      <c r="C1320" s="233">
        <v>44279</v>
      </c>
      <c r="D1320" s="435" t="s">
        <v>1267</v>
      </c>
      <c r="E1320" s="436" t="s">
        <v>1527</v>
      </c>
      <c r="F1320" s="338">
        <v>0.46111111111111108</v>
      </c>
      <c r="G1320" s="338">
        <v>0.46527777777777773</v>
      </c>
      <c r="H1320" s="338" t="s">
        <v>961</v>
      </c>
      <c r="I1320" s="353">
        <v>775</v>
      </c>
      <c r="J1320" s="338" t="str">
        <f>IFERROR(VLOOKUP(I1320,'Chart of accounts'!A:H,2,FALSE),"")</f>
        <v>50205040 00</v>
      </c>
      <c r="K1320" s="338" t="str">
        <f>IFERROR(VLOOKUP(I1320,'Chart of accounts'!A:H,3,FALSE),"")</f>
        <v>Cable, Satellite, Telegraph, and Radio Expenses</v>
      </c>
      <c r="L1320" s="338" t="str">
        <f>IFERROR(VLOOKUP(I1320,'Chart of accounts'!A:H,4,FALSE),"")</f>
        <v>50205040 00 - Cable, Satellite, Telegraph, and Radio Expenses (775)</v>
      </c>
      <c r="M1320" s="361">
        <v>2</v>
      </c>
      <c r="N1320" s="420" t="s">
        <v>818</v>
      </c>
      <c r="O1320" s="420" t="s">
        <v>1532</v>
      </c>
      <c r="P1320" s="420"/>
      <c r="Q1320" s="420">
        <v>809.25</v>
      </c>
      <c r="R1320" s="428">
        <f t="shared" si="51"/>
        <v>-809.25</v>
      </c>
      <c r="S1320" s="428" t="str">
        <f>VLOOKUP(H1320,'Fund Utilization Report'!$A$4:$U$1800,13,FALSE)</f>
        <v>MOOE</v>
      </c>
      <c r="T1320" s="428" t="str">
        <f>VLOOKUP(H1320,'Fund Utilization Report'!$A$4:$U$1800,2,FALSE)</f>
        <v>GAA</v>
      </c>
      <c r="U1320" s="428" t="str">
        <f>VLOOKUP(H1320,'Fund Utilization Report'!$A$4:$U$1800,3,FALSE)</f>
        <v>FY2021, RA11518</v>
      </c>
      <c r="V1320" s="428" t="str">
        <f>VLOOKUP(H1320,'Fund Utilization Report'!$A$4:$U$1800,4,FALSE)</f>
        <v>GAS(GMS)</v>
      </c>
      <c r="W1320" s="428" t="str">
        <f>VLOOKUP(H1320,'Fund Utilization Report'!$A$4:$U$1800,5,FALSE)</f>
        <v>01101101</v>
      </c>
      <c r="X1320" s="428" t="str">
        <f>VLOOKUP(H1320,'Fund Utilization Report'!$A$4:$U$1800,6,FALSE)</f>
        <v>GOP</v>
      </c>
      <c r="Y1320" s="320" t="str">
        <f>VLOOKUP(H1320,'Fund Utilization Report'!$A$4:$U$1800,7,FALSE)</f>
        <v>MOOE</v>
      </c>
      <c r="Z1320" s="425">
        <f>VLOOKUP(H1320,'Fund Utilization Report'!$A$4:$U$1800,8,FALSE)</f>
        <v>5020000000</v>
      </c>
      <c r="AA1320" s="428" t="str">
        <f>VLOOKUP(H1320,'Fund Utilization Report'!$A$4:$U$1800,14,FALSE)</f>
        <v>100000100001000</v>
      </c>
      <c r="AB1320" s="349" t="str">
        <f>VLOOKUP(H1320,'Fund Utilization Report'!$A$4:$U$1800,15,FALSE)</f>
        <v>General Administration and Supervision - General Management and Supervision</v>
      </c>
      <c r="AC1320" s="39"/>
      <c r="AD1320" s="34"/>
      <c r="AE1320" s="39"/>
      <c r="AF1320" s="51"/>
      <c r="AG1320" s="40"/>
      <c r="AH1320" s="40"/>
    </row>
    <row r="1321" spans="1:34" s="32" customFormat="1">
      <c r="A1321" s="434" t="s">
        <v>942</v>
      </c>
      <c r="B1321" s="457" t="s">
        <v>946</v>
      </c>
      <c r="C1321" s="233">
        <v>44279</v>
      </c>
      <c r="D1321" s="435" t="s">
        <v>1267</v>
      </c>
      <c r="E1321" s="436" t="s">
        <v>1527</v>
      </c>
      <c r="F1321" s="338">
        <v>0.46111111111111108</v>
      </c>
      <c r="G1321" s="338">
        <v>0.46527777777777773</v>
      </c>
      <c r="H1321" s="338" t="s">
        <v>961</v>
      </c>
      <c r="I1321" s="353">
        <v>791</v>
      </c>
      <c r="J1321" s="338" t="str">
        <f>IFERROR(VLOOKUP(I1321,'Chart of accounts'!A:H,2,FALSE),"")</f>
        <v>50211010 00</v>
      </c>
      <c r="K1321" s="338" t="str">
        <f>IFERROR(VLOOKUP(I1321,'Chart of accounts'!A:H,3,FALSE),"")</f>
        <v>Legal Services</v>
      </c>
      <c r="L1321" s="338" t="str">
        <f>IFERROR(VLOOKUP(I1321,'Chart of accounts'!A:H,4,FALSE),"")</f>
        <v>50211010 00 - Legal Services (791)</v>
      </c>
      <c r="M1321" s="361">
        <v>2</v>
      </c>
      <c r="N1321" s="420" t="s">
        <v>818</v>
      </c>
      <c r="O1321" s="420" t="s">
        <v>1532</v>
      </c>
      <c r="P1321" s="420"/>
      <c r="Q1321" s="420">
        <v>747</v>
      </c>
      <c r="R1321" s="428">
        <f t="shared" si="51"/>
        <v>-747</v>
      </c>
      <c r="S1321" s="428" t="str">
        <f>VLOOKUP(H1321,'Fund Utilization Report'!$A$4:$U$1800,13,FALSE)</f>
        <v>MOOE</v>
      </c>
      <c r="T1321" s="428" t="str">
        <f>VLOOKUP(H1321,'Fund Utilization Report'!$A$4:$U$1800,2,FALSE)</f>
        <v>GAA</v>
      </c>
      <c r="U1321" s="428" t="str">
        <f>VLOOKUP(H1321,'Fund Utilization Report'!$A$4:$U$1800,3,FALSE)</f>
        <v>FY2021, RA11518</v>
      </c>
      <c r="V1321" s="428" t="str">
        <f>VLOOKUP(H1321,'Fund Utilization Report'!$A$4:$U$1800,4,FALSE)</f>
        <v>GAS(GMS)</v>
      </c>
      <c r="W1321" s="428" t="str">
        <f>VLOOKUP(H1321,'Fund Utilization Report'!$A$4:$U$1800,5,FALSE)</f>
        <v>01101101</v>
      </c>
      <c r="X1321" s="428" t="str">
        <f>VLOOKUP(H1321,'Fund Utilization Report'!$A$4:$U$1800,6,FALSE)</f>
        <v>GOP</v>
      </c>
      <c r="Y1321" s="320" t="str">
        <f>VLOOKUP(H1321,'Fund Utilization Report'!$A$4:$U$1800,7,FALSE)</f>
        <v>MOOE</v>
      </c>
      <c r="Z1321" s="425">
        <f>VLOOKUP(H1321,'Fund Utilization Report'!$A$4:$U$1800,8,FALSE)</f>
        <v>5020000000</v>
      </c>
      <c r="AA1321" s="428" t="str">
        <f>VLOOKUP(H1321,'Fund Utilization Report'!$A$4:$U$1800,14,FALSE)</f>
        <v>100000100001000</v>
      </c>
      <c r="AB1321" s="349" t="str">
        <f>VLOOKUP(H1321,'Fund Utilization Report'!$A$4:$U$1800,15,FALSE)</f>
        <v>General Administration and Supervision - General Management and Supervision</v>
      </c>
      <c r="AC1321" s="39"/>
      <c r="AD1321" s="34"/>
      <c r="AE1321" s="39"/>
      <c r="AF1321" s="51"/>
      <c r="AG1321" s="40"/>
      <c r="AH1321" s="40"/>
    </row>
    <row r="1322" spans="1:34" s="32" customFormat="1">
      <c r="A1322" s="434" t="s">
        <v>942</v>
      </c>
      <c r="B1322" s="457" t="s">
        <v>946</v>
      </c>
      <c r="C1322" s="233">
        <v>44279</v>
      </c>
      <c r="D1322" s="435" t="s">
        <v>1267</v>
      </c>
      <c r="E1322" s="436" t="s">
        <v>1527</v>
      </c>
      <c r="F1322" s="338">
        <v>0.46111111111111108</v>
      </c>
      <c r="G1322" s="338">
        <v>0.46527777777777773</v>
      </c>
      <c r="H1322" s="338" t="s">
        <v>961</v>
      </c>
      <c r="I1322" s="353">
        <v>795</v>
      </c>
      <c r="J1322" s="338" t="str">
        <f>IFERROR(VLOOKUP(I1322,'Chart of accounts'!A:H,2,FALSE),"")</f>
        <v>50212990 00</v>
      </c>
      <c r="K1322" s="338" t="str">
        <f>IFERROR(VLOOKUP(I1322,'Chart of accounts'!A:H,3,FALSE),"")</f>
        <v>Other General Services</v>
      </c>
      <c r="L1322" s="338" t="str">
        <f>IFERROR(VLOOKUP(I1322,'Chart of accounts'!A:H,4,FALSE),"")</f>
        <v>50212990 00 - Other General Services (795)</v>
      </c>
      <c r="M1322" s="361">
        <v>2</v>
      </c>
      <c r="N1322" s="420" t="s">
        <v>818</v>
      </c>
      <c r="O1322" s="420" t="s">
        <v>1532</v>
      </c>
      <c r="P1322" s="420"/>
      <c r="Q1322" s="420">
        <f>36279.3+217968.79</f>
        <v>254248.09000000003</v>
      </c>
      <c r="R1322" s="428">
        <f t="shared" si="51"/>
        <v>-254248.09000000003</v>
      </c>
      <c r="S1322" s="428" t="str">
        <f>VLOOKUP(H1322,'Fund Utilization Report'!$A$4:$U$1800,13,FALSE)</f>
        <v>MOOE</v>
      </c>
      <c r="T1322" s="428" t="str">
        <f>VLOOKUP(H1322,'Fund Utilization Report'!$A$4:$U$1800,2,FALSE)</f>
        <v>GAA</v>
      </c>
      <c r="U1322" s="428" t="str">
        <f>VLOOKUP(H1322,'Fund Utilization Report'!$A$4:$U$1800,3,FALSE)</f>
        <v>FY2021, RA11518</v>
      </c>
      <c r="V1322" s="428" t="str">
        <f>VLOOKUP(H1322,'Fund Utilization Report'!$A$4:$U$1800,4,FALSE)</f>
        <v>GAS(GMS)</v>
      </c>
      <c r="W1322" s="428" t="str">
        <f>VLOOKUP(H1322,'Fund Utilization Report'!$A$4:$U$1800,5,FALSE)</f>
        <v>01101101</v>
      </c>
      <c r="X1322" s="428" t="str">
        <f>VLOOKUP(H1322,'Fund Utilization Report'!$A$4:$U$1800,6,FALSE)</f>
        <v>GOP</v>
      </c>
      <c r="Y1322" s="320" t="str">
        <f>VLOOKUP(H1322,'Fund Utilization Report'!$A$4:$U$1800,7,FALSE)</f>
        <v>MOOE</v>
      </c>
      <c r="Z1322" s="425">
        <f>VLOOKUP(H1322,'Fund Utilization Report'!$A$4:$U$1800,8,FALSE)</f>
        <v>5020000000</v>
      </c>
      <c r="AA1322" s="428" t="str">
        <f>VLOOKUP(H1322,'Fund Utilization Report'!$A$4:$U$1800,14,FALSE)</f>
        <v>100000100001000</v>
      </c>
      <c r="AB1322" s="349" t="str">
        <f>VLOOKUP(H1322,'Fund Utilization Report'!$A$4:$U$1800,15,FALSE)</f>
        <v>General Administration and Supervision - General Management and Supervision</v>
      </c>
      <c r="AC1322" s="39"/>
      <c r="AD1322" s="34"/>
      <c r="AE1322" s="39"/>
      <c r="AF1322" s="51"/>
      <c r="AG1322" s="40"/>
      <c r="AH1322" s="40"/>
    </row>
    <row r="1323" spans="1:34" s="32" customFormat="1">
      <c r="A1323" s="434" t="s">
        <v>942</v>
      </c>
      <c r="B1323" s="457" t="s">
        <v>946</v>
      </c>
      <c r="C1323" s="233">
        <v>44279</v>
      </c>
      <c r="D1323" s="435" t="s">
        <v>1267</v>
      </c>
      <c r="E1323" s="436" t="s">
        <v>1527</v>
      </c>
      <c r="F1323" s="338">
        <v>0.46111111111111108</v>
      </c>
      <c r="G1323" s="338">
        <v>0.46527777777777773</v>
      </c>
      <c r="H1323" s="338" t="s">
        <v>971</v>
      </c>
      <c r="I1323" s="353">
        <v>821</v>
      </c>
      <c r="J1323" s="338" t="str">
        <f>IFERROR(VLOOKUP(I1323,'Chart of accounts'!A:H,2,FALSE),"")</f>
        <v>50213050 02</v>
      </c>
      <c r="K1323" s="338" t="str">
        <f>IFERROR(VLOOKUP(I1323,'Chart of accounts'!A:H,3,FALSE),"")</f>
        <v>Office Equipment</v>
      </c>
      <c r="L1323" s="338" t="str">
        <f>IFERROR(VLOOKUP(I1323,'Chart of accounts'!A:H,4,FALSE),"")</f>
        <v>50213050 02 - Office Equipment (821)</v>
      </c>
      <c r="M1323" s="361">
        <v>2</v>
      </c>
      <c r="N1323" s="420" t="s">
        <v>818</v>
      </c>
      <c r="O1323" s="420" t="s">
        <v>1532</v>
      </c>
      <c r="P1323" s="420"/>
      <c r="Q1323" s="420">
        <v>4150</v>
      </c>
      <c r="R1323" s="428">
        <f t="shared" si="51"/>
        <v>-4150</v>
      </c>
      <c r="S1323" s="428" t="str">
        <f>VLOOKUP(H1323,'Fund Utilization Report'!$A$4:$U$1800,13,FALSE)</f>
        <v>MOOE</v>
      </c>
      <c r="T1323" s="428" t="str">
        <f>VLOOKUP(H1323,'Fund Utilization Report'!$A$4:$U$1800,2,FALSE)</f>
        <v>GAA</v>
      </c>
      <c r="U1323" s="428" t="str">
        <f>VLOOKUP(H1323,'Fund Utilization Report'!$A$4:$U$1800,3,FALSE)</f>
        <v>FY2021, RA11518</v>
      </c>
      <c r="V1323" s="428" t="str">
        <f>VLOOKUP(H1323,'Fund Utilization Report'!$A$4:$U$1800,4,FALSE)</f>
        <v>OO3</v>
      </c>
      <c r="W1323" s="428" t="str">
        <f>VLOOKUP(H1323,'Fund Utilization Report'!$A$4:$U$1800,5,FALSE)</f>
        <v>01101101</v>
      </c>
      <c r="X1323" s="428" t="str">
        <f>VLOOKUP(H1323,'Fund Utilization Report'!$A$4:$U$1800,6,FALSE)</f>
        <v>GOP</v>
      </c>
      <c r="Y1323" s="320" t="str">
        <f>VLOOKUP(H1323,'Fund Utilization Report'!$A$4:$U$1800,7,FALSE)</f>
        <v>MOOE</v>
      </c>
      <c r="Z1323" s="425">
        <f>VLOOKUP(H1323,'Fund Utilization Report'!$A$4:$U$1800,8,FALSE)</f>
        <v>5020000000</v>
      </c>
      <c r="AA1323" s="428" t="str">
        <f>VLOOKUP(H1323,'Fund Utilization Report'!$A$4:$U$1800,14,FALSE)</f>
        <v>330100100002000</v>
      </c>
      <c r="AB1323" s="349" t="str">
        <f>VLOOKUP(H1323,'Fund Utilization Report'!$A$4:$U$1800,15,FALSE)</f>
        <v>Implementation of the MSME Development Plan and other initiatives to promote the growth of Micro, Small and Medium Enterprises</v>
      </c>
      <c r="AC1323" s="39"/>
      <c r="AD1323" s="34"/>
      <c r="AE1323" s="39"/>
      <c r="AF1323" s="51"/>
      <c r="AG1323" s="40"/>
      <c r="AH1323" s="40"/>
    </row>
    <row r="1324" spans="1:34" s="32" customFormat="1">
      <c r="A1324" s="434" t="s">
        <v>942</v>
      </c>
      <c r="B1324" s="457" t="s">
        <v>946</v>
      </c>
      <c r="C1324" s="233">
        <v>44279</v>
      </c>
      <c r="D1324" s="435" t="s">
        <v>1267</v>
      </c>
      <c r="E1324" s="436" t="s">
        <v>1527</v>
      </c>
      <c r="F1324" s="338">
        <v>0.46111111111111108</v>
      </c>
      <c r="G1324" s="338">
        <v>0.46527777777777773</v>
      </c>
      <c r="H1324" s="338" t="s">
        <v>968</v>
      </c>
      <c r="I1324" s="353">
        <v>823</v>
      </c>
      <c r="J1324" s="338" t="str">
        <f>IFERROR(VLOOKUP(I1324,'Chart of accounts'!A:H,2,FALSE),"")</f>
        <v>50213050 03</v>
      </c>
      <c r="K1324" s="338" t="str">
        <f>IFERROR(VLOOKUP(I1324,'Chart of accounts'!A:H,3,FALSE),"")</f>
        <v>ICT Equipment</v>
      </c>
      <c r="L1324" s="338" t="str">
        <f>IFERROR(VLOOKUP(I1324,'Chart of accounts'!A:H,4,FALSE),"")</f>
        <v>50213050 03 - ICT Equipment (823)</v>
      </c>
      <c r="M1324" s="361">
        <v>2</v>
      </c>
      <c r="N1324" s="420" t="s">
        <v>818</v>
      </c>
      <c r="O1324" s="420" t="s">
        <v>1532</v>
      </c>
      <c r="P1324" s="420"/>
      <c r="Q1324" s="420">
        <v>4150</v>
      </c>
      <c r="R1324" s="428">
        <f t="shared" si="51"/>
        <v>-4150</v>
      </c>
      <c r="S1324" s="428" t="str">
        <f>VLOOKUP(H1324,'Fund Utilization Report'!$A$4:$U$1800,13,FALSE)</f>
        <v>MOOE</v>
      </c>
      <c r="T1324" s="428" t="str">
        <f>VLOOKUP(H1324,'Fund Utilization Report'!$A$4:$U$1800,2,FALSE)</f>
        <v>GAA</v>
      </c>
      <c r="U1324" s="428" t="str">
        <f>VLOOKUP(H1324,'Fund Utilization Report'!$A$4:$U$1800,3,FALSE)</f>
        <v>FY2021, RA11518</v>
      </c>
      <c r="V1324" s="428" t="str">
        <f>VLOOKUP(H1324,'Fund Utilization Report'!$A$4:$U$1800,4,FALSE)</f>
        <v>OO2</v>
      </c>
      <c r="W1324" s="428" t="str">
        <f>VLOOKUP(H1324,'Fund Utilization Report'!$A$4:$U$1800,5,FALSE)</f>
        <v>01101101</v>
      </c>
      <c r="X1324" s="428" t="str">
        <f>VLOOKUP(H1324,'Fund Utilization Report'!$A$4:$U$1800,6,FALSE)</f>
        <v>GOP</v>
      </c>
      <c r="Y1324" s="320" t="str">
        <f>VLOOKUP(H1324,'Fund Utilization Report'!$A$4:$U$1800,7,FALSE)</f>
        <v>MOOE</v>
      </c>
      <c r="Z1324" s="425">
        <f>VLOOKUP(H1324,'Fund Utilization Report'!$A$4:$U$1800,8,FALSE)</f>
        <v>5020000000</v>
      </c>
      <c r="AA1324" s="428" t="str">
        <f>VLOOKUP(H1324,'Fund Utilization Report'!$A$4:$U$1800,14,FALSE)</f>
        <v>320100100001000</v>
      </c>
      <c r="AB1324" s="349" t="str">
        <f>VLOOKUP(H1324,'Fund Utilization Report'!$A$4:$U$1800,15,FALSE)</f>
        <v>Formulation of Strategic plans,programs, and policies to develop competitve industries</v>
      </c>
      <c r="AC1324" s="39"/>
      <c r="AD1324" s="34"/>
      <c r="AE1324" s="39"/>
      <c r="AF1324" s="51"/>
      <c r="AG1324" s="40"/>
      <c r="AH1324" s="40"/>
    </row>
    <row r="1325" spans="1:34" s="32" customFormat="1">
      <c r="A1325" s="434" t="s">
        <v>942</v>
      </c>
      <c r="B1325" s="457" t="s">
        <v>946</v>
      </c>
      <c r="C1325" s="233">
        <v>44279</v>
      </c>
      <c r="D1325" s="435" t="s">
        <v>1267</v>
      </c>
      <c r="E1325" s="436" t="s">
        <v>1527</v>
      </c>
      <c r="F1325" s="338">
        <v>0.46111111111111108</v>
      </c>
      <c r="G1325" s="338">
        <v>0.46527777777777773</v>
      </c>
      <c r="H1325" s="338" t="s">
        <v>968</v>
      </c>
      <c r="I1325" s="353">
        <v>822</v>
      </c>
      <c r="J1325" s="338" t="str">
        <f>IFERROR(VLOOKUP(I1325,'Chart of accounts'!A:H,2,FALSE),"")</f>
        <v>50213070 00</v>
      </c>
      <c r="K1325" s="338" t="str">
        <f>IFERROR(VLOOKUP(I1325,'Chart of accounts'!A:H,3,FALSE),"")</f>
        <v>Furniture and Fixture</v>
      </c>
      <c r="L1325" s="338" t="str">
        <f>IFERROR(VLOOKUP(I1325,'Chart of accounts'!A:H,4,FALSE),"")</f>
        <v>50213070 00 - Furniture and Fixture (822)</v>
      </c>
      <c r="M1325" s="361">
        <v>2</v>
      </c>
      <c r="N1325" s="420" t="s">
        <v>818</v>
      </c>
      <c r="O1325" s="420" t="s">
        <v>1532</v>
      </c>
      <c r="P1325" s="420"/>
      <c r="Q1325" s="420">
        <v>2075</v>
      </c>
      <c r="R1325" s="428">
        <f t="shared" si="51"/>
        <v>-2075</v>
      </c>
      <c r="S1325" s="428" t="str">
        <f>VLOOKUP(H1325,'Fund Utilization Report'!$A$4:$U$1800,13,FALSE)</f>
        <v>MOOE</v>
      </c>
      <c r="T1325" s="428" t="str">
        <f>VLOOKUP(H1325,'Fund Utilization Report'!$A$4:$U$1800,2,FALSE)</f>
        <v>GAA</v>
      </c>
      <c r="U1325" s="428" t="str">
        <f>VLOOKUP(H1325,'Fund Utilization Report'!$A$4:$U$1800,3,FALSE)</f>
        <v>FY2021, RA11518</v>
      </c>
      <c r="V1325" s="428" t="str">
        <f>VLOOKUP(H1325,'Fund Utilization Report'!$A$4:$U$1800,4,FALSE)</f>
        <v>OO2</v>
      </c>
      <c r="W1325" s="428" t="str">
        <f>VLOOKUP(H1325,'Fund Utilization Report'!$A$4:$U$1800,5,FALSE)</f>
        <v>01101101</v>
      </c>
      <c r="X1325" s="428" t="str">
        <f>VLOOKUP(H1325,'Fund Utilization Report'!$A$4:$U$1800,6,FALSE)</f>
        <v>GOP</v>
      </c>
      <c r="Y1325" s="320" t="str">
        <f>VLOOKUP(H1325,'Fund Utilization Report'!$A$4:$U$1800,7,FALSE)</f>
        <v>MOOE</v>
      </c>
      <c r="Z1325" s="425">
        <f>VLOOKUP(H1325,'Fund Utilization Report'!$A$4:$U$1800,8,FALSE)</f>
        <v>5020000000</v>
      </c>
      <c r="AA1325" s="428" t="str">
        <f>VLOOKUP(H1325,'Fund Utilization Report'!$A$4:$U$1800,14,FALSE)</f>
        <v>320100100001000</v>
      </c>
      <c r="AB1325" s="349" t="str">
        <f>VLOOKUP(H1325,'Fund Utilization Report'!$A$4:$U$1800,15,FALSE)</f>
        <v>Formulation of Strategic plans,programs, and policies to develop competitve industries</v>
      </c>
      <c r="AC1325" s="39"/>
      <c r="AD1325" s="34"/>
      <c r="AE1325" s="39"/>
      <c r="AF1325" s="51"/>
      <c r="AG1325" s="40"/>
      <c r="AH1325" s="40"/>
    </row>
    <row r="1326" spans="1:34" s="32" customFormat="1">
      <c r="A1326" s="434" t="s">
        <v>942</v>
      </c>
      <c r="B1326" s="457" t="s">
        <v>946</v>
      </c>
      <c r="C1326" s="233">
        <v>44279</v>
      </c>
      <c r="D1326" s="435" t="s">
        <v>1267</v>
      </c>
      <c r="E1326" s="436" t="s">
        <v>1527</v>
      </c>
      <c r="F1326" s="338">
        <v>0.46111111111111108</v>
      </c>
      <c r="G1326" s="338">
        <v>0.46527777777777773</v>
      </c>
      <c r="H1326" s="338" t="s">
        <v>961</v>
      </c>
      <c r="I1326" s="353">
        <v>841</v>
      </c>
      <c r="J1326" s="338" t="str">
        <f>IFERROR(VLOOKUP(I1326,'Chart of accounts'!A:H,2,FALSE),"")</f>
        <v>50213060 01</v>
      </c>
      <c r="K1326" s="338" t="str">
        <f>IFERROR(VLOOKUP(I1326,'Chart of accounts'!A:H,3,FALSE),"")</f>
        <v>Motor Vehicles</v>
      </c>
      <c r="L1326" s="338" t="str">
        <f>IFERROR(VLOOKUP(I1326,'Chart of accounts'!A:H,4,FALSE),"")</f>
        <v>50213060 01 - Motor Vehicles (841)</v>
      </c>
      <c r="M1326" s="361">
        <v>2</v>
      </c>
      <c r="N1326" s="420" t="s">
        <v>818</v>
      </c>
      <c r="O1326" s="420" t="s">
        <v>1532</v>
      </c>
      <c r="P1326" s="420"/>
      <c r="Q1326" s="420">
        <v>20750</v>
      </c>
      <c r="R1326" s="428">
        <f t="shared" si="51"/>
        <v>-20750</v>
      </c>
      <c r="S1326" s="428" t="str">
        <f>VLOOKUP(H1326,'Fund Utilization Report'!$A$4:$U$1800,13,FALSE)</f>
        <v>MOOE</v>
      </c>
      <c r="T1326" s="428" t="str">
        <f>VLOOKUP(H1326,'Fund Utilization Report'!$A$4:$U$1800,2,FALSE)</f>
        <v>GAA</v>
      </c>
      <c r="U1326" s="428" t="str">
        <f>VLOOKUP(H1326,'Fund Utilization Report'!$A$4:$U$1800,3,FALSE)</f>
        <v>FY2021, RA11518</v>
      </c>
      <c r="V1326" s="428" t="str">
        <f>VLOOKUP(H1326,'Fund Utilization Report'!$A$4:$U$1800,4,FALSE)</f>
        <v>GAS(GMS)</v>
      </c>
      <c r="W1326" s="428" t="str">
        <f>VLOOKUP(H1326,'Fund Utilization Report'!$A$4:$U$1800,5,FALSE)</f>
        <v>01101101</v>
      </c>
      <c r="X1326" s="428" t="str">
        <f>VLOOKUP(H1326,'Fund Utilization Report'!$A$4:$U$1800,6,FALSE)</f>
        <v>GOP</v>
      </c>
      <c r="Y1326" s="320" t="str">
        <f>VLOOKUP(H1326,'Fund Utilization Report'!$A$4:$U$1800,7,FALSE)</f>
        <v>MOOE</v>
      </c>
      <c r="Z1326" s="425">
        <f>VLOOKUP(H1326,'Fund Utilization Report'!$A$4:$U$1800,8,FALSE)</f>
        <v>5020000000</v>
      </c>
      <c r="AA1326" s="428" t="str">
        <f>VLOOKUP(H1326,'Fund Utilization Report'!$A$4:$U$1800,14,FALSE)</f>
        <v>100000100001000</v>
      </c>
      <c r="AB1326" s="349" t="str">
        <f>VLOOKUP(H1326,'Fund Utilization Report'!$A$4:$U$1800,15,FALSE)</f>
        <v>General Administration and Supervision - General Management and Supervision</v>
      </c>
      <c r="AC1326" s="39"/>
      <c r="AD1326" s="34"/>
      <c r="AE1326" s="39"/>
      <c r="AF1326" s="51"/>
      <c r="AG1326" s="40"/>
      <c r="AH1326" s="40"/>
    </row>
    <row r="1327" spans="1:34" s="32" customFormat="1">
      <c r="A1327" s="434" t="s">
        <v>942</v>
      </c>
      <c r="B1327" s="457" t="s">
        <v>946</v>
      </c>
      <c r="C1327" s="233">
        <v>44279</v>
      </c>
      <c r="D1327" s="435" t="s">
        <v>1267</v>
      </c>
      <c r="E1327" s="436" t="s">
        <v>1527</v>
      </c>
      <c r="F1327" s="338">
        <v>0.46111111111111108</v>
      </c>
      <c r="G1327" s="338">
        <v>0.46527777777777773</v>
      </c>
      <c r="H1327" s="338" t="s">
        <v>961</v>
      </c>
      <c r="I1327" s="353">
        <v>891</v>
      </c>
      <c r="J1327" s="338" t="str">
        <f>IFERROR(VLOOKUP(I1327,'Chart of accounts'!A:H,2,FALSE),"")</f>
        <v>50215010 01</v>
      </c>
      <c r="K1327" s="338" t="str">
        <f>IFERROR(VLOOKUP(I1327,'Chart of accounts'!A:H,3,FALSE),"")</f>
        <v>Taxes, Duties and Licenses</v>
      </c>
      <c r="L1327" s="338" t="str">
        <f>IFERROR(VLOOKUP(I1327,'Chart of accounts'!A:H,4,FALSE),"")</f>
        <v>50215010 01 - Taxes, Duties and Licenses (891)</v>
      </c>
      <c r="M1327" s="361">
        <v>2</v>
      </c>
      <c r="N1327" s="420" t="s">
        <v>818</v>
      </c>
      <c r="O1327" s="420" t="s">
        <v>1532</v>
      </c>
      <c r="P1327" s="420"/>
      <c r="Q1327" s="420">
        <v>1037.5</v>
      </c>
      <c r="R1327" s="428">
        <f t="shared" si="51"/>
        <v>-1037.5</v>
      </c>
      <c r="S1327" s="428" t="str">
        <f>VLOOKUP(H1327,'Fund Utilization Report'!$A$4:$U$1800,13,FALSE)</f>
        <v>MOOE</v>
      </c>
      <c r="T1327" s="428" t="str">
        <f>VLOOKUP(H1327,'Fund Utilization Report'!$A$4:$U$1800,2,FALSE)</f>
        <v>GAA</v>
      </c>
      <c r="U1327" s="428" t="str">
        <f>VLOOKUP(H1327,'Fund Utilization Report'!$A$4:$U$1800,3,FALSE)</f>
        <v>FY2021, RA11518</v>
      </c>
      <c r="V1327" s="428" t="str">
        <f>VLOOKUP(H1327,'Fund Utilization Report'!$A$4:$U$1800,4,FALSE)</f>
        <v>GAS(GMS)</v>
      </c>
      <c r="W1327" s="428" t="str">
        <f>VLOOKUP(H1327,'Fund Utilization Report'!$A$4:$U$1800,5,FALSE)</f>
        <v>01101101</v>
      </c>
      <c r="X1327" s="428" t="str">
        <f>VLOOKUP(H1327,'Fund Utilization Report'!$A$4:$U$1800,6,FALSE)</f>
        <v>GOP</v>
      </c>
      <c r="Y1327" s="320" t="str">
        <f>VLOOKUP(H1327,'Fund Utilization Report'!$A$4:$U$1800,7,FALSE)</f>
        <v>MOOE</v>
      </c>
      <c r="Z1327" s="425">
        <f>VLOOKUP(H1327,'Fund Utilization Report'!$A$4:$U$1800,8,FALSE)</f>
        <v>5020000000</v>
      </c>
      <c r="AA1327" s="428" t="str">
        <f>VLOOKUP(H1327,'Fund Utilization Report'!$A$4:$U$1800,14,FALSE)</f>
        <v>100000100001000</v>
      </c>
      <c r="AB1327" s="349" t="str">
        <f>VLOOKUP(H1327,'Fund Utilization Report'!$A$4:$U$1800,15,FALSE)</f>
        <v>General Administration and Supervision - General Management and Supervision</v>
      </c>
      <c r="AC1327" s="39"/>
      <c r="AD1327" s="34"/>
      <c r="AE1327" s="39"/>
      <c r="AF1327" s="51"/>
      <c r="AG1327" s="40"/>
      <c r="AH1327" s="40"/>
    </row>
    <row r="1328" spans="1:34" s="32" customFormat="1">
      <c r="A1328" s="434" t="s">
        <v>942</v>
      </c>
      <c r="B1328" s="457" t="s">
        <v>946</v>
      </c>
      <c r="C1328" s="233">
        <v>44279</v>
      </c>
      <c r="D1328" s="435" t="s">
        <v>1267</v>
      </c>
      <c r="E1328" s="436" t="s">
        <v>1527</v>
      </c>
      <c r="F1328" s="338">
        <v>0.46111111111111108</v>
      </c>
      <c r="G1328" s="338">
        <v>0.46527777777777773</v>
      </c>
      <c r="H1328" s="338" t="s">
        <v>961</v>
      </c>
      <c r="I1328" s="353">
        <v>892</v>
      </c>
      <c r="J1328" s="338" t="str">
        <f>IFERROR(VLOOKUP(I1328,'Chart of accounts'!A:H,2,FALSE),"")</f>
        <v>50215020 00</v>
      </c>
      <c r="K1328" s="338" t="str">
        <f>IFERROR(VLOOKUP(I1328,'Chart of accounts'!A:H,3,FALSE),"")</f>
        <v>Fidelity Bond Premiums</v>
      </c>
      <c r="L1328" s="338" t="str">
        <f>IFERROR(VLOOKUP(I1328,'Chart of accounts'!A:H,4,FALSE),"")</f>
        <v>50215020 00 - Fidelity Bond Premiums (892)</v>
      </c>
      <c r="M1328" s="361">
        <v>2</v>
      </c>
      <c r="N1328" s="420" t="s">
        <v>818</v>
      </c>
      <c r="O1328" s="420" t="s">
        <v>1532</v>
      </c>
      <c r="P1328" s="420"/>
      <c r="Q1328" s="420">
        <v>2864.28</v>
      </c>
      <c r="R1328" s="428">
        <f t="shared" si="51"/>
        <v>-2864.28</v>
      </c>
      <c r="S1328" s="428" t="str">
        <f>VLOOKUP(H1328,'Fund Utilization Report'!$A$4:$U$1800,13,FALSE)</f>
        <v>MOOE</v>
      </c>
      <c r="T1328" s="428" t="str">
        <f>VLOOKUP(H1328,'Fund Utilization Report'!$A$4:$U$1800,2,FALSE)</f>
        <v>GAA</v>
      </c>
      <c r="U1328" s="428" t="str">
        <f>VLOOKUP(H1328,'Fund Utilization Report'!$A$4:$U$1800,3,FALSE)</f>
        <v>FY2021, RA11518</v>
      </c>
      <c r="V1328" s="428" t="str">
        <f>VLOOKUP(H1328,'Fund Utilization Report'!$A$4:$U$1800,4,FALSE)</f>
        <v>GAS(GMS)</v>
      </c>
      <c r="W1328" s="428" t="str">
        <f>VLOOKUP(H1328,'Fund Utilization Report'!$A$4:$U$1800,5,FALSE)</f>
        <v>01101101</v>
      </c>
      <c r="X1328" s="428" t="str">
        <f>VLOOKUP(H1328,'Fund Utilization Report'!$A$4:$U$1800,6,FALSE)</f>
        <v>GOP</v>
      </c>
      <c r="Y1328" s="320" t="str">
        <f>VLOOKUP(H1328,'Fund Utilization Report'!$A$4:$U$1800,7,FALSE)</f>
        <v>MOOE</v>
      </c>
      <c r="Z1328" s="425">
        <f>VLOOKUP(H1328,'Fund Utilization Report'!$A$4:$U$1800,8,FALSE)</f>
        <v>5020000000</v>
      </c>
      <c r="AA1328" s="428" t="str">
        <f>VLOOKUP(H1328,'Fund Utilization Report'!$A$4:$U$1800,14,FALSE)</f>
        <v>100000100001000</v>
      </c>
      <c r="AB1328" s="349" t="str">
        <f>VLOOKUP(H1328,'Fund Utilization Report'!$A$4:$U$1800,15,FALSE)</f>
        <v>General Administration and Supervision - General Management and Supervision</v>
      </c>
      <c r="AC1328" s="39"/>
      <c r="AD1328" s="34"/>
      <c r="AE1328" s="39"/>
      <c r="AF1328" s="51"/>
      <c r="AG1328" s="40"/>
      <c r="AH1328" s="40"/>
    </row>
    <row r="1329" spans="1:34" s="32" customFormat="1">
      <c r="A1329" s="434" t="s">
        <v>942</v>
      </c>
      <c r="B1329" s="457" t="s">
        <v>946</v>
      </c>
      <c r="C1329" s="233">
        <v>44279</v>
      </c>
      <c r="D1329" s="435" t="s">
        <v>1267</v>
      </c>
      <c r="E1329" s="436" t="s">
        <v>1527</v>
      </c>
      <c r="F1329" s="338">
        <v>0.46111111111111108</v>
      </c>
      <c r="G1329" s="338">
        <v>0.46527777777777773</v>
      </c>
      <c r="H1329" s="338" t="s">
        <v>961</v>
      </c>
      <c r="I1329" s="353">
        <v>893</v>
      </c>
      <c r="J1329" s="338" t="str">
        <f>IFERROR(VLOOKUP(I1329,'Chart of accounts'!A:H,2,FALSE),"")</f>
        <v>50215030 00</v>
      </c>
      <c r="K1329" s="338" t="str">
        <f>IFERROR(VLOOKUP(I1329,'Chart of accounts'!A:H,3,FALSE),"")</f>
        <v>Insurance Expense</v>
      </c>
      <c r="L1329" s="338" t="str">
        <f>IFERROR(VLOOKUP(I1329,'Chart of accounts'!A:H,4,FALSE),"")</f>
        <v>50215030 00 - Insurance Expense (893)</v>
      </c>
      <c r="M1329" s="361">
        <v>2</v>
      </c>
      <c r="N1329" s="420" t="s">
        <v>818</v>
      </c>
      <c r="O1329" s="420" t="s">
        <v>1532</v>
      </c>
      <c r="P1329" s="420"/>
      <c r="Q1329" s="420">
        <v>7215.47</v>
      </c>
      <c r="R1329" s="428">
        <f t="shared" si="51"/>
        <v>-7215.47</v>
      </c>
      <c r="S1329" s="428" t="str">
        <f>VLOOKUP(H1329,'Fund Utilization Report'!$A$4:$U$1800,13,FALSE)</f>
        <v>MOOE</v>
      </c>
      <c r="T1329" s="428" t="str">
        <f>VLOOKUP(H1329,'Fund Utilization Report'!$A$4:$U$1800,2,FALSE)</f>
        <v>GAA</v>
      </c>
      <c r="U1329" s="428" t="str">
        <f>VLOOKUP(H1329,'Fund Utilization Report'!$A$4:$U$1800,3,FALSE)</f>
        <v>FY2021, RA11518</v>
      </c>
      <c r="V1329" s="428" t="str">
        <f>VLOOKUP(H1329,'Fund Utilization Report'!$A$4:$U$1800,4,FALSE)</f>
        <v>GAS(GMS)</v>
      </c>
      <c r="W1329" s="428" t="str">
        <f>VLOOKUP(H1329,'Fund Utilization Report'!$A$4:$U$1800,5,FALSE)</f>
        <v>01101101</v>
      </c>
      <c r="X1329" s="428" t="str">
        <f>VLOOKUP(H1329,'Fund Utilization Report'!$A$4:$U$1800,6,FALSE)</f>
        <v>GOP</v>
      </c>
      <c r="Y1329" s="320" t="str">
        <f>VLOOKUP(H1329,'Fund Utilization Report'!$A$4:$U$1800,7,FALSE)</f>
        <v>MOOE</v>
      </c>
      <c r="Z1329" s="425">
        <f>VLOOKUP(H1329,'Fund Utilization Report'!$A$4:$U$1800,8,FALSE)</f>
        <v>5020000000</v>
      </c>
      <c r="AA1329" s="428" t="str">
        <f>VLOOKUP(H1329,'Fund Utilization Report'!$A$4:$U$1800,14,FALSE)</f>
        <v>100000100001000</v>
      </c>
      <c r="AB1329" s="349" t="str">
        <f>VLOOKUP(H1329,'Fund Utilization Report'!$A$4:$U$1800,15,FALSE)</f>
        <v>General Administration and Supervision - General Management and Supervision</v>
      </c>
      <c r="AC1329" s="39"/>
      <c r="AD1329" s="34"/>
      <c r="AE1329" s="39"/>
      <c r="AF1329" s="51"/>
      <c r="AG1329" s="40"/>
      <c r="AH1329" s="40"/>
    </row>
    <row r="1330" spans="1:34" s="32" customFormat="1">
      <c r="A1330" s="434" t="s">
        <v>942</v>
      </c>
      <c r="B1330" s="457" t="s">
        <v>946</v>
      </c>
      <c r="C1330" s="233">
        <v>44279</v>
      </c>
      <c r="D1330" s="435" t="s">
        <v>1267</v>
      </c>
      <c r="E1330" s="436" t="s">
        <v>1527</v>
      </c>
      <c r="F1330" s="338">
        <v>0.46111111111111108</v>
      </c>
      <c r="G1330" s="338">
        <v>0.46527777777777773</v>
      </c>
      <c r="H1330" s="338" t="s">
        <v>961</v>
      </c>
      <c r="I1330" s="353">
        <v>782</v>
      </c>
      <c r="J1330" s="338" t="str">
        <f>IFERROR(VLOOKUP(I1330,'Chart of accounts'!A:H,2,FALSE),"")</f>
        <v>50299050 01</v>
      </c>
      <c r="K1330" s="338" t="str">
        <f>IFERROR(VLOOKUP(I1330,'Chart of accounts'!A:H,3,FALSE),"")</f>
        <v>Rent - Buildings and Structures</v>
      </c>
      <c r="L1330" s="338" t="str">
        <f>IFERROR(VLOOKUP(I1330,'Chart of accounts'!A:H,4,FALSE),"")</f>
        <v>50299050 01 - Rent - Buildings and Structures (782)</v>
      </c>
      <c r="M1330" s="361">
        <v>2</v>
      </c>
      <c r="N1330" s="420" t="s">
        <v>818</v>
      </c>
      <c r="O1330" s="420" t="s">
        <v>1532</v>
      </c>
      <c r="P1330" s="420"/>
      <c r="Q1330" s="420">
        <v>331287.87</v>
      </c>
      <c r="R1330" s="428">
        <f t="shared" si="51"/>
        <v>-331287.87</v>
      </c>
      <c r="S1330" s="428" t="str">
        <f>VLOOKUP(H1330,'Fund Utilization Report'!$A$4:$U$1800,13,FALSE)</f>
        <v>MOOE</v>
      </c>
      <c r="T1330" s="428" t="str">
        <f>VLOOKUP(H1330,'Fund Utilization Report'!$A$4:$U$1800,2,FALSE)</f>
        <v>GAA</v>
      </c>
      <c r="U1330" s="428" t="str">
        <f>VLOOKUP(H1330,'Fund Utilization Report'!$A$4:$U$1800,3,FALSE)</f>
        <v>FY2021, RA11518</v>
      </c>
      <c r="V1330" s="428" t="str">
        <f>VLOOKUP(H1330,'Fund Utilization Report'!$A$4:$U$1800,4,FALSE)</f>
        <v>GAS(GMS)</v>
      </c>
      <c r="W1330" s="428" t="str">
        <f>VLOOKUP(H1330,'Fund Utilization Report'!$A$4:$U$1800,5,FALSE)</f>
        <v>01101101</v>
      </c>
      <c r="X1330" s="428" t="str">
        <f>VLOOKUP(H1330,'Fund Utilization Report'!$A$4:$U$1800,6,FALSE)</f>
        <v>GOP</v>
      </c>
      <c r="Y1330" s="320" t="str">
        <f>VLOOKUP(H1330,'Fund Utilization Report'!$A$4:$U$1800,7,FALSE)</f>
        <v>MOOE</v>
      </c>
      <c r="Z1330" s="425">
        <f>VLOOKUP(H1330,'Fund Utilization Report'!$A$4:$U$1800,8,FALSE)</f>
        <v>5020000000</v>
      </c>
      <c r="AA1330" s="428" t="str">
        <f>VLOOKUP(H1330,'Fund Utilization Report'!$A$4:$U$1800,14,FALSE)</f>
        <v>100000100001000</v>
      </c>
      <c r="AB1330" s="349" t="str">
        <f>VLOOKUP(H1330,'Fund Utilization Report'!$A$4:$U$1800,15,FALSE)</f>
        <v>General Administration and Supervision - General Management and Supervision</v>
      </c>
      <c r="AC1330" s="39"/>
      <c r="AD1330" s="34"/>
      <c r="AE1330" s="39"/>
      <c r="AF1330" s="51"/>
      <c r="AG1330" s="40"/>
      <c r="AH1330" s="40"/>
    </row>
    <row r="1331" spans="1:34" s="32" customFormat="1">
      <c r="A1331" s="434" t="s">
        <v>942</v>
      </c>
      <c r="B1331" s="457" t="s">
        <v>946</v>
      </c>
      <c r="C1331" s="233">
        <v>44279</v>
      </c>
      <c r="D1331" s="435" t="s">
        <v>1267</v>
      </c>
      <c r="E1331" s="436" t="s">
        <v>1527</v>
      </c>
      <c r="F1331" s="338">
        <v>0.46111111111111108</v>
      </c>
      <c r="G1331" s="338">
        <v>0.46527777777777773</v>
      </c>
      <c r="H1331" s="338" t="s">
        <v>961</v>
      </c>
      <c r="I1331" s="353">
        <v>786</v>
      </c>
      <c r="J1331" s="338" t="str">
        <f>IFERROR(VLOOKUP(I1331,'Chart of accounts'!A:H,2,FALSE),"")</f>
        <v>50299070 00</v>
      </c>
      <c r="K1331" s="338" t="str">
        <f>IFERROR(VLOOKUP(I1331,'Chart of accounts'!A:H,3,FALSE),"")</f>
        <v>Subscriptions Expenses</v>
      </c>
      <c r="L1331" s="338" t="str">
        <f>IFERROR(VLOOKUP(I1331,'Chart of accounts'!A:H,4,FALSE),"")</f>
        <v>50299070 00 - Subscriptions Expenses (786)</v>
      </c>
      <c r="M1331" s="361">
        <v>2</v>
      </c>
      <c r="N1331" s="420" t="s">
        <v>818</v>
      </c>
      <c r="O1331" s="420" t="s">
        <v>1532</v>
      </c>
      <c r="P1331" s="420"/>
      <c r="Q1331" s="420">
        <v>2282.5</v>
      </c>
      <c r="R1331" s="428">
        <f t="shared" si="51"/>
        <v>-2282.5</v>
      </c>
      <c r="S1331" s="428" t="str">
        <f>VLOOKUP(H1331,'Fund Utilization Report'!$A$4:$U$1800,13,FALSE)</f>
        <v>MOOE</v>
      </c>
      <c r="T1331" s="428" t="str">
        <f>VLOOKUP(H1331,'Fund Utilization Report'!$A$4:$U$1800,2,FALSE)</f>
        <v>GAA</v>
      </c>
      <c r="U1331" s="428" t="str">
        <f>VLOOKUP(H1331,'Fund Utilization Report'!$A$4:$U$1800,3,FALSE)</f>
        <v>FY2021, RA11518</v>
      </c>
      <c r="V1331" s="428" t="str">
        <f>VLOOKUP(H1331,'Fund Utilization Report'!$A$4:$U$1800,4,FALSE)</f>
        <v>GAS(GMS)</v>
      </c>
      <c r="W1331" s="428" t="str">
        <f>VLOOKUP(H1331,'Fund Utilization Report'!$A$4:$U$1800,5,FALSE)</f>
        <v>01101101</v>
      </c>
      <c r="X1331" s="428" t="str">
        <f>VLOOKUP(H1331,'Fund Utilization Report'!$A$4:$U$1800,6,FALSE)</f>
        <v>GOP</v>
      </c>
      <c r="Y1331" s="320" t="str">
        <f>VLOOKUP(H1331,'Fund Utilization Report'!$A$4:$U$1800,7,FALSE)</f>
        <v>MOOE</v>
      </c>
      <c r="Z1331" s="425">
        <f>VLOOKUP(H1331,'Fund Utilization Report'!$A$4:$U$1800,8,FALSE)</f>
        <v>5020000000</v>
      </c>
      <c r="AA1331" s="428" t="str">
        <f>VLOOKUP(H1331,'Fund Utilization Report'!$A$4:$U$1800,14,FALSE)</f>
        <v>100000100001000</v>
      </c>
      <c r="AB1331" s="349" t="str">
        <f>VLOOKUP(H1331,'Fund Utilization Report'!$A$4:$U$1800,15,FALSE)</f>
        <v>General Administration and Supervision - General Management and Supervision</v>
      </c>
      <c r="AC1331" s="39"/>
      <c r="AD1331" s="34"/>
      <c r="AE1331" s="39"/>
      <c r="AF1331" s="51"/>
      <c r="AG1331" s="40"/>
      <c r="AH1331" s="40"/>
    </row>
    <row r="1332" spans="1:34" s="32" customFormat="1">
      <c r="A1332" s="434" t="s">
        <v>942</v>
      </c>
      <c r="B1332" s="457" t="s">
        <v>946</v>
      </c>
      <c r="C1332" s="233">
        <v>44279</v>
      </c>
      <c r="D1332" s="435" t="s">
        <v>1267</v>
      </c>
      <c r="E1332" s="436" t="s">
        <v>1527</v>
      </c>
      <c r="F1332" s="338">
        <v>0.46111111111111108</v>
      </c>
      <c r="G1332" s="338">
        <v>0.46527777777777773</v>
      </c>
      <c r="H1332" s="338" t="s">
        <v>961</v>
      </c>
      <c r="I1332" s="353">
        <v>751</v>
      </c>
      <c r="J1332" s="338" t="str">
        <f>IFERROR(VLOOKUP(I1332,'Chart of accounts'!A:H,2,FALSE),"")</f>
        <v>50201010 00</v>
      </c>
      <c r="K1332" s="338" t="str">
        <f>IFERROR(VLOOKUP(I1332,'Chart of accounts'!A:H,3,FALSE),"")</f>
        <v>Traveling Expenses - Local</v>
      </c>
      <c r="L1332" s="338" t="str">
        <f>IFERROR(VLOOKUP(I1332,'Chart of accounts'!A:H,4,FALSE),"")</f>
        <v>50201010 00 - Traveling Expenses - Local (751)</v>
      </c>
      <c r="M1332" s="361">
        <v>2</v>
      </c>
      <c r="N1332" s="420" t="s">
        <v>818</v>
      </c>
      <c r="O1332" s="420" t="s">
        <v>1532</v>
      </c>
      <c r="P1332" s="420"/>
      <c r="Q1332" s="420">
        <v>2075</v>
      </c>
      <c r="R1332" s="428">
        <f t="shared" si="51"/>
        <v>-2075</v>
      </c>
      <c r="S1332" s="428" t="str">
        <f>VLOOKUP(H1332,'Fund Utilization Report'!$A$4:$U$1800,13,FALSE)</f>
        <v>MOOE</v>
      </c>
      <c r="T1332" s="428" t="str">
        <f>VLOOKUP(H1332,'Fund Utilization Report'!$A$4:$U$1800,2,FALSE)</f>
        <v>GAA</v>
      </c>
      <c r="U1332" s="428" t="str">
        <f>VLOOKUP(H1332,'Fund Utilization Report'!$A$4:$U$1800,3,FALSE)</f>
        <v>FY2021, RA11518</v>
      </c>
      <c r="V1332" s="428" t="str">
        <f>VLOOKUP(H1332,'Fund Utilization Report'!$A$4:$U$1800,4,FALSE)</f>
        <v>GAS(GMS)</v>
      </c>
      <c r="W1332" s="428" t="str">
        <f>VLOOKUP(H1332,'Fund Utilization Report'!$A$4:$U$1800,5,FALSE)</f>
        <v>01101101</v>
      </c>
      <c r="X1332" s="428" t="str">
        <f>VLOOKUP(H1332,'Fund Utilization Report'!$A$4:$U$1800,6,FALSE)</f>
        <v>GOP</v>
      </c>
      <c r="Y1332" s="320" t="str">
        <f>VLOOKUP(H1332,'Fund Utilization Report'!$A$4:$U$1800,7,FALSE)</f>
        <v>MOOE</v>
      </c>
      <c r="Z1332" s="425">
        <f>VLOOKUP(H1332,'Fund Utilization Report'!$A$4:$U$1800,8,FALSE)</f>
        <v>5020000000</v>
      </c>
      <c r="AA1332" s="428" t="str">
        <f>VLOOKUP(H1332,'Fund Utilization Report'!$A$4:$U$1800,14,FALSE)</f>
        <v>100000100001000</v>
      </c>
      <c r="AB1332" s="349" t="str">
        <f>VLOOKUP(H1332,'Fund Utilization Report'!$A$4:$U$1800,15,FALSE)</f>
        <v>General Administration and Supervision - General Management and Supervision</v>
      </c>
      <c r="AC1332" s="39"/>
      <c r="AD1332" s="34"/>
      <c r="AE1332" s="39"/>
      <c r="AF1332" s="51"/>
      <c r="AG1332" s="40"/>
      <c r="AH1332" s="40"/>
    </row>
    <row r="1333" spans="1:34" s="32" customFormat="1">
      <c r="A1333" s="434" t="s">
        <v>942</v>
      </c>
      <c r="B1333" s="457" t="s">
        <v>946</v>
      </c>
      <c r="C1333" s="233">
        <v>44279</v>
      </c>
      <c r="D1333" s="435" t="s">
        <v>1267</v>
      </c>
      <c r="E1333" s="436" t="s">
        <v>1527</v>
      </c>
      <c r="F1333" s="338">
        <v>0.46111111111111108</v>
      </c>
      <c r="G1333" s="338">
        <v>0.46527777777777773</v>
      </c>
      <c r="H1333" s="338" t="s">
        <v>961</v>
      </c>
      <c r="I1333" s="353">
        <v>755</v>
      </c>
      <c r="J1333" s="338" t="str">
        <f>IFERROR(VLOOKUP(I1333,'Chart of accounts'!A:H,2,FALSE),"")</f>
        <v>50203010 00</v>
      </c>
      <c r="K1333" s="338" t="str">
        <f>IFERROR(VLOOKUP(I1333,'Chart of accounts'!A:H,3,FALSE),"")</f>
        <v>Office Supplies Expenses</v>
      </c>
      <c r="L1333" s="338" t="str">
        <f>IFERROR(VLOOKUP(I1333,'Chart of accounts'!A:H,4,FALSE),"")</f>
        <v>50203010 00 - Office Supplies Expenses (755)</v>
      </c>
      <c r="M1333" s="361">
        <v>2</v>
      </c>
      <c r="N1333" s="420" t="s">
        <v>818</v>
      </c>
      <c r="O1333" s="420" t="s">
        <v>1532</v>
      </c>
      <c r="P1333" s="420"/>
      <c r="Q1333" s="420">
        <v>10375</v>
      </c>
      <c r="R1333" s="428">
        <f t="shared" si="51"/>
        <v>-10375</v>
      </c>
      <c r="S1333" s="428" t="str">
        <f>VLOOKUP(H1333,'Fund Utilization Report'!$A$4:$U$1800,13,FALSE)</f>
        <v>MOOE</v>
      </c>
      <c r="T1333" s="428" t="str">
        <f>VLOOKUP(H1333,'Fund Utilization Report'!$A$4:$U$1800,2,FALSE)</f>
        <v>GAA</v>
      </c>
      <c r="U1333" s="428" t="str">
        <f>VLOOKUP(H1333,'Fund Utilization Report'!$A$4:$U$1800,3,FALSE)</f>
        <v>FY2021, RA11518</v>
      </c>
      <c r="V1333" s="428" t="str">
        <f>VLOOKUP(H1333,'Fund Utilization Report'!$A$4:$U$1800,4,FALSE)</f>
        <v>GAS(GMS)</v>
      </c>
      <c r="W1333" s="428" t="str">
        <f>VLOOKUP(H1333,'Fund Utilization Report'!$A$4:$U$1800,5,FALSE)</f>
        <v>01101101</v>
      </c>
      <c r="X1333" s="428" t="str">
        <f>VLOOKUP(H1333,'Fund Utilization Report'!$A$4:$U$1800,6,FALSE)</f>
        <v>GOP</v>
      </c>
      <c r="Y1333" s="320" t="str">
        <f>VLOOKUP(H1333,'Fund Utilization Report'!$A$4:$U$1800,7,FALSE)</f>
        <v>MOOE</v>
      </c>
      <c r="Z1333" s="425">
        <f>VLOOKUP(H1333,'Fund Utilization Report'!$A$4:$U$1800,8,FALSE)</f>
        <v>5020000000</v>
      </c>
      <c r="AA1333" s="428" t="str">
        <f>VLOOKUP(H1333,'Fund Utilization Report'!$A$4:$U$1800,14,FALSE)</f>
        <v>100000100001000</v>
      </c>
      <c r="AB1333" s="349" t="str">
        <f>VLOOKUP(H1333,'Fund Utilization Report'!$A$4:$U$1800,15,FALSE)</f>
        <v>General Administration and Supervision - General Management and Supervision</v>
      </c>
      <c r="AC1333" s="39"/>
      <c r="AD1333" s="34"/>
      <c r="AE1333" s="39"/>
      <c r="AF1333" s="51"/>
      <c r="AG1333" s="40"/>
      <c r="AH1333" s="40"/>
    </row>
    <row r="1334" spans="1:34" s="32" customFormat="1">
      <c r="A1334" s="434" t="s">
        <v>942</v>
      </c>
      <c r="B1334" s="457" t="s">
        <v>946</v>
      </c>
      <c r="C1334" s="233">
        <v>44279</v>
      </c>
      <c r="D1334" s="435" t="s">
        <v>1267</v>
      </c>
      <c r="E1334" s="436" t="s">
        <v>1527</v>
      </c>
      <c r="F1334" s="338">
        <v>0.46111111111111108</v>
      </c>
      <c r="G1334" s="338">
        <v>0.46527777777777773</v>
      </c>
      <c r="H1334" s="338" t="s">
        <v>961</v>
      </c>
      <c r="I1334" s="353">
        <v>781</v>
      </c>
      <c r="J1334" s="338" t="str">
        <f>IFERROR(VLOOKUP(I1334,'Chart of accounts'!A:H,2,FALSE),"")</f>
        <v>50299020 00</v>
      </c>
      <c r="K1334" s="338" t="str">
        <f>IFERROR(VLOOKUP(I1334,'Chart of accounts'!A:H,3,FALSE),"")</f>
        <v>Printing and Binding Expenses</v>
      </c>
      <c r="L1334" s="338" t="str">
        <f>IFERROR(VLOOKUP(I1334,'Chart of accounts'!A:H,4,FALSE),"")</f>
        <v>50299020 00 - Printing and Binding Expenses (781)</v>
      </c>
      <c r="M1334" s="361">
        <v>2</v>
      </c>
      <c r="N1334" s="420" t="s">
        <v>818</v>
      </c>
      <c r="O1334" s="420" t="s">
        <v>1532</v>
      </c>
      <c r="P1334" s="420"/>
      <c r="Q1334" s="420">
        <v>7470</v>
      </c>
      <c r="R1334" s="428">
        <f t="shared" si="51"/>
        <v>-7470</v>
      </c>
      <c r="S1334" s="428" t="str">
        <f>VLOOKUP(H1334,'Fund Utilization Report'!$A$4:$U$1800,13,FALSE)</f>
        <v>MOOE</v>
      </c>
      <c r="T1334" s="428" t="str">
        <f>VLOOKUP(H1334,'Fund Utilization Report'!$A$4:$U$1800,2,FALSE)</f>
        <v>GAA</v>
      </c>
      <c r="U1334" s="428" t="str">
        <f>VLOOKUP(H1334,'Fund Utilization Report'!$A$4:$U$1800,3,FALSE)</f>
        <v>FY2021, RA11518</v>
      </c>
      <c r="V1334" s="428" t="str">
        <f>VLOOKUP(H1334,'Fund Utilization Report'!$A$4:$U$1800,4,FALSE)</f>
        <v>GAS(GMS)</v>
      </c>
      <c r="W1334" s="428" t="str">
        <f>VLOOKUP(H1334,'Fund Utilization Report'!$A$4:$U$1800,5,FALSE)</f>
        <v>01101101</v>
      </c>
      <c r="X1334" s="428" t="str">
        <f>VLOOKUP(H1334,'Fund Utilization Report'!$A$4:$U$1800,6,FALSE)</f>
        <v>GOP</v>
      </c>
      <c r="Y1334" s="320" t="str">
        <f>VLOOKUP(H1334,'Fund Utilization Report'!$A$4:$U$1800,7,FALSE)</f>
        <v>MOOE</v>
      </c>
      <c r="Z1334" s="425">
        <f>VLOOKUP(H1334,'Fund Utilization Report'!$A$4:$U$1800,8,FALSE)</f>
        <v>5020000000</v>
      </c>
      <c r="AA1334" s="428" t="str">
        <f>VLOOKUP(H1334,'Fund Utilization Report'!$A$4:$U$1800,14,FALSE)</f>
        <v>100000100001000</v>
      </c>
      <c r="AB1334" s="349" t="str">
        <f>VLOOKUP(H1334,'Fund Utilization Report'!$A$4:$U$1800,15,FALSE)</f>
        <v>General Administration and Supervision - General Management and Supervision</v>
      </c>
      <c r="AC1334" s="39"/>
      <c r="AD1334" s="34"/>
      <c r="AE1334" s="39"/>
      <c r="AF1334" s="51"/>
      <c r="AG1334" s="40"/>
      <c r="AH1334" s="40"/>
    </row>
    <row r="1335" spans="1:34" s="32" customFormat="1">
      <c r="A1335" s="434" t="s">
        <v>942</v>
      </c>
      <c r="B1335" s="457" t="s">
        <v>946</v>
      </c>
      <c r="C1335" s="233">
        <v>44279</v>
      </c>
      <c r="D1335" s="435" t="s">
        <v>1267</v>
      </c>
      <c r="E1335" s="436" t="s">
        <v>1527</v>
      </c>
      <c r="F1335" s="338">
        <v>0.46111111111111108</v>
      </c>
      <c r="G1335" s="338">
        <v>0.46527777777777773</v>
      </c>
      <c r="H1335" s="338" t="s">
        <v>961</v>
      </c>
      <c r="I1335" s="353">
        <v>783</v>
      </c>
      <c r="J1335" s="338" t="str">
        <f>IFERROR(VLOOKUP(I1335,'Chart of accounts'!A:H,2,FALSE),"")</f>
        <v>50299030 00</v>
      </c>
      <c r="K1335" s="338" t="str">
        <f>IFERROR(VLOOKUP(I1335,'Chart of accounts'!A:H,3,FALSE),"")</f>
        <v>Representation Expenses</v>
      </c>
      <c r="L1335" s="338" t="str">
        <f>IFERROR(VLOOKUP(I1335,'Chart of accounts'!A:H,4,FALSE),"")</f>
        <v>50299030 00 - Representation Expenses (783)</v>
      </c>
      <c r="M1335" s="361">
        <v>2</v>
      </c>
      <c r="N1335" s="420" t="s">
        <v>818</v>
      </c>
      <c r="O1335" s="420" t="s">
        <v>1532</v>
      </c>
      <c r="P1335" s="420"/>
      <c r="Q1335" s="420">
        <v>5312</v>
      </c>
      <c r="R1335" s="428">
        <f t="shared" si="51"/>
        <v>-5312</v>
      </c>
      <c r="S1335" s="428" t="str">
        <f>VLOOKUP(H1335,'Fund Utilization Report'!$A$4:$U$1800,13,FALSE)</f>
        <v>MOOE</v>
      </c>
      <c r="T1335" s="428" t="str">
        <f>VLOOKUP(H1335,'Fund Utilization Report'!$A$4:$U$1800,2,FALSE)</f>
        <v>GAA</v>
      </c>
      <c r="U1335" s="428" t="str">
        <f>VLOOKUP(H1335,'Fund Utilization Report'!$A$4:$U$1800,3,FALSE)</f>
        <v>FY2021, RA11518</v>
      </c>
      <c r="V1335" s="428" t="str">
        <f>VLOOKUP(H1335,'Fund Utilization Report'!$A$4:$U$1800,4,FALSE)</f>
        <v>GAS(GMS)</v>
      </c>
      <c r="W1335" s="428" t="str">
        <f>VLOOKUP(H1335,'Fund Utilization Report'!$A$4:$U$1800,5,FALSE)</f>
        <v>01101101</v>
      </c>
      <c r="X1335" s="428" t="str">
        <f>VLOOKUP(H1335,'Fund Utilization Report'!$A$4:$U$1800,6,FALSE)</f>
        <v>GOP</v>
      </c>
      <c r="Y1335" s="320" t="str">
        <f>VLOOKUP(H1335,'Fund Utilization Report'!$A$4:$U$1800,7,FALSE)</f>
        <v>MOOE</v>
      </c>
      <c r="Z1335" s="425">
        <f>VLOOKUP(H1335,'Fund Utilization Report'!$A$4:$U$1800,8,FALSE)</f>
        <v>5020000000</v>
      </c>
      <c r="AA1335" s="428" t="str">
        <f>VLOOKUP(H1335,'Fund Utilization Report'!$A$4:$U$1800,14,FALSE)</f>
        <v>100000100001000</v>
      </c>
      <c r="AB1335" s="349" t="str">
        <f>VLOOKUP(H1335,'Fund Utilization Report'!$A$4:$U$1800,15,FALSE)</f>
        <v>General Administration and Supervision - General Management and Supervision</v>
      </c>
      <c r="AC1335" s="39"/>
      <c r="AD1335" s="34"/>
      <c r="AE1335" s="39"/>
      <c r="AF1335" s="51"/>
      <c r="AG1335" s="40"/>
      <c r="AH1335" s="40"/>
    </row>
    <row r="1336" spans="1:34" s="32" customFormat="1">
      <c r="A1336" s="434" t="s">
        <v>942</v>
      </c>
      <c r="B1336" s="457" t="s">
        <v>946</v>
      </c>
      <c r="C1336" s="233">
        <v>44279</v>
      </c>
      <c r="D1336" s="435" t="s">
        <v>1267</v>
      </c>
      <c r="E1336" s="436" t="s">
        <v>1527</v>
      </c>
      <c r="F1336" s="338">
        <v>0.46111111111111108</v>
      </c>
      <c r="G1336" s="338">
        <v>0.46527777777777773</v>
      </c>
      <c r="H1336" s="338" t="s">
        <v>968</v>
      </c>
      <c r="I1336" s="353">
        <v>784</v>
      </c>
      <c r="J1336" s="338" t="str">
        <f>IFERROR(VLOOKUP(I1336,'Chart of accounts'!A:H,2,FALSE),"")</f>
        <v>50299040 00</v>
      </c>
      <c r="K1336" s="338" t="str">
        <f>IFERROR(VLOOKUP(I1336,'Chart of accounts'!A:H,3,FALSE),"")</f>
        <v>Transportation and Delivery Expenses</v>
      </c>
      <c r="L1336" s="338" t="str">
        <f>IFERROR(VLOOKUP(I1336,'Chart of accounts'!A:H,4,FALSE),"")</f>
        <v>50299040 00 - Transportation and Delivery Expenses (784)</v>
      </c>
      <c r="M1336" s="361">
        <v>2</v>
      </c>
      <c r="N1336" s="420" t="s">
        <v>818</v>
      </c>
      <c r="O1336" s="420" t="s">
        <v>1532</v>
      </c>
      <c r="P1336" s="420"/>
      <c r="Q1336" s="420">
        <v>4980</v>
      </c>
      <c r="R1336" s="428">
        <f t="shared" si="51"/>
        <v>-4980</v>
      </c>
      <c r="S1336" s="428" t="str">
        <f>VLOOKUP(H1336,'Fund Utilization Report'!$A$4:$U$1800,13,FALSE)</f>
        <v>MOOE</v>
      </c>
      <c r="T1336" s="428" t="str">
        <f>VLOOKUP(H1336,'Fund Utilization Report'!$A$4:$U$1800,2,FALSE)</f>
        <v>GAA</v>
      </c>
      <c r="U1336" s="428" t="str">
        <f>VLOOKUP(H1336,'Fund Utilization Report'!$A$4:$U$1800,3,FALSE)</f>
        <v>FY2021, RA11518</v>
      </c>
      <c r="V1336" s="428" t="str">
        <f>VLOOKUP(H1336,'Fund Utilization Report'!$A$4:$U$1800,4,FALSE)</f>
        <v>OO2</v>
      </c>
      <c r="W1336" s="428" t="str">
        <f>VLOOKUP(H1336,'Fund Utilization Report'!$A$4:$U$1800,5,FALSE)</f>
        <v>01101101</v>
      </c>
      <c r="X1336" s="428" t="str">
        <f>VLOOKUP(H1336,'Fund Utilization Report'!$A$4:$U$1800,6,FALSE)</f>
        <v>GOP</v>
      </c>
      <c r="Y1336" s="320" t="str">
        <f>VLOOKUP(H1336,'Fund Utilization Report'!$A$4:$U$1800,7,FALSE)</f>
        <v>MOOE</v>
      </c>
      <c r="Z1336" s="425">
        <f>VLOOKUP(H1336,'Fund Utilization Report'!$A$4:$U$1800,8,FALSE)</f>
        <v>5020000000</v>
      </c>
      <c r="AA1336" s="428" t="str">
        <f>VLOOKUP(H1336,'Fund Utilization Report'!$A$4:$U$1800,14,FALSE)</f>
        <v>320100100001000</v>
      </c>
      <c r="AB1336" s="349" t="str">
        <f>VLOOKUP(H1336,'Fund Utilization Report'!$A$4:$U$1800,15,FALSE)</f>
        <v>Formulation of Strategic plans,programs, and policies to develop competitve industries</v>
      </c>
      <c r="AC1336" s="39"/>
      <c r="AD1336" s="34"/>
      <c r="AE1336" s="39"/>
      <c r="AF1336" s="51"/>
      <c r="AG1336" s="40"/>
      <c r="AH1336" s="40"/>
    </row>
    <row r="1337" spans="1:34" s="32" customFormat="1">
      <c r="A1337" s="434" t="s">
        <v>942</v>
      </c>
      <c r="B1337" s="457" t="s">
        <v>946</v>
      </c>
      <c r="C1337" s="233">
        <v>44279</v>
      </c>
      <c r="D1337" s="435" t="s">
        <v>1267</v>
      </c>
      <c r="E1337" s="436" t="s">
        <v>1527</v>
      </c>
      <c r="F1337" s="338">
        <v>0.46111111111111108</v>
      </c>
      <c r="G1337" s="338">
        <v>0.46527777777777773</v>
      </c>
      <c r="H1337" s="338" t="s">
        <v>961</v>
      </c>
      <c r="I1337" s="353">
        <v>969</v>
      </c>
      <c r="J1337" s="338" t="str">
        <f>IFERROR(VLOOKUP(I1337,'Chart of accounts'!A:H,2,FALSE),"")</f>
        <v>50299990 99</v>
      </c>
      <c r="K1337" s="338" t="str">
        <f>IFERROR(VLOOKUP(I1337,'Chart of accounts'!A:H,3,FALSE),"")</f>
        <v>Other Maintenance and Operating Expenses</v>
      </c>
      <c r="L1337" s="338" t="str">
        <f>IFERROR(VLOOKUP(I1337,'Chart of accounts'!A:H,4,FALSE),"")</f>
        <v>50299990 99 - Other Maintenance and Operating Expenses (969)</v>
      </c>
      <c r="M1337" s="361">
        <v>2</v>
      </c>
      <c r="N1337" s="420" t="s">
        <v>818</v>
      </c>
      <c r="O1337" s="420" t="s">
        <v>1532</v>
      </c>
      <c r="P1337" s="420"/>
      <c r="Q1337" s="420">
        <v>12948</v>
      </c>
      <c r="R1337" s="428">
        <f t="shared" si="51"/>
        <v>-12948</v>
      </c>
      <c r="S1337" s="428" t="str">
        <f>VLOOKUP(H1337,'Fund Utilization Report'!$A$4:$U$1800,13,FALSE)</f>
        <v>MOOE</v>
      </c>
      <c r="T1337" s="428" t="str">
        <f>VLOOKUP(H1337,'Fund Utilization Report'!$A$4:$U$1800,2,FALSE)</f>
        <v>GAA</v>
      </c>
      <c r="U1337" s="428" t="str">
        <f>VLOOKUP(H1337,'Fund Utilization Report'!$A$4:$U$1800,3,FALSE)</f>
        <v>FY2021, RA11518</v>
      </c>
      <c r="V1337" s="428" t="str">
        <f>VLOOKUP(H1337,'Fund Utilization Report'!$A$4:$U$1800,4,FALSE)</f>
        <v>GAS(GMS)</v>
      </c>
      <c r="W1337" s="428" t="str">
        <f>VLOOKUP(H1337,'Fund Utilization Report'!$A$4:$U$1800,5,FALSE)</f>
        <v>01101101</v>
      </c>
      <c r="X1337" s="428" t="str">
        <f>VLOOKUP(H1337,'Fund Utilization Report'!$A$4:$U$1800,6,FALSE)</f>
        <v>GOP</v>
      </c>
      <c r="Y1337" s="320" t="str">
        <f>VLOOKUP(H1337,'Fund Utilization Report'!$A$4:$U$1800,7,FALSE)</f>
        <v>MOOE</v>
      </c>
      <c r="Z1337" s="425">
        <f>VLOOKUP(H1337,'Fund Utilization Report'!$A$4:$U$1800,8,FALSE)</f>
        <v>5020000000</v>
      </c>
      <c r="AA1337" s="428" t="str">
        <f>VLOOKUP(H1337,'Fund Utilization Report'!$A$4:$U$1800,14,FALSE)</f>
        <v>100000100001000</v>
      </c>
      <c r="AB1337" s="349" t="str">
        <f>VLOOKUP(H1337,'Fund Utilization Report'!$A$4:$U$1800,15,FALSE)</f>
        <v>General Administration and Supervision - General Management and Supervision</v>
      </c>
      <c r="AC1337" s="39"/>
      <c r="AD1337" s="34"/>
      <c r="AE1337" s="39"/>
      <c r="AF1337" s="51"/>
      <c r="AG1337" s="40"/>
      <c r="AH1337" s="40"/>
    </row>
    <row r="1338" spans="1:34" s="32" customFormat="1">
      <c r="A1338" s="434" t="s">
        <v>942</v>
      </c>
      <c r="B1338" s="457" t="s">
        <v>946</v>
      </c>
      <c r="C1338" s="233">
        <v>44279</v>
      </c>
      <c r="D1338" s="435" t="s">
        <v>1267</v>
      </c>
      <c r="E1338" s="436" t="s">
        <v>1528</v>
      </c>
      <c r="F1338" s="338">
        <v>0.46527777777777773</v>
      </c>
      <c r="G1338" s="338">
        <v>0.46875</v>
      </c>
      <c r="H1338" s="338" t="s">
        <v>961</v>
      </c>
      <c r="I1338" s="353">
        <v>756</v>
      </c>
      <c r="J1338" s="338" t="str">
        <f>IFERROR(VLOOKUP(I1338,'Chart of accounts'!A:H,2,FALSE),"")</f>
        <v>50203020 00</v>
      </c>
      <c r="K1338" s="338" t="str">
        <f>IFERROR(VLOOKUP(I1338,'Chart of accounts'!A:H,3,FALSE),"")</f>
        <v xml:space="preserve">Accountable Forms Expenses </v>
      </c>
      <c r="L1338" s="338" t="str">
        <f>IFERROR(VLOOKUP(I1338,'Chart of accounts'!A:H,4,FALSE),"")</f>
        <v>50203020 00 - Accountable Forms Expenses  (756)</v>
      </c>
      <c r="M1338" s="361">
        <v>3</v>
      </c>
      <c r="N1338" s="420" t="s">
        <v>820</v>
      </c>
      <c r="O1338" s="420" t="s">
        <v>1532</v>
      </c>
      <c r="P1338" s="420"/>
      <c r="Q1338" s="420">
        <v>2490</v>
      </c>
      <c r="R1338" s="428">
        <f t="shared" si="51"/>
        <v>-2490</v>
      </c>
      <c r="S1338" s="428" t="str">
        <f>VLOOKUP(H1338,'Fund Utilization Report'!$A$4:$U$1800,13,FALSE)</f>
        <v>MOOE</v>
      </c>
      <c r="T1338" s="428" t="str">
        <f>VLOOKUP(H1338,'Fund Utilization Report'!$A$4:$U$1800,2,FALSE)</f>
        <v>GAA</v>
      </c>
      <c r="U1338" s="428" t="str">
        <f>VLOOKUP(H1338,'Fund Utilization Report'!$A$4:$U$1800,3,FALSE)</f>
        <v>FY2021, RA11518</v>
      </c>
      <c r="V1338" s="428" t="str">
        <f>VLOOKUP(H1338,'Fund Utilization Report'!$A$4:$U$1800,4,FALSE)</f>
        <v>GAS(GMS)</v>
      </c>
      <c r="W1338" s="428" t="str">
        <f>VLOOKUP(H1338,'Fund Utilization Report'!$A$4:$U$1800,5,FALSE)</f>
        <v>01101101</v>
      </c>
      <c r="X1338" s="428" t="str">
        <f>VLOOKUP(H1338,'Fund Utilization Report'!$A$4:$U$1800,6,FALSE)</f>
        <v>GOP</v>
      </c>
      <c r="Y1338" s="320" t="str">
        <f>VLOOKUP(H1338,'Fund Utilization Report'!$A$4:$U$1800,7,FALSE)</f>
        <v>MOOE</v>
      </c>
      <c r="Z1338" s="425">
        <f>VLOOKUP(H1338,'Fund Utilization Report'!$A$4:$U$1800,8,FALSE)</f>
        <v>5020000000</v>
      </c>
      <c r="AA1338" s="428" t="str">
        <f>VLOOKUP(H1338,'Fund Utilization Report'!$A$4:$U$1800,14,FALSE)</f>
        <v>100000100001000</v>
      </c>
      <c r="AB1338" s="349" t="str">
        <f>VLOOKUP(H1338,'Fund Utilization Report'!$A$4:$U$1800,15,FALSE)</f>
        <v>General Administration and Supervision - General Management and Supervision</v>
      </c>
      <c r="AC1338" s="39"/>
      <c r="AD1338" s="34"/>
      <c r="AE1338" s="39"/>
      <c r="AF1338" s="51"/>
      <c r="AG1338" s="40"/>
      <c r="AH1338" s="40"/>
    </row>
    <row r="1339" spans="1:34" s="32" customFormat="1">
      <c r="A1339" s="434" t="s">
        <v>942</v>
      </c>
      <c r="B1339" s="457" t="s">
        <v>946</v>
      </c>
      <c r="C1339" s="233">
        <v>44279</v>
      </c>
      <c r="D1339" s="435" t="s">
        <v>1267</v>
      </c>
      <c r="E1339" s="436" t="s">
        <v>1528</v>
      </c>
      <c r="F1339" s="338">
        <v>0.46527777777777773</v>
      </c>
      <c r="G1339" s="338">
        <v>0.46875</v>
      </c>
      <c r="H1339" s="338" t="s">
        <v>961</v>
      </c>
      <c r="I1339" s="353">
        <v>753</v>
      </c>
      <c r="J1339" s="338" t="str">
        <f>IFERROR(VLOOKUP(I1339,'Chart of accounts'!A:H,2,FALSE),"")</f>
        <v>50202010 00</v>
      </c>
      <c r="K1339" s="338" t="str">
        <f>IFERROR(VLOOKUP(I1339,'Chart of accounts'!A:H,3,FALSE),"")</f>
        <v>Training Expenses</v>
      </c>
      <c r="L1339" s="338" t="str">
        <f>IFERROR(VLOOKUP(I1339,'Chart of accounts'!A:H,4,FALSE),"")</f>
        <v>50202010 00 - Training Expenses (753)</v>
      </c>
      <c r="M1339" s="361">
        <v>3</v>
      </c>
      <c r="N1339" s="420" t="s">
        <v>820</v>
      </c>
      <c r="O1339" s="420" t="s">
        <v>1532</v>
      </c>
      <c r="P1339" s="420"/>
      <c r="Q1339" s="420">
        <v>14940</v>
      </c>
      <c r="R1339" s="428">
        <f t="shared" si="51"/>
        <v>-14940</v>
      </c>
      <c r="S1339" s="428" t="str">
        <f>VLOOKUP(H1339,'Fund Utilization Report'!$A$4:$U$1800,13,FALSE)</f>
        <v>MOOE</v>
      </c>
      <c r="T1339" s="428" t="str">
        <f>VLOOKUP(H1339,'Fund Utilization Report'!$A$4:$U$1800,2,FALSE)</f>
        <v>GAA</v>
      </c>
      <c r="U1339" s="428" t="str">
        <f>VLOOKUP(H1339,'Fund Utilization Report'!$A$4:$U$1800,3,FALSE)</f>
        <v>FY2021, RA11518</v>
      </c>
      <c r="V1339" s="428" t="str">
        <f>VLOOKUP(H1339,'Fund Utilization Report'!$A$4:$U$1800,4,FALSE)</f>
        <v>GAS(GMS)</v>
      </c>
      <c r="W1339" s="428" t="str">
        <f>VLOOKUP(H1339,'Fund Utilization Report'!$A$4:$U$1800,5,FALSE)</f>
        <v>01101101</v>
      </c>
      <c r="X1339" s="428" t="str">
        <f>VLOOKUP(H1339,'Fund Utilization Report'!$A$4:$U$1800,6,FALSE)</f>
        <v>GOP</v>
      </c>
      <c r="Y1339" s="320" t="str">
        <f>VLOOKUP(H1339,'Fund Utilization Report'!$A$4:$U$1800,7,FALSE)</f>
        <v>MOOE</v>
      </c>
      <c r="Z1339" s="425">
        <f>VLOOKUP(H1339,'Fund Utilization Report'!$A$4:$U$1800,8,FALSE)</f>
        <v>5020000000</v>
      </c>
      <c r="AA1339" s="428" t="str">
        <f>VLOOKUP(H1339,'Fund Utilization Report'!$A$4:$U$1800,14,FALSE)</f>
        <v>100000100001000</v>
      </c>
      <c r="AB1339" s="349" t="str">
        <f>VLOOKUP(H1339,'Fund Utilization Report'!$A$4:$U$1800,15,FALSE)</f>
        <v>General Administration and Supervision - General Management and Supervision</v>
      </c>
      <c r="AC1339" s="39"/>
      <c r="AD1339" s="34"/>
      <c r="AE1339" s="39"/>
      <c r="AF1339" s="51"/>
      <c r="AG1339" s="40"/>
      <c r="AH1339" s="40"/>
    </row>
    <row r="1340" spans="1:34" s="32" customFormat="1">
      <c r="A1340" s="434" t="s">
        <v>942</v>
      </c>
      <c r="B1340" s="457" t="s">
        <v>946</v>
      </c>
      <c r="C1340" s="233">
        <v>44279</v>
      </c>
      <c r="D1340" s="435" t="s">
        <v>1267</v>
      </c>
      <c r="E1340" s="436" t="s">
        <v>1528</v>
      </c>
      <c r="F1340" s="338">
        <v>0.46527777777777773</v>
      </c>
      <c r="G1340" s="338">
        <v>0.46875</v>
      </c>
      <c r="H1340" s="338" t="s">
        <v>961</v>
      </c>
      <c r="I1340" s="353">
        <v>761</v>
      </c>
      <c r="J1340" s="338" t="str">
        <f>IFERROR(VLOOKUP(I1340,'Chart of accounts'!A:H,2,FALSE),"")</f>
        <v>50203090 00</v>
      </c>
      <c r="K1340" s="338" t="str">
        <f>IFERROR(VLOOKUP(I1340,'Chart of accounts'!A:H,3,FALSE),"")</f>
        <v>Fuel, Oil and Lubricants Expenses</v>
      </c>
      <c r="L1340" s="338" t="str">
        <f>IFERROR(VLOOKUP(I1340,'Chart of accounts'!A:H,4,FALSE),"")</f>
        <v>50203090 00 - Fuel, Oil and Lubricants Expenses (761)</v>
      </c>
      <c r="M1340" s="361">
        <v>3</v>
      </c>
      <c r="N1340" s="420" t="s">
        <v>820</v>
      </c>
      <c r="O1340" s="420" t="s">
        <v>1532</v>
      </c>
      <c r="P1340" s="420"/>
      <c r="Q1340" s="420">
        <v>16600</v>
      </c>
      <c r="R1340" s="428">
        <f t="shared" si="51"/>
        <v>-16600</v>
      </c>
      <c r="S1340" s="428" t="str">
        <f>VLOOKUP(H1340,'Fund Utilization Report'!$A$4:$U$1800,13,FALSE)</f>
        <v>MOOE</v>
      </c>
      <c r="T1340" s="428" t="str">
        <f>VLOOKUP(H1340,'Fund Utilization Report'!$A$4:$U$1800,2,FALSE)</f>
        <v>GAA</v>
      </c>
      <c r="U1340" s="428" t="str">
        <f>VLOOKUP(H1340,'Fund Utilization Report'!$A$4:$U$1800,3,FALSE)</f>
        <v>FY2021, RA11518</v>
      </c>
      <c r="V1340" s="428" t="str">
        <f>VLOOKUP(H1340,'Fund Utilization Report'!$A$4:$U$1800,4,FALSE)</f>
        <v>GAS(GMS)</v>
      </c>
      <c r="W1340" s="428" t="str">
        <f>VLOOKUP(H1340,'Fund Utilization Report'!$A$4:$U$1800,5,FALSE)</f>
        <v>01101101</v>
      </c>
      <c r="X1340" s="428" t="str">
        <f>VLOOKUP(H1340,'Fund Utilization Report'!$A$4:$U$1800,6,FALSE)</f>
        <v>GOP</v>
      </c>
      <c r="Y1340" s="320" t="str">
        <f>VLOOKUP(H1340,'Fund Utilization Report'!$A$4:$U$1800,7,FALSE)</f>
        <v>MOOE</v>
      </c>
      <c r="Z1340" s="425">
        <f>VLOOKUP(H1340,'Fund Utilization Report'!$A$4:$U$1800,8,FALSE)</f>
        <v>5020000000</v>
      </c>
      <c r="AA1340" s="428" t="str">
        <f>VLOOKUP(H1340,'Fund Utilization Report'!$A$4:$U$1800,14,FALSE)</f>
        <v>100000100001000</v>
      </c>
      <c r="AB1340" s="349" t="str">
        <f>VLOOKUP(H1340,'Fund Utilization Report'!$A$4:$U$1800,15,FALSE)</f>
        <v>General Administration and Supervision - General Management and Supervision</v>
      </c>
      <c r="AC1340" s="39"/>
      <c r="AD1340" s="34"/>
      <c r="AE1340" s="39"/>
      <c r="AF1340" s="51"/>
      <c r="AG1340" s="40"/>
      <c r="AH1340" s="40"/>
    </row>
    <row r="1341" spans="1:34" s="32" customFormat="1">
      <c r="A1341" s="434" t="s">
        <v>942</v>
      </c>
      <c r="B1341" s="457" t="s">
        <v>946</v>
      </c>
      <c r="C1341" s="233">
        <v>44279</v>
      </c>
      <c r="D1341" s="435" t="s">
        <v>1267</v>
      </c>
      <c r="E1341" s="436" t="s">
        <v>1528</v>
      </c>
      <c r="F1341" s="338">
        <v>0.46527777777777773</v>
      </c>
      <c r="G1341" s="338">
        <v>0.46875</v>
      </c>
      <c r="H1341" s="338" t="s">
        <v>961</v>
      </c>
      <c r="I1341" s="353">
        <v>766</v>
      </c>
      <c r="J1341" s="338" t="str">
        <f>IFERROR(VLOOKUP(I1341,'Chart of accounts'!A:H,2,FALSE),"")</f>
        <v>50204010 00</v>
      </c>
      <c r="K1341" s="338" t="str">
        <f>IFERROR(VLOOKUP(I1341,'Chart of accounts'!A:H,3,FALSE),"")</f>
        <v>Water Expenses</v>
      </c>
      <c r="L1341" s="338" t="str">
        <f>IFERROR(VLOOKUP(I1341,'Chart of accounts'!A:H,4,FALSE),"")</f>
        <v>50204010 00 - Water Expenses (766)</v>
      </c>
      <c r="M1341" s="361">
        <v>3</v>
      </c>
      <c r="N1341" s="420" t="s">
        <v>820</v>
      </c>
      <c r="O1341" s="420" t="s">
        <v>1532</v>
      </c>
      <c r="P1341" s="420"/>
      <c r="Q1341" s="420">
        <v>3237</v>
      </c>
      <c r="R1341" s="428">
        <f t="shared" si="51"/>
        <v>-3237</v>
      </c>
      <c r="S1341" s="428" t="str">
        <f>VLOOKUP(H1341,'Fund Utilization Report'!$A$4:$U$1800,13,FALSE)</f>
        <v>MOOE</v>
      </c>
      <c r="T1341" s="428" t="str">
        <f>VLOOKUP(H1341,'Fund Utilization Report'!$A$4:$U$1800,2,FALSE)</f>
        <v>GAA</v>
      </c>
      <c r="U1341" s="428" t="str">
        <f>VLOOKUP(H1341,'Fund Utilization Report'!$A$4:$U$1800,3,FALSE)</f>
        <v>FY2021, RA11518</v>
      </c>
      <c r="V1341" s="428" t="str">
        <f>VLOOKUP(H1341,'Fund Utilization Report'!$A$4:$U$1800,4,FALSE)</f>
        <v>GAS(GMS)</v>
      </c>
      <c r="W1341" s="428" t="str">
        <f>VLOOKUP(H1341,'Fund Utilization Report'!$A$4:$U$1800,5,FALSE)</f>
        <v>01101101</v>
      </c>
      <c r="X1341" s="428" t="str">
        <f>VLOOKUP(H1341,'Fund Utilization Report'!$A$4:$U$1800,6,FALSE)</f>
        <v>GOP</v>
      </c>
      <c r="Y1341" s="320" t="str">
        <f>VLOOKUP(H1341,'Fund Utilization Report'!$A$4:$U$1800,7,FALSE)</f>
        <v>MOOE</v>
      </c>
      <c r="Z1341" s="425">
        <f>VLOOKUP(H1341,'Fund Utilization Report'!$A$4:$U$1800,8,FALSE)</f>
        <v>5020000000</v>
      </c>
      <c r="AA1341" s="428" t="str">
        <f>VLOOKUP(H1341,'Fund Utilization Report'!$A$4:$U$1800,14,FALSE)</f>
        <v>100000100001000</v>
      </c>
      <c r="AB1341" s="349" t="str">
        <f>VLOOKUP(H1341,'Fund Utilization Report'!$A$4:$U$1800,15,FALSE)</f>
        <v>General Administration and Supervision - General Management and Supervision</v>
      </c>
      <c r="AC1341" s="39"/>
      <c r="AD1341" s="34"/>
      <c r="AE1341" s="39"/>
      <c r="AF1341" s="51"/>
      <c r="AG1341" s="40"/>
      <c r="AH1341" s="40"/>
    </row>
    <row r="1342" spans="1:34" s="32" customFormat="1">
      <c r="A1342" s="434" t="s">
        <v>942</v>
      </c>
      <c r="B1342" s="457" t="s">
        <v>946</v>
      </c>
      <c r="C1342" s="233">
        <v>44279</v>
      </c>
      <c r="D1342" s="435" t="s">
        <v>1267</v>
      </c>
      <c r="E1342" s="436" t="s">
        <v>1528</v>
      </c>
      <c r="F1342" s="338">
        <v>0.46527777777777773</v>
      </c>
      <c r="G1342" s="338">
        <v>0.46875</v>
      </c>
      <c r="H1342" s="338" t="s">
        <v>961</v>
      </c>
      <c r="I1342" s="353">
        <v>767</v>
      </c>
      <c r="J1342" s="338" t="str">
        <f>IFERROR(VLOOKUP(I1342,'Chart of accounts'!A:H,2,FALSE),"")</f>
        <v>50204020 00</v>
      </c>
      <c r="K1342" s="338" t="str">
        <f>IFERROR(VLOOKUP(I1342,'Chart of accounts'!A:H,3,FALSE),"")</f>
        <v>Electricity Expense</v>
      </c>
      <c r="L1342" s="338" t="str">
        <f>IFERROR(VLOOKUP(I1342,'Chart of accounts'!A:H,4,FALSE),"")</f>
        <v>50204020 00 - Electricity Expense (767)</v>
      </c>
      <c r="M1342" s="361">
        <v>3</v>
      </c>
      <c r="N1342" s="420" t="s">
        <v>820</v>
      </c>
      <c r="O1342" s="420" t="s">
        <v>1532</v>
      </c>
      <c r="P1342" s="420"/>
      <c r="Q1342" s="420">
        <v>57270</v>
      </c>
      <c r="R1342" s="428">
        <f t="shared" si="51"/>
        <v>-57270</v>
      </c>
      <c r="S1342" s="428" t="str">
        <f>VLOOKUP(H1342,'Fund Utilization Report'!$A$4:$U$1800,13,FALSE)</f>
        <v>MOOE</v>
      </c>
      <c r="T1342" s="428" t="str">
        <f>VLOOKUP(H1342,'Fund Utilization Report'!$A$4:$U$1800,2,FALSE)</f>
        <v>GAA</v>
      </c>
      <c r="U1342" s="428" t="str">
        <f>VLOOKUP(H1342,'Fund Utilization Report'!$A$4:$U$1800,3,FALSE)</f>
        <v>FY2021, RA11518</v>
      </c>
      <c r="V1342" s="428" t="str">
        <f>VLOOKUP(H1342,'Fund Utilization Report'!$A$4:$U$1800,4,FALSE)</f>
        <v>GAS(GMS)</v>
      </c>
      <c r="W1342" s="428" t="str">
        <f>VLOOKUP(H1342,'Fund Utilization Report'!$A$4:$U$1800,5,FALSE)</f>
        <v>01101101</v>
      </c>
      <c r="X1342" s="428" t="str">
        <f>VLOOKUP(H1342,'Fund Utilization Report'!$A$4:$U$1800,6,FALSE)</f>
        <v>GOP</v>
      </c>
      <c r="Y1342" s="320" t="str">
        <f>VLOOKUP(H1342,'Fund Utilization Report'!$A$4:$U$1800,7,FALSE)</f>
        <v>MOOE</v>
      </c>
      <c r="Z1342" s="425">
        <f>VLOOKUP(H1342,'Fund Utilization Report'!$A$4:$U$1800,8,FALSE)</f>
        <v>5020000000</v>
      </c>
      <c r="AA1342" s="428" t="str">
        <f>VLOOKUP(H1342,'Fund Utilization Report'!$A$4:$U$1800,14,FALSE)</f>
        <v>100000100001000</v>
      </c>
      <c r="AB1342" s="349" t="str">
        <f>VLOOKUP(H1342,'Fund Utilization Report'!$A$4:$U$1800,15,FALSE)</f>
        <v>General Administration and Supervision - General Management and Supervision</v>
      </c>
      <c r="AC1342" s="39"/>
      <c r="AD1342" s="34"/>
      <c r="AE1342" s="39"/>
      <c r="AF1342" s="51"/>
      <c r="AG1342" s="40"/>
      <c r="AH1342" s="40"/>
    </row>
    <row r="1343" spans="1:34" s="32" customFormat="1">
      <c r="A1343" s="434" t="s">
        <v>942</v>
      </c>
      <c r="B1343" s="457" t="s">
        <v>946</v>
      </c>
      <c r="C1343" s="233">
        <v>44279</v>
      </c>
      <c r="D1343" s="435" t="s">
        <v>1267</v>
      </c>
      <c r="E1343" s="436" t="s">
        <v>1528</v>
      </c>
      <c r="F1343" s="338">
        <v>0.46527777777777773</v>
      </c>
      <c r="G1343" s="338">
        <v>0.46875</v>
      </c>
      <c r="H1343" s="338" t="s">
        <v>961</v>
      </c>
      <c r="I1343" s="353">
        <v>771</v>
      </c>
      <c r="J1343" s="338" t="str">
        <f>IFERROR(VLOOKUP(I1343,'Chart of accounts'!A:H,2,FALSE),"")</f>
        <v>50205010 00</v>
      </c>
      <c r="K1343" s="338" t="str">
        <f>IFERROR(VLOOKUP(I1343,'Chart of accounts'!A:H,3,FALSE),"")</f>
        <v>Postage and Courier Services</v>
      </c>
      <c r="L1343" s="338" t="str">
        <f>IFERROR(VLOOKUP(I1343,'Chart of accounts'!A:H,4,FALSE),"")</f>
        <v>50205010 00 - Postage and Courier Services (771)</v>
      </c>
      <c r="M1343" s="361">
        <v>3</v>
      </c>
      <c r="N1343" s="420" t="s">
        <v>820</v>
      </c>
      <c r="O1343" s="420" t="s">
        <v>1532</v>
      </c>
      <c r="P1343" s="420"/>
      <c r="Q1343" s="420">
        <v>6225</v>
      </c>
      <c r="R1343" s="428">
        <f t="shared" si="51"/>
        <v>-6225</v>
      </c>
      <c r="S1343" s="428" t="str">
        <f>VLOOKUP(H1343,'Fund Utilization Report'!$A$4:$U$1800,13,FALSE)</f>
        <v>MOOE</v>
      </c>
      <c r="T1343" s="428" t="str">
        <f>VLOOKUP(H1343,'Fund Utilization Report'!$A$4:$U$1800,2,FALSE)</f>
        <v>GAA</v>
      </c>
      <c r="U1343" s="428" t="str">
        <f>VLOOKUP(H1343,'Fund Utilization Report'!$A$4:$U$1800,3,FALSE)</f>
        <v>FY2021, RA11518</v>
      </c>
      <c r="V1343" s="428" t="str">
        <f>VLOOKUP(H1343,'Fund Utilization Report'!$A$4:$U$1800,4,FALSE)</f>
        <v>GAS(GMS)</v>
      </c>
      <c r="W1343" s="428" t="str">
        <f>VLOOKUP(H1343,'Fund Utilization Report'!$A$4:$U$1800,5,FALSE)</f>
        <v>01101101</v>
      </c>
      <c r="X1343" s="428" t="str">
        <f>VLOOKUP(H1343,'Fund Utilization Report'!$A$4:$U$1800,6,FALSE)</f>
        <v>GOP</v>
      </c>
      <c r="Y1343" s="320" t="str">
        <f>VLOOKUP(H1343,'Fund Utilization Report'!$A$4:$U$1800,7,FALSE)</f>
        <v>MOOE</v>
      </c>
      <c r="Z1343" s="425">
        <f>VLOOKUP(H1343,'Fund Utilization Report'!$A$4:$U$1800,8,FALSE)</f>
        <v>5020000000</v>
      </c>
      <c r="AA1343" s="428" t="str">
        <f>VLOOKUP(H1343,'Fund Utilization Report'!$A$4:$U$1800,14,FALSE)</f>
        <v>100000100001000</v>
      </c>
      <c r="AB1343" s="349" t="str">
        <f>VLOOKUP(H1343,'Fund Utilization Report'!$A$4:$U$1800,15,FALSE)</f>
        <v>General Administration and Supervision - General Management and Supervision</v>
      </c>
      <c r="AC1343" s="39"/>
      <c r="AD1343" s="34"/>
      <c r="AE1343" s="39"/>
      <c r="AF1343" s="51"/>
      <c r="AG1343" s="40"/>
      <c r="AH1343" s="40"/>
    </row>
    <row r="1344" spans="1:34" s="32" customFormat="1">
      <c r="A1344" s="434" t="s">
        <v>942</v>
      </c>
      <c r="B1344" s="457" t="s">
        <v>946</v>
      </c>
      <c r="C1344" s="233">
        <v>44279</v>
      </c>
      <c r="D1344" s="435" t="s">
        <v>1267</v>
      </c>
      <c r="E1344" s="436" t="s">
        <v>1528</v>
      </c>
      <c r="F1344" s="338">
        <v>0.46527777777777773</v>
      </c>
      <c r="G1344" s="338">
        <v>0.46875</v>
      </c>
      <c r="H1344" s="338" t="s">
        <v>961</v>
      </c>
      <c r="I1344" s="353">
        <v>773</v>
      </c>
      <c r="J1344" s="338" t="str">
        <f>IFERROR(VLOOKUP(I1344,'Chart of accounts'!A:H,2,FALSE),"")</f>
        <v>50205020 01</v>
      </c>
      <c r="K1344" s="338" t="str">
        <f>IFERROR(VLOOKUP(I1344,'Chart of accounts'!A:H,3,FALSE),"")</f>
        <v xml:space="preserve">Telephone Expenses - Mobile </v>
      </c>
      <c r="L1344" s="338" t="str">
        <f>IFERROR(VLOOKUP(I1344,'Chart of accounts'!A:H,4,FALSE),"")</f>
        <v>50205020 01 - Telephone Expenses - Mobile  (773)</v>
      </c>
      <c r="M1344" s="361">
        <v>3</v>
      </c>
      <c r="N1344" s="420" t="s">
        <v>820</v>
      </c>
      <c r="O1344" s="420" t="s">
        <v>1532</v>
      </c>
      <c r="P1344" s="420"/>
      <c r="Q1344" s="420">
        <v>4482</v>
      </c>
      <c r="R1344" s="428">
        <f t="shared" si="51"/>
        <v>-4482</v>
      </c>
      <c r="S1344" s="428" t="str">
        <f>VLOOKUP(H1344,'Fund Utilization Report'!$A$4:$U$1800,13,FALSE)</f>
        <v>MOOE</v>
      </c>
      <c r="T1344" s="428" t="str">
        <f>VLOOKUP(H1344,'Fund Utilization Report'!$A$4:$U$1800,2,FALSE)</f>
        <v>GAA</v>
      </c>
      <c r="U1344" s="428" t="str">
        <f>VLOOKUP(H1344,'Fund Utilization Report'!$A$4:$U$1800,3,FALSE)</f>
        <v>FY2021, RA11518</v>
      </c>
      <c r="V1344" s="428" t="str">
        <f>VLOOKUP(H1344,'Fund Utilization Report'!$A$4:$U$1800,4,FALSE)</f>
        <v>GAS(GMS)</v>
      </c>
      <c r="W1344" s="428" t="str">
        <f>VLOOKUP(H1344,'Fund Utilization Report'!$A$4:$U$1800,5,FALSE)</f>
        <v>01101101</v>
      </c>
      <c r="X1344" s="428" t="str">
        <f>VLOOKUP(H1344,'Fund Utilization Report'!$A$4:$U$1800,6,FALSE)</f>
        <v>GOP</v>
      </c>
      <c r="Y1344" s="320" t="str">
        <f>VLOOKUP(H1344,'Fund Utilization Report'!$A$4:$U$1800,7,FALSE)</f>
        <v>MOOE</v>
      </c>
      <c r="Z1344" s="425">
        <f>VLOOKUP(H1344,'Fund Utilization Report'!$A$4:$U$1800,8,FALSE)</f>
        <v>5020000000</v>
      </c>
      <c r="AA1344" s="428" t="str">
        <f>VLOOKUP(H1344,'Fund Utilization Report'!$A$4:$U$1800,14,FALSE)</f>
        <v>100000100001000</v>
      </c>
      <c r="AB1344" s="349" t="str">
        <f>VLOOKUP(H1344,'Fund Utilization Report'!$A$4:$U$1800,15,FALSE)</f>
        <v>General Administration and Supervision - General Management and Supervision</v>
      </c>
      <c r="AC1344" s="39"/>
      <c r="AD1344" s="34"/>
      <c r="AE1344" s="39"/>
      <c r="AF1344" s="51"/>
      <c r="AG1344" s="40"/>
      <c r="AH1344" s="40"/>
    </row>
    <row r="1345" spans="1:34" s="32" customFormat="1">
      <c r="A1345" s="434" t="s">
        <v>942</v>
      </c>
      <c r="B1345" s="457" t="s">
        <v>946</v>
      </c>
      <c r="C1345" s="233">
        <v>44279</v>
      </c>
      <c r="D1345" s="435" t="s">
        <v>1267</v>
      </c>
      <c r="E1345" s="436" t="s">
        <v>1528</v>
      </c>
      <c r="F1345" s="338">
        <v>0.46527777777777773</v>
      </c>
      <c r="G1345" s="338">
        <v>0.46875</v>
      </c>
      <c r="H1345" s="338" t="s">
        <v>961</v>
      </c>
      <c r="I1345" s="353">
        <v>775</v>
      </c>
      <c r="J1345" s="338" t="str">
        <f>IFERROR(VLOOKUP(I1345,'Chart of accounts'!A:H,2,FALSE),"")</f>
        <v>50205040 00</v>
      </c>
      <c r="K1345" s="338" t="str">
        <f>IFERROR(VLOOKUP(I1345,'Chart of accounts'!A:H,3,FALSE),"")</f>
        <v>Cable, Satellite, Telegraph, and Radio Expenses</v>
      </c>
      <c r="L1345" s="338" t="str">
        <f>IFERROR(VLOOKUP(I1345,'Chart of accounts'!A:H,4,FALSE),"")</f>
        <v>50205040 00 - Cable, Satellite, Telegraph, and Radio Expenses (775)</v>
      </c>
      <c r="M1345" s="361">
        <v>3</v>
      </c>
      <c r="N1345" s="420" t="s">
        <v>820</v>
      </c>
      <c r="O1345" s="420" t="s">
        <v>1532</v>
      </c>
      <c r="P1345" s="420"/>
      <c r="Q1345" s="420">
        <v>1245</v>
      </c>
      <c r="R1345" s="428">
        <f t="shared" si="51"/>
        <v>-1245</v>
      </c>
      <c r="S1345" s="428" t="str">
        <f>VLOOKUP(H1345,'Fund Utilization Report'!$A$4:$U$1800,13,FALSE)</f>
        <v>MOOE</v>
      </c>
      <c r="T1345" s="428" t="str">
        <f>VLOOKUP(H1345,'Fund Utilization Report'!$A$4:$U$1800,2,FALSE)</f>
        <v>GAA</v>
      </c>
      <c r="U1345" s="428" t="str">
        <f>VLOOKUP(H1345,'Fund Utilization Report'!$A$4:$U$1800,3,FALSE)</f>
        <v>FY2021, RA11518</v>
      </c>
      <c r="V1345" s="428" t="str">
        <f>VLOOKUP(H1345,'Fund Utilization Report'!$A$4:$U$1800,4,FALSE)</f>
        <v>GAS(GMS)</v>
      </c>
      <c r="W1345" s="428" t="str">
        <f>VLOOKUP(H1345,'Fund Utilization Report'!$A$4:$U$1800,5,FALSE)</f>
        <v>01101101</v>
      </c>
      <c r="X1345" s="428" t="str">
        <f>VLOOKUP(H1345,'Fund Utilization Report'!$A$4:$U$1800,6,FALSE)</f>
        <v>GOP</v>
      </c>
      <c r="Y1345" s="320" t="str">
        <f>VLOOKUP(H1345,'Fund Utilization Report'!$A$4:$U$1800,7,FALSE)</f>
        <v>MOOE</v>
      </c>
      <c r="Z1345" s="425">
        <f>VLOOKUP(H1345,'Fund Utilization Report'!$A$4:$U$1800,8,FALSE)</f>
        <v>5020000000</v>
      </c>
      <c r="AA1345" s="428" t="str">
        <f>VLOOKUP(H1345,'Fund Utilization Report'!$A$4:$U$1800,14,FALSE)</f>
        <v>100000100001000</v>
      </c>
      <c r="AB1345" s="349" t="str">
        <f>VLOOKUP(H1345,'Fund Utilization Report'!$A$4:$U$1800,15,FALSE)</f>
        <v>General Administration and Supervision - General Management and Supervision</v>
      </c>
      <c r="AC1345" s="39"/>
      <c r="AD1345" s="34"/>
      <c r="AE1345" s="39"/>
      <c r="AF1345" s="51"/>
      <c r="AG1345" s="40"/>
      <c r="AH1345" s="40"/>
    </row>
    <row r="1346" spans="1:34" s="32" customFormat="1">
      <c r="A1346" s="434" t="s">
        <v>942</v>
      </c>
      <c r="B1346" s="457" t="s">
        <v>946</v>
      </c>
      <c r="C1346" s="233">
        <v>44279</v>
      </c>
      <c r="D1346" s="435" t="s">
        <v>1267</v>
      </c>
      <c r="E1346" s="436" t="s">
        <v>1528</v>
      </c>
      <c r="F1346" s="338">
        <v>0.46527777777777773</v>
      </c>
      <c r="G1346" s="338">
        <v>0.46875</v>
      </c>
      <c r="H1346" s="338" t="s">
        <v>961</v>
      </c>
      <c r="I1346" s="353">
        <v>791</v>
      </c>
      <c r="J1346" s="338" t="str">
        <f>IFERROR(VLOOKUP(I1346,'Chart of accounts'!A:H,2,FALSE),"")</f>
        <v>50211010 00</v>
      </c>
      <c r="K1346" s="338" t="str">
        <f>IFERROR(VLOOKUP(I1346,'Chart of accounts'!A:H,3,FALSE),"")</f>
        <v>Legal Services</v>
      </c>
      <c r="L1346" s="338" t="str">
        <f>IFERROR(VLOOKUP(I1346,'Chart of accounts'!A:H,4,FALSE),"")</f>
        <v>50211010 00 - Legal Services (791)</v>
      </c>
      <c r="M1346" s="361">
        <v>3</v>
      </c>
      <c r="N1346" s="420" t="s">
        <v>820</v>
      </c>
      <c r="O1346" s="420" t="s">
        <v>1532</v>
      </c>
      <c r="P1346" s="420"/>
      <c r="Q1346" s="420">
        <v>747</v>
      </c>
      <c r="R1346" s="428">
        <f t="shared" si="51"/>
        <v>-747</v>
      </c>
      <c r="S1346" s="428" t="str">
        <f>VLOOKUP(H1346,'Fund Utilization Report'!$A$4:$U$1800,13,FALSE)</f>
        <v>MOOE</v>
      </c>
      <c r="T1346" s="428" t="str">
        <f>VLOOKUP(H1346,'Fund Utilization Report'!$A$4:$U$1800,2,FALSE)</f>
        <v>GAA</v>
      </c>
      <c r="U1346" s="428" t="str">
        <f>VLOOKUP(H1346,'Fund Utilization Report'!$A$4:$U$1800,3,FALSE)</f>
        <v>FY2021, RA11518</v>
      </c>
      <c r="V1346" s="428" t="str">
        <f>VLOOKUP(H1346,'Fund Utilization Report'!$A$4:$U$1800,4,FALSE)</f>
        <v>GAS(GMS)</v>
      </c>
      <c r="W1346" s="428" t="str">
        <f>VLOOKUP(H1346,'Fund Utilization Report'!$A$4:$U$1800,5,FALSE)</f>
        <v>01101101</v>
      </c>
      <c r="X1346" s="428" t="str">
        <f>VLOOKUP(H1346,'Fund Utilization Report'!$A$4:$U$1800,6,FALSE)</f>
        <v>GOP</v>
      </c>
      <c r="Y1346" s="320" t="str">
        <f>VLOOKUP(H1346,'Fund Utilization Report'!$A$4:$U$1800,7,FALSE)</f>
        <v>MOOE</v>
      </c>
      <c r="Z1346" s="425">
        <f>VLOOKUP(H1346,'Fund Utilization Report'!$A$4:$U$1800,8,FALSE)</f>
        <v>5020000000</v>
      </c>
      <c r="AA1346" s="428" t="str">
        <f>VLOOKUP(H1346,'Fund Utilization Report'!$A$4:$U$1800,14,FALSE)</f>
        <v>100000100001000</v>
      </c>
      <c r="AB1346" s="349" t="str">
        <f>VLOOKUP(H1346,'Fund Utilization Report'!$A$4:$U$1800,15,FALSE)</f>
        <v>General Administration and Supervision - General Management and Supervision</v>
      </c>
      <c r="AC1346" s="39"/>
      <c r="AD1346" s="34"/>
      <c r="AE1346" s="39"/>
      <c r="AF1346" s="51"/>
      <c r="AG1346" s="40"/>
      <c r="AH1346" s="40"/>
    </row>
    <row r="1347" spans="1:34" s="32" customFormat="1">
      <c r="A1347" s="434" t="s">
        <v>942</v>
      </c>
      <c r="B1347" s="457" t="s">
        <v>946</v>
      </c>
      <c r="C1347" s="233">
        <v>44279</v>
      </c>
      <c r="D1347" s="435" t="s">
        <v>1267</v>
      </c>
      <c r="E1347" s="436" t="s">
        <v>1528</v>
      </c>
      <c r="F1347" s="338">
        <v>0.46527777777777773</v>
      </c>
      <c r="G1347" s="338">
        <v>0.46875</v>
      </c>
      <c r="H1347" s="338" t="s">
        <v>961</v>
      </c>
      <c r="I1347" s="353">
        <v>796</v>
      </c>
      <c r="J1347" s="338" t="str">
        <f>IFERROR(VLOOKUP(I1347,'Chart of accounts'!A:H,2,FALSE),"")</f>
        <v>50212020 00</v>
      </c>
      <c r="K1347" s="338" t="str">
        <f>IFERROR(VLOOKUP(I1347,'Chart of accounts'!A:H,3,FALSE),"")</f>
        <v>Janitorial Services</v>
      </c>
      <c r="L1347" s="338" t="str">
        <f>IFERROR(VLOOKUP(I1347,'Chart of accounts'!A:H,4,FALSE),"")</f>
        <v>50212020 00 - Janitorial Services (796)</v>
      </c>
      <c r="M1347" s="361">
        <v>3</v>
      </c>
      <c r="N1347" s="420" t="s">
        <v>820</v>
      </c>
      <c r="O1347" s="420" t="s">
        <v>1532</v>
      </c>
      <c r="P1347" s="420"/>
      <c r="Q1347" s="420">
        <v>20770.75</v>
      </c>
      <c r="R1347" s="428">
        <f t="shared" si="51"/>
        <v>-20770.75</v>
      </c>
      <c r="S1347" s="428" t="str">
        <f>VLOOKUP(H1347,'Fund Utilization Report'!$A$4:$U$1800,13,FALSE)</f>
        <v>MOOE</v>
      </c>
      <c r="T1347" s="428" t="str">
        <f>VLOOKUP(H1347,'Fund Utilization Report'!$A$4:$U$1800,2,FALSE)</f>
        <v>GAA</v>
      </c>
      <c r="U1347" s="428" t="str">
        <f>VLOOKUP(H1347,'Fund Utilization Report'!$A$4:$U$1800,3,FALSE)</f>
        <v>FY2021, RA11518</v>
      </c>
      <c r="V1347" s="428" t="str">
        <f>VLOOKUP(H1347,'Fund Utilization Report'!$A$4:$U$1800,4,FALSE)</f>
        <v>GAS(GMS)</v>
      </c>
      <c r="W1347" s="428" t="str">
        <f>VLOOKUP(H1347,'Fund Utilization Report'!$A$4:$U$1800,5,FALSE)</f>
        <v>01101101</v>
      </c>
      <c r="X1347" s="428" t="str">
        <f>VLOOKUP(H1347,'Fund Utilization Report'!$A$4:$U$1800,6,FALSE)</f>
        <v>GOP</v>
      </c>
      <c r="Y1347" s="320" t="str">
        <f>VLOOKUP(H1347,'Fund Utilization Report'!$A$4:$U$1800,7,FALSE)</f>
        <v>MOOE</v>
      </c>
      <c r="Z1347" s="425">
        <f>VLOOKUP(H1347,'Fund Utilization Report'!$A$4:$U$1800,8,FALSE)</f>
        <v>5020000000</v>
      </c>
      <c r="AA1347" s="428" t="str">
        <f>VLOOKUP(H1347,'Fund Utilization Report'!$A$4:$U$1800,14,FALSE)</f>
        <v>100000100001000</v>
      </c>
      <c r="AB1347" s="349" t="str">
        <f>VLOOKUP(H1347,'Fund Utilization Report'!$A$4:$U$1800,15,FALSE)</f>
        <v>General Administration and Supervision - General Management and Supervision</v>
      </c>
      <c r="AC1347" s="39"/>
      <c r="AD1347" s="34"/>
      <c r="AE1347" s="39"/>
      <c r="AF1347" s="51"/>
      <c r="AG1347" s="40"/>
      <c r="AH1347" s="40"/>
    </row>
    <row r="1348" spans="1:34" s="32" customFormat="1">
      <c r="A1348" s="434" t="s">
        <v>942</v>
      </c>
      <c r="B1348" s="457" t="s">
        <v>946</v>
      </c>
      <c r="C1348" s="233">
        <v>44279</v>
      </c>
      <c r="D1348" s="435" t="s">
        <v>1267</v>
      </c>
      <c r="E1348" s="436" t="s">
        <v>1528</v>
      </c>
      <c r="F1348" s="338">
        <v>0.46527777777777773</v>
      </c>
      <c r="G1348" s="338">
        <v>0.46875</v>
      </c>
      <c r="H1348" s="338" t="s">
        <v>961</v>
      </c>
      <c r="I1348" s="353">
        <v>795</v>
      </c>
      <c r="J1348" s="338" t="str">
        <f>IFERROR(VLOOKUP(I1348,'Chart of accounts'!A:H,2,FALSE),"")</f>
        <v>50212990 00</v>
      </c>
      <c r="K1348" s="338" t="str">
        <f>IFERROR(VLOOKUP(I1348,'Chart of accounts'!A:H,3,FALSE),"")</f>
        <v>Other General Services</v>
      </c>
      <c r="L1348" s="338" t="str">
        <f>IFERROR(VLOOKUP(I1348,'Chart of accounts'!A:H,4,FALSE),"")</f>
        <v>50212990 00 - Other General Services (795)</v>
      </c>
      <c r="M1348" s="361">
        <v>3</v>
      </c>
      <c r="N1348" s="420" t="s">
        <v>820</v>
      </c>
      <c r="O1348" s="420" t="s">
        <v>1532</v>
      </c>
      <c r="P1348" s="420"/>
      <c r="Q1348" s="420">
        <v>100174.36</v>
      </c>
      <c r="R1348" s="428">
        <f t="shared" si="51"/>
        <v>-100174.36</v>
      </c>
      <c r="S1348" s="428" t="str">
        <f>VLOOKUP(H1348,'Fund Utilization Report'!$A$4:$U$1800,13,FALSE)</f>
        <v>MOOE</v>
      </c>
      <c r="T1348" s="428" t="str">
        <f>VLOOKUP(H1348,'Fund Utilization Report'!$A$4:$U$1800,2,FALSE)</f>
        <v>GAA</v>
      </c>
      <c r="U1348" s="428" t="str">
        <f>VLOOKUP(H1348,'Fund Utilization Report'!$A$4:$U$1800,3,FALSE)</f>
        <v>FY2021, RA11518</v>
      </c>
      <c r="V1348" s="428" t="str">
        <f>VLOOKUP(H1348,'Fund Utilization Report'!$A$4:$U$1800,4,FALSE)</f>
        <v>GAS(GMS)</v>
      </c>
      <c r="W1348" s="428" t="str">
        <f>VLOOKUP(H1348,'Fund Utilization Report'!$A$4:$U$1800,5,FALSE)</f>
        <v>01101101</v>
      </c>
      <c r="X1348" s="428" t="str">
        <f>VLOOKUP(H1348,'Fund Utilization Report'!$A$4:$U$1800,6,FALSE)</f>
        <v>GOP</v>
      </c>
      <c r="Y1348" s="320" t="str">
        <f>VLOOKUP(H1348,'Fund Utilization Report'!$A$4:$U$1800,7,FALSE)</f>
        <v>MOOE</v>
      </c>
      <c r="Z1348" s="425">
        <f>VLOOKUP(H1348,'Fund Utilization Report'!$A$4:$U$1800,8,FALSE)</f>
        <v>5020000000</v>
      </c>
      <c r="AA1348" s="428" t="str">
        <f>VLOOKUP(H1348,'Fund Utilization Report'!$A$4:$U$1800,14,FALSE)</f>
        <v>100000100001000</v>
      </c>
      <c r="AB1348" s="349" t="str">
        <f>VLOOKUP(H1348,'Fund Utilization Report'!$A$4:$U$1800,15,FALSE)</f>
        <v>General Administration and Supervision - General Management and Supervision</v>
      </c>
      <c r="AC1348" s="39"/>
      <c r="AD1348" s="34"/>
      <c r="AE1348" s="39"/>
      <c r="AF1348" s="51"/>
      <c r="AG1348" s="40"/>
      <c r="AH1348" s="40"/>
    </row>
    <row r="1349" spans="1:34" s="32" customFormat="1">
      <c r="A1349" s="434" t="s">
        <v>942</v>
      </c>
      <c r="B1349" s="457" t="s">
        <v>946</v>
      </c>
      <c r="C1349" s="233">
        <v>44279</v>
      </c>
      <c r="D1349" s="435" t="s">
        <v>1267</v>
      </c>
      <c r="E1349" s="436" t="s">
        <v>1528</v>
      </c>
      <c r="F1349" s="338">
        <v>0.46527777777777773</v>
      </c>
      <c r="G1349" s="338">
        <v>0.46875</v>
      </c>
      <c r="H1349" s="338" t="s">
        <v>968</v>
      </c>
      <c r="I1349" s="353">
        <v>820</v>
      </c>
      <c r="J1349" s="338" t="str">
        <f>IFERROR(VLOOKUP(I1349,'Chart of accounts'!A:H,2,FALSE),"")</f>
        <v>50213040 01</v>
      </c>
      <c r="K1349" s="338" t="str">
        <f>IFERROR(VLOOKUP(I1349,'Chart of accounts'!A:H,3,FALSE),"")</f>
        <v>Buildings</v>
      </c>
      <c r="L1349" s="338" t="str">
        <f>IFERROR(VLOOKUP(I1349,'Chart of accounts'!A:H,4,FALSE),"")</f>
        <v>50213040 01 - Buildings (820)</v>
      </c>
      <c r="M1349" s="361">
        <v>3</v>
      </c>
      <c r="N1349" s="420" t="s">
        <v>820</v>
      </c>
      <c r="O1349" s="420" t="s">
        <v>1532</v>
      </c>
      <c r="P1349" s="420"/>
      <c r="Q1349" s="420">
        <v>59711.86</v>
      </c>
      <c r="R1349" s="428">
        <f t="shared" si="51"/>
        <v>-59711.86</v>
      </c>
      <c r="S1349" s="428" t="str">
        <f>VLOOKUP(H1349,'Fund Utilization Report'!$A$4:$U$1800,13,FALSE)</f>
        <v>MOOE</v>
      </c>
      <c r="T1349" s="428" t="str">
        <f>VLOOKUP(H1349,'Fund Utilization Report'!$A$4:$U$1800,2,FALSE)</f>
        <v>GAA</v>
      </c>
      <c r="U1349" s="428" t="str">
        <f>VLOOKUP(H1349,'Fund Utilization Report'!$A$4:$U$1800,3,FALSE)</f>
        <v>FY2021, RA11518</v>
      </c>
      <c r="V1349" s="428" t="str">
        <f>VLOOKUP(H1349,'Fund Utilization Report'!$A$4:$U$1800,4,FALSE)</f>
        <v>OO2</v>
      </c>
      <c r="W1349" s="428" t="str">
        <f>VLOOKUP(H1349,'Fund Utilization Report'!$A$4:$U$1800,5,FALSE)</f>
        <v>01101101</v>
      </c>
      <c r="X1349" s="428" t="str">
        <f>VLOOKUP(H1349,'Fund Utilization Report'!$A$4:$U$1800,6,FALSE)</f>
        <v>GOP</v>
      </c>
      <c r="Y1349" s="320" t="str">
        <f>VLOOKUP(H1349,'Fund Utilization Report'!$A$4:$U$1800,7,FALSE)</f>
        <v>MOOE</v>
      </c>
      <c r="Z1349" s="425">
        <f>VLOOKUP(H1349,'Fund Utilization Report'!$A$4:$U$1800,8,FALSE)</f>
        <v>5020000000</v>
      </c>
      <c r="AA1349" s="428" t="str">
        <f>VLOOKUP(H1349,'Fund Utilization Report'!$A$4:$U$1800,14,FALSE)</f>
        <v>320100100001000</v>
      </c>
      <c r="AB1349" s="349" t="str">
        <f>VLOOKUP(H1349,'Fund Utilization Report'!$A$4:$U$1800,15,FALSE)</f>
        <v>Formulation of Strategic plans,programs, and policies to develop competitve industries</v>
      </c>
      <c r="AC1349" s="39"/>
      <c r="AD1349" s="34"/>
      <c r="AE1349" s="39"/>
      <c r="AF1349" s="51"/>
      <c r="AG1349" s="40"/>
      <c r="AH1349" s="40"/>
    </row>
    <row r="1350" spans="1:34" s="32" customFormat="1">
      <c r="A1350" s="434" t="s">
        <v>942</v>
      </c>
      <c r="B1350" s="457" t="s">
        <v>946</v>
      </c>
      <c r="C1350" s="233">
        <v>44279</v>
      </c>
      <c r="D1350" s="435" t="s">
        <v>1267</v>
      </c>
      <c r="E1350" s="436" t="s">
        <v>1528</v>
      </c>
      <c r="F1350" s="338">
        <v>0.46527777777777773</v>
      </c>
      <c r="G1350" s="338">
        <v>0.46875</v>
      </c>
      <c r="H1350" s="338" t="s">
        <v>971</v>
      </c>
      <c r="I1350" s="353">
        <v>821</v>
      </c>
      <c r="J1350" s="338" t="str">
        <f>IFERROR(VLOOKUP(I1350,'Chart of accounts'!A:H,2,FALSE),"")</f>
        <v>50213050 02</v>
      </c>
      <c r="K1350" s="338" t="str">
        <f>IFERROR(VLOOKUP(I1350,'Chart of accounts'!A:H,3,FALSE),"")</f>
        <v>Office Equipment</v>
      </c>
      <c r="L1350" s="338" t="str">
        <f>IFERROR(VLOOKUP(I1350,'Chart of accounts'!A:H,4,FALSE),"")</f>
        <v>50213050 02 - Office Equipment (821)</v>
      </c>
      <c r="M1350" s="361">
        <v>3</v>
      </c>
      <c r="N1350" s="420" t="s">
        <v>820</v>
      </c>
      <c r="O1350" s="420" t="s">
        <v>1532</v>
      </c>
      <c r="P1350" s="420"/>
      <c r="Q1350" s="420">
        <v>4150</v>
      </c>
      <c r="R1350" s="428">
        <f t="shared" si="51"/>
        <v>-4150</v>
      </c>
      <c r="S1350" s="428" t="str">
        <f>VLOOKUP(H1350,'Fund Utilization Report'!$A$4:$U$1800,13,FALSE)</f>
        <v>MOOE</v>
      </c>
      <c r="T1350" s="428" t="str">
        <f>VLOOKUP(H1350,'Fund Utilization Report'!$A$4:$U$1800,2,FALSE)</f>
        <v>GAA</v>
      </c>
      <c r="U1350" s="428" t="str">
        <f>VLOOKUP(H1350,'Fund Utilization Report'!$A$4:$U$1800,3,FALSE)</f>
        <v>FY2021, RA11518</v>
      </c>
      <c r="V1350" s="428" t="str">
        <f>VLOOKUP(H1350,'Fund Utilization Report'!$A$4:$U$1800,4,FALSE)</f>
        <v>OO3</v>
      </c>
      <c r="W1350" s="428" t="str">
        <f>VLOOKUP(H1350,'Fund Utilization Report'!$A$4:$U$1800,5,FALSE)</f>
        <v>01101101</v>
      </c>
      <c r="X1350" s="428" t="str">
        <f>VLOOKUP(H1350,'Fund Utilization Report'!$A$4:$U$1800,6,FALSE)</f>
        <v>GOP</v>
      </c>
      <c r="Y1350" s="320" t="str">
        <f>VLOOKUP(H1350,'Fund Utilization Report'!$A$4:$U$1800,7,FALSE)</f>
        <v>MOOE</v>
      </c>
      <c r="Z1350" s="425">
        <f>VLOOKUP(H1350,'Fund Utilization Report'!$A$4:$U$1800,8,FALSE)</f>
        <v>5020000000</v>
      </c>
      <c r="AA1350" s="428" t="str">
        <f>VLOOKUP(H1350,'Fund Utilization Report'!$A$4:$U$1800,14,FALSE)</f>
        <v>330100100002000</v>
      </c>
      <c r="AB1350" s="349" t="str">
        <f>VLOOKUP(H1350,'Fund Utilization Report'!$A$4:$U$1800,15,FALSE)</f>
        <v>Implementation of the MSME Development Plan and other initiatives to promote the growth of Micro, Small and Medium Enterprises</v>
      </c>
      <c r="AC1350" s="39"/>
      <c r="AD1350" s="34"/>
      <c r="AE1350" s="39"/>
      <c r="AF1350" s="51"/>
      <c r="AG1350" s="40"/>
      <c r="AH1350" s="40"/>
    </row>
    <row r="1351" spans="1:34" s="32" customFormat="1">
      <c r="A1351" s="434" t="s">
        <v>942</v>
      </c>
      <c r="B1351" s="457" t="s">
        <v>946</v>
      </c>
      <c r="C1351" s="233">
        <v>44279</v>
      </c>
      <c r="D1351" s="435" t="s">
        <v>1267</v>
      </c>
      <c r="E1351" s="436" t="s">
        <v>1528</v>
      </c>
      <c r="F1351" s="338">
        <v>0.46527777777777773</v>
      </c>
      <c r="G1351" s="338">
        <v>0.46875</v>
      </c>
      <c r="H1351" s="338" t="s">
        <v>968</v>
      </c>
      <c r="I1351" s="353">
        <v>823</v>
      </c>
      <c r="J1351" s="338" t="str">
        <f>IFERROR(VLOOKUP(I1351,'Chart of accounts'!A:H,2,FALSE),"")</f>
        <v>50213050 03</v>
      </c>
      <c r="K1351" s="338" t="str">
        <f>IFERROR(VLOOKUP(I1351,'Chart of accounts'!A:H,3,FALSE),"")</f>
        <v>ICT Equipment</v>
      </c>
      <c r="L1351" s="338" t="str">
        <f>IFERROR(VLOOKUP(I1351,'Chart of accounts'!A:H,4,FALSE),"")</f>
        <v>50213050 03 - ICT Equipment (823)</v>
      </c>
      <c r="M1351" s="361">
        <v>3</v>
      </c>
      <c r="N1351" s="420" t="s">
        <v>820</v>
      </c>
      <c r="O1351" s="420" t="s">
        <v>1532</v>
      </c>
      <c r="P1351" s="420"/>
      <c r="Q1351" s="420">
        <v>4150</v>
      </c>
      <c r="R1351" s="428">
        <f t="shared" si="51"/>
        <v>-4150</v>
      </c>
      <c r="S1351" s="428" t="str">
        <f>VLOOKUP(H1351,'Fund Utilization Report'!$A$4:$U$1800,13,FALSE)</f>
        <v>MOOE</v>
      </c>
      <c r="T1351" s="428" t="str">
        <f>VLOOKUP(H1351,'Fund Utilization Report'!$A$4:$U$1800,2,FALSE)</f>
        <v>GAA</v>
      </c>
      <c r="U1351" s="428" t="str">
        <f>VLOOKUP(H1351,'Fund Utilization Report'!$A$4:$U$1800,3,FALSE)</f>
        <v>FY2021, RA11518</v>
      </c>
      <c r="V1351" s="428" t="str">
        <f>VLOOKUP(H1351,'Fund Utilization Report'!$A$4:$U$1800,4,FALSE)</f>
        <v>OO2</v>
      </c>
      <c r="W1351" s="428" t="str">
        <f>VLOOKUP(H1351,'Fund Utilization Report'!$A$4:$U$1800,5,FALSE)</f>
        <v>01101101</v>
      </c>
      <c r="X1351" s="428" t="str">
        <f>VLOOKUP(H1351,'Fund Utilization Report'!$A$4:$U$1800,6,FALSE)</f>
        <v>GOP</v>
      </c>
      <c r="Y1351" s="320" t="str">
        <f>VLOOKUP(H1351,'Fund Utilization Report'!$A$4:$U$1800,7,FALSE)</f>
        <v>MOOE</v>
      </c>
      <c r="Z1351" s="425">
        <f>VLOOKUP(H1351,'Fund Utilization Report'!$A$4:$U$1800,8,FALSE)</f>
        <v>5020000000</v>
      </c>
      <c r="AA1351" s="428" t="str">
        <f>VLOOKUP(H1351,'Fund Utilization Report'!$A$4:$U$1800,14,FALSE)</f>
        <v>320100100001000</v>
      </c>
      <c r="AB1351" s="349" t="str">
        <f>VLOOKUP(H1351,'Fund Utilization Report'!$A$4:$U$1800,15,FALSE)</f>
        <v>Formulation of Strategic plans,programs, and policies to develop competitve industries</v>
      </c>
      <c r="AC1351" s="39"/>
      <c r="AD1351" s="34"/>
      <c r="AE1351" s="39"/>
      <c r="AF1351" s="51"/>
      <c r="AG1351" s="40"/>
      <c r="AH1351" s="40"/>
    </row>
    <row r="1352" spans="1:34" s="32" customFormat="1">
      <c r="A1352" s="434" t="s">
        <v>942</v>
      </c>
      <c r="B1352" s="457" t="s">
        <v>946</v>
      </c>
      <c r="C1352" s="233">
        <v>44279</v>
      </c>
      <c r="D1352" s="435" t="s">
        <v>1267</v>
      </c>
      <c r="E1352" s="436" t="s">
        <v>1528</v>
      </c>
      <c r="F1352" s="338">
        <v>0.46527777777777773</v>
      </c>
      <c r="G1352" s="338">
        <v>0.46875</v>
      </c>
      <c r="H1352" s="338" t="s">
        <v>968</v>
      </c>
      <c r="I1352" s="353">
        <v>822</v>
      </c>
      <c r="J1352" s="338" t="str">
        <f>IFERROR(VLOOKUP(I1352,'Chart of accounts'!A:H,2,FALSE),"")</f>
        <v>50213070 00</v>
      </c>
      <c r="K1352" s="338" t="str">
        <f>IFERROR(VLOOKUP(I1352,'Chart of accounts'!A:H,3,FALSE),"")</f>
        <v>Furniture and Fixture</v>
      </c>
      <c r="L1352" s="338" t="str">
        <f>IFERROR(VLOOKUP(I1352,'Chart of accounts'!A:H,4,FALSE),"")</f>
        <v>50213070 00 - Furniture and Fixture (822)</v>
      </c>
      <c r="M1352" s="361">
        <v>3</v>
      </c>
      <c r="N1352" s="420" t="s">
        <v>820</v>
      </c>
      <c r="O1352" s="420" t="s">
        <v>1532</v>
      </c>
      <c r="P1352" s="420"/>
      <c r="Q1352" s="420">
        <v>2075</v>
      </c>
      <c r="R1352" s="428">
        <f t="shared" si="51"/>
        <v>-2075</v>
      </c>
      <c r="S1352" s="428" t="str">
        <f>VLOOKUP(H1352,'Fund Utilization Report'!$A$4:$U$1800,13,FALSE)</f>
        <v>MOOE</v>
      </c>
      <c r="T1352" s="428" t="str">
        <f>VLOOKUP(H1352,'Fund Utilization Report'!$A$4:$U$1800,2,FALSE)</f>
        <v>GAA</v>
      </c>
      <c r="U1352" s="428" t="str">
        <f>VLOOKUP(H1352,'Fund Utilization Report'!$A$4:$U$1800,3,FALSE)</f>
        <v>FY2021, RA11518</v>
      </c>
      <c r="V1352" s="428" t="str">
        <f>VLOOKUP(H1352,'Fund Utilization Report'!$A$4:$U$1800,4,FALSE)</f>
        <v>OO2</v>
      </c>
      <c r="W1352" s="428" t="str">
        <f>VLOOKUP(H1352,'Fund Utilization Report'!$A$4:$U$1800,5,FALSE)</f>
        <v>01101101</v>
      </c>
      <c r="X1352" s="428" t="str">
        <f>VLOOKUP(H1352,'Fund Utilization Report'!$A$4:$U$1800,6,FALSE)</f>
        <v>GOP</v>
      </c>
      <c r="Y1352" s="320" t="str">
        <f>VLOOKUP(H1352,'Fund Utilization Report'!$A$4:$U$1800,7,FALSE)</f>
        <v>MOOE</v>
      </c>
      <c r="Z1352" s="425">
        <f>VLOOKUP(H1352,'Fund Utilization Report'!$A$4:$U$1800,8,FALSE)</f>
        <v>5020000000</v>
      </c>
      <c r="AA1352" s="428" t="str">
        <f>VLOOKUP(H1352,'Fund Utilization Report'!$A$4:$U$1800,14,FALSE)</f>
        <v>320100100001000</v>
      </c>
      <c r="AB1352" s="349" t="str">
        <f>VLOOKUP(H1352,'Fund Utilization Report'!$A$4:$U$1800,15,FALSE)</f>
        <v>Formulation of Strategic plans,programs, and policies to develop competitve industries</v>
      </c>
      <c r="AC1352" s="39"/>
      <c r="AD1352" s="34"/>
      <c r="AE1352" s="39"/>
      <c r="AF1352" s="51"/>
      <c r="AG1352" s="40"/>
      <c r="AH1352" s="40"/>
    </row>
    <row r="1353" spans="1:34" s="32" customFormat="1">
      <c r="A1353" s="434" t="s">
        <v>942</v>
      </c>
      <c r="B1353" s="457" t="s">
        <v>946</v>
      </c>
      <c r="C1353" s="233">
        <v>44279</v>
      </c>
      <c r="D1353" s="435" t="s">
        <v>1267</v>
      </c>
      <c r="E1353" s="436" t="s">
        <v>1528</v>
      </c>
      <c r="F1353" s="338">
        <v>0.46527777777777773</v>
      </c>
      <c r="G1353" s="338">
        <v>0.46875</v>
      </c>
      <c r="H1353" s="338" t="s">
        <v>961</v>
      </c>
      <c r="I1353" s="353">
        <v>841</v>
      </c>
      <c r="J1353" s="338" t="str">
        <f>IFERROR(VLOOKUP(I1353,'Chart of accounts'!A:H,2,FALSE),"")</f>
        <v>50213060 01</v>
      </c>
      <c r="K1353" s="338" t="str">
        <f>IFERROR(VLOOKUP(I1353,'Chart of accounts'!A:H,3,FALSE),"")</f>
        <v>Motor Vehicles</v>
      </c>
      <c r="L1353" s="338" t="str">
        <f>IFERROR(VLOOKUP(I1353,'Chart of accounts'!A:H,4,FALSE),"")</f>
        <v>50213060 01 - Motor Vehicles (841)</v>
      </c>
      <c r="M1353" s="361">
        <v>3</v>
      </c>
      <c r="N1353" s="420" t="s">
        <v>820</v>
      </c>
      <c r="O1353" s="420" t="s">
        <v>1532</v>
      </c>
      <c r="P1353" s="420"/>
      <c r="Q1353" s="420">
        <v>20750</v>
      </c>
      <c r="R1353" s="428">
        <f t="shared" si="51"/>
        <v>-20750</v>
      </c>
      <c r="S1353" s="428" t="str">
        <f>VLOOKUP(H1353,'Fund Utilization Report'!$A$4:$U$1800,13,FALSE)</f>
        <v>MOOE</v>
      </c>
      <c r="T1353" s="428" t="str">
        <f>VLOOKUP(H1353,'Fund Utilization Report'!$A$4:$U$1800,2,FALSE)</f>
        <v>GAA</v>
      </c>
      <c r="U1353" s="428" t="str">
        <f>VLOOKUP(H1353,'Fund Utilization Report'!$A$4:$U$1800,3,FALSE)</f>
        <v>FY2021, RA11518</v>
      </c>
      <c r="V1353" s="428" t="str">
        <f>VLOOKUP(H1353,'Fund Utilization Report'!$A$4:$U$1800,4,FALSE)</f>
        <v>GAS(GMS)</v>
      </c>
      <c r="W1353" s="428" t="str">
        <f>VLOOKUP(H1353,'Fund Utilization Report'!$A$4:$U$1800,5,FALSE)</f>
        <v>01101101</v>
      </c>
      <c r="X1353" s="428" t="str">
        <f>VLOOKUP(H1353,'Fund Utilization Report'!$A$4:$U$1800,6,FALSE)</f>
        <v>GOP</v>
      </c>
      <c r="Y1353" s="320" t="str">
        <f>VLOOKUP(H1353,'Fund Utilization Report'!$A$4:$U$1800,7,FALSE)</f>
        <v>MOOE</v>
      </c>
      <c r="Z1353" s="425">
        <f>VLOOKUP(H1353,'Fund Utilization Report'!$A$4:$U$1800,8,FALSE)</f>
        <v>5020000000</v>
      </c>
      <c r="AA1353" s="428" t="str">
        <f>VLOOKUP(H1353,'Fund Utilization Report'!$A$4:$U$1800,14,FALSE)</f>
        <v>100000100001000</v>
      </c>
      <c r="AB1353" s="349" t="str">
        <f>VLOOKUP(H1353,'Fund Utilization Report'!$A$4:$U$1800,15,FALSE)</f>
        <v>General Administration and Supervision - General Management and Supervision</v>
      </c>
      <c r="AC1353" s="39"/>
      <c r="AD1353" s="34"/>
      <c r="AE1353" s="39"/>
      <c r="AF1353" s="51"/>
      <c r="AG1353" s="40"/>
      <c r="AH1353" s="40"/>
    </row>
    <row r="1354" spans="1:34" s="32" customFormat="1">
      <c r="A1354" s="434" t="s">
        <v>942</v>
      </c>
      <c r="B1354" s="457" t="s">
        <v>946</v>
      </c>
      <c r="C1354" s="233">
        <v>44279</v>
      </c>
      <c r="D1354" s="435" t="s">
        <v>1267</v>
      </c>
      <c r="E1354" s="436" t="s">
        <v>1528</v>
      </c>
      <c r="F1354" s="338">
        <v>0.46527777777777773</v>
      </c>
      <c r="G1354" s="338">
        <v>0.46875</v>
      </c>
      <c r="H1354" s="338" t="s">
        <v>961</v>
      </c>
      <c r="I1354" s="353">
        <v>891</v>
      </c>
      <c r="J1354" s="338" t="str">
        <f>IFERROR(VLOOKUP(I1354,'Chart of accounts'!A:H,2,FALSE),"")</f>
        <v>50215010 01</v>
      </c>
      <c r="K1354" s="338" t="str">
        <f>IFERROR(VLOOKUP(I1354,'Chart of accounts'!A:H,3,FALSE),"")</f>
        <v>Taxes, Duties and Licenses</v>
      </c>
      <c r="L1354" s="338" t="str">
        <f>IFERROR(VLOOKUP(I1354,'Chart of accounts'!A:H,4,FALSE),"")</f>
        <v>50215010 01 - Taxes, Duties and Licenses (891)</v>
      </c>
      <c r="M1354" s="361">
        <v>3</v>
      </c>
      <c r="N1354" s="420" t="s">
        <v>820</v>
      </c>
      <c r="O1354" s="420" t="s">
        <v>1532</v>
      </c>
      <c r="P1354" s="420"/>
      <c r="Q1354" s="420">
        <v>1037.5</v>
      </c>
      <c r="R1354" s="428">
        <f t="shared" si="51"/>
        <v>-1037.5</v>
      </c>
      <c r="S1354" s="428" t="str">
        <f>VLOOKUP(H1354,'Fund Utilization Report'!$A$4:$U$1800,13,FALSE)</f>
        <v>MOOE</v>
      </c>
      <c r="T1354" s="428" t="str">
        <f>VLOOKUP(H1354,'Fund Utilization Report'!$A$4:$U$1800,2,FALSE)</f>
        <v>GAA</v>
      </c>
      <c r="U1354" s="428" t="str">
        <f>VLOOKUP(H1354,'Fund Utilization Report'!$A$4:$U$1800,3,FALSE)</f>
        <v>FY2021, RA11518</v>
      </c>
      <c r="V1354" s="428" t="str">
        <f>VLOOKUP(H1354,'Fund Utilization Report'!$A$4:$U$1800,4,FALSE)</f>
        <v>GAS(GMS)</v>
      </c>
      <c r="W1354" s="428" t="str">
        <f>VLOOKUP(H1354,'Fund Utilization Report'!$A$4:$U$1800,5,FALSE)</f>
        <v>01101101</v>
      </c>
      <c r="X1354" s="428" t="str">
        <f>VLOOKUP(H1354,'Fund Utilization Report'!$A$4:$U$1800,6,FALSE)</f>
        <v>GOP</v>
      </c>
      <c r="Y1354" s="320" t="str">
        <f>VLOOKUP(H1354,'Fund Utilization Report'!$A$4:$U$1800,7,FALSE)</f>
        <v>MOOE</v>
      </c>
      <c r="Z1354" s="425">
        <f>VLOOKUP(H1354,'Fund Utilization Report'!$A$4:$U$1800,8,FALSE)</f>
        <v>5020000000</v>
      </c>
      <c r="AA1354" s="428" t="str">
        <f>VLOOKUP(H1354,'Fund Utilization Report'!$A$4:$U$1800,14,FALSE)</f>
        <v>100000100001000</v>
      </c>
      <c r="AB1354" s="349" t="str">
        <f>VLOOKUP(H1354,'Fund Utilization Report'!$A$4:$U$1800,15,FALSE)</f>
        <v>General Administration and Supervision - General Management and Supervision</v>
      </c>
      <c r="AC1354" s="39"/>
      <c r="AD1354" s="34"/>
      <c r="AE1354" s="39"/>
      <c r="AF1354" s="51"/>
      <c r="AG1354" s="40"/>
      <c r="AH1354" s="40"/>
    </row>
    <row r="1355" spans="1:34" s="32" customFormat="1">
      <c r="A1355" s="434" t="s">
        <v>942</v>
      </c>
      <c r="B1355" s="457" t="s">
        <v>946</v>
      </c>
      <c r="C1355" s="233">
        <v>44279</v>
      </c>
      <c r="D1355" s="435" t="s">
        <v>1267</v>
      </c>
      <c r="E1355" s="436" t="s">
        <v>1528</v>
      </c>
      <c r="F1355" s="338">
        <v>0.46527777777777773</v>
      </c>
      <c r="G1355" s="338">
        <v>0.46875</v>
      </c>
      <c r="H1355" s="338" t="s">
        <v>961</v>
      </c>
      <c r="I1355" s="353">
        <v>892</v>
      </c>
      <c r="J1355" s="338" t="str">
        <f>IFERROR(VLOOKUP(I1355,'Chart of accounts'!A:H,2,FALSE),"")</f>
        <v>50215020 00</v>
      </c>
      <c r="K1355" s="338" t="str">
        <f>IFERROR(VLOOKUP(I1355,'Chart of accounts'!A:H,3,FALSE),"")</f>
        <v>Fidelity Bond Premiums</v>
      </c>
      <c r="L1355" s="338" t="str">
        <f>IFERROR(VLOOKUP(I1355,'Chart of accounts'!A:H,4,FALSE),"")</f>
        <v>50215020 00 - Fidelity Bond Premiums (892)</v>
      </c>
      <c r="M1355" s="361">
        <v>3</v>
      </c>
      <c r="N1355" s="420" t="s">
        <v>820</v>
      </c>
      <c r="O1355" s="420" t="s">
        <v>1532</v>
      </c>
      <c r="P1355" s="420"/>
      <c r="Q1355" s="420">
        <v>2697.5</v>
      </c>
      <c r="R1355" s="428">
        <f t="shared" si="51"/>
        <v>-2697.5</v>
      </c>
      <c r="S1355" s="428" t="str">
        <f>VLOOKUP(H1355,'Fund Utilization Report'!$A$4:$U$1800,13,FALSE)</f>
        <v>MOOE</v>
      </c>
      <c r="T1355" s="428" t="str">
        <f>VLOOKUP(H1355,'Fund Utilization Report'!$A$4:$U$1800,2,FALSE)</f>
        <v>GAA</v>
      </c>
      <c r="U1355" s="428" t="str">
        <f>VLOOKUP(H1355,'Fund Utilization Report'!$A$4:$U$1800,3,FALSE)</f>
        <v>FY2021, RA11518</v>
      </c>
      <c r="V1355" s="428" t="str">
        <f>VLOOKUP(H1355,'Fund Utilization Report'!$A$4:$U$1800,4,FALSE)</f>
        <v>GAS(GMS)</v>
      </c>
      <c r="W1355" s="428" t="str">
        <f>VLOOKUP(H1355,'Fund Utilization Report'!$A$4:$U$1800,5,FALSE)</f>
        <v>01101101</v>
      </c>
      <c r="X1355" s="428" t="str">
        <f>VLOOKUP(H1355,'Fund Utilization Report'!$A$4:$U$1800,6,FALSE)</f>
        <v>GOP</v>
      </c>
      <c r="Y1355" s="320" t="str">
        <f>VLOOKUP(H1355,'Fund Utilization Report'!$A$4:$U$1800,7,FALSE)</f>
        <v>MOOE</v>
      </c>
      <c r="Z1355" s="425">
        <f>VLOOKUP(H1355,'Fund Utilization Report'!$A$4:$U$1800,8,FALSE)</f>
        <v>5020000000</v>
      </c>
      <c r="AA1355" s="428" t="str">
        <f>VLOOKUP(H1355,'Fund Utilization Report'!$A$4:$U$1800,14,FALSE)</f>
        <v>100000100001000</v>
      </c>
      <c r="AB1355" s="349" t="str">
        <f>VLOOKUP(H1355,'Fund Utilization Report'!$A$4:$U$1800,15,FALSE)</f>
        <v>General Administration and Supervision - General Management and Supervision</v>
      </c>
      <c r="AC1355" s="39"/>
      <c r="AD1355" s="34"/>
      <c r="AE1355" s="39"/>
      <c r="AF1355" s="51"/>
      <c r="AG1355" s="40"/>
      <c r="AH1355" s="40"/>
    </row>
    <row r="1356" spans="1:34" s="32" customFormat="1">
      <c r="A1356" s="434" t="s">
        <v>942</v>
      </c>
      <c r="B1356" s="457" t="s">
        <v>946</v>
      </c>
      <c r="C1356" s="233">
        <v>44279</v>
      </c>
      <c r="D1356" s="435" t="s">
        <v>1267</v>
      </c>
      <c r="E1356" s="436" t="s">
        <v>1528</v>
      </c>
      <c r="F1356" s="338">
        <v>0.46527777777777773</v>
      </c>
      <c r="G1356" s="338">
        <v>0.46875</v>
      </c>
      <c r="H1356" s="338" t="s">
        <v>961</v>
      </c>
      <c r="I1356" s="353">
        <v>893</v>
      </c>
      <c r="J1356" s="338" t="str">
        <f>IFERROR(VLOOKUP(I1356,'Chart of accounts'!A:H,2,FALSE),"")</f>
        <v>50215030 00</v>
      </c>
      <c r="K1356" s="338" t="str">
        <f>IFERROR(VLOOKUP(I1356,'Chart of accounts'!A:H,3,FALSE),"")</f>
        <v>Insurance Expense</v>
      </c>
      <c r="L1356" s="338" t="str">
        <f>IFERROR(VLOOKUP(I1356,'Chart of accounts'!A:H,4,FALSE),"")</f>
        <v>50215030 00 - Insurance Expense (893)</v>
      </c>
      <c r="M1356" s="361">
        <v>3</v>
      </c>
      <c r="N1356" s="420" t="s">
        <v>820</v>
      </c>
      <c r="O1356" s="420" t="s">
        <v>1532</v>
      </c>
      <c r="P1356" s="420"/>
      <c r="Q1356" s="420">
        <v>5414.73</v>
      </c>
      <c r="R1356" s="428">
        <f t="shared" si="51"/>
        <v>-5414.73</v>
      </c>
      <c r="S1356" s="428" t="str">
        <f>VLOOKUP(H1356,'Fund Utilization Report'!$A$4:$U$1800,13,FALSE)</f>
        <v>MOOE</v>
      </c>
      <c r="T1356" s="428" t="str">
        <f>VLOOKUP(H1356,'Fund Utilization Report'!$A$4:$U$1800,2,FALSE)</f>
        <v>GAA</v>
      </c>
      <c r="U1356" s="428" t="str">
        <f>VLOOKUP(H1356,'Fund Utilization Report'!$A$4:$U$1800,3,FALSE)</f>
        <v>FY2021, RA11518</v>
      </c>
      <c r="V1356" s="428" t="str">
        <f>VLOOKUP(H1356,'Fund Utilization Report'!$A$4:$U$1800,4,FALSE)</f>
        <v>GAS(GMS)</v>
      </c>
      <c r="W1356" s="428" t="str">
        <f>VLOOKUP(H1356,'Fund Utilization Report'!$A$4:$U$1800,5,FALSE)</f>
        <v>01101101</v>
      </c>
      <c r="X1356" s="428" t="str">
        <f>VLOOKUP(H1356,'Fund Utilization Report'!$A$4:$U$1800,6,FALSE)</f>
        <v>GOP</v>
      </c>
      <c r="Y1356" s="320" t="str">
        <f>VLOOKUP(H1356,'Fund Utilization Report'!$A$4:$U$1800,7,FALSE)</f>
        <v>MOOE</v>
      </c>
      <c r="Z1356" s="425">
        <f>VLOOKUP(H1356,'Fund Utilization Report'!$A$4:$U$1800,8,FALSE)</f>
        <v>5020000000</v>
      </c>
      <c r="AA1356" s="428" t="str">
        <f>VLOOKUP(H1356,'Fund Utilization Report'!$A$4:$U$1800,14,FALSE)</f>
        <v>100000100001000</v>
      </c>
      <c r="AB1356" s="349" t="str">
        <f>VLOOKUP(H1356,'Fund Utilization Report'!$A$4:$U$1800,15,FALSE)</f>
        <v>General Administration and Supervision - General Management and Supervision</v>
      </c>
      <c r="AC1356" s="39"/>
      <c r="AD1356" s="34"/>
      <c r="AE1356" s="39"/>
      <c r="AF1356" s="51"/>
      <c r="AG1356" s="40"/>
      <c r="AH1356" s="40"/>
    </row>
    <row r="1357" spans="1:34" s="32" customFormat="1">
      <c r="A1357" s="434" t="s">
        <v>942</v>
      </c>
      <c r="B1357" s="457" t="s">
        <v>946</v>
      </c>
      <c r="C1357" s="233">
        <v>44279</v>
      </c>
      <c r="D1357" s="435" t="s">
        <v>1267</v>
      </c>
      <c r="E1357" s="436" t="s">
        <v>1528</v>
      </c>
      <c r="F1357" s="338">
        <v>0.46527777777777773</v>
      </c>
      <c r="G1357" s="338">
        <v>0.46875</v>
      </c>
      <c r="H1357" s="338" t="s">
        <v>961</v>
      </c>
      <c r="I1357" s="353">
        <v>751</v>
      </c>
      <c r="J1357" s="338" t="str">
        <f>IFERROR(VLOOKUP(I1357,'Chart of accounts'!A:H,2,FALSE),"")</f>
        <v>50201010 00</v>
      </c>
      <c r="K1357" s="338" t="str">
        <f>IFERROR(VLOOKUP(I1357,'Chart of accounts'!A:H,3,FALSE),"")</f>
        <v>Traveling Expenses - Local</v>
      </c>
      <c r="L1357" s="338" t="str">
        <f>IFERROR(VLOOKUP(I1357,'Chart of accounts'!A:H,4,FALSE),"")</f>
        <v>50201010 00 - Traveling Expenses - Local (751)</v>
      </c>
      <c r="M1357" s="361">
        <v>3</v>
      </c>
      <c r="N1357" s="420" t="s">
        <v>820</v>
      </c>
      <c r="O1357" s="420" t="s">
        <v>1532</v>
      </c>
      <c r="P1357" s="420"/>
      <c r="Q1357" s="420">
        <v>2075</v>
      </c>
      <c r="R1357" s="428">
        <f t="shared" si="51"/>
        <v>-2075</v>
      </c>
      <c r="S1357" s="428" t="str">
        <f>VLOOKUP(H1357,'Fund Utilization Report'!$A$4:$U$1800,13,FALSE)</f>
        <v>MOOE</v>
      </c>
      <c r="T1357" s="428" t="str">
        <f>VLOOKUP(H1357,'Fund Utilization Report'!$A$4:$U$1800,2,FALSE)</f>
        <v>GAA</v>
      </c>
      <c r="U1357" s="428" t="str">
        <f>VLOOKUP(H1357,'Fund Utilization Report'!$A$4:$U$1800,3,FALSE)</f>
        <v>FY2021, RA11518</v>
      </c>
      <c r="V1357" s="428" t="str">
        <f>VLOOKUP(H1357,'Fund Utilization Report'!$A$4:$U$1800,4,FALSE)</f>
        <v>GAS(GMS)</v>
      </c>
      <c r="W1357" s="428" t="str">
        <f>VLOOKUP(H1357,'Fund Utilization Report'!$A$4:$U$1800,5,FALSE)</f>
        <v>01101101</v>
      </c>
      <c r="X1357" s="428" t="str">
        <f>VLOOKUP(H1357,'Fund Utilization Report'!$A$4:$U$1800,6,FALSE)</f>
        <v>GOP</v>
      </c>
      <c r="Y1357" s="320" t="str">
        <f>VLOOKUP(H1357,'Fund Utilization Report'!$A$4:$U$1800,7,FALSE)</f>
        <v>MOOE</v>
      </c>
      <c r="Z1357" s="425">
        <f>VLOOKUP(H1357,'Fund Utilization Report'!$A$4:$U$1800,8,FALSE)</f>
        <v>5020000000</v>
      </c>
      <c r="AA1357" s="428" t="str">
        <f>VLOOKUP(H1357,'Fund Utilization Report'!$A$4:$U$1800,14,FALSE)</f>
        <v>100000100001000</v>
      </c>
      <c r="AB1357" s="349" t="str">
        <f>VLOOKUP(H1357,'Fund Utilization Report'!$A$4:$U$1800,15,FALSE)</f>
        <v>General Administration and Supervision - General Management and Supervision</v>
      </c>
      <c r="AC1357" s="39"/>
      <c r="AD1357" s="34"/>
      <c r="AE1357" s="39"/>
      <c r="AF1357" s="51"/>
      <c r="AG1357" s="40"/>
      <c r="AH1357" s="40"/>
    </row>
    <row r="1358" spans="1:34" s="32" customFormat="1">
      <c r="A1358" s="434" t="s">
        <v>942</v>
      </c>
      <c r="B1358" s="457" t="s">
        <v>946</v>
      </c>
      <c r="C1358" s="233">
        <v>44279</v>
      </c>
      <c r="D1358" s="435" t="s">
        <v>1267</v>
      </c>
      <c r="E1358" s="436" t="s">
        <v>1528</v>
      </c>
      <c r="F1358" s="338">
        <v>0.46527777777777773</v>
      </c>
      <c r="G1358" s="338">
        <v>0.46875</v>
      </c>
      <c r="H1358" s="338" t="s">
        <v>961</v>
      </c>
      <c r="I1358" s="353">
        <v>755</v>
      </c>
      <c r="J1358" s="338" t="str">
        <f>IFERROR(VLOOKUP(I1358,'Chart of accounts'!A:H,2,FALSE),"")</f>
        <v>50203010 00</v>
      </c>
      <c r="K1358" s="338" t="str">
        <f>IFERROR(VLOOKUP(I1358,'Chart of accounts'!A:H,3,FALSE),"")</f>
        <v>Office Supplies Expenses</v>
      </c>
      <c r="L1358" s="338" t="str">
        <f>IFERROR(VLOOKUP(I1358,'Chart of accounts'!A:H,4,FALSE),"")</f>
        <v>50203010 00 - Office Supplies Expenses (755)</v>
      </c>
      <c r="M1358" s="361">
        <v>3</v>
      </c>
      <c r="N1358" s="420" t="s">
        <v>820</v>
      </c>
      <c r="O1358" s="420" t="s">
        <v>1532</v>
      </c>
      <c r="P1358" s="420"/>
      <c r="Q1358" s="420">
        <v>10375</v>
      </c>
      <c r="R1358" s="428">
        <f t="shared" si="51"/>
        <v>-10375</v>
      </c>
      <c r="S1358" s="428" t="str">
        <f>VLOOKUP(H1358,'Fund Utilization Report'!$A$4:$U$1800,13,FALSE)</f>
        <v>MOOE</v>
      </c>
      <c r="T1358" s="428" t="str">
        <f>VLOOKUP(H1358,'Fund Utilization Report'!$A$4:$U$1800,2,FALSE)</f>
        <v>GAA</v>
      </c>
      <c r="U1358" s="428" t="str">
        <f>VLOOKUP(H1358,'Fund Utilization Report'!$A$4:$U$1800,3,FALSE)</f>
        <v>FY2021, RA11518</v>
      </c>
      <c r="V1358" s="428" t="str">
        <f>VLOOKUP(H1358,'Fund Utilization Report'!$A$4:$U$1800,4,FALSE)</f>
        <v>GAS(GMS)</v>
      </c>
      <c r="W1358" s="428" t="str">
        <f>VLOOKUP(H1358,'Fund Utilization Report'!$A$4:$U$1800,5,FALSE)</f>
        <v>01101101</v>
      </c>
      <c r="X1358" s="428" t="str">
        <f>VLOOKUP(H1358,'Fund Utilization Report'!$A$4:$U$1800,6,FALSE)</f>
        <v>GOP</v>
      </c>
      <c r="Y1358" s="320" t="str">
        <f>VLOOKUP(H1358,'Fund Utilization Report'!$A$4:$U$1800,7,FALSE)</f>
        <v>MOOE</v>
      </c>
      <c r="Z1358" s="425">
        <f>VLOOKUP(H1358,'Fund Utilization Report'!$A$4:$U$1800,8,FALSE)</f>
        <v>5020000000</v>
      </c>
      <c r="AA1358" s="428" t="str">
        <f>VLOOKUP(H1358,'Fund Utilization Report'!$A$4:$U$1800,14,FALSE)</f>
        <v>100000100001000</v>
      </c>
      <c r="AB1358" s="349" t="str">
        <f>VLOOKUP(H1358,'Fund Utilization Report'!$A$4:$U$1800,15,FALSE)</f>
        <v>General Administration and Supervision - General Management and Supervision</v>
      </c>
      <c r="AC1358" s="39"/>
      <c r="AD1358" s="34"/>
      <c r="AE1358" s="39"/>
      <c r="AF1358" s="51"/>
      <c r="AG1358" s="40"/>
      <c r="AH1358" s="40"/>
    </row>
    <row r="1359" spans="1:34" s="32" customFormat="1">
      <c r="A1359" s="434" t="s">
        <v>942</v>
      </c>
      <c r="B1359" s="457" t="s">
        <v>946</v>
      </c>
      <c r="C1359" s="233">
        <v>44279</v>
      </c>
      <c r="D1359" s="435" t="s">
        <v>1267</v>
      </c>
      <c r="E1359" s="436" t="s">
        <v>1528</v>
      </c>
      <c r="F1359" s="338">
        <v>0.46527777777777773</v>
      </c>
      <c r="G1359" s="338">
        <v>0.46875</v>
      </c>
      <c r="H1359" s="338" t="s">
        <v>961</v>
      </c>
      <c r="I1359" s="353">
        <v>781</v>
      </c>
      <c r="J1359" s="338" t="str">
        <f>IFERROR(VLOOKUP(I1359,'Chart of accounts'!A:H,2,FALSE),"")</f>
        <v>50299020 00</v>
      </c>
      <c r="K1359" s="338" t="str">
        <f>IFERROR(VLOOKUP(I1359,'Chart of accounts'!A:H,3,FALSE),"")</f>
        <v>Printing and Binding Expenses</v>
      </c>
      <c r="L1359" s="338" t="str">
        <f>IFERROR(VLOOKUP(I1359,'Chart of accounts'!A:H,4,FALSE),"")</f>
        <v>50299020 00 - Printing and Binding Expenses (781)</v>
      </c>
      <c r="M1359" s="361">
        <v>3</v>
      </c>
      <c r="N1359" s="420" t="s">
        <v>820</v>
      </c>
      <c r="O1359" s="420" t="s">
        <v>1532</v>
      </c>
      <c r="P1359" s="420"/>
      <c r="Q1359" s="420">
        <v>3112.5</v>
      </c>
      <c r="R1359" s="428">
        <f t="shared" si="51"/>
        <v>-3112.5</v>
      </c>
      <c r="S1359" s="428" t="str">
        <f>VLOOKUP(H1359,'Fund Utilization Report'!$A$4:$U$1800,13,FALSE)</f>
        <v>MOOE</v>
      </c>
      <c r="T1359" s="428" t="str">
        <f>VLOOKUP(H1359,'Fund Utilization Report'!$A$4:$U$1800,2,FALSE)</f>
        <v>GAA</v>
      </c>
      <c r="U1359" s="428" t="str">
        <f>VLOOKUP(H1359,'Fund Utilization Report'!$A$4:$U$1800,3,FALSE)</f>
        <v>FY2021, RA11518</v>
      </c>
      <c r="V1359" s="428" t="str">
        <f>VLOOKUP(H1359,'Fund Utilization Report'!$A$4:$U$1800,4,FALSE)</f>
        <v>GAS(GMS)</v>
      </c>
      <c r="W1359" s="428" t="str">
        <f>VLOOKUP(H1359,'Fund Utilization Report'!$A$4:$U$1800,5,FALSE)</f>
        <v>01101101</v>
      </c>
      <c r="X1359" s="428" t="str">
        <f>VLOOKUP(H1359,'Fund Utilization Report'!$A$4:$U$1800,6,FALSE)</f>
        <v>GOP</v>
      </c>
      <c r="Y1359" s="320" t="str">
        <f>VLOOKUP(H1359,'Fund Utilization Report'!$A$4:$U$1800,7,FALSE)</f>
        <v>MOOE</v>
      </c>
      <c r="Z1359" s="425">
        <f>VLOOKUP(H1359,'Fund Utilization Report'!$A$4:$U$1800,8,FALSE)</f>
        <v>5020000000</v>
      </c>
      <c r="AA1359" s="428" t="str">
        <f>VLOOKUP(H1359,'Fund Utilization Report'!$A$4:$U$1800,14,FALSE)</f>
        <v>100000100001000</v>
      </c>
      <c r="AB1359" s="349" t="str">
        <f>VLOOKUP(H1359,'Fund Utilization Report'!$A$4:$U$1800,15,FALSE)</f>
        <v>General Administration and Supervision - General Management and Supervision</v>
      </c>
      <c r="AC1359" s="39"/>
      <c r="AD1359" s="34"/>
      <c r="AE1359" s="39"/>
      <c r="AF1359" s="51"/>
      <c r="AG1359" s="40"/>
      <c r="AH1359" s="40"/>
    </row>
    <row r="1360" spans="1:34" s="32" customFormat="1">
      <c r="A1360" s="434" t="s">
        <v>942</v>
      </c>
      <c r="B1360" s="457" t="s">
        <v>946</v>
      </c>
      <c r="C1360" s="233">
        <v>44279</v>
      </c>
      <c r="D1360" s="435" t="s">
        <v>1267</v>
      </c>
      <c r="E1360" s="436" t="s">
        <v>1528</v>
      </c>
      <c r="F1360" s="338">
        <v>0.46527777777777773</v>
      </c>
      <c r="G1360" s="338">
        <v>0.46875</v>
      </c>
      <c r="H1360" s="338" t="s">
        <v>961</v>
      </c>
      <c r="I1360" s="353">
        <v>783</v>
      </c>
      <c r="J1360" s="338" t="str">
        <f>IFERROR(VLOOKUP(I1360,'Chart of accounts'!A:H,2,FALSE),"")</f>
        <v>50299030 00</v>
      </c>
      <c r="K1360" s="338" t="str">
        <f>IFERROR(VLOOKUP(I1360,'Chart of accounts'!A:H,3,FALSE),"")</f>
        <v>Representation Expenses</v>
      </c>
      <c r="L1360" s="338" t="str">
        <f>IFERROR(VLOOKUP(I1360,'Chart of accounts'!A:H,4,FALSE),"")</f>
        <v>50299030 00 - Representation Expenses (783)</v>
      </c>
      <c r="M1360" s="361">
        <v>3</v>
      </c>
      <c r="N1360" s="420" t="s">
        <v>820</v>
      </c>
      <c r="O1360" s="420" t="s">
        <v>1532</v>
      </c>
      <c r="P1360" s="420"/>
      <c r="Q1360" s="420">
        <v>5063</v>
      </c>
      <c r="R1360" s="428">
        <f t="shared" si="51"/>
        <v>-5063</v>
      </c>
      <c r="S1360" s="428" t="str">
        <f>VLOOKUP(H1360,'Fund Utilization Report'!$A$4:$U$1800,13,FALSE)</f>
        <v>MOOE</v>
      </c>
      <c r="T1360" s="428" t="str">
        <f>VLOOKUP(H1360,'Fund Utilization Report'!$A$4:$U$1800,2,FALSE)</f>
        <v>GAA</v>
      </c>
      <c r="U1360" s="428" t="str">
        <f>VLOOKUP(H1360,'Fund Utilization Report'!$A$4:$U$1800,3,FALSE)</f>
        <v>FY2021, RA11518</v>
      </c>
      <c r="V1360" s="428" t="str">
        <f>VLOOKUP(H1360,'Fund Utilization Report'!$A$4:$U$1800,4,FALSE)</f>
        <v>GAS(GMS)</v>
      </c>
      <c r="W1360" s="428" t="str">
        <f>VLOOKUP(H1360,'Fund Utilization Report'!$A$4:$U$1800,5,FALSE)</f>
        <v>01101101</v>
      </c>
      <c r="X1360" s="428" t="str">
        <f>VLOOKUP(H1360,'Fund Utilization Report'!$A$4:$U$1800,6,FALSE)</f>
        <v>GOP</v>
      </c>
      <c r="Y1360" s="320" t="str">
        <f>VLOOKUP(H1360,'Fund Utilization Report'!$A$4:$U$1800,7,FALSE)</f>
        <v>MOOE</v>
      </c>
      <c r="Z1360" s="425">
        <f>VLOOKUP(H1360,'Fund Utilization Report'!$A$4:$U$1800,8,FALSE)</f>
        <v>5020000000</v>
      </c>
      <c r="AA1360" s="428" t="str">
        <f>VLOOKUP(H1360,'Fund Utilization Report'!$A$4:$U$1800,14,FALSE)</f>
        <v>100000100001000</v>
      </c>
      <c r="AB1360" s="349" t="str">
        <f>VLOOKUP(H1360,'Fund Utilization Report'!$A$4:$U$1800,15,FALSE)</f>
        <v>General Administration and Supervision - General Management and Supervision</v>
      </c>
      <c r="AC1360" s="39"/>
      <c r="AD1360" s="34"/>
      <c r="AE1360" s="39"/>
      <c r="AF1360" s="51"/>
      <c r="AG1360" s="40"/>
      <c r="AH1360" s="40"/>
    </row>
    <row r="1361" spans="1:34" s="32" customFormat="1">
      <c r="A1361" s="434" t="s">
        <v>942</v>
      </c>
      <c r="B1361" s="457" t="s">
        <v>946</v>
      </c>
      <c r="C1361" s="233">
        <v>44279</v>
      </c>
      <c r="D1361" s="435" t="s">
        <v>1267</v>
      </c>
      <c r="E1361" s="436" t="s">
        <v>1528</v>
      </c>
      <c r="F1361" s="338">
        <v>0.46527777777777773</v>
      </c>
      <c r="G1361" s="338">
        <v>0.46875</v>
      </c>
      <c r="H1361" s="338" t="s">
        <v>968</v>
      </c>
      <c r="I1361" s="353">
        <v>784</v>
      </c>
      <c r="J1361" s="338" t="str">
        <f>IFERROR(VLOOKUP(I1361,'Chart of accounts'!A:H,2,FALSE),"")</f>
        <v>50299040 00</v>
      </c>
      <c r="K1361" s="338" t="str">
        <f>IFERROR(VLOOKUP(I1361,'Chart of accounts'!A:H,3,FALSE),"")</f>
        <v>Transportation and Delivery Expenses</v>
      </c>
      <c r="L1361" s="338" t="str">
        <f>IFERROR(VLOOKUP(I1361,'Chart of accounts'!A:H,4,FALSE),"")</f>
        <v>50299040 00 - Transportation and Delivery Expenses (784)</v>
      </c>
      <c r="M1361" s="361">
        <v>3</v>
      </c>
      <c r="N1361" s="420" t="s">
        <v>820</v>
      </c>
      <c r="O1361" s="420" t="s">
        <v>1532</v>
      </c>
      <c r="P1361" s="420"/>
      <c r="Q1361" s="420">
        <v>1037.5</v>
      </c>
      <c r="R1361" s="428">
        <f t="shared" si="51"/>
        <v>-1037.5</v>
      </c>
      <c r="S1361" s="428" t="str">
        <f>VLOOKUP(H1361,'Fund Utilization Report'!$A$4:$U$1800,13,FALSE)</f>
        <v>MOOE</v>
      </c>
      <c r="T1361" s="428" t="str">
        <f>VLOOKUP(H1361,'Fund Utilization Report'!$A$4:$U$1800,2,FALSE)</f>
        <v>GAA</v>
      </c>
      <c r="U1361" s="428" t="str">
        <f>VLOOKUP(H1361,'Fund Utilization Report'!$A$4:$U$1800,3,FALSE)</f>
        <v>FY2021, RA11518</v>
      </c>
      <c r="V1361" s="428" t="str">
        <f>VLOOKUP(H1361,'Fund Utilization Report'!$A$4:$U$1800,4,FALSE)</f>
        <v>OO2</v>
      </c>
      <c r="W1361" s="428" t="str">
        <f>VLOOKUP(H1361,'Fund Utilization Report'!$A$4:$U$1800,5,FALSE)</f>
        <v>01101101</v>
      </c>
      <c r="X1361" s="428" t="str">
        <f>VLOOKUP(H1361,'Fund Utilization Report'!$A$4:$U$1800,6,FALSE)</f>
        <v>GOP</v>
      </c>
      <c r="Y1361" s="320" t="str">
        <f>VLOOKUP(H1361,'Fund Utilization Report'!$A$4:$U$1800,7,FALSE)</f>
        <v>MOOE</v>
      </c>
      <c r="Z1361" s="425">
        <f>VLOOKUP(H1361,'Fund Utilization Report'!$A$4:$U$1800,8,FALSE)</f>
        <v>5020000000</v>
      </c>
      <c r="AA1361" s="428" t="str">
        <f>VLOOKUP(H1361,'Fund Utilization Report'!$A$4:$U$1800,14,FALSE)</f>
        <v>320100100001000</v>
      </c>
      <c r="AB1361" s="349" t="str">
        <f>VLOOKUP(H1361,'Fund Utilization Report'!$A$4:$U$1800,15,FALSE)</f>
        <v>Formulation of Strategic plans,programs, and policies to develop competitve industries</v>
      </c>
      <c r="AC1361" s="39"/>
      <c r="AD1361" s="34"/>
      <c r="AE1361" s="39"/>
      <c r="AF1361" s="51"/>
      <c r="AG1361" s="40"/>
      <c r="AH1361" s="40"/>
    </row>
    <row r="1362" spans="1:34" s="32" customFormat="1">
      <c r="A1362" s="434" t="s">
        <v>942</v>
      </c>
      <c r="B1362" s="457" t="s">
        <v>946</v>
      </c>
      <c r="C1362" s="233">
        <v>44279</v>
      </c>
      <c r="D1362" s="435" t="s">
        <v>1267</v>
      </c>
      <c r="E1362" s="436" t="s">
        <v>1528</v>
      </c>
      <c r="F1362" s="338">
        <v>0.46527777777777773</v>
      </c>
      <c r="G1362" s="338">
        <v>0.46875</v>
      </c>
      <c r="H1362" s="338" t="s">
        <v>961</v>
      </c>
      <c r="I1362" s="353">
        <v>969</v>
      </c>
      <c r="J1362" s="338" t="str">
        <f>IFERROR(VLOOKUP(I1362,'Chart of accounts'!A:H,2,FALSE),"")</f>
        <v>50299990 99</v>
      </c>
      <c r="K1362" s="338" t="str">
        <f>IFERROR(VLOOKUP(I1362,'Chart of accounts'!A:H,3,FALSE),"")</f>
        <v>Other Maintenance and Operating Expenses</v>
      </c>
      <c r="L1362" s="338" t="str">
        <f>IFERROR(VLOOKUP(I1362,'Chart of accounts'!A:H,4,FALSE),"")</f>
        <v>50299990 99 - Other Maintenance and Operating Expenses (969)</v>
      </c>
      <c r="M1362" s="361">
        <v>3</v>
      </c>
      <c r="N1362" s="420" t="s">
        <v>820</v>
      </c>
      <c r="O1362" s="420" t="s">
        <v>1532</v>
      </c>
      <c r="P1362" s="420"/>
      <c r="Q1362" s="420">
        <v>11952</v>
      </c>
      <c r="R1362" s="428">
        <f t="shared" si="51"/>
        <v>-11952</v>
      </c>
      <c r="S1362" s="428" t="str">
        <f>VLOOKUP(H1362,'Fund Utilization Report'!$A$4:$U$1800,13,FALSE)</f>
        <v>MOOE</v>
      </c>
      <c r="T1362" s="428" t="str">
        <f>VLOOKUP(H1362,'Fund Utilization Report'!$A$4:$U$1800,2,FALSE)</f>
        <v>GAA</v>
      </c>
      <c r="U1362" s="428" t="str">
        <f>VLOOKUP(H1362,'Fund Utilization Report'!$A$4:$U$1800,3,FALSE)</f>
        <v>FY2021, RA11518</v>
      </c>
      <c r="V1362" s="428" t="str">
        <f>VLOOKUP(H1362,'Fund Utilization Report'!$A$4:$U$1800,4,FALSE)</f>
        <v>GAS(GMS)</v>
      </c>
      <c r="W1362" s="428" t="str">
        <f>VLOOKUP(H1362,'Fund Utilization Report'!$A$4:$U$1800,5,FALSE)</f>
        <v>01101101</v>
      </c>
      <c r="X1362" s="428" t="str">
        <f>VLOOKUP(H1362,'Fund Utilization Report'!$A$4:$U$1800,6,FALSE)</f>
        <v>GOP</v>
      </c>
      <c r="Y1362" s="320" t="str">
        <f>VLOOKUP(H1362,'Fund Utilization Report'!$A$4:$U$1800,7,FALSE)</f>
        <v>MOOE</v>
      </c>
      <c r="Z1362" s="425">
        <f>VLOOKUP(H1362,'Fund Utilization Report'!$A$4:$U$1800,8,FALSE)</f>
        <v>5020000000</v>
      </c>
      <c r="AA1362" s="428" t="str">
        <f>VLOOKUP(H1362,'Fund Utilization Report'!$A$4:$U$1800,14,FALSE)</f>
        <v>100000100001000</v>
      </c>
      <c r="AB1362" s="349" t="str">
        <f>VLOOKUP(H1362,'Fund Utilization Report'!$A$4:$U$1800,15,FALSE)</f>
        <v>General Administration and Supervision - General Management and Supervision</v>
      </c>
      <c r="AC1362" s="39"/>
      <c r="AD1362" s="34"/>
      <c r="AE1362" s="39"/>
      <c r="AF1362" s="51"/>
      <c r="AG1362" s="40"/>
      <c r="AH1362" s="40"/>
    </row>
    <row r="1363" spans="1:34" s="32" customFormat="1">
      <c r="A1363" s="434" t="s">
        <v>942</v>
      </c>
      <c r="B1363" s="457" t="s">
        <v>946</v>
      </c>
      <c r="C1363" s="233">
        <v>44279</v>
      </c>
      <c r="D1363" s="435" t="s">
        <v>1267</v>
      </c>
      <c r="E1363" s="436" t="s">
        <v>1529</v>
      </c>
      <c r="F1363" s="338">
        <v>0.46875</v>
      </c>
      <c r="G1363" s="338">
        <v>0.47222222222222227</v>
      </c>
      <c r="H1363" s="338" t="s">
        <v>961</v>
      </c>
      <c r="I1363" s="353">
        <v>756</v>
      </c>
      <c r="J1363" s="338" t="str">
        <f>IFERROR(VLOOKUP(I1363,'Chart of accounts'!A:H,2,FALSE),"")</f>
        <v>50203020 00</v>
      </c>
      <c r="K1363" s="338" t="str">
        <f>IFERROR(VLOOKUP(I1363,'Chart of accounts'!A:H,3,FALSE),"")</f>
        <v xml:space="preserve">Accountable Forms Expenses </v>
      </c>
      <c r="L1363" s="338" t="str">
        <f>IFERROR(VLOOKUP(I1363,'Chart of accounts'!A:H,4,FALSE),"")</f>
        <v>50203020 00 - Accountable Forms Expenses  (756)</v>
      </c>
      <c r="M1363" s="361">
        <v>68</v>
      </c>
      <c r="N1363" s="420" t="s">
        <v>821</v>
      </c>
      <c r="O1363" s="420" t="s">
        <v>1532</v>
      </c>
      <c r="P1363" s="420"/>
      <c r="Q1363" s="420">
        <v>1867.5</v>
      </c>
      <c r="R1363" s="428">
        <f t="shared" si="51"/>
        <v>-1867.5</v>
      </c>
      <c r="S1363" s="428" t="str">
        <f>VLOOKUP(H1363,'Fund Utilization Report'!$A$4:$U$1800,13,FALSE)</f>
        <v>MOOE</v>
      </c>
      <c r="T1363" s="428" t="str">
        <f>VLOOKUP(H1363,'Fund Utilization Report'!$A$4:$U$1800,2,FALSE)</f>
        <v>GAA</v>
      </c>
      <c r="U1363" s="428" t="str">
        <f>VLOOKUP(H1363,'Fund Utilization Report'!$A$4:$U$1800,3,FALSE)</f>
        <v>FY2021, RA11518</v>
      </c>
      <c r="V1363" s="428" t="str">
        <f>VLOOKUP(H1363,'Fund Utilization Report'!$A$4:$U$1800,4,FALSE)</f>
        <v>GAS(GMS)</v>
      </c>
      <c r="W1363" s="428" t="str">
        <f>VLOOKUP(H1363,'Fund Utilization Report'!$A$4:$U$1800,5,FALSE)</f>
        <v>01101101</v>
      </c>
      <c r="X1363" s="428" t="str">
        <f>VLOOKUP(H1363,'Fund Utilization Report'!$A$4:$U$1800,6,FALSE)</f>
        <v>GOP</v>
      </c>
      <c r="Y1363" s="320" t="str">
        <f>VLOOKUP(H1363,'Fund Utilization Report'!$A$4:$U$1800,7,FALSE)</f>
        <v>MOOE</v>
      </c>
      <c r="Z1363" s="425">
        <f>VLOOKUP(H1363,'Fund Utilization Report'!$A$4:$U$1800,8,FALSE)</f>
        <v>5020000000</v>
      </c>
      <c r="AA1363" s="428" t="str">
        <f>VLOOKUP(H1363,'Fund Utilization Report'!$A$4:$U$1800,14,FALSE)</f>
        <v>100000100001000</v>
      </c>
      <c r="AB1363" s="349" t="str">
        <f>VLOOKUP(H1363,'Fund Utilization Report'!$A$4:$U$1800,15,FALSE)</f>
        <v>General Administration and Supervision - General Management and Supervision</v>
      </c>
      <c r="AC1363" s="39"/>
      <c r="AD1363" s="34"/>
      <c r="AE1363" s="39"/>
      <c r="AF1363" s="51"/>
      <c r="AG1363" s="40"/>
      <c r="AH1363" s="40"/>
    </row>
    <row r="1364" spans="1:34" s="32" customFormat="1">
      <c r="A1364" s="434" t="s">
        <v>942</v>
      </c>
      <c r="B1364" s="457" t="s">
        <v>946</v>
      </c>
      <c r="C1364" s="233">
        <v>44279</v>
      </c>
      <c r="D1364" s="435" t="s">
        <v>1267</v>
      </c>
      <c r="E1364" s="436" t="s">
        <v>1529</v>
      </c>
      <c r="F1364" s="338">
        <v>0.46875</v>
      </c>
      <c r="G1364" s="338">
        <v>0.47222222222222227</v>
      </c>
      <c r="H1364" s="338" t="s">
        <v>961</v>
      </c>
      <c r="I1364" s="353">
        <v>753</v>
      </c>
      <c r="J1364" s="338" t="str">
        <f>IFERROR(VLOOKUP(I1364,'Chart of accounts'!A:H,2,FALSE),"")</f>
        <v>50202010 00</v>
      </c>
      <c r="K1364" s="338" t="str">
        <f>IFERROR(VLOOKUP(I1364,'Chart of accounts'!A:H,3,FALSE),"")</f>
        <v>Training Expenses</v>
      </c>
      <c r="L1364" s="338" t="str">
        <f>IFERROR(VLOOKUP(I1364,'Chart of accounts'!A:H,4,FALSE),"")</f>
        <v>50202010 00 - Training Expenses (753)</v>
      </c>
      <c r="M1364" s="361">
        <v>68</v>
      </c>
      <c r="N1364" s="420" t="s">
        <v>821</v>
      </c>
      <c r="O1364" s="420" t="s">
        <v>1532</v>
      </c>
      <c r="P1364" s="420"/>
      <c r="Q1364" s="420">
        <v>14940</v>
      </c>
      <c r="R1364" s="428">
        <f t="shared" si="51"/>
        <v>-14940</v>
      </c>
      <c r="S1364" s="428" t="str">
        <f>VLOOKUP(H1364,'Fund Utilization Report'!$A$4:$U$1800,13,FALSE)</f>
        <v>MOOE</v>
      </c>
      <c r="T1364" s="428" t="str">
        <f>VLOOKUP(H1364,'Fund Utilization Report'!$A$4:$U$1800,2,FALSE)</f>
        <v>GAA</v>
      </c>
      <c r="U1364" s="428" t="str">
        <f>VLOOKUP(H1364,'Fund Utilization Report'!$A$4:$U$1800,3,FALSE)</f>
        <v>FY2021, RA11518</v>
      </c>
      <c r="V1364" s="428" t="str">
        <f>VLOOKUP(H1364,'Fund Utilization Report'!$A$4:$U$1800,4,FALSE)</f>
        <v>GAS(GMS)</v>
      </c>
      <c r="W1364" s="428" t="str">
        <f>VLOOKUP(H1364,'Fund Utilization Report'!$A$4:$U$1800,5,FALSE)</f>
        <v>01101101</v>
      </c>
      <c r="X1364" s="428" t="str">
        <f>VLOOKUP(H1364,'Fund Utilization Report'!$A$4:$U$1800,6,FALSE)</f>
        <v>GOP</v>
      </c>
      <c r="Y1364" s="320" t="str">
        <f>VLOOKUP(H1364,'Fund Utilization Report'!$A$4:$U$1800,7,FALSE)</f>
        <v>MOOE</v>
      </c>
      <c r="Z1364" s="425">
        <f>VLOOKUP(H1364,'Fund Utilization Report'!$A$4:$U$1800,8,FALSE)</f>
        <v>5020000000</v>
      </c>
      <c r="AA1364" s="428" t="str">
        <f>VLOOKUP(H1364,'Fund Utilization Report'!$A$4:$U$1800,14,FALSE)</f>
        <v>100000100001000</v>
      </c>
      <c r="AB1364" s="349" t="str">
        <f>VLOOKUP(H1364,'Fund Utilization Report'!$A$4:$U$1800,15,FALSE)</f>
        <v>General Administration and Supervision - General Management and Supervision</v>
      </c>
      <c r="AC1364" s="39"/>
      <c r="AD1364" s="34"/>
      <c r="AE1364" s="39"/>
      <c r="AF1364" s="51"/>
      <c r="AG1364" s="40"/>
      <c r="AH1364" s="40"/>
    </row>
    <row r="1365" spans="1:34" s="32" customFormat="1">
      <c r="A1365" s="434" t="s">
        <v>942</v>
      </c>
      <c r="B1365" s="457" t="s">
        <v>946</v>
      </c>
      <c r="C1365" s="233">
        <v>44279</v>
      </c>
      <c r="D1365" s="435" t="s">
        <v>1267</v>
      </c>
      <c r="E1365" s="436" t="s">
        <v>1529</v>
      </c>
      <c r="F1365" s="338">
        <v>0.46875</v>
      </c>
      <c r="G1365" s="338">
        <v>0.47222222222222227</v>
      </c>
      <c r="H1365" s="338" t="s">
        <v>961</v>
      </c>
      <c r="I1365" s="353">
        <v>761</v>
      </c>
      <c r="J1365" s="338" t="str">
        <f>IFERROR(VLOOKUP(I1365,'Chart of accounts'!A:H,2,FALSE),"")</f>
        <v>50203090 00</v>
      </c>
      <c r="K1365" s="338" t="str">
        <f>IFERROR(VLOOKUP(I1365,'Chart of accounts'!A:H,3,FALSE),"")</f>
        <v>Fuel, Oil and Lubricants Expenses</v>
      </c>
      <c r="L1365" s="338" t="str">
        <f>IFERROR(VLOOKUP(I1365,'Chart of accounts'!A:H,4,FALSE),"")</f>
        <v>50203090 00 - Fuel, Oil and Lubricants Expenses (761)</v>
      </c>
      <c r="M1365" s="361">
        <v>68</v>
      </c>
      <c r="N1365" s="420" t="s">
        <v>821</v>
      </c>
      <c r="O1365" s="420" t="s">
        <v>1532</v>
      </c>
      <c r="P1365" s="420"/>
      <c r="Q1365" s="420">
        <v>10816.66</v>
      </c>
      <c r="R1365" s="428">
        <f t="shared" si="51"/>
        <v>-10816.66</v>
      </c>
      <c r="S1365" s="428" t="str">
        <f>VLOOKUP(H1365,'Fund Utilization Report'!$A$4:$U$1800,13,FALSE)</f>
        <v>MOOE</v>
      </c>
      <c r="T1365" s="428" t="str">
        <f>VLOOKUP(H1365,'Fund Utilization Report'!$A$4:$U$1800,2,FALSE)</f>
        <v>GAA</v>
      </c>
      <c r="U1365" s="428" t="str">
        <f>VLOOKUP(H1365,'Fund Utilization Report'!$A$4:$U$1800,3,FALSE)</f>
        <v>FY2021, RA11518</v>
      </c>
      <c r="V1365" s="428" t="str">
        <f>VLOOKUP(H1365,'Fund Utilization Report'!$A$4:$U$1800,4,FALSE)</f>
        <v>GAS(GMS)</v>
      </c>
      <c r="W1365" s="428" t="str">
        <f>VLOOKUP(H1365,'Fund Utilization Report'!$A$4:$U$1800,5,FALSE)</f>
        <v>01101101</v>
      </c>
      <c r="X1365" s="428" t="str">
        <f>VLOOKUP(H1365,'Fund Utilization Report'!$A$4:$U$1800,6,FALSE)</f>
        <v>GOP</v>
      </c>
      <c r="Y1365" s="320" t="str">
        <f>VLOOKUP(H1365,'Fund Utilization Report'!$A$4:$U$1800,7,FALSE)</f>
        <v>MOOE</v>
      </c>
      <c r="Z1365" s="425">
        <f>VLOOKUP(H1365,'Fund Utilization Report'!$A$4:$U$1800,8,FALSE)</f>
        <v>5020000000</v>
      </c>
      <c r="AA1365" s="428" t="str">
        <f>VLOOKUP(H1365,'Fund Utilization Report'!$A$4:$U$1800,14,FALSE)</f>
        <v>100000100001000</v>
      </c>
      <c r="AB1365" s="349" t="str">
        <f>VLOOKUP(H1365,'Fund Utilization Report'!$A$4:$U$1800,15,FALSE)</f>
        <v>General Administration and Supervision - General Management and Supervision</v>
      </c>
      <c r="AC1365" s="39"/>
      <c r="AD1365" s="34"/>
      <c r="AE1365" s="39"/>
      <c r="AF1365" s="51"/>
      <c r="AG1365" s="40"/>
      <c r="AH1365" s="40"/>
    </row>
    <row r="1366" spans="1:34" s="32" customFormat="1">
      <c r="A1366" s="434" t="s">
        <v>942</v>
      </c>
      <c r="B1366" s="457" t="s">
        <v>946</v>
      </c>
      <c r="C1366" s="233">
        <v>44279</v>
      </c>
      <c r="D1366" s="435" t="s">
        <v>1267</v>
      </c>
      <c r="E1366" s="436" t="s">
        <v>1529</v>
      </c>
      <c r="F1366" s="338">
        <v>0.46875</v>
      </c>
      <c r="G1366" s="338">
        <v>0.47222222222222227</v>
      </c>
      <c r="H1366" s="338" t="s">
        <v>961</v>
      </c>
      <c r="I1366" s="353">
        <v>766</v>
      </c>
      <c r="J1366" s="338" t="str">
        <f>IFERROR(VLOOKUP(I1366,'Chart of accounts'!A:H,2,FALSE),"")</f>
        <v>50204010 00</v>
      </c>
      <c r="K1366" s="338" t="str">
        <f>IFERROR(VLOOKUP(I1366,'Chart of accounts'!A:H,3,FALSE),"")</f>
        <v>Water Expenses</v>
      </c>
      <c r="L1366" s="338" t="str">
        <f>IFERROR(VLOOKUP(I1366,'Chart of accounts'!A:H,4,FALSE),"")</f>
        <v>50204010 00 - Water Expenses (766)</v>
      </c>
      <c r="M1366" s="361">
        <v>68</v>
      </c>
      <c r="N1366" s="420" t="s">
        <v>821</v>
      </c>
      <c r="O1366" s="420" t="s">
        <v>1532</v>
      </c>
      <c r="P1366" s="420"/>
      <c r="Q1366" s="420">
        <v>2118.15</v>
      </c>
      <c r="R1366" s="428">
        <f t="shared" si="51"/>
        <v>-2118.15</v>
      </c>
      <c r="S1366" s="428" t="str">
        <f>VLOOKUP(H1366,'Fund Utilization Report'!$A$4:$U$1800,13,FALSE)</f>
        <v>MOOE</v>
      </c>
      <c r="T1366" s="428" t="str">
        <f>VLOOKUP(H1366,'Fund Utilization Report'!$A$4:$U$1800,2,FALSE)</f>
        <v>GAA</v>
      </c>
      <c r="U1366" s="428" t="str">
        <f>VLOOKUP(H1366,'Fund Utilization Report'!$A$4:$U$1800,3,FALSE)</f>
        <v>FY2021, RA11518</v>
      </c>
      <c r="V1366" s="428" t="str">
        <f>VLOOKUP(H1366,'Fund Utilization Report'!$A$4:$U$1800,4,FALSE)</f>
        <v>GAS(GMS)</v>
      </c>
      <c r="W1366" s="428" t="str">
        <f>VLOOKUP(H1366,'Fund Utilization Report'!$A$4:$U$1800,5,FALSE)</f>
        <v>01101101</v>
      </c>
      <c r="X1366" s="428" t="str">
        <f>VLOOKUP(H1366,'Fund Utilization Report'!$A$4:$U$1800,6,FALSE)</f>
        <v>GOP</v>
      </c>
      <c r="Y1366" s="320" t="str">
        <f>VLOOKUP(H1366,'Fund Utilization Report'!$A$4:$U$1800,7,FALSE)</f>
        <v>MOOE</v>
      </c>
      <c r="Z1366" s="425">
        <f>VLOOKUP(H1366,'Fund Utilization Report'!$A$4:$U$1800,8,FALSE)</f>
        <v>5020000000</v>
      </c>
      <c r="AA1366" s="428" t="str">
        <f>VLOOKUP(H1366,'Fund Utilization Report'!$A$4:$U$1800,14,FALSE)</f>
        <v>100000100001000</v>
      </c>
      <c r="AB1366" s="349" t="str">
        <f>VLOOKUP(H1366,'Fund Utilization Report'!$A$4:$U$1800,15,FALSE)</f>
        <v>General Administration and Supervision - General Management and Supervision</v>
      </c>
      <c r="AC1366" s="39"/>
      <c r="AD1366" s="34"/>
      <c r="AE1366" s="39"/>
      <c r="AF1366" s="51"/>
      <c r="AG1366" s="40"/>
      <c r="AH1366" s="40"/>
    </row>
    <row r="1367" spans="1:34" s="32" customFormat="1">
      <c r="A1367" s="434" t="s">
        <v>942</v>
      </c>
      <c r="B1367" s="457" t="s">
        <v>946</v>
      </c>
      <c r="C1367" s="233">
        <v>44279</v>
      </c>
      <c r="D1367" s="435" t="s">
        <v>1267</v>
      </c>
      <c r="E1367" s="436" t="s">
        <v>1529</v>
      </c>
      <c r="F1367" s="338">
        <v>0.46875</v>
      </c>
      <c r="G1367" s="338">
        <v>0.47222222222222227</v>
      </c>
      <c r="H1367" s="338" t="s">
        <v>961</v>
      </c>
      <c r="I1367" s="353">
        <v>767</v>
      </c>
      <c r="J1367" s="338" t="str">
        <f>IFERROR(VLOOKUP(I1367,'Chart of accounts'!A:H,2,FALSE),"")</f>
        <v>50204020 00</v>
      </c>
      <c r="K1367" s="338" t="str">
        <f>IFERROR(VLOOKUP(I1367,'Chart of accounts'!A:H,3,FALSE),"")</f>
        <v>Electricity Expense</v>
      </c>
      <c r="L1367" s="338" t="str">
        <f>IFERROR(VLOOKUP(I1367,'Chart of accounts'!A:H,4,FALSE),"")</f>
        <v>50204020 00 - Electricity Expense (767)</v>
      </c>
      <c r="M1367" s="361">
        <v>68</v>
      </c>
      <c r="N1367" s="420" t="s">
        <v>821</v>
      </c>
      <c r="O1367" s="420" t="s">
        <v>1532</v>
      </c>
      <c r="P1367" s="420"/>
      <c r="Q1367" s="420">
        <v>47087.72</v>
      </c>
      <c r="R1367" s="428">
        <f t="shared" si="51"/>
        <v>-47087.72</v>
      </c>
      <c r="S1367" s="428" t="str">
        <f>VLOOKUP(H1367,'Fund Utilization Report'!$A$4:$U$1800,13,FALSE)</f>
        <v>MOOE</v>
      </c>
      <c r="T1367" s="428" t="str">
        <f>VLOOKUP(H1367,'Fund Utilization Report'!$A$4:$U$1800,2,FALSE)</f>
        <v>GAA</v>
      </c>
      <c r="U1367" s="428" t="str">
        <f>VLOOKUP(H1367,'Fund Utilization Report'!$A$4:$U$1800,3,FALSE)</f>
        <v>FY2021, RA11518</v>
      </c>
      <c r="V1367" s="428" t="str">
        <f>VLOOKUP(H1367,'Fund Utilization Report'!$A$4:$U$1800,4,FALSE)</f>
        <v>GAS(GMS)</v>
      </c>
      <c r="W1367" s="428" t="str">
        <f>VLOOKUP(H1367,'Fund Utilization Report'!$A$4:$U$1800,5,FALSE)</f>
        <v>01101101</v>
      </c>
      <c r="X1367" s="428" t="str">
        <f>VLOOKUP(H1367,'Fund Utilization Report'!$A$4:$U$1800,6,FALSE)</f>
        <v>GOP</v>
      </c>
      <c r="Y1367" s="320" t="str">
        <f>VLOOKUP(H1367,'Fund Utilization Report'!$A$4:$U$1800,7,FALSE)</f>
        <v>MOOE</v>
      </c>
      <c r="Z1367" s="425">
        <f>VLOOKUP(H1367,'Fund Utilization Report'!$A$4:$U$1800,8,FALSE)</f>
        <v>5020000000</v>
      </c>
      <c r="AA1367" s="428" t="str">
        <f>VLOOKUP(H1367,'Fund Utilization Report'!$A$4:$U$1800,14,FALSE)</f>
        <v>100000100001000</v>
      </c>
      <c r="AB1367" s="349" t="str">
        <f>VLOOKUP(H1367,'Fund Utilization Report'!$A$4:$U$1800,15,FALSE)</f>
        <v>General Administration and Supervision - General Management and Supervision</v>
      </c>
      <c r="AC1367" s="39"/>
      <c r="AD1367" s="34"/>
      <c r="AE1367" s="39"/>
      <c r="AF1367" s="51"/>
      <c r="AG1367" s="40"/>
      <c r="AH1367" s="40"/>
    </row>
    <row r="1368" spans="1:34" s="32" customFormat="1">
      <c r="A1368" s="434" t="s">
        <v>942</v>
      </c>
      <c r="B1368" s="457" t="s">
        <v>946</v>
      </c>
      <c r="C1368" s="233">
        <v>44279</v>
      </c>
      <c r="D1368" s="435" t="s">
        <v>1267</v>
      </c>
      <c r="E1368" s="436" t="s">
        <v>1529</v>
      </c>
      <c r="F1368" s="338">
        <v>0.46875</v>
      </c>
      <c r="G1368" s="338">
        <v>0.47222222222222227</v>
      </c>
      <c r="H1368" s="338" t="s">
        <v>961</v>
      </c>
      <c r="I1368" s="353">
        <v>771</v>
      </c>
      <c r="J1368" s="338" t="str">
        <f>IFERROR(VLOOKUP(I1368,'Chart of accounts'!A:H,2,FALSE),"")</f>
        <v>50205010 00</v>
      </c>
      <c r="K1368" s="338" t="str">
        <f>IFERROR(VLOOKUP(I1368,'Chart of accounts'!A:H,3,FALSE),"")</f>
        <v>Postage and Courier Services</v>
      </c>
      <c r="L1368" s="338" t="str">
        <f>IFERROR(VLOOKUP(I1368,'Chart of accounts'!A:H,4,FALSE),"")</f>
        <v>50205010 00 - Postage and Courier Services (771)</v>
      </c>
      <c r="M1368" s="361">
        <v>68</v>
      </c>
      <c r="N1368" s="420" t="s">
        <v>821</v>
      </c>
      <c r="O1368" s="420" t="s">
        <v>1532</v>
      </c>
      <c r="P1368" s="420"/>
      <c r="Q1368" s="420">
        <v>1245</v>
      </c>
      <c r="R1368" s="428">
        <f t="shared" si="51"/>
        <v>-1245</v>
      </c>
      <c r="S1368" s="428" t="str">
        <f>VLOOKUP(H1368,'Fund Utilization Report'!$A$4:$U$1800,13,FALSE)</f>
        <v>MOOE</v>
      </c>
      <c r="T1368" s="428" t="str">
        <f>VLOOKUP(H1368,'Fund Utilization Report'!$A$4:$U$1800,2,FALSE)</f>
        <v>GAA</v>
      </c>
      <c r="U1368" s="428" t="str">
        <f>VLOOKUP(H1368,'Fund Utilization Report'!$A$4:$U$1800,3,FALSE)</f>
        <v>FY2021, RA11518</v>
      </c>
      <c r="V1368" s="428" t="str">
        <f>VLOOKUP(H1368,'Fund Utilization Report'!$A$4:$U$1800,4,FALSE)</f>
        <v>GAS(GMS)</v>
      </c>
      <c r="W1368" s="428" t="str">
        <f>VLOOKUP(H1368,'Fund Utilization Report'!$A$4:$U$1800,5,FALSE)</f>
        <v>01101101</v>
      </c>
      <c r="X1368" s="428" t="str">
        <f>VLOOKUP(H1368,'Fund Utilization Report'!$A$4:$U$1800,6,FALSE)</f>
        <v>GOP</v>
      </c>
      <c r="Y1368" s="320" t="str">
        <f>VLOOKUP(H1368,'Fund Utilization Report'!$A$4:$U$1800,7,FALSE)</f>
        <v>MOOE</v>
      </c>
      <c r="Z1368" s="425">
        <f>VLOOKUP(H1368,'Fund Utilization Report'!$A$4:$U$1800,8,FALSE)</f>
        <v>5020000000</v>
      </c>
      <c r="AA1368" s="428" t="str">
        <f>VLOOKUP(H1368,'Fund Utilization Report'!$A$4:$U$1800,14,FALSE)</f>
        <v>100000100001000</v>
      </c>
      <c r="AB1368" s="349" t="str">
        <f>VLOOKUP(H1368,'Fund Utilization Report'!$A$4:$U$1800,15,FALSE)</f>
        <v>General Administration and Supervision - General Management and Supervision</v>
      </c>
      <c r="AC1368" s="39"/>
      <c r="AD1368" s="34"/>
      <c r="AE1368" s="39"/>
      <c r="AF1368" s="51"/>
      <c r="AG1368" s="40"/>
      <c r="AH1368" s="40"/>
    </row>
    <row r="1369" spans="1:34" s="32" customFormat="1">
      <c r="A1369" s="434" t="s">
        <v>942</v>
      </c>
      <c r="B1369" s="457" t="s">
        <v>946</v>
      </c>
      <c r="C1369" s="233">
        <v>44279</v>
      </c>
      <c r="D1369" s="435" t="s">
        <v>1267</v>
      </c>
      <c r="E1369" s="436" t="s">
        <v>1529</v>
      </c>
      <c r="F1369" s="338">
        <v>0.46875</v>
      </c>
      <c r="G1369" s="338">
        <v>0.47222222222222227</v>
      </c>
      <c r="H1369" s="338" t="s">
        <v>961</v>
      </c>
      <c r="I1369" s="353">
        <v>772</v>
      </c>
      <c r="J1369" s="338" t="str">
        <f>IFERROR(VLOOKUP(I1369,'Chart of accounts'!A:H,2,FALSE),"")</f>
        <v>50205020 02</v>
      </c>
      <c r="K1369" s="338" t="str">
        <f>IFERROR(VLOOKUP(I1369,'Chart of accounts'!A:H,3,FALSE),"")</f>
        <v xml:space="preserve">Telephone Expenses - Landline </v>
      </c>
      <c r="L1369" s="338" t="str">
        <f>IFERROR(VLOOKUP(I1369,'Chart of accounts'!A:H,4,FALSE),"")</f>
        <v>50205020 02 - Telephone Expenses - Landline  (772)</v>
      </c>
      <c r="M1369" s="361">
        <v>68</v>
      </c>
      <c r="N1369" s="420" t="s">
        <v>821</v>
      </c>
      <c r="O1369" s="420" t="s">
        <v>1532</v>
      </c>
      <c r="P1369" s="420"/>
      <c r="Q1369" s="420">
        <v>7586.8</v>
      </c>
      <c r="R1369" s="428">
        <f t="shared" si="51"/>
        <v>-7586.8</v>
      </c>
      <c r="S1369" s="428" t="str">
        <f>VLOOKUP(H1369,'Fund Utilization Report'!$A$4:$U$1800,13,FALSE)</f>
        <v>MOOE</v>
      </c>
      <c r="T1369" s="428" t="str">
        <f>VLOOKUP(H1369,'Fund Utilization Report'!$A$4:$U$1800,2,FALSE)</f>
        <v>GAA</v>
      </c>
      <c r="U1369" s="428" t="str">
        <f>VLOOKUP(H1369,'Fund Utilization Report'!$A$4:$U$1800,3,FALSE)</f>
        <v>FY2021, RA11518</v>
      </c>
      <c r="V1369" s="428" t="str">
        <f>VLOOKUP(H1369,'Fund Utilization Report'!$A$4:$U$1800,4,FALSE)</f>
        <v>GAS(GMS)</v>
      </c>
      <c r="W1369" s="428" t="str">
        <f>VLOOKUP(H1369,'Fund Utilization Report'!$A$4:$U$1800,5,FALSE)</f>
        <v>01101101</v>
      </c>
      <c r="X1369" s="428" t="str">
        <f>VLOOKUP(H1369,'Fund Utilization Report'!$A$4:$U$1800,6,FALSE)</f>
        <v>GOP</v>
      </c>
      <c r="Y1369" s="320" t="str">
        <f>VLOOKUP(H1369,'Fund Utilization Report'!$A$4:$U$1800,7,FALSE)</f>
        <v>MOOE</v>
      </c>
      <c r="Z1369" s="425">
        <f>VLOOKUP(H1369,'Fund Utilization Report'!$A$4:$U$1800,8,FALSE)</f>
        <v>5020000000</v>
      </c>
      <c r="AA1369" s="428" t="str">
        <f>VLOOKUP(H1369,'Fund Utilization Report'!$A$4:$U$1800,14,FALSE)</f>
        <v>100000100001000</v>
      </c>
      <c r="AB1369" s="349" t="str">
        <f>VLOOKUP(H1369,'Fund Utilization Report'!$A$4:$U$1800,15,FALSE)</f>
        <v>General Administration and Supervision - General Management and Supervision</v>
      </c>
      <c r="AC1369" s="39"/>
      <c r="AD1369" s="34"/>
      <c r="AE1369" s="39"/>
      <c r="AF1369" s="51"/>
      <c r="AG1369" s="40"/>
      <c r="AH1369" s="40"/>
    </row>
    <row r="1370" spans="1:34" s="32" customFormat="1">
      <c r="A1370" s="434" t="s">
        <v>942</v>
      </c>
      <c r="B1370" s="457" t="s">
        <v>946</v>
      </c>
      <c r="C1370" s="233">
        <v>44279</v>
      </c>
      <c r="D1370" s="435" t="s">
        <v>1267</v>
      </c>
      <c r="E1370" s="436" t="s">
        <v>1529</v>
      </c>
      <c r="F1370" s="338">
        <v>0.46875</v>
      </c>
      <c r="G1370" s="338">
        <v>0.47222222222222227</v>
      </c>
      <c r="H1370" s="338" t="s">
        <v>961</v>
      </c>
      <c r="I1370" s="353">
        <v>773</v>
      </c>
      <c r="J1370" s="338" t="str">
        <f>IFERROR(VLOOKUP(I1370,'Chart of accounts'!A:H,2,FALSE),"")</f>
        <v>50205020 01</v>
      </c>
      <c r="K1370" s="338" t="str">
        <f>IFERROR(VLOOKUP(I1370,'Chart of accounts'!A:H,3,FALSE),"")</f>
        <v xml:space="preserve">Telephone Expenses - Mobile </v>
      </c>
      <c r="L1370" s="338" t="str">
        <f>IFERROR(VLOOKUP(I1370,'Chart of accounts'!A:H,4,FALSE),"")</f>
        <v>50205020 01 - Telephone Expenses - Mobile  (773)</v>
      </c>
      <c r="M1370" s="361">
        <v>68</v>
      </c>
      <c r="N1370" s="420" t="s">
        <v>821</v>
      </c>
      <c r="O1370" s="420" t="s">
        <v>1532</v>
      </c>
      <c r="P1370" s="420"/>
      <c r="Q1370" s="420">
        <v>4482</v>
      </c>
      <c r="R1370" s="428">
        <f t="shared" si="51"/>
        <v>-4482</v>
      </c>
      <c r="S1370" s="428" t="str">
        <f>VLOOKUP(H1370,'Fund Utilization Report'!$A$4:$U$1800,13,FALSE)</f>
        <v>MOOE</v>
      </c>
      <c r="T1370" s="428" t="str">
        <f>VLOOKUP(H1370,'Fund Utilization Report'!$A$4:$U$1800,2,FALSE)</f>
        <v>GAA</v>
      </c>
      <c r="U1370" s="428" t="str">
        <f>VLOOKUP(H1370,'Fund Utilization Report'!$A$4:$U$1800,3,FALSE)</f>
        <v>FY2021, RA11518</v>
      </c>
      <c r="V1370" s="428" t="str">
        <f>VLOOKUP(H1370,'Fund Utilization Report'!$A$4:$U$1800,4,FALSE)</f>
        <v>GAS(GMS)</v>
      </c>
      <c r="W1370" s="428" t="str">
        <f>VLOOKUP(H1370,'Fund Utilization Report'!$A$4:$U$1800,5,FALSE)</f>
        <v>01101101</v>
      </c>
      <c r="X1370" s="428" t="str">
        <f>VLOOKUP(H1370,'Fund Utilization Report'!$A$4:$U$1800,6,FALSE)</f>
        <v>GOP</v>
      </c>
      <c r="Y1370" s="320" t="str">
        <f>VLOOKUP(H1370,'Fund Utilization Report'!$A$4:$U$1800,7,FALSE)</f>
        <v>MOOE</v>
      </c>
      <c r="Z1370" s="425">
        <f>VLOOKUP(H1370,'Fund Utilization Report'!$A$4:$U$1800,8,FALSE)</f>
        <v>5020000000</v>
      </c>
      <c r="AA1370" s="428" t="str">
        <f>VLOOKUP(H1370,'Fund Utilization Report'!$A$4:$U$1800,14,FALSE)</f>
        <v>100000100001000</v>
      </c>
      <c r="AB1370" s="349" t="str">
        <f>VLOOKUP(H1370,'Fund Utilization Report'!$A$4:$U$1800,15,FALSE)</f>
        <v>General Administration and Supervision - General Management and Supervision</v>
      </c>
      <c r="AC1370" s="39"/>
      <c r="AD1370" s="34"/>
      <c r="AE1370" s="39"/>
      <c r="AF1370" s="51"/>
      <c r="AG1370" s="40"/>
      <c r="AH1370" s="40"/>
    </row>
    <row r="1371" spans="1:34" s="32" customFormat="1">
      <c r="A1371" s="434" t="s">
        <v>942</v>
      </c>
      <c r="B1371" s="457" t="s">
        <v>946</v>
      </c>
      <c r="C1371" s="233">
        <v>44279</v>
      </c>
      <c r="D1371" s="435" t="s">
        <v>1267</v>
      </c>
      <c r="E1371" s="436" t="s">
        <v>1529</v>
      </c>
      <c r="F1371" s="338">
        <v>0.46875</v>
      </c>
      <c r="G1371" s="338">
        <v>0.47222222222222227</v>
      </c>
      <c r="H1371" s="338" t="s">
        <v>961</v>
      </c>
      <c r="I1371" s="353">
        <v>775</v>
      </c>
      <c r="J1371" s="338" t="str">
        <f>IFERROR(VLOOKUP(I1371,'Chart of accounts'!A:H,2,FALSE),"")</f>
        <v>50205040 00</v>
      </c>
      <c r="K1371" s="338" t="str">
        <f>IFERROR(VLOOKUP(I1371,'Chart of accounts'!A:H,3,FALSE),"")</f>
        <v>Cable, Satellite, Telegraph, and Radio Expenses</v>
      </c>
      <c r="L1371" s="338" t="str">
        <f>IFERROR(VLOOKUP(I1371,'Chart of accounts'!A:H,4,FALSE),"")</f>
        <v>50205040 00 - Cable, Satellite, Telegraph, and Radio Expenses (775)</v>
      </c>
      <c r="M1371" s="361">
        <v>68</v>
      </c>
      <c r="N1371" s="420" t="s">
        <v>821</v>
      </c>
      <c r="O1371" s="420" t="s">
        <v>1532</v>
      </c>
      <c r="P1371" s="420"/>
      <c r="Q1371" s="420">
        <v>871.5</v>
      </c>
      <c r="R1371" s="428">
        <f t="shared" si="51"/>
        <v>-871.5</v>
      </c>
      <c r="S1371" s="428" t="str">
        <f>VLOOKUP(H1371,'Fund Utilization Report'!$A$4:$U$1800,13,FALSE)</f>
        <v>MOOE</v>
      </c>
      <c r="T1371" s="428" t="str">
        <f>VLOOKUP(H1371,'Fund Utilization Report'!$A$4:$U$1800,2,FALSE)</f>
        <v>GAA</v>
      </c>
      <c r="U1371" s="428" t="str">
        <f>VLOOKUP(H1371,'Fund Utilization Report'!$A$4:$U$1800,3,FALSE)</f>
        <v>FY2021, RA11518</v>
      </c>
      <c r="V1371" s="428" t="str">
        <f>VLOOKUP(H1371,'Fund Utilization Report'!$A$4:$U$1800,4,FALSE)</f>
        <v>GAS(GMS)</v>
      </c>
      <c r="W1371" s="428" t="str">
        <f>VLOOKUP(H1371,'Fund Utilization Report'!$A$4:$U$1800,5,FALSE)</f>
        <v>01101101</v>
      </c>
      <c r="X1371" s="428" t="str">
        <f>VLOOKUP(H1371,'Fund Utilization Report'!$A$4:$U$1800,6,FALSE)</f>
        <v>GOP</v>
      </c>
      <c r="Y1371" s="320" t="str">
        <f>VLOOKUP(H1371,'Fund Utilization Report'!$A$4:$U$1800,7,FALSE)</f>
        <v>MOOE</v>
      </c>
      <c r="Z1371" s="425">
        <f>VLOOKUP(H1371,'Fund Utilization Report'!$A$4:$U$1800,8,FALSE)</f>
        <v>5020000000</v>
      </c>
      <c r="AA1371" s="428" t="str">
        <f>VLOOKUP(H1371,'Fund Utilization Report'!$A$4:$U$1800,14,FALSE)</f>
        <v>100000100001000</v>
      </c>
      <c r="AB1371" s="349" t="str">
        <f>VLOOKUP(H1371,'Fund Utilization Report'!$A$4:$U$1800,15,FALSE)</f>
        <v>General Administration and Supervision - General Management and Supervision</v>
      </c>
      <c r="AC1371" s="39"/>
      <c r="AD1371" s="34"/>
      <c r="AE1371" s="39"/>
      <c r="AF1371" s="51"/>
      <c r="AG1371" s="40"/>
      <c r="AH1371" s="40"/>
    </row>
    <row r="1372" spans="1:34" s="32" customFormat="1">
      <c r="A1372" s="434" t="s">
        <v>942</v>
      </c>
      <c r="B1372" s="457" t="s">
        <v>946</v>
      </c>
      <c r="C1372" s="233">
        <v>44279</v>
      </c>
      <c r="D1372" s="435" t="s">
        <v>1267</v>
      </c>
      <c r="E1372" s="436" t="s">
        <v>1529</v>
      </c>
      <c r="F1372" s="338">
        <v>0.46875</v>
      </c>
      <c r="G1372" s="338">
        <v>0.47222222222222227</v>
      </c>
      <c r="H1372" s="338" t="s">
        <v>961</v>
      </c>
      <c r="I1372" s="353">
        <v>791</v>
      </c>
      <c r="J1372" s="338" t="str">
        <f>IFERROR(VLOOKUP(I1372,'Chart of accounts'!A:H,2,FALSE),"")</f>
        <v>50211010 00</v>
      </c>
      <c r="K1372" s="338" t="str">
        <f>IFERROR(VLOOKUP(I1372,'Chart of accounts'!A:H,3,FALSE),"")</f>
        <v>Legal Services</v>
      </c>
      <c r="L1372" s="338" t="str">
        <f>IFERROR(VLOOKUP(I1372,'Chart of accounts'!A:H,4,FALSE),"")</f>
        <v>50211010 00 - Legal Services (791)</v>
      </c>
      <c r="M1372" s="361">
        <v>68</v>
      </c>
      <c r="N1372" s="420" t="s">
        <v>821</v>
      </c>
      <c r="O1372" s="420" t="s">
        <v>1532</v>
      </c>
      <c r="P1372" s="420"/>
      <c r="Q1372" s="420">
        <v>747</v>
      </c>
      <c r="R1372" s="428">
        <f t="shared" si="51"/>
        <v>-747</v>
      </c>
      <c r="S1372" s="428" t="str">
        <f>VLOOKUP(H1372,'Fund Utilization Report'!$A$4:$U$1800,13,FALSE)</f>
        <v>MOOE</v>
      </c>
      <c r="T1372" s="428" t="str">
        <f>VLOOKUP(H1372,'Fund Utilization Report'!$A$4:$U$1800,2,FALSE)</f>
        <v>GAA</v>
      </c>
      <c r="U1372" s="428" t="str">
        <f>VLOOKUP(H1372,'Fund Utilization Report'!$A$4:$U$1800,3,FALSE)</f>
        <v>FY2021, RA11518</v>
      </c>
      <c r="V1372" s="428" t="str">
        <f>VLOOKUP(H1372,'Fund Utilization Report'!$A$4:$U$1800,4,FALSE)</f>
        <v>GAS(GMS)</v>
      </c>
      <c r="W1372" s="428" t="str">
        <f>VLOOKUP(H1372,'Fund Utilization Report'!$A$4:$U$1800,5,FALSE)</f>
        <v>01101101</v>
      </c>
      <c r="X1372" s="428" t="str">
        <f>VLOOKUP(H1372,'Fund Utilization Report'!$A$4:$U$1800,6,FALSE)</f>
        <v>GOP</v>
      </c>
      <c r="Y1372" s="320" t="str">
        <f>VLOOKUP(H1372,'Fund Utilization Report'!$A$4:$U$1800,7,FALSE)</f>
        <v>MOOE</v>
      </c>
      <c r="Z1372" s="425">
        <f>VLOOKUP(H1372,'Fund Utilization Report'!$A$4:$U$1800,8,FALSE)</f>
        <v>5020000000</v>
      </c>
      <c r="AA1372" s="428" t="str">
        <f>VLOOKUP(H1372,'Fund Utilization Report'!$A$4:$U$1800,14,FALSE)</f>
        <v>100000100001000</v>
      </c>
      <c r="AB1372" s="349" t="str">
        <f>VLOOKUP(H1372,'Fund Utilization Report'!$A$4:$U$1800,15,FALSE)</f>
        <v>General Administration and Supervision - General Management and Supervision</v>
      </c>
      <c r="AC1372" s="39"/>
      <c r="AD1372" s="34"/>
      <c r="AE1372" s="39"/>
      <c r="AF1372" s="51"/>
      <c r="AG1372" s="40"/>
      <c r="AH1372" s="40"/>
    </row>
    <row r="1373" spans="1:34" s="32" customFormat="1">
      <c r="A1373" s="434" t="s">
        <v>942</v>
      </c>
      <c r="B1373" s="457" t="s">
        <v>946</v>
      </c>
      <c r="C1373" s="233">
        <v>44279</v>
      </c>
      <c r="D1373" s="435" t="s">
        <v>1267</v>
      </c>
      <c r="E1373" s="436" t="s">
        <v>1529</v>
      </c>
      <c r="F1373" s="338">
        <v>0.46875</v>
      </c>
      <c r="G1373" s="338">
        <v>0.47222222222222227</v>
      </c>
      <c r="H1373" s="338" t="s">
        <v>961</v>
      </c>
      <c r="I1373" s="353">
        <v>796</v>
      </c>
      <c r="J1373" s="338" t="str">
        <f>IFERROR(VLOOKUP(I1373,'Chart of accounts'!A:H,2,FALSE),"")</f>
        <v>50212020 00</v>
      </c>
      <c r="K1373" s="338" t="str">
        <f>IFERROR(VLOOKUP(I1373,'Chart of accounts'!A:H,3,FALSE),"")</f>
        <v>Janitorial Services</v>
      </c>
      <c r="L1373" s="338" t="str">
        <f>IFERROR(VLOOKUP(I1373,'Chart of accounts'!A:H,4,FALSE),"")</f>
        <v>50212020 00 - Janitorial Services (796)</v>
      </c>
      <c r="M1373" s="361">
        <v>68</v>
      </c>
      <c r="N1373" s="420" t="s">
        <v>821</v>
      </c>
      <c r="O1373" s="420" t="s">
        <v>1532</v>
      </c>
      <c r="P1373" s="420"/>
      <c r="Q1373" s="420">
        <v>21580</v>
      </c>
      <c r="R1373" s="428">
        <f t="shared" si="51"/>
        <v>-21580</v>
      </c>
      <c r="S1373" s="428" t="str">
        <f>VLOOKUP(H1373,'Fund Utilization Report'!$A$4:$U$1800,13,FALSE)</f>
        <v>MOOE</v>
      </c>
      <c r="T1373" s="428" t="str">
        <f>VLOOKUP(H1373,'Fund Utilization Report'!$A$4:$U$1800,2,FALSE)</f>
        <v>GAA</v>
      </c>
      <c r="U1373" s="428" t="str">
        <f>VLOOKUP(H1373,'Fund Utilization Report'!$A$4:$U$1800,3,FALSE)</f>
        <v>FY2021, RA11518</v>
      </c>
      <c r="V1373" s="428" t="str">
        <f>VLOOKUP(H1373,'Fund Utilization Report'!$A$4:$U$1800,4,FALSE)</f>
        <v>GAS(GMS)</v>
      </c>
      <c r="W1373" s="428" t="str">
        <f>VLOOKUP(H1373,'Fund Utilization Report'!$A$4:$U$1800,5,FALSE)</f>
        <v>01101101</v>
      </c>
      <c r="X1373" s="428" t="str">
        <f>VLOOKUP(H1373,'Fund Utilization Report'!$A$4:$U$1800,6,FALSE)</f>
        <v>GOP</v>
      </c>
      <c r="Y1373" s="320" t="str">
        <f>VLOOKUP(H1373,'Fund Utilization Report'!$A$4:$U$1800,7,FALSE)</f>
        <v>MOOE</v>
      </c>
      <c r="Z1373" s="425">
        <f>VLOOKUP(H1373,'Fund Utilization Report'!$A$4:$U$1800,8,FALSE)</f>
        <v>5020000000</v>
      </c>
      <c r="AA1373" s="428" t="str">
        <f>VLOOKUP(H1373,'Fund Utilization Report'!$A$4:$U$1800,14,FALSE)</f>
        <v>100000100001000</v>
      </c>
      <c r="AB1373" s="349" t="str">
        <f>VLOOKUP(H1373,'Fund Utilization Report'!$A$4:$U$1800,15,FALSE)</f>
        <v>General Administration and Supervision - General Management and Supervision</v>
      </c>
      <c r="AC1373" s="39"/>
      <c r="AD1373" s="34"/>
      <c r="AE1373" s="39"/>
      <c r="AF1373" s="51"/>
      <c r="AG1373" s="40"/>
      <c r="AH1373" s="40"/>
    </row>
    <row r="1374" spans="1:34" s="32" customFormat="1">
      <c r="A1374" s="434" t="s">
        <v>942</v>
      </c>
      <c r="B1374" s="457" t="s">
        <v>946</v>
      </c>
      <c r="C1374" s="233">
        <v>44279</v>
      </c>
      <c r="D1374" s="435" t="s">
        <v>1267</v>
      </c>
      <c r="E1374" s="436" t="s">
        <v>1529</v>
      </c>
      <c r="F1374" s="338">
        <v>0.46875</v>
      </c>
      <c r="G1374" s="338">
        <v>0.47222222222222227</v>
      </c>
      <c r="H1374" s="338" t="s">
        <v>961</v>
      </c>
      <c r="I1374" s="353">
        <v>795</v>
      </c>
      <c r="J1374" s="338" t="str">
        <f>IFERROR(VLOOKUP(I1374,'Chart of accounts'!A:H,2,FALSE),"")</f>
        <v>50212990 00</v>
      </c>
      <c r="K1374" s="338" t="str">
        <f>IFERROR(VLOOKUP(I1374,'Chart of accounts'!A:H,3,FALSE),"")</f>
        <v>Other General Services</v>
      </c>
      <c r="L1374" s="338" t="str">
        <f>IFERROR(VLOOKUP(I1374,'Chart of accounts'!A:H,4,FALSE),"")</f>
        <v>50212990 00 - Other General Services (795)</v>
      </c>
      <c r="M1374" s="361">
        <v>68</v>
      </c>
      <c r="N1374" s="420" t="s">
        <v>821</v>
      </c>
      <c r="O1374" s="420" t="s">
        <v>1532</v>
      </c>
      <c r="P1374" s="420"/>
      <c r="Q1374" s="420">
        <v>164374.85999999999</v>
      </c>
      <c r="R1374" s="428">
        <f t="shared" ref="R1374:R1437" si="52">P1374-Q1374</f>
        <v>-164374.85999999999</v>
      </c>
      <c r="S1374" s="428" t="str">
        <f>VLOOKUP(H1374,'Fund Utilization Report'!$A$4:$U$1800,13,FALSE)</f>
        <v>MOOE</v>
      </c>
      <c r="T1374" s="428" t="str">
        <f>VLOOKUP(H1374,'Fund Utilization Report'!$A$4:$U$1800,2,FALSE)</f>
        <v>GAA</v>
      </c>
      <c r="U1374" s="428" t="str">
        <f>VLOOKUP(H1374,'Fund Utilization Report'!$A$4:$U$1800,3,FALSE)</f>
        <v>FY2021, RA11518</v>
      </c>
      <c r="V1374" s="428" t="str">
        <f>VLOOKUP(H1374,'Fund Utilization Report'!$A$4:$U$1800,4,FALSE)</f>
        <v>GAS(GMS)</v>
      </c>
      <c r="W1374" s="428" t="str">
        <f>VLOOKUP(H1374,'Fund Utilization Report'!$A$4:$U$1800,5,FALSE)</f>
        <v>01101101</v>
      </c>
      <c r="X1374" s="428" t="str">
        <f>VLOOKUP(H1374,'Fund Utilization Report'!$A$4:$U$1800,6,FALSE)</f>
        <v>GOP</v>
      </c>
      <c r="Y1374" s="320" t="str">
        <f>VLOOKUP(H1374,'Fund Utilization Report'!$A$4:$U$1800,7,FALSE)</f>
        <v>MOOE</v>
      </c>
      <c r="Z1374" s="425">
        <f>VLOOKUP(H1374,'Fund Utilization Report'!$A$4:$U$1800,8,FALSE)</f>
        <v>5020000000</v>
      </c>
      <c r="AA1374" s="428" t="str">
        <f>VLOOKUP(H1374,'Fund Utilization Report'!$A$4:$U$1800,14,FALSE)</f>
        <v>100000100001000</v>
      </c>
      <c r="AB1374" s="349" t="str">
        <f>VLOOKUP(H1374,'Fund Utilization Report'!$A$4:$U$1800,15,FALSE)</f>
        <v>General Administration and Supervision - General Management and Supervision</v>
      </c>
      <c r="AC1374" s="39"/>
      <c r="AD1374" s="34"/>
      <c r="AE1374" s="39"/>
      <c r="AF1374" s="51"/>
      <c r="AG1374" s="40"/>
      <c r="AH1374" s="40"/>
    </row>
    <row r="1375" spans="1:34" s="32" customFormat="1">
      <c r="A1375" s="434" t="s">
        <v>942</v>
      </c>
      <c r="B1375" s="457" t="s">
        <v>946</v>
      </c>
      <c r="C1375" s="233">
        <v>44279</v>
      </c>
      <c r="D1375" s="435" t="s">
        <v>1267</v>
      </c>
      <c r="E1375" s="436" t="s">
        <v>1529</v>
      </c>
      <c r="F1375" s="338">
        <v>0.46875</v>
      </c>
      <c r="G1375" s="338">
        <v>0.47222222222222227</v>
      </c>
      <c r="H1375" s="338" t="s">
        <v>968</v>
      </c>
      <c r="I1375" s="353">
        <v>820</v>
      </c>
      <c r="J1375" s="338" t="str">
        <f>IFERROR(VLOOKUP(I1375,'Chart of accounts'!A:H,2,FALSE),"")</f>
        <v>50213040 01</v>
      </c>
      <c r="K1375" s="338" t="str">
        <f>IFERROR(VLOOKUP(I1375,'Chart of accounts'!A:H,3,FALSE),"")</f>
        <v>Buildings</v>
      </c>
      <c r="L1375" s="338" t="str">
        <f>IFERROR(VLOOKUP(I1375,'Chart of accounts'!A:H,4,FALSE),"")</f>
        <v>50213040 01 - Buildings (820)</v>
      </c>
      <c r="M1375" s="361">
        <v>68</v>
      </c>
      <c r="N1375" s="420" t="s">
        <v>821</v>
      </c>
      <c r="O1375" s="420" t="s">
        <v>1532</v>
      </c>
      <c r="P1375" s="420"/>
      <c r="Q1375" s="420">
        <v>24900</v>
      </c>
      <c r="R1375" s="428">
        <f t="shared" si="52"/>
        <v>-24900</v>
      </c>
      <c r="S1375" s="428" t="str">
        <f>VLOOKUP(H1375,'Fund Utilization Report'!$A$4:$U$1800,13,FALSE)</f>
        <v>MOOE</v>
      </c>
      <c r="T1375" s="428" t="str">
        <f>VLOOKUP(H1375,'Fund Utilization Report'!$A$4:$U$1800,2,FALSE)</f>
        <v>GAA</v>
      </c>
      <c r="U1375" s="428" t="str">
        <f>VLOOKUP(H1375,'Fund Utilization Report'!$A$4:$U$1800,3,FALSE)</f>
        <v>FY2021, RA11518</v>
      </c>
      <c r="V1375" s="428" t="str">
        <f>VLOOKUP(H1375,'Fund Utilization Report'!$A$4:$U$1800,4,FALSE)</f>
        <v>OO2</v>
      </c>
      <c r="W1375" s="428" t="str">
        <f>VLOOKUP(H1375,'Fund Utilization Report'!$A$4:$U$1800,5,FALSE)</f>
        <v>01101101</v>
      </c>
      <c r="X1375" s="428" t="str">
        <f>VLOOKUP(H1375,'Fund Utilization Report'!$A$4:$U$1800,6,FALSE)</f>
        <v>GOP</v>
      </c>
      <c r="Y1375" s="320" t="str">
        <f>VLOOKUP(H1375,'Fund Utilization Report'!$A$4:$U$1800,7,FALSE)</f>
        <v>MOOE</v>
      </c>
      <c r="Z1375" s="425">
        <f>VLOOKUP(H1375,'Fund Utilization Report'!$A$4:$U$1800,8,FALSE)</f>
        <v>5020000000</v>
      </c>
      <c r="AA1375" s="428" t="str">
        <f>VLOOKUP(H1375,'Fund Utilization Report'!$A$4:$U$1800,14,FALSE)</f>
        <v>320100100001000</v>
      </c>
      <c r="AB1375" s="349" t="str">
        <f>VLOOKUP(H1375,'Fund Utilization Report'!$A$4:$U$1800,15,FALSE)</f>
        <v>Formulation of Strategic plans,programs, and policies to develop competitve industries</v>
      </c>
      <c r="AC1375" s="39"/>
      <c r="AD1375" s="34"/>
      <c r="AE1375" s="39"/>
      <c r="AF1375" s="51"/>
      <c r="AG1375" s="40"/>
      <c r="AH1375" s="40"/>
    </row>
    <row r="1376" spans="1:34" s="32" customFormat="1">
      <c r="A1376" s="434" t="s">
        <v>942</v>
      </c>
      <c r="B1376" s="457" t="s">
        <v>946</v>
      </c>
      <c r="C1376" s="233">
        <v>44279</v>
      </c>
      <c r="D1376" s="435" t="s">
        <v>1267</v>
      </c>
      <c r="E1376" s="436" t="s">
        <v>1529</v>
      </c>
      <c r="F1376" s="338">
        <v>0.46875</v>
      </c>
      <c r="G1376" s="338">
        <v>0.47222222222222227</v>
      </c>
      <c r="H1376" s="338" t="s">
        <v>971</v>
      </c>
      <c r="I1376" s="353">
        <v>821</v>
      </c>
      <c r="J1376" s="338" t="str">
        <f>IFERROR(VLOOKUP(I1376,'Chart of accounts'!A:H,2,FALSE),"")</f>
        <v>50213050 02</v>
      </c>
      <c r="K1376" s="338" t="str">
        <f>IFERROR(VLOOKUP(I1376,'Chart of accounts'!A:H,3,FALSE),"")</f>
        <v>Office Equipment</v>
      </c>
      <c r="L1376" s="338" t="str">
        <f>IFERROR(VLOOKUP(I1376,'Chart of accounts'!A:H,4,FALSE),"")</f>
        <v>50213050 02 - Office Equipment (821)</v>
      </c>
      <c r="M1376" s="361">
        <v>68</v>
      </c>
      <c r="N1376" s="420" t="s">
        <v>821</v>
      </c>
      <c r="O1376" s="420" t="s">
        <v>1532</v>
      </c>
      <c r="P1376" s="420"/>
      <c r="Q1376" s="420">
        <v>4150</v>
      </c>
      <c r="R1376" s="428">
        <f t="shared" si="52"/>
        <v>-4150</v>
      </c>
      <c r="S1376" s="428" t="str">
        <f>VLOOKUP(H1376,'Fund Utilization Report'!$A$4:$U$1800,13,FALSE)</f>
        <v>MOOE</v>
      </c>
      <c r="T1376" s="428" t="str">
        <f>VLOOKUP(H1376,'Fund Utilization Report'!$A$4:$U$1800,2,FALSE)</f>
        <v>GAA</v>
      </c>
      <c r="U1376" s="428" t="str">
        <f>VLOOKUP(H1376,'Fund Utilization Report'!$A$4:$U$1800,3,FALSE)</f>
        <v>FY2021, RA11518</v>
      </c>
      <c r="V1376" s="428" t="str">
        <f>VLOOKUP(H1376,'Fund Utilization Report'!$A$4:$U$1800,4,FALSE)</f>
        <v>OO3</v>
      </c>
      <c r="W1376" s="428" t="str">
        <f>VLOOKUP(H1376,'Fund Utilization Report'!$A$4:$U$1800,5,FALSE)</f>
        <v>01101101</v>
      </c>
      <c r="X1376" s="428" t="str">
        <f>VLOOKUP(H1376,'Fund Utilization Report'!$A$4:$U$1800,6,FALSE)</f>
        <v>GOP</v>
      </c>
      <c r="Y1376" s="320" t="str">
        <f>VLOOKUP(H1376,'Fund Utilization Report'!$A$4:$U$1800,7,FALSE)</f>
        <v>MOOE</v>
      </c>
      <c r="Z1376" s="425">
        <f>VLOOKUP(H1376,'Fund Utilization Report'!$A$4:$U$1800,8,FALSE)</f>
        <v>5020000000</v>
      </c>
      <c r="AA1376" s="428" t="str">
        <f>VLOOKUP(H1376,'Fund Utilization Report'!$A$4:$U$1800,14,FALSE)</f>
        <v>330100100002000</v>
      </c>
      <c r="AB1376" s="349" t="str">
        <f>VLOOKUP(H1376,'Fund Utilization Report'!$A$4:$U$1800,15,FALSE)</f>
        <v>Implementation of the MSME Development Plan and other initiatives to promote the growth of Micro, Small and Medium Enterprises</v>
      </c>
      <c r="AC1376" s="39"/>
      <c r="AD1376" s="34"/>
      <c r="AE1376" s="39"/>
      <c r="AF1376" s="51"/>
      <c r="AG1376" s="40"/>
      <c r="AH1376" s="40"/>
    </row>
    <row r="1377" spans="1:34" s="32" customFormat="1">
      <c r="A1377" s="434" t="s">
        <v>942</v>
      </c>
      <c r="B1377" s="457" t="s">
        <v>946</v>
      </c>
      <c r="C1377" s="233">
        <v>44279</v>
      </c>
      <c r="D1377" s="435" t="s">
        <v>1267</v>
      </c>
      <c r="E1377" s="436" t="s">
        <v>1529</v>
      </c>
      <c r="F1377" s="338">
        <v>0.46875</v>
      </c>
      <c r="G1377" s="338">
        <v>0.47222222222222227</v>
      </c>
      <c r="H1377" s="338" t="s">
        <v>968</v>
      </c>
      <c r="I1377" s="353">
        <v>823</v>
      </c>
      <c r="J1377" s="338" t="str">
        <f>IFERROR(VLOOKUP(I1377,'Chart of accounts'!A:H,2,FALSE),"")</f>
        <v>50213050 03</v>
      </c>
      <c r="K1377" s="338" t="str">
        <f>IFERROR(VLOOKUP(I1377,'Chart of accounts'!A:H,3,FALSE),"")</f>
        <v>ICT Equipment</v>
      </c>
      <c r="L1377" s="338" t="str">
        <f>IFERROR(VLOOKUP(I1377,'Chart of accounts'!A:H,4,FALSE),"")</f>
        <v>50213050 03 - ICT Equipment (823)</v>
      </c>
      <c r="M1377" s="361">
        <v>68</v>
      </c>
      <c r="N1377" s="420" t="s">
        <v>821</v>
      </c>
      <c r="O1377" s="420" t="s">
        <v>1532</v>
      </c>
      <c r="P1377" s="420"/>
      <c r="Q1377" s="420">
        <v>4150</v>
      </c>
      <c r="R1377" s="428">
        <f t="shared" si="52"/>
        <v>-4150</v>
      </c>
      <c r="S1377" s="428" t="str">
        <f>VLOOKUP(H1377,'Fund Utilization Report'!$A$4:$U$1800,13,FALSE)</f>
        <v>MOOE</v>
      </c>
      <c r="T1377" s="428" t="str">
        <f>VLOOKUP(H1377,'Fund Utilization Report'!$A$4:$U$1800,2,FALSE)</f>
        <v>GAA</v>
      </c>
      <c r="U1377" s="428" t="str">
        <f>VLOOKUP(H1377,'Fund Utilization Report'!$A$4:$U$1800,3,FALSE)</f>
        <v>FY2021, RA11518</v>
      </c>
      <c r="V1377" s="428" t="str">
        <f>VLOOKUP(H1377,'Fund Utilization Report'!$A$4:$U$1800,4,FALSE)</f>
        <v>OO2</v>
      </c>
      <c r="W1377" s="428" t="str">
        <f>VLOOKUP(H1377,'Fund Utilization Report'!$A$4:$U$1800,5,FALSE)</f>
        <v>01101101</v>
      </c>
      <c r="X1377" s="428" t="str">
        <f>VLOOKUP(H1377,'Fund Utilization Report'!$A$4:$U$1800,6,FALSE)</f>
        <v>GOP</v>
      </c>
      <c r="Y1377" s="320" t="str">
        <f>VLOOKUP(H1377,'Fund Utilization Report'!$A$4:$U$1800,7,FALSE)</f>
        <v>MOOE</v>
      </c>
      <c r="Z1377" s="425">
        <f>VLOOKUP(H1377,'Fund Utilization Report'!$A$4:$U$1800,8,FALSE)</f>
        <v>5020000000</v>
      </c>
      <c r="AA1377" s="428" t="str">
        <f>VLOOKUP(H1377,'Fund Utilization Report'!$A$4:$U$1800,14,FALSE)</f>
        <v>320100100001000</v>
      </c>
      <c r="AB1377" s="349" t="str">
        <f>VLOOKUP(H1377,'Fund Utilization Report'!$A$4:$U$1800,15,FALSE)</f>
        <v>Formulation of Strategic plans,programs, and policies to develop competitve industries</v>
      </c>
      <c r="AC1377" s="39"/>
      <c r="AD1377" s="34"/>
      <c r="AE1377" s="39"/>
      <c r="AF1377" s="51"/>
      <c r="AG1377" s="40"/>
      <c r="AH1377" s="40"/>
    </row>
    <row r="1378" spans="1:34" s="32" customFormat="1">
      <c r="A1378" s="434" t="s">
        <v>942</v>
      </c>
      <c r="B1378" s="457" t="s">
        <v>946</v>
      </c>
      <c r="C1378" s="233">
        <v>44279</v>
      </c>
      <c r="D1378" s="435" t="s">
        <v>1267</v>
      </c>
      <c r="E1378" s="436" t="s">
        <v>1529</v>
      </c>
      <c r="F1378" s="338">
        <v>0.46875</v>
      </c>
      <c r="G1378" s="338">
        <v>0.47222222222222227</v>
      </c>
      <c r="H1378" s="338" t="s">
        <v>968</v>
      </c>
      <c r="I1378" s="353">
        <v>822</v>
      </c>
      <c r="J1378" s="338" t="str">
        <f>IFERROR(VLOOKUP(I1378,'Chart of accounts'!A:H,2,FALSE),"")</f>
        <v>50213070 00</v>
      </c>
      <c r="K1378" s="338" t="str">
        <f>IFERROR(VLOOKUP(I1378,'Chart of accounts'!A:H,3,FALSE),"")</f>
        <v>Furniture and Fixture</v>
      </c>
      <c r="L1378" s="338" t="str">
        <f>IFERROR(VLOOKUP(I1378,'Chart of accounts'!A:H,4,FALSE),"")</f>
        <v>50213070 00 - Furniture and Fixture (822)</v>
      </c>
      <c r="M1378" s="361">
        <v>68</v>
      </c>
      <c r="N1378" s="420" t="s">
        <v>821</v>
      </c>
      <c r="O1378" s="420" t="s">
        <v>1532</v>
      </c>
      <c r="P1378" s="420"/>
      <c r="Q1378" s="420">
        <v>2075</v>
      </c>
      <c r="R1378" s="428">
        <f t="shared" si="52"/>
        <v>-2075</v>
      </c>
      <c r="S1378" s="428" t="str">
        <f>VLOOKUP(H1378,'Fund Utilization Report'!$A$4:$U$1800,13,FALSE)</f>
        <v>MOOE</v>
      </c>
      <c r="T1378" s="428" t="str">
        <f>VLOOKUP(H1378,'Fund Utilization Report'!$A$4:$U$1800,2,FALSE)</f>
        <v>GAA</v>
      </c>
      <c r="U1378" s="428" t="str">
        <f>VLOOKUP(H1378,'Fund Utilization Report'!$A$4:$U$1800,3,FALSE)</f>
        <v>FY2021, RA11518</v>
      </c>
      <c r="V1378" s="428" t="str">
        <f>VLOOKUP(H1378,'Fund Utilization Report'!$A$4:$U$1800,4,FALSE)</f>
        <v>OO2</v>
      </c>
      <c r="W1378" s="428" t="str">
        <f>VLOOKUP(H1378,'Fund Utilization Report'!$A$4:$U$1800,5,FALSE)</f>
        <v>01101101</v>
      </c>
      <c r="X1378" s="428" t="str">
        <f>VLOOKUP(H1378,'Fund Utilization Report'!$A$4:$U$1800,6,FALSE)</f>
        <v>GOP</v>
      </c>
      <c r="Y1378" s="320" t="str">
        <f>VLOOKUP(H1378,'Fund Utilization Report'!$A$4:$U$1800,7,FALSE)</f>
        <v>MOOE</v>
      </c>
      <c r="Z1378" s="425">
        <f>VLOOKUP(H1378,'Fund Utilization Report'!$A$4:$U$1800,8,FALSE)</f>
        <v>5020000000</v>
      </c>
      <c r="AA1378" s="428" t="str">
        <f>VLOOKUP(H1378,'Fund Utilization Report'!$A$4:$U$1800,14,FALSE)</f>
        <v>320100100001000</v>
      </c>
      <c r="AB1378" s="349" t="str">
        <f>VLOOKUP(H1378,'Fund Utilization Report'!$A$4:$U$1800,15,FALSE)</f>
        <v>Formulation of Strategic plans,programs, and policies to develop competitve industries</v>
      </c>
      <c r="AC1378" s="39"/>
      <c r="AD1378" s="34"/>
      <c r="AE1378" s="39"/>
      <c r="AF1378" s="51"/>
      <c r="AG1378" s="40"/>
      <c r="AH1378" s="40"/>
    </row>
    <row r="1379" spans="1:34" s="32" customFormat="1">
      <c r="A1379" s="434" t="s">
        <v>942</v>
      </c>
      <c r="B1379" s="457" t="s">
        <v>946</v>
      </c>
      <c r="C1379" s="233">
        <v>44279</v>
      </c>
      <c r="D1379" s="435" t="s">
        <v>1267</v>
      </c>
      <c r="E1379" s="436" t="s">
        <v>1529</v>
      </c>
      <c r="F1379" s="338">
        <v>0.46875</v>
      </c>
      <c r="G1379" s="338">
        <v>0.47222222222222227</v>
      </c>
      <c r="H1379" s="338" t="s">
        <v>961</v>
      </c>
      <c r="I1379" s="353">
        <v>841</v>
      </c>
      <c r="J1379" s="338" t="str">
        <f>IFERROR(VLOOKUP(I1379,'Chart of accounts'!A:H,2,FALSE),"")</f>
        <v>50213060 01</v>
      </c>
      <c r="K1379" s="338" t="str">
        <f>IFERROR(VLOOKUP(I1379,'Chart of accounts'!A:H,3,FALSE),"")</f>
        <v>Motor Vehicles</v>
      </c>
      <c r="L1379" s="338" t="str">
        <f>IFERROR(VLOOKUP(I1379,'Chart of accounts'!A:H,4,FALSE),"")</f>
        <v>50213060 01 - Motor Vehicles (841)</v>
      </c>
      <c r="M1379" s="361">
        <v>68</v>
      </c>
      <c r="N1379" s="420" t="s">
        <v>821</v>
      </c>
      <c r="O1379" s="420" t="s">
        <v>1532</v>
      </c>
      <c r="P1379" s="420"/>
      <c r="Q1379" s="420">
        <v>20750</v>
      </c>
      <c r="R1379" s="428">
        <f t="shared" si="52"/>
        <v>-20750</v>
      </c>
      <c r="S1379" s="428" t="str">
        <f>VLOOKUP(H1379,'Fund Utilization Report'!$A$4:$U$1800,13,FALSE)</f>
        <v>MOOE</v>
      </c>
      <c r="T1379" s="428" t="str">
        <f>VLOOKUP(H1379,'Fund Utilization Report'!$A$4:$U$1800,2,FALSE)</f>
        <v>GAA</v>
      </c>
      <c r="U1379" s="428" t="str">
        <f>VLOOKUP(H1379,'Fund Utilization Report'!$A$4:$U$1800,3,FALSE)</f>
        <v>FY2021, RA11518</v>
      </c>
      <c r="V1379" s="428" t="str">
        <f>VLOOKUP(H1379,'Fund Utilization Report'!$A$4:$U$1800,4,FALSE)</f>
        <v>GAS(GMS)</v>
      </c>
      <c r="W1379" s="428" t="str">
        <f>VLOOKUP(H1379,'Fund Utilization Report'!$A$4:$U$1800,5,FALSE)</f>
        <v>01101101</v>
      </c>
      <c r="X1379" s="428" t="str">
        <f>VLOOKUP(H1379,'Fund Utilization Report'!$A$4:$U$1800,6,FALSE)</f>
        <v>GOP</v>
      </c>
      <c r="Y1379" s="320" t="str">
        <f>VLOOKUP(H1379,'Fund Utilization Report'!$A$4:$U$1800,7,FALSE)</f>
        <v>MOOE</v>
      </c>
      <c r="Z1379" s="425">
        <f>VLOOKUP(H1379,'Fund Utilization Report'!$A$4:$U$1800,8,FALSE)</f>
        <v>5020000000</v>
      </c>
      <c r="AA1379" s="428" t="str">
        <f>VLOOKUP(H1379,'Fund Utilization Report'!$A$4:$U$1800,14,FALSE)</f>
        <v>100000100001000</v>
      </c>
      <c r="AB1379" s="349" t="str">
        <f>VLOOKUP(H1379,'Fund Utilization Report'!$A$4:$U$1800,15,FALSE)</f>
        <v>General Administration and Supervision - General Management and Supervision</v>
      </c>
      <c r="AC1379" s="39"/>
      <c r="AD1379" s="34"/>
      <c r="AE1379" s="39"/>
      <c r="AF1379" s="51"/>
      <c r="AG1379" s="40"/>
      <c r="AH1379" s="40"/>
    </row>
    <row r="1380" spans="1:34" s="32" customFormat="1">
      <c r="A1380" s="434" t="s">
        <v>942</v>
      </c>
      <c r="B1380" s="457" t="s">
        <v>946</v>
      </c>
      <c r="C1380" s="233">
        <v>44279</v>
      </c>
      <c r="D1380" s="435" t="s">
        <v>1267</v>
      </c>
      <c r="E1380" s="436" t="s">
        <v>1529</v>
      </c>
      <c r="F1380" s="338">
        <v>0.46875</v>
      </c>
      <c r="G1380" s="338">
        <v>0.47222222222222227</v>
      </c>
      <c r="H1380" s="338" t="s">
        <v>961</v>
      </c>
      <c r="I1380" s="353">
        <v>891</v>
      </c>
      <c r="J1380" s="338" t="str">
        <f>IFERROR(VLOOKUP(I1380,'Chart of accounts'!A:H,2,FALSE),"")</f>
        <v>50215010 01</v>
      </c>
      <c r="K1380" s="338" t="str">
        <f>IFERROR(VLOOKUP(I1380,'Chart of accounts'!A:H,3,FALSE),"")</f>
        <v>Taxes, Duties and Licenses</v>
      </c>
      <c r="L1380" s="338" t="str">
        <f>IFERROR(VLOOKUP(I1380,'Chart of accounts'!A:H,4,FALSE),"")</f>
        <v>50215010 01 - Taxes, Duties and Licenses (891)</v>
      </c>
      <c r="M1380" s="361">
        <v>68</v>
      </c>
      <c r="N1380" s="420" t="s">
        <v>821</v>
      </c>
      <c r="O1380" s="420" t="s">
        <v>1532</v>
      </c>
      <c r="P1380" s="420"/>
      <c r="Q1380" s="420">
        <v>1556.25</v>
      </c>
      <c r="R1380" s="428">
        <f t="shared" si="52"/>
        <v>-1556.25</v>
      </c>
      <c r="S1380" s="428" t="str">
        <f>VLOOKUP(H1380,'Fund Utilization Report'!$A$4:$U$1800,13,FALSE)</f>
        <v>MOOE</v>
      </c>
      <c r="T1380" s="428" t="str">
        <f>VLOOKUP(H1380,'Fund Utilization Report'!$A$4:$U$1800,2,FALSE)</f>
        <v>GAA</v>
      </c>
      <c r="U1380" s="428" t="str">
        <f>VLOOKUP(H1380,'Fund Utilization Report'!$A$4:$U$1800,3,FALSE)</f>
        <v>FY2021, RA11518</v>
      </c>
      <c r="V1380" s="428" t="str">
        <f>VLOOKUP(H1380,'Fund Utilization Report'!$A$4:$U$1800,4,FALSE)</f>
        <v>GAS(GMS)</v>
      </c>
      <c r="W1380" s="428" t="str">
        <f>VLOOKUP(H1380,'Fund Utilization Report'!$A$4:$U$1800,5,FALSE)</f>
        <v>01101101</v>
      </c>
      <c r="X1380" s="428" t="str">
        <f>VLOOKUP(H1380,'Fund Utilization Report'!$A$4:$U$1800,6,FALSE)</f>
        <v>GOP</v>
      </c>
      <c r="Y1380" s="320" t="str">
        <f>VLOOKUP(H1380,'Fund Utilization Report'!$A$4:$U$1800,7,FALSE)</f>
        <v>MOOE</v>
      </c>
      <c r="Z1380" s="425">
        <f>VLOOKUP(H1380,'Fund Utilization Report'!$A$4:$U$1800,8,FALSE)</f>
        <v>5020000000</v>
      </c>
      <c r="AA1380" s="428" t="str">
        <f>VLOOKUP(H1380,'Fund Utilization Report'!$A$4:$U$1800,14,FALSE)</f>
        <v>100000100001000</v>
      </c>
      <c r="AB1380" s="349" t="str">
        <f>VLOOKUP(H1380,'Fund Utilization Report'!$A$4:$U$1800,15,FALSE)</f>
        <v>General Administration and Supervision - General Management and Supervision</v>
      </c>
      <c r="AC1380" s="39"/>
      <c r="AD1380" s="34"/>
      <c r="AE1380" s="39"/>
      <c r="AF1380" s="51"/>
      <c r="AG1380" s="40"/>
      <c r="AH1380" s="40"/>
    </row>
    <row r="1381" spans="1:34" s="32" customFormat="1">
      <c r="A1381" s="434" t="s">
        <v>942</v>
      </c>
      <c r="B1381" s="457" t="s">
        <v>946</v>
      </c>
      <c r="C1381" s="233">
        <v>44279</v>
      </c>
      <c r="D1381" s="435" t="s">
        <v>1267</v>
      </c>
      <c r="E1381" s="436" t="s">
        <v>1529</v>
      </c>
      <c r="F1381" s="338">
        <v>0.46875</v>
      </c>
      <c r="G1381" s="338">
        <v>0.47222222222222227</v>
      </c>
      <c r="H1381" s="338" t="s">
        <v>961</v>
      </c>
      <c r="I1381" s="353">
        <v>892</v>
      </c>
      <c r="J1381" s="338" t="str">
        <f>IFERROR(VLOOKUP(I1381,'Chart of accounts'!A:H,2,FALSE),"")</f>
        <v>50215020 00</v>
      </c>
      <c r="K1381" s="338" t="str">
        <f>IFERROR(VLOOKUP(I1381,'Chart of accounts'!A:H,3,FALSE),"")</f>
        <v>Fidelity Bond Premiums</v>
      </c>
      <c r="L1381" s="338" t="str">
        <f>IFERROR(VLOOKUP(I1381,'Chart of accounts'!A:H,4,FALSE),"")</f>
        <v>50215020 00 - Fidelity Bond Premiums (892)</v>
      </c>
      <c r="M1381" s="361">
        <v>68</v>
      </c>
      <c r="N1381" s="420" t="s">
        <v>821</v>
      </c>
      <c r="O1381" s="420" t="s">
        <v>1532</v>
      </c>
      <c r="P1381" s="420"/>
      <c r="Q1381" s="420">
        <v>2085.38</v>
      </c>
      <c r="R1381" s="428">
        <f t="shared" si="52"/>
        <v>-2085.38</v>
      </c>
      <c r="S1381" s="428" t="str">
        <f>VLOOKUP(H1381,'Fund Utilization Report'!$A$4:$U$1800,13,FALSE)</f>
        <v>MOOE</v>
      </c>
      <c r="T1381" s="428" t="str">
        <f>VLOOKUP(H1381,'Fund Utilization Report'!$A$4:$U$1800,2,FALSE)</f>
        <v>GAA</v>
      </c>
      <c r="U1381" s="428" t="str">
        <f>VLOOKUP(H1381,'Fund Utilization Report'!$A$4:$U$1800,3,FALSE)</f>
        <v>FY2021, RA11518</v>
      </c>
      <c r="V1381" s="428" t="str">
        <f>VLOOKUP(H1381,'Fund Utilization Report'!$A$4:$U$1800,4,FALSE)</f>
        <v>GAS(GMS)</v>
      </c>
      <c r="W1381" s="428" t="str">
        <f>VLOOKUP(H1381,'Fund Utilization Report'!$A$4:$U$1800,5,FALSE)</f>
        <v>01101101</v>
      </c>
      <c r="X1381" s="428" t="str">
        <f>VLOOKUP(H1381,'Fund Utilization Report'!$A$4:$U$1800,6,FALSE)</f>
        <v>GOP</v>
      </c>
      <c r="Y1381" s="320" t="str">
        <f>VLOOKUP(H1381,'Fund Utilization Report'!$A$4:$U$1800,7,FALSE)</f>
        <v>MOOE</v>
      </c>
      <c r="Z1381" s="425">
        <f>VLOOKUP(H1381,'Fund Utilization Report'!$A$4:$U$1800,8,FALSE)</f>
        <v>5020000000</v>
      </c>
      <c r="AA1381" s="428" t="str">
        <f>VLOOKUP(H1381,'Fund Utilization Report'!$A$4:$U$1800,14,FALSE)</f>
        <v>100000100001000</v>
      </c>
      <c r="AB1381" s="349" t="str">
        <f>VLOOKUP(H1381,'Fund Utilization Report'!$A$4:$U$1800,15,FALSE)</f>
        <v>General Administration and Supervision - General Management and Supervision</v>
      </c>
      <c r="AC1381" s="39"/>
      <c r="AD1381" s="34"/>
      <c r="AE1381" s="39"/>
      <c r="AF1381" s="51"/>
      <c r="AG1381" s="40"/>
      <c r="AH1381" s="40"/>
    </row>
    <row r="1382" spans="1:34" s="32" customFormat="1">
      <c r="A1382" s="434" t="s">
        <v>942</v>
      </c>
      <c r="B1382" s="457" t="s">
        <v>946</v>
      </c>
      <c r="C1382" s="233">
        <v>44279</v>
      </c>
      <c r="D1382" s="435" t="s">
        <v>1267</v>
      </c>
      <c r="E1382" s="436" t="s">
        <v>1529</v>
      </c>
      <c r="F1382" s="338">
        <v>0.46875</v>
      </c>
      <c r="G1382" s="338">
        <v>0.47222222222222227</v>
      </c>
      <c r="H1382" s="338" t="s">
        <v>961</v>
      </c>
      <c r="I1382" s="353">
        <v>893</v>
      </c>
      <c r="J1382" s="338" t="str">
        <f>IFERROR(VLOOKUP(I1382,'Chart of accounts'!A:H,2,FALSE),"")</f>
        <v>50215030 00</v>
      </c>
      <c r="K1382" s="338" t="str">
        <f>IFERROR(VLOOKUP(I1382,'Chart of accounts'!A:H,3,FALSE),"")</f>
        <v>Insurance Expense</v>
      </c>
      <c r="L1382" s="338" t="str">
        <f>IFERROR(VLOOKUP(I1382,'Chart of accounts'!A:H,4,FALSE),"")</f>
        <v>50215030 00 - Insurance Expense (893)</v>
      </c>
      <c r="M1382" s="361">
        <v>68</v>
      </c>
      <c r="N1382" s="420" t="s">
        <v>821</v>
      </c>
      <c r="O1382" s="420" t="s">
        <v>1532</v>
      </c>
      <c r="P1382" s="420"/>
      <c r="Q1382" s="420">
        <v>4565</v>
      </c>
      <c r="R1382" s="428">
        <f t="shared" si="52"/>
        <v>-4565</v>
      </c>
      <c r="S1382" s="428" t="str">
        <f>VLOOKUP(H1382,'Fund Utilization Report'!$A$4:$U$1800,13,FALSE)</f>
        <v>MOOE</v>
      </c>
      <c r="T1382" s="428" t="str">
        <f>VLOOKUP(H1382,'Fund Utilization Report'!$A$4:$U$1800,2,FALSE)</f>
        <v>GAA</v>
      </c>
      <c r="U1382" s="428" t="str">
        <f>VLOOKUP(H1382,'Fund Utilization Report'!$A$4:$U$1800,3,FALSE)</f>
        <v>FY2021, RA11518</v>
      </c>
      <c r="V1382" s="428" t="str">
        <f>VLOOKUP(H1382,'Fund Utilization Report'!$A$4:$U$1800,4,FALSE)</f>
        <v>GAS(GMS)</v>
      </c>
      <c r="W1382" s="428" t="str">
        <f>VLOOKUP(H1382,'Fund Utilization Report'!$A$4:$U$1800,5,FALSE)</f>
        <v>01101101</v>
      </c>
      <c r="X1382" s="428" t="str">
        <f>VLOOKUP(H1382,'Fund Utilization Report'!$A$4:$U$1800,6,FALSE)</f>
        <v>GOP</v>
      </c>
      <c r="Y1382" s="320" t="str">
        <f>VLOOKUP(H1382,'Fund Utilization Report'!$A$4:$U$1800,7,FALSE)</f>
        <v>MOOE</v>
      </c>
      <c r="Z1382" s="425">
        <f>VLOOKUP(H1382,'Fund Utilization Report'!$A$4:$U$1800,8,FALSE)</f>
        <v>5020000000</v>
      </c>
      <c r="AA1382" s="428" t="str">
        <f>VLOOKUP(H1382,'Fund Utilization Report'!$A$4:$U$1800,14,FALSE)</f>
        <v>100000100001000</v>
      </c>
      <c r="AB1382" s="349" t="str">
        <f>VLOOKUP(H1382,'Fund Utilization Report'!$A$4:$U$1800,15,FALSE)</f>
        <v>General Administration and Supervision - General Management and Supervision</v>
      </c>
      <c r="AC1382" s="39"/>
      <c r="AD1382" s="34"/>
      <c r="AE1382" s="39"/>
      <c r="AF1382" s="51"/>
      <c r="AG1382" s="40"/>
      <c r="AH1382" s="40"/>
    </row>
    <row r="1383" spans="1:34" s="32" customFormat="1">
      <c r="A1383" s="434" t="s">
        <v>942</v>
      </c>
      <c r="B1383" s="457" t="s">
        <v>946</v>
      </c>
      <c r="C1383" s="233">
        <v>44279</v>
      </c>
      <c r="D1383" s="435" t="s">
        <v>1267</v>
      </c>
      <c r="E1383" s="436" t="s">
        <v>1529</v>
      </c>
      <c r="F1383" s="338">
        <v>0.46875</v>
      </c>
      <c r="G1383" s="338">
        <v>0.47222222222222227</v>
      </c>
      <c r="H1383" s="338" t="s">
        <v>961</v>
      </c>
      <c r="I1383" s="353">
        <v>782</v>
      </c>
      <c r="J1383" s="338" t="str">
        <f>IFERROR(VLOOKUP(I1383,'Chart of accounts'!A:H,2,FALSE),"")</f>
        <v>50299050 01</v>
      </c>
      <c r="K1383" s="338" t="str">
        <f>IFERROR(VLOOKUP(I1383,'Chart of accounts'!A:H,3,FALSE),"")</f>
        <v>Rent - Buildings and Structures</v>
      </c>
      <c r="L1383" s="338" t="str">
        <f>IFERROR(VLOOKUP(I1383,'Chart of accounts'!A:H,4,FALSE),"")</f>
        <v>50299050 01 - Rent - Buildings and Structures (782)</v>
      </c>
      <c r="M1383" s="361">
        <v>68</v>
      </c>
      <c r="N1383" s="420" t="s">
        <v>821</v>
      </c>
      <c r="O1383" s="420" t="s">
        <v>1532</v>
      </c>
      <c r="P1383" s="420"/>
      <c r="Q1383" s="420">
        <v>128235</v>
      </c>
      <c r="R1383" s="428">
        <f t="shared" si="52"/>
        <v>-128235</v>
      </c>
      <c r="S1383" s="428" t="str">
        <f>VLOOKUP(H1383,'Fund Utilization Report'!$A$4:$U$1800,13,FALSE)</f>
        <v>MOOE</v>
      </c>
      <c r="T1383" s="428" t="str">
        <f>VLOOKUP(H1383,'Fund Utilization Report'!$A$4:$U$1800,2,FALSE)</f>
        <v>GAA</v>
      </c>
      <c r="U1383" s="428" t="str">
        <f>VLOOKUP(H1383,'Fund Utilization Report'!$A$4:$U$1800,3,FALSE)</f>
        <v>FY2021, RA11518</v>
      </c>
      <c r="V1383" s="428" t="str">
        <f>VLOOKUP(H1383,'Fund Utilization Report'!$A$4:$U$1800,4,FALSE)</f>
        <v>GAS(GMS)</v>
      </c>
      <c r="W1383" s="428" t="str">
        <f>VLOOKUP(H1383,'Fund Utilization Report'!$A$4:$U$1800,5,FALSE)</f>
        <v>01101101</v>
      </c>
      <c r="X1383" s="428" t="str">
        <f>VLOOKUP(H1383,'Fund Utilization Report'!$A$4:$U$1800,6,FALSE)</f>
        <v>GOP</v>
      </c>
      <c r="Y1383" s="320" t="str">
        <f>VLOOKUP(H1383,'Fund Utilization Report'!$A$4:$U$1800,7,FALSE)</f>
        <v>MOOE</v>
      </c>
      <c r="Z1383" s="425">
        <f>VLOOKUP(H1383,'Fund Utilization Report'!$A$4:$U$1800,8,FALSE)</f>
        <v>5020000000</v>
      </c>
      <c r="AA1383" s="428" t="str">
        <f>VLOOKUP(H1383,'Fund Utilization Report'!$A$4:$U$1800,14,FALSE)</f>
        <v>100000100001000</v>
      </c>
      <c r="AB1383" s="349" t="str">
        <f>VLOOKUP(H1383,'Fund Utilization Report'!$A$4:$U$1800,15,FALSE)</f>
        <v>General Administration and Supervision - General Management and Supervision</v>
      </c>
      <c r="AC1383" s="39"/>
      <c r="AD1383" s="34"/>
      <c r="AE1383" s="39"/>
      <c r="AF1383" s="51"/>
      <c r="AG1383" s="40"/>
      <c r="AH1383" s="40"/>
    </row>
    <row r="1384" spans="1:34" s="32" customFormat="1">
      <c r="A1384" s="434" t="s">
        <v>942</v>
      </c>
      <c r="B1384" s="457" t="s">
        <v>946</v>
      </c>
      <c r="C1384" s="233">
        <v>44279</v>
      </c>
      <c r="D1384" s="435" t="s">
        <v>1267</v>
      </c>
      <c r="E1384" s="436" t="s">
        <v>1529</v>
      </c>
      <c r="F1384" s="338">
        <v>0.46875</v>
      </c>
      <c r="G1384" s="338">
        <v>0.47222222222222227</v>
      </c>
      <c r="H1384" s="338" t="s">
        <v>961</v>
      </c>
      <c r="I1384" s="353">
        <v>751</v>
      </c>
      <c r="J1384" s="338" t="str">
        <f>IFERROR(VLOOKUP(I1384,'Chart of accounts'!A:H,2,FALSE),"")</f>
        <v>50201010 00</v>
      </c>
      <c r="K1384" s="338" t="str">
        <f>IFERROR(VLOOKUP(I1384,'Chart of accounts'!A:H,3,FALSE),"")</f>
        <v>Traveling Expenses - Local</v>
      </c>
      <c r="L1384" s="338" t="str">
        <f>IFERROR(VLOOKUP(I1384,'Chart of accounts'!A:H,4,FALSE),"")</f>
        <v>50201010 00 - Traveling Expenses - Local (751)</v>
      </c>
      <c r="M1384" s="361">
        <v>68</v>
      </c>
      <c r="N1384" s="420" t="s">
        <v>821</v>
      </c>
      <c r="O1384" s="420" t="s">
        <v>1532</v>
      </c>
      <c r="P1384" s="420"/>
      <c r="Q1384" s="420">
        <v>2075</v>
      </c>
      <c r="R1384" s="428">
        <f t="shared" si="52"/>
        <v>-2075</v>
      </c>
      <c r="S1384" s="428" t="str">
        <f>VLOOKUP(H1384,'Fund Utilization Report'!$A$4:$U$1800,13,FALSE)</f>
        <v>MOOE</v>
      </c>
      <c r="T1384" s="428" t="str">
        <f>VLOOKUP(H1384,'Fund Utilization Report'!$A$4:$U$1800,2,FALSE)</f>
        <v>GAA</v>
      </c>
      <c r="U1384" s="428" t="str">
        <f>VLOOKUP(H1384,'Fund Utilization Report'!$A$4:$U$1800,3,FALSE)</f>
        <v>FY2021, RA11518</v>
      </c>
      <c r="V1384" s="428" t="str">
        <f>VLOOKUP(H1384,'Fund Utilization Report'!$A$4:$U$1800,4,FALSE)</f>
        <v>GAS(GMS)</v>
      </c>
      <c r="W1384" s="428" t="str">
        <f>VLOOKUP(H1384,'Fund Utilization Report'!$A$4:$U$1800,5,FALSE)</f>
        <v>01101101</v>
      </c>
      <c r="X1384" s="428" t="str">
        <f>VLOOKUP(H1384,'Fund Utilization Report'!$A$4:$U$1800,6,FALSE)</f>
        <v>GOP</v>
      </c>
      <c r="Y1384" s="320" t="str">
        <f>VLOOKUP(H1384,'Fund Utilization Report'!$A$4:$U$1800,7,FALSE)</f>
        <v>MOOE</v>
      </c>
      <c r="Z1384" s="425">
        <f>VLOOKUP(H1384,'Fund Utilization Report'!$A$4:$U$1800,8,FALSE)</f>
        <v>5020000000</v>
      </c>
      <c r="AA1384" s="428" t="str">
        <f>VLOOKUP(H1384,'Fund Utilization Report'!$A$4:$U$1800,14,FALSE)</f>
        <v>100000100001000</v>
      </c>
      <c r="AB1384" s="349" t="str">
        <f>VLOOKUP(H1384,'Fund Utilization Report'!$A$4:$U$1800,15,FALSE)</f>
        <v>General Administration and Supervision - General Management and Supervision</v>
      </c>
      <c r="AC1384" s="39"/>
      <c r="AD1384" s="34"/>
      <c r="AE1384" s="39"/>
      <c r="AF1384" s="51"/>
      <c r="AG1384" s="40"/>
      <c r="AH1384" s="40"/>
    </row>
    <row r="1385" spans="1:34" s="32" customFormat="1">
      <c r="A1385" s="434" t="s">
        <v>942</v>
      </c>
      <c r="B1385" s="457" t="s">
        <v>946</v>
      </c>
      <c r="C1385" s="233">
        <v>44279</v>
      </c>
      <c r="D1385" s="435" t="s">
        <v>1267</v>
      </c>
      <c r="E1385" s="436" t="s">
        <v>1529</v>
      </c>
      <c r="F1385" s="338">
        <v>0.46875</v>
      </c>
      <c r="G1385" s="338">
        <v>0.47222222222222227</v>
      </c>
      <c r="H1385" s="338" t="s">
        <v>961</v>
      </c>
      <c r="I1385" s="353">
        <v>755</v>
      </c>
      <c r="J1385" s="338" t="str">
        <f>IFERROR(VLOOKUP(I1385,'Chart of accounts'!A:H,2,FALSE),"")</f>
        <v>50203010 00</v>
      </c>
      <c r="K1385" s="338" t="str">
        <f>IFERROR(VLOOKUP(I1385,'Chart of accounts'!A:H,3,FALSE),"")</f>
        <v>Office Supplies Expenses</v>
      </c>
      <c r="L1385" s="338" t="str">
        <f>IFERROR(VLOOKUP(I1385,'Chart of accounts'!A:H,4,FALSE),"")</f>
        <v>50203010 00 - Office Supplies Expenses (755)</v>
      </c>
      <c r="M1385" s="361">
        <v>68</v>
      </c>
      <c r="N1385" s="420" t="s">
        <v>821</v>
      </c>
      <c r="O1385" s="420" t="s">
        <v>1532</v>
      </c>
      <c r="P1385" s="420"/>
      <c r="Q1385" s="420">
        <v>10375</v>
      </c>
      <c r="R1385" s="428">
        <f t="shared" si="52"/>
        <v>-10375</v>
      </c>
      <c r="S1385" s="428" t="str">
        <f>VLOOKUP(H1385,'Fund Utilization Report'!$A$4:$U$1800,13,FALSE)</f>
        <v>MOOE</v>
      </c>
      <c r="T1385" s="428" t="str">
        <f>VLOOKUP(H1385,'Fund Utilization Report'!$A$4:$U$1800,2,FALSE)</f>
        <v>GAA</v>
      </c>
      <c r="U1385" s="428" t="str">
        <f>VLOOKUP(H1385,'Fund Utilization Report'!$A$4:$U$1800,3,FALSE)</f>
        <v>FY2021, RA11518</v>
      </c>
      <c r="V1385" s="428" t="str">
        <f>VLOOKUP(H1385,'Fund Utilization Report'!$A$4:$U$1800,4,FALSE)</f>
        <v>GAS(GMS)</v>
      </c>
      <c r="W1385" s="428" t="str">
        <f>VLOOKUP(H1385,'Fund Utilization Report'!$A$4:$U$1800,5,FALSE)</f>
        <v>01101101</v>
      </c>
      <c r="X1385" s="428" t="str">
        <f>VLOOKUP(H1385,'Fund Utilization Report'!$A$4:$U$1800,6,FALSE)</f>
        <v>GOP</v>
      </c>
      <c r="Y1385" s="320" t="str">
        <f>VLOOKUP(H1385,'Fund Utilization Report'!$A$4:$U$1800,7,FALSE)</f>
        <v>MOOE</v>
      </c>
      <c r="Z1385" s="425">
        <f>VLOOKUP(H1385,'Fund Utilization Report'!$A$4:$U$1800,8,FALSE)</f>
        <v>5020000000</v>
      </c>
      <c r="AA1385" s="428" t="str">
        <f>VLOOKUP(H1385,'Fund Utilization Report'!$A$4:$U$1800,14,FALSE)</f>
        <v>100000100001000</v>
      </c>
      <c r="AB1385" s="349" t="str">
        <f>VLOOKUP(H1385,'Fund Utilization Report'!$A$4:$U$1800,15,FALSE)</f>
        <v>General Administration and Supervision - General Management and Supervision</v>
      </c>
      <c r="AC1385" s="39"/>
      <c r="AD1385" s="34"/>
      <c r="AE1385" s="39"/>
      <c r="AF1385" s="51"/>
      <c r="AG1385" s="40"/>
      <c r="AH1385" s="40"/>
    </row>
    <row r="1386" spans="1:34" s="32" customFormat="1">
      <c r="A1386" s="434" t="s">
        <v>942</v>
      </c>
      <c r="B1386" s="457" t="s">
        <v>946</v>
      </c>
      <c r="C1386" s="233">
        <v>44279</v>
      </c>
      <c r="D1386" s="435" t="s">
        <v>1267</v>
      </c>
      <c r="E1386" s="436" t="s">
        <v>1529</v>
      </c>
      <c r="F1386" s="338">
        <v>0.46875</v>
      </c>
      <c r="G1386" s="338">
        <v>0.47222222222222227</v>
      </c>
      <c r="H1386" s="338" t="s">
        <v>961</v>
      </c>
      <c r="I1386" s="353">
        <v>781</v>
      </c>
      <c r="J1386" s="338" t="str">
        <f>IFERROR(VLOOKUP(I1386,'Chart of accounts'!A:H,2,FALSE),"")</f>
        <v>50299020 00</v>
      </c>
      <c r="K1386" s="338" t="str">
        <f>IFERROR(VLOOKUP(I1386,'Chart of accounts'!A:H,3,FALSE),"")</f>
        <v>Printing and Binding Expenses</v>
      </c>
      <c r="L1386" s="338" t="str">
        <f>IFERROR(VLOOKUP(I1386,'Chart of accounts'!A:H,4,FALSE),"")</f>
        <v>50299020 00 - Printing and Binding Expenses (781)</v>
      </c>
      <c r="M1386" s="361">
        <v>68</v>
      </c>
      <c r="N1386" s="420" t="s">
        <v>821</v>
      </c>
      <c r="O1386" s="420" t="s">
        <v>1532</v>
      </c>
      <c r="P1386" s="420"/>
      <c r="Q1386" s="420">
        <v>1037.5</v>
      </c>
      <c r="R1386" s="428">
        <f t="shared" si="52"/>
        <v>-1037.5</v>
      </c>
      <c r="S1386" s="428" t="str">
        <f>VLOOKUP(H1386,'Fund Utilization Report'!$A$4:$U$1800,13,FALSE)</f>
        <v>MOOE</v>
      </c>
      <c r="T1386" s="428" t="str">
        <f>VLOOKUP(H1386,'Fund Utilization Report'!$A$4:$U$1800,2,FALSE)</f>
        <v>GAA</v>
      </c>
      <c r="U1386" s="428" t="str">
        <f>VLOOKUP(H1386,'Fund Utilization Report'!$A$4:$U$1800,3,FALSE)</f>
        <v>FY2021, RA11518</v>
      </c>
      <c r="V1386" s="428" t="str">
        <f>VLOOKUP(H1386,'Fund Utilization Report'!$A$4:$U$1800,4,FALSE)</f>
        <v>GAS(GMS)</v>
      </c>
      <c r="W1386" s="428" t="str">
        <f>VLOOKUP(H1386,'Fund Utilization Report'!$A$4:$U$1800,5,FALSE)</f>
        <v>01101101</v>
      </c>
      <c r="X1386" s="428" t="str">
        <f>VLOOKUP(H1386,'Fund Utilization Report'!$A$4:$U$1800,6,FALSE)</f>
        <v>GOP</v>
      </c>
      <c r="Y1386" s="320" t="str">
        <f>VLOOKUP(H1386,'Fund Utilization Report'!$A$4:$U$1800,7,FALSE)</f>
        <v>MOOE</v>
      </c>
      <c r="Z1386" s="425">
        <f>VLOOKUP(H1386,'Fund Utilization Report'!$A$4:$U$1800,8,FALSE)</f>
        <v>5020000000</v>
      </c>
      <c r="AA1386" s="428" t="str">
        <f>VLOOKUP(H1386,'Fund Utilization Report'!$A$4:$U$1800,14,FALSE)</f>
        <v>100000100001000</v>
      </c>
      <c r="AB1386" s="349" t="str">
        <f>VLOOKUP(H1386,'Fund Utilization Report'!$A$4:$U$1800,15,FALSE)</f>
        <v>General Administration and Supervision - General Management and Supervision</v>
      </c>
      <c r="AC1386" s="39"/>
      <c r="AD1386" s="34"/>
      <c r="AE1386" s="39"/>
      <c r="AF1386" s="51"/>
      <c r="AG1386" s="40"/>
      <c r="AH1386" s="40"/>
    </row>
    <row r="1387" spans="1:34" s="32" customFormat="1">
      <c r="A1387" s="434" t="s">
        <v>942</v>
      </c>
      <c r="B1387" s="457" t="s">
        <v>946</v>
      </c>
      <c r="C1387" s="233">
        <v>44279</v>
      </c>
      <c r="D1387" s="435" t="s">
        <v>1267</v>
      </c>
      <c r="E1387" s="436" t="s">
        <v>1529</v>
      </c>
      <c r="F1387" s="338">
        <v>0.46875</v>
      </c>
      <c r="G1387" s="338">
        <v>0.47222222222222227</v>
      </c>
      <c r="H1387" s="338" t="s">
        <v>961</v>
      </c>
      <c r="I1387" s="353">
        <v>783</v>
      </c>
      <c r="J1387" s="338" t="str">
        <f>IFERROR(VLOOKUP(I1387,'Chart of accounts'!A:H,2,FALSE),"")</f>
        <v>50299030 00</v>
      </c>
      <c r="K1387" s="338" t="str">
        <f>IFERROR(VLOOKUP(I1387,'Chart of accounts'!A:H,3,FALSE),"")</f>
        <v>Representation Expenses</v>
      </c>
      <c r="L1387" s="338" t="str">
        <f>IFERROR(VLOOKUP(I1387,'Chart of accounts'!A:H,4,FALSE),"")</f>
        <v>50299030 00 - Representation Expenses (783)</v>
      </c>
      <c r="M1387" s="361">
        <v>68</v>
      </c>
      <c r="N1387" s="420" t="s">
        <v>821</v>
      </c>
      <c r="O1387" s="420" t="s">
        <v>1532</v>
      </c>
      <c r="P1387" s="420"/>
      <c r="Q1387" s="420">
        <v>5063</v>
      </c>
      <c r="R1387" s="428">
        <f t="shared" si="52"/>
        <v>-5063</v>
      </c>
      <c r="S1387" s="428" t="str">
        <f>VLOOKUP(H1387,'Fund Utilization Report'!$A$4:$U$1800,13,FALSE)</f>
        <v>MOOE</v>
      </c>
      <c r="T1387" s="428" t="str">
        <f>VLOOKUP(H1387,'Fund Utilization Report'!$A$4:$U$1800,2,FALSE)</f>
        <v>GAA</v>
      </c>
      <c r="U1387" s="428" t="str">
        <f>VLOOKUP(H1387,'Fund Utilization Report'!$A$4:$U$1800,3,FALSE)</f>
        <v>FY2021, RA11518</v>
      </c>
      <c r="V1387" s="428" t="str">
        <f>VLOOKUP(H1387,'Fund Utilization Report'!$A$4:$U$1800,4,FALSE)</f>
        <v>GAS(GMS)</v>
      </c>
      <c r="W1387" s="428" t="str">
        <f>VLOOKUP(H1387,'Fund Utilization Report'!$A$4:$U$1800,5,FALSE)</f>
        <v>01101101</v>
      </c>
      <c r="X1387" s="428" t="str">
        <f>VLOOKUP(H1387,'Fund Utilization Report'!$A$4:$U$1800,6,FALSE)</f>
        <v>GOP</v>
      </c>
      <c r="Y1387" s="320" t="str">
        <f>VLOOKUP(H1387,'Fund Utilization Report'!$A$4:$U$1800,7,FALSE)</f>
        <v>MOOE</v>
      </c>
      <c r="Z1387" s="425">
        <f>VLOOKUP(H1387,'Fund Utilization Report'!$A$4:$U$1800,8,FALSE)</f>
        <v>5020000000</v>
      </c>
      <c r="AA1387" s="428" t="str">
        <f>VLOOKUP(H1387,'Fund Utilization Report'!$A$4:$U$1800,14,FALSE)</f>
        <v>100000100001000</v>
      </c>
      <c r="AB1387" s="349" t="str">
        <f>VLOOKUP(H1387,'Fund Utilization Report'!$A$4:$U$1800,15,FALSE)</f>
        <v>General Administration and Supervision - General Management and Supervision</v>
      </c>
      <c r="AC1387" s="39"/>
      <c r="AD1387" s="34"/>
      <c r="AE1387" s="39"/>
      <c r="AF1387" s="51"/>
      <c r="AG1387" s="40"/>
      <c r="AH1387" s="40"/>
    </row>
    <row r="1388" spans="1:34" s="32" customFormat="1">
      <c r="A1388" s="434" t="s">
        <v>942</v>
      </c>
      <c r="B1388" s="457" t="s">
        <v>946</v>
      </c>
      <c r="C1388" s="233">
        <v>44279</v>
      </c>
      <c r="D1388" s="435" t="s">
        <v>1267</v>
      </c>
      <c r="E1388" s="436" t="s">
        <v>1529</v>
      </c>
      <c r="F1388" s="338">
        <v>0.46875</v>
      </c>
      <c r="G1388" s="338">
        <v>0.47222222222222227</v>
      </c>
      <c r="H1388" s="338" t="s">
        <v>968</v>
      </c>
      <c r="I1388" s="353">
        <v>784</v>
      </c>
      <c r="J1388" s="338" t="str">
        <f>IFERROR(VLOOKUP(I1388,'Chart of accounts'!A:H,2,FALSE),"")</f>
        <v>50299040 00</v>
      </c>
      <c r="K1388" s="338" t="str">
        <f>IFERROR(VLOOKUP(I1388,'Chart of accounts'!A:H,3,FALSE),"")</f>
        <v>Transportation and Delivery Expenses</v>
      </c>
      <c r="L1388" s="338" t="str">
        <f>IFERROR(VLOOKUP(I1388,'Chart of accounts'!A:H,4,FALSE),"")</f>
        <v>50299040 00 - Transportation and Delivery Expenses (784)</v>
      </c>
      <c r="M1388" s="361">
        <v>68</v>
      </c>
      <c r="N1388" s="420" t="s">
        <v>821</v>
      </c>
      <c r="O1388" s="420" t="s">
        <v>1532</v>
      </c>
      <c r="P1388" s="420"/>
      <c r="Q1388" s="420">
        <v>4980</v>
      </c>
      <c r="R1388" s="428">
        <f t="shared" si="52"/>
        <v>-4980</v>
      </c>
      <c r="S1388" s="428" t="str">
        <f>VLOOKUP(H1388,'Fund Utilization Report'!$A$4:$U$1800,13,FALSE)</f>
        <v>MOOE</v>
      </c>
      <c r="T1388" s="428" t="str">
        <f>VLOOKUP(H1388,'Fund Utilization Report'!$A$4:$U$1800,2,FALSE)</f>
        <v>GAA</v>
      </c>
      <c r="U1388" s="428" t="str">
        <f>VLOOKUP(H1388,'Fund Utilization Report'!$A$4:$U$1800,3,FALSE)</f>
        <v>FY2021, RA11518</v>
      </c>
      <c r="V1388" s="428" t="str">
        <f>VLOOKUP(H1388,'Fund Utilization Report'!$A$4:$U$1800,4,FALSE)</f>
        <v>OO2</v>
      </c>
      <c r="W1388" s="428" t="str">
        <f>VLOOKUP(H1388,'Fund Utilization Report'!$A$4:$U$1800,5,FALSE)</f>
        <v>01101101</v>
      </c>
      <c r="X1388" s="428" t="str">
        <f>VLOOKUP(H1388,'Fund Utilization Report'!$A$4:$U$1800,6,FALSE)</f>
        <v>GOP</v>
      </c>
      <c r="Y1388" s="320" t="str">
        <f>VLOOKUP(H1388,'Fund Utilization Report'!$A$4:$U$1800,7,FALSE)</f>
        <v>MOOE</v>
      </c>
      <c r="Z1388" s="425">
        <f>VLOOKUP(H1388,'Fund Utilization Report'!$A$4:$U$1800,8,FALSE)</f>
        <v>5020000000</v>
      </c>
      <c r="AA1388" s="428" t="str">
        <f>VLOOKUP(H1388,'Fund Utilization Report'!$A$4:$U$1800,14,FALSE)</f>
        <v>320100100001000</v>
      </c>
      <c r="AB1388" s="349" t="str">
        <f>VLOOKUP(H1388,'Fund Utilization Report'!$A$4:$U$1800,15,FALSE)</f>
        <v>Formulation of Strategic plans,programs, and policies to develop competitve industries</v>
      </c>
      <c r="AC1388" s="39"/>
      <c r="AD1388" s="34"/>
      <c r="AE1388" s="39"/>
      <c r="AF1388" s="51"/>
      <c r="AG1388" s="40"/>
      <c r="AH1388" s="40"/>
    </row>
    <row r="1389" spans="1:34" s="32" customFormat="1">
      <c r="A1389" s="434" t="s">
        <v>942</v>
      </c>
      <c r="B1389" s="457" t="s">
        <v>946</v>
      </c>
      <c r="C1389" s="233">
        <v>44279</v>
      </c>
      <c r="D1389" s="435" t="s">
        <v>1267</v>
      </c>
      <c r="E1389" s="436" t="s">
        <v>1529</v>
      </c>
      <c r="F1389" s="338">
        <v>0.46875</v>
      </c>
      <c r="G1389" s="338">
        <v>0.47222222222222227</v>
      </c>
      <c r="H1389" s="338" t="s">
        <v>961</v>
      </c>
      <c r="I1389" s="353">
        <v>969</v>
      </c>
      <c r="J1389" s="338" t="str">
        <f>IFERROR(VLOOKUP(I1389,'Chart of accounts'!A:H,2,FALSE),"")</f>
        <v>50299990 99</v>
      </c>
      <c r="K1389" s="338" t="str">
        <f>IFERROR(VLOOKUP(I1389,'Chart of accounts'!A:H,3,FALSE),"")</f>
        <v>Other Maintenance and Operating Expenses</v>
      </c>
      <c r="L1389" s="338" t="str">
        <f>IFERROR(VLOOKUP(I1389,'Chart of accounts'!A:H,4,FALSE),"")</f>
        <v>50299990 99 - Other Maintenance and Operating Expenses (969)</v>
      </c>
      <c r="M1389" s="361">
        <v>68</v>
      </c>
      <c r="N1389" s="420" t="s">
        <v>821</v>
      </c>
      <c r="O1389" s="420" t="s">
        <v>1532</v>
      </c>
      <c r="P1389" s="420"/>
      <c r="Q1389" s="420">
        <v>11952</v>
      </c>
      <c r="R1389" s="428">
        <f t="shared" si="52"/>
        <v>-11952</v>
      </c>
      <c r="S1389" s="428" t="str">
        <f>VLOOKUP(H1389,'Fund Utilization Report'!$A$4:$U$1800,13,FALSE)</f>
        <v>MOOE</v>
      </c>
      <c r="T1389" s="428" t="str">
        <f>VLOOKUP(H1389,'Fund Utilization Report'!$A$4:$U$1800,2,FALSE)</f>
        <v>GAA</v>
      </c>
      <c r="U1389" s="428" t="str">
        <f>VLOOKUP(H1389,'Fund Utilization Report'!$A$4:$U$1800,3,FALSE)</f>
        <v>FY2021, RA11518</v>
      </c>
      <c r="V1389" s="428" t="str">
        <f>VLOOKUP(H1389,'Fund Utilization Report'!$A$4:$U$1800,4,FALSE)</f>
        <v>GAS(GMS)</v>
      </c>
      <c r="W1389" s="428" t="str">
        <f>VLOOKUP(H1389,'Fund Utilization Report'!$A$4:$U$1800,5,FALSE)</f>
        <v>01101101</v>
      </c>
      <c r="X1389" s="428" t="str">
        <f>VLOOKUP(H1389,'Fund Utilization Report'!$A$4:$U$1800,6,FALSE)</f>
        <v>GOP</v>
      </c>
      <c r="Y1389" s="320" t="str">
        <f>VLOOKUP(H1389,'Fund Utilization Report'!$A$4:$U$1800,7,FALSE)</f>
        <v>MOOE</v>
      </c>
      <c r="Z1389" s="425">
        <f>VLOOKUP(H1389,'Fund Utilization Report'!$A$4:$U$1800,8,FALSE)</f>
        <v>5020000000</v>
      </c>
      <c r="AA1389" s="428" t="str">
        <f>VLOOKUP(H1389,'Fund Utilization Report'!$A$4:$U$1800,14,FALSE)</f>
        <v>100000100001000</v>
      </c>
      <c r="AB1389" s="349" t="str">
        <f>VLOOKUP(H1389,'Fund Utilization Report'!$A$4:$U$1800,15,FALSE)</f>
        <v>General Administration and Supervision - General Management and Supervision</v>
      </c>
      <c r="AC1389" s="39"/>
      <c r="AD1389" s="34"/>
      <c r="AE1389" s="39"/>
      <c r="AF1389" s="51"/>
      <c r="AG1389" s="40"/>
      <c r="AH1389" s="40"/>
    </row>
    <row r="1390" spans="1:34" s="32" customFormat="1">
      <c r="A1390" s="434" t="s">
        <v>942</v>
      </c>
      <c r="B1390" s="457" t="s">
        <v>946</v>
      </c>
      <c r="C1390" s="233">
        <v>44279</v>
      </c>
      <c r="D1390" s="435" t="s">
        <v>1267</v>
      </c>
      <c r="E1390" s="436" t="s">
        <v>1530</v>
      </c>
      <c r="F1390" s="338">
        <v>0.47222222222222227</v>
      </c>
      <c r="G1390" s="338">
        <v>0.4777777777777778</v>
      </c>
      <c r="H1390" s="338" t="s">
        <v>961</v>
      </c>
      <c r="I1390" s="353">
        <v>756</v>
      </c>
      <c r="J1390" s="338" t="str">
        <f>IFERROR(VLOOKUP(I1390,'Chart of accounts'!A:H,2,FALSE),"")</f>
        <v>50203020 00</v>
      </c>
      <c r="K1390" s="338" t="str">
        <f>IFERROR(VLOOKUP(I1390,'Chart of accounts'!A:H,3,FALSE),"")</f>
        <v xml:space="preserve">Accountable Forms Expenses </v>
      </c>
      <c r="L1390" s="338" t="str">
        <f>IFERROR(VLOOKUP(I1390,'Chart of accounts'!A:H,4,FALSE),"")</f>
        <v>50203020 00 - Accountable Forms Expenses  (756)</v>
      </c>
      <c r="M1390" s="361">
        <v>67</v>
      </c>
      <c r="N1390" s="420" t="s">
        <v>822</v>
      </c>
      <c r="O1390" s="420" t="s">
        <v>1532</v>
      </c>
      <c r="P1390" s="420"/>
      <c r="Q1390" s="420">
        <v>2490</v>
      </c>
      <c r="R1390" s="428">
        <f t="shared" si="52"/>
        <v>-2490</v>
      </c>
      <c r="S1390" s="428" t="str">
        <f>VLOOKUP(H1390,'Fund Utilization Report'!$A$4:$U$1800,13,FALSE)</f>
        <v>MOOE</v>
      </c>
      <c r="T1390" s="428" t="str">
        <f>VLOOKUP(H1390,'Fund Utilization Report'!$A$4:$U$1800,2,FALSE)</f>
        <v>GAA</v>
      </c>
      <c r="U1390" s="428" t="str">
        <f>VLOOKUP(H1390,'Fund Utilization Report'!$A$4:$U$1800,3,FALSE)</f>
        <v>FY2021, RA11518</v>
      </c>
      <c r="V1390" s="428" t="str">
        <f>VLOOKUP(H1390,'Fund Utilization Report'!$A$4:$U$1800,4,FALSE)</f>
        <v>GAS(GMS)</v>
      </c>
      <c r="W1390" s="428" t="str">
        <f>VLOOKUP(H1390,'Fund Utilization Report'!$A$4:$U$1800,5,FALSE)</f>
        <v>01101101</v>
      </c>
      <c r="X1390" s="428" t="str">
        <f>VLOOKUP(H1390,'Fund Utilization Report'!$A$4:$U$1800,6,FALSE)</f>
        <v>GOP</v>
      </c>
      <c r="Y1390" s="320" t="str">
        <f>VLOOKUP(H1390,'Fund Utilization Report'!$A$4:$U$1800,7,FALSE)</f>
        <v>MOOE</v>
      </c>
      <c r="Z1390" s="425">
        <f>VLOOKUP(H1390,'Fund Utilization Report'!$A$4:$U$1800,8,FALSE)</f>
        <v>5020000000</v>
      </c>
      <c r="AA1390" s="428" t="str">
        <f>VLOOKUP(H1390,'Fund Utilization Report'!$A$4:$U$1800,14,FALSE)</f>
        <v>100000100001000</v>
      </c>
      <c r="AB1390" s="349" t="str">
        <f>VLOOKUP(H1390,'Fund Utilization Report'!$A$4:$U$1800,15,FALSE)</f>
        <v>General Administration and Supervision - General Management and Supervision</v>
      </c>
      <c r="AC1390" s="39"/>
      <c r="AD1390" s="34"/>
      <c r="AE1390" s="39"/>
      <c r="AF1390" s="51"/>
      <c r="AG1390" s="40"/>
      <c r="AH1390" s="40"/>
    </row>
    <row r="1391" spans="1:34" s="32" customFormat="1">
      <c r="A1391" s="434" t="s">
        <v>942</v>
      </c>
      <c r="B1391" s="457" t="s">
        <v>946</v>
      </c>
      <c r="C1391" s="233">
        <v>44279</v>
      </c>
      <c r="D1391" s="435" t="s">
        <v>1267</v>
      </c>
      <c r="E1391" s="436" t="s">
        <v>1530</v>
      </c>
      <c r="F1391" s="338">
        <v>0.47222222222222227</v>
      </c>
      <c r="G1391" s="338">
        <v>0.4777777777777778</v>
      </c>
      <c r="H1391" s="338" t="s">
        <v>961</v>
      </c>
      <c r="I1391" s="353">
        <v>753</v>
      </c>
      <c r="J1391" s="338" t="str">
        <f>IFERROR(VLOOKUP(I1391,'Chart of accounts'!A:H,2,FALSE),"")</f>
        <v>50202010 00</v>
      </c>
      <c r="K1391" s="338" t="str">
        <f>IFERROR(VLOOKUP(I1391,'Chart of accounts'!A:H,3,FALSE),"")</f>
        <v>Training Expenses</v>
      </c>
      <c r="L1391" s="338" t="str">
        <f>IFERROR(VLOOKUP(I1391,'Chart of accounts'!A:H,4,FALSE),"")</f>
        <v>50202010 00 - Training Expenses (753)</v>
      </c>
      <c r="M1391" s="361">
        <v>67</v>
      </c>
      <c r="N1391" s="420" t="s">
        <v>822</v>
      </c>
      <c r="O1391" s="420" t="s">
        <v>1532</v>
      </c>
      <c r="P1391" s="420"/>
      <c r="Q1391" s="420">
        <v>14940</v>
      </c>
      <c r="R1391" s="428">
        <f t="shared" si="52"/>
        <v>-14940</v>
      </c>
      <c r="S1391" s="428" t="str">
        <f>VLOOKUP(H1391,'Fund Utilization Report'!$A$4:$U$1800,13,FALSE)</f>
        <v>MOOE</v>
      </c>
      <c r="T1391" s="428" t="str">
        <f>VLOOKUP(H1391,'Fund Utilization Report'!$A$4:$U$1800,2,FALSE)</f>
        <v>GAA</v>
      </c>
      <c r="U1391" s="428" t="str">
        <f>VLOOKUP(H1391,'Fund Utilization Report'!$A$4:$U$1800,3,FALSE)</f>
        <v>FY2021, RA11518</v>
      </c>
      <c r="V1391" s="428" t="str">
        <f>VLOOKUP(H1391,'Fund Utilization Report'!$A$4:$U$1800,4,FALSE)</f>
        <v>GAS(GMS)</v>
      </c>
      <c r="W1391" s="428" t="str">
        <f>VLOOKUP(H1391,'Fund Utilization Report'!$A$4:$U$1800,5,FALSE)</f>
        <v>01101101</v>
      </c>
      <c r="X1391" s="428" t="str">
        <f>VLOOKUP(H1391,'Fund Utilization Report'!$A$4:$U$1800,6,FALSE)</f>
        <v>GOP</v>
      </c>
      <c r="Y1391" s="320" t="str">
        <f>VLOOKUP(H1391,'Fund Utilization Report'!$A$4:$U$1800,7,FALSE)</f>
        <v>MOOE</v>
      </c>
      <c r="Z1391" s="425">
        <f>VLOOKUP(H1391,'Fund Utilization Report'!$A$4:$U$1800,8,FALSE)</f>
        <v>5020000000</v>
      </c>
      <c r="AA1391" s="428" t="str">
        <f>VLOOKUP(H1391,'Fund Utilization Report'!$A$4:$U$1800,14,FALSE)</f>
        <v>100000100001000</v>
      </c>
      <c r="AB1391" s="349" t="str">
        <f>VLOOKUP(H1391,'Fund Utilization Report'!$A$4:$U$1800,15,FALSE)</f>
        <v>General Administration and Supervision - General Management and Supervision</v>
      </c>
      <c r="AC1391" s="39"/>
      <c r="AD1391" s="34"/>
      <c r="AE1391" s="39"/>
      <c r="AF1391" s="51"/>
      <c r="AG1391" s="40"/>
      <c r="AH1391" s="40"/>
    </row>
    <row r="1392" spans="1:34" s="32" customFormat="1">
      <c r="A1392" s="434" t="s">
        <v>942</v>
      </c>
      <c r="B1392" s="457" t="s">
        <v>946</v>
      </c>
      <c r="C1392" s="233">
        <v>44279</v>
      </c>
      <c r="D1392" s="435" t="s">
        <v>1267</v>
      </c>
      <c r="E1392" s="436" t="s">
        <v>1530</v>
      </c>
      <c r="F1392" s="338">
        <v>0.47222222222222227</v>
      </c>
      <c r="G1392" s="338">
        <v>0.4777777777777778</v>
      </c>
      <c r="H1392" s="338" t="s">
        <v>961</v>
      </c>
      <c r="I1392" s="353">
        <v>761</v>
      </c>
      <c r="J1392" s="338" t="str">
        <f>IFERROR(VLOOKUP(I1392,'Chart of accounts'!A:H,2,FALSE),"")</f>
        <v>50203090 00</v>
      </c>
      <c r="K1392" s="338" t="str">
        <f>IFERROR(VLOOKUP(I1392,'Chart of accounts'!A:H,3,FALSE),"")</f>
        <v>Fuel, Oil and Lubricants Expenses</v>
      </c>
      <c r="L1392" s="338" t="str">
        <f>IFERROR(VLOOKUP(I1392,'Chart of accounts'!A:H,4,FALSE),"")</f>
        <v>50203090 00 - Fuel, Oil and Lubricants Expenses (761)</v>
      </c>
      <c r="M1392" s="361">
        <v>67</v>
      </c>
      <c r="N1392" s="420" t="s">
        <v>822</v>
      </c>
      <c r="O1392" s="420" t="s">
        <v>1532</v>
      </c>
      <c r="P1392" s="420"/>
      <c r="Q1392" s="420">
        <v>7470</v>
      </c>
      <c r="R1392" s="428">
        <f t="shared" si="52"/>
        <v>-7470</v>
      </c>
      <c r="S1392" s="428" t="str">
        <f>VLOOKUP(H1392,'Fund Utilization Report'!$A$4:$U$1800,13,FALSE)</f>
        <v>MOOE</v>
      </c>
      <c r="T1392" s="428" t="str">
        <f>VLOOKUP(H1392,'Fund Utilization Report'!$A$4:$U$1800,2,FALSE)</f>
        <v>GAA</v>
      </c>
      <c r="U1392" s="428" t="str">
        <f>VLOOKUP(H1392,'Fund Utilization Report'!$A$4:$U$1800,3,FALSE)</f>
        <v>FY2021, RA11518</v>
      </c>
      <c r="V1392" s="428" t="str">
        <f>VLOOKUP(H1392,'Fund Utilization Report'!$A$4:$U$1800,4,FALSE)</f>
        <v>GAS(GMS)</v>
      </c>
      <c r="W1392" s="428" t="str">
        <f>VLOOKUP(H1392,'Fund Utilization Report'!$A$4:$U$1800,5,FALSE)</f>
        <v>01101101</v>
      </c>
      <c r="X1392" s="428" t="str">
        <f>VLOOKUP(H1392,'Fund Utilization Report'!$A$4:$U$1800,6,FALSE)</f>
        <v>GOP</v>
      </c>
      <c r="Y1392" s="320" t="str">
        <f>VLOOKUP(H1392,'Fund Utilization Report'!$A$4:$U$1800,7,FALSE)</f>
        <v>MOOE</v>
      </c>
      <c r="Z1392" s="425">
        <f>VLOOKUP(H1392,'Fund Utilization Report'!$A$4:$U$1800,8,FALSE)</f>
        <v>5020000000</v>
      </c>
      <c r="AA1392" s="428" t="str">
        <f>VLOOKUP(H1392,'Fund Utilization Report'!$A$4:$U$1800,14,FALSE)</f>
        <v>100000100001000</v>
      </c>
      <c r="AB1392" s="349" t="str">
        <f>VLOOKUP(H1392,'Fund Utilization Report'!$A$4:$U$1800,15,FALSE)</f>
        <v>General Administration and Supervision - General Management and Supervision</v>
      </c>
      <c r="AC1392" s="39"/>
      <c r="AD1392" s="34"/>
      <c r="AE1392" s="39"/>
      <c r="AF1392" s="51"/>
      <c r="AG1392" s="40"/>
      <c r="AH1392" s="40"/>
    </row>
    <row r="1393" spans="1:34" s="32" customFormat="1">
      <c r="A1393" s="434" t="s">
        <v>942</v>
      </c>
      <c r="B1393" s="457" t="s">
        <v>946</v>
      </c>
      <c r="C1393" s="233">
        <v>44279</v>
      </c>
      <c r="D1393" s="435" t="s">
        <v>1267</v>
      </c>
      <c r="E1393" s="436" t="s">
        <v>1530</v>
      </c>
      <c r="F1393" s="338">
        <v>0.47222222222222227</v>
      </c>
      <c r="G1393" s="338">
        <v>0.4777777777777778</v>
      </c>
      <c r="H1393" s="338" t="s">
        <v>961</v>
      </c>
      <c r="I1393" s="353">
        <v>766</v>
      </c>
      <c r="J1393" s="338" t="str">
        <f>IFERROR(VLOOKUP(I1393,'Chart of accounts'!A:H,2,FALSE),"")</f>
        <v>50204010 00</v>
      </c>
      <c r="K1393" s="338" t="str">
        <f>IFERROR(VLOOKUP(I1393,'Chart of accounts'!A:H,3,FALSE),"")</f>
        <v>Water Expenses</v>
      </c>
      <c r="L1393" s="338" t="str">
        <f>IFERROR(VLOOKUP(I1393,'Chart of accounts'!A:H,4,FALSE),"")</f>
        <v>50204010 00 - Water Expenses (766)</v>
      </c>
      <c r="M1393" s="361">
        <v>67</v>
      </c>
      <c r="N1393" s="420" t="s">
        <v>822</v>
      </c>
      <c r="O1393" s="420" t="s">
        <v>1532</v>
      </c>
      <c r="P1393" s="420"/>
      <c r="Q1393" s="420">
        <v>1992</v>
      </c>
      <c r="R1393" s="428">
        <f t="shared" si="52"/>
        <v>-1992</v>
      </c>
      <c r="S1393" s="428" t="str">
        <f>VLOOKUP(H1393,'Fund Utilization Report'!$A$4:$U$1800,13,FALSE)</f>
        <v>MOOE</v>
      </c>
      <c r="T1393" s="428" t="str">
        <f>VLOOKUP(H1393,'Fund Utilization Report'!$A$4:$U$1800,2,FALSE)</f>
        <v>GAA</v>
      </c>
      <c r="U1393" s="428" t="str">
        <f>VLOOKUP(H1393,'Fund Utilization Report'!$A$4:$U$1800,3,FALSE)</f>
        <v>FY2021, RA11518</v>
      </c>
      <c r="V1393" s="428" t="str">
        <f>VLOOKUP(H1393,'Fund Utilization Report'!$A$4:$U$1800,4,FALSE)</f>
        <v>GAS(GMS)</v>
      </c>
      <c r="W1393" s="428" t="str">
        <f>VLOOKUP(H1393,'Fund Utilization Report'!$A$4:$U$1800,5,FALSE)</f>
        <v>01101101</v>
      </c>
      <c r="X1393" s="428" t="str">
        <f>VLOOKUP(H1393,'Fund Utilization Report'!$A$4:$U$1800,6,FALSE)</f>
        <v>GOP</v>
      </c>
      <c r="Y1393" s="320" t="str">
        <f>VLOOKUP(H1393,'Fund Utilization Report'!$A$4:$U$1800,7,FALSE)</f>
        <v>MOOE</v>
      </c>
      <c r="Z1393" s="425">
        <f>VLOOKUP(H1393,'Fund Utilization Report'!$A$4:$U$1800,8,FALSE)</f>
        <v>5020000000</v>
      </c>
      <c r="AA1393" s="428" t="str">
        <f>VLOOKUP(H1393,'Fund Utilization Report'!$A$4:$U$1800,14,FALSE)</f>
        <v>100000100001000</v>
      </c>
      <c r="AB1393" s="349" t="str">
        <f>VLOOKUP(H1393,'Fund Utilization Report'!$A$4:$U$1800,15,FALSE)</f>
        <v>General Administration and Supervision - General Management and Supervision</v>
      </c>
      <c r="AC1393" s="39"/>
      <c r="AD1393" s="34"/>
      <c r="AE1393" s="39"/>
      <c r="AF1393" s="51"/>
      <c r="AG1393" s="40"/>
      <c r="AH1393" s="40"/>
    </row>
    <row r="1394" spans="1:34" s="32" customFormat="1">
      <c r="A1394" s="434" t="s">
        <v>942</v>
      </c>
      <c r="B1394" s="457" t="s">
        <v>946</v>
      </c>
      <c r="C1394" s="233">
        <v>44279</v>
      </c>
      <c r="D1394" s="435" t="s">
        <v>1267</v>
      </c>
      <c r="E1394" s="436" t="s">
        <v>1530</v>
      </c>
      <c r="F1394" s="338">
        <v>0.47222222222222227</v>
      </c>
      <c r="G1394" s="338">
        <v>0.4777777777777778</v>
      </c>
      <c r="H1394" s="338" t="s">
        <v>961</v>
      </c>
      <c r="I1394" s="353">
        <v>767</v>
      </c>
      <c r="J1394" s="338" t="str">
        <f>IFERROR(VLOOKUP(I1394,'Chart of accounts'!A:H,2,FALSE),"")</f>
        <v>50204020 00</v>
      </c>
      <c r="K1394" s="338" t="str">
        <f>IFERROR(VLOOKUP(I1394,'Chart of accounts'!A:H,3,FALSE),"")</f>
        <v>Electricity Expense</v>
      </c>
      <c r="L1394" s="338" t="str">
        <f>IFERROR(VLOOKUP(I1394,'Chart of accounts'!A:H,4,FALSE),"")</f>
        <v>50204020 00 - Electricity Expense (767)</v>
      </c>
      <c r="M1394" s="361">
        <v>67</v>
      </c>
      <c r="N1394" s="420" t="s">
        <v>822</v>
      </c>
      <c r="O1394" s="420" t="s">
        <v>1532</v>
      </c>
      <c r="P1394" s="420"/>
      <c r="Q1394" s="420">
        <v>72625</v>
      </c>
      <c r="R1394" s="428">
        <f t="shared" si="52"/>
        <v>-72625</v>
      </c>
      <c r="S1394" s="428" t="str">
        <f>VLOOKUP(H1394,'Fund Utilization Report'!$A$4:$U$1800,13,FALSE)</f>
        <v>MOOE</v>
      </c>
      <c r="T1394" s="428" t="str">
        <f>VLOOKUP(H1394,'Fund Utilization Report'!$A$4:$U$1800,2,FALSE)</f>
        <v>GAA</v>
      </c>
      <c r="U1394" s="428" t="str">
        <f>VLOOKUP(H1394,'Fund Utilization Report'!$A$4:$U$1800,3,FALSE)</f>
        <v>FY2021, RA11518</v>
      </c>
      <c r="V1394" s="428" t="str">
        <f>VLOOKUP(H1394,'Fund Utilization Report'!$A$4:$U$1800,4,FALSE)</f>
        <v>GAS(GMS)</v>
      </c>
      <c r="W1394" s="428" t="str">
        <f>VLOOKUP(H1394,'Fund Utilization Report'!$A$4:$U$1800,5,FALSE)</f>
        <v>01101101</v>
      </c>
      <c r="X1394" s="428" t="str">
        <f>VLOOKUP(H1394,'Fund Utilization Report'!$A$4:$U$1800,6,FALSE)</f>
        <v>GOP</v>
      </c>
      <c r="Y1394" s="320" t="str">
        <f>VLOOKUP(H1394,'Fund Utilization Report'!$A$4:$U$1800,7,FALSE)</f>
        <v>MOOE</v>
      </c>
      <c r="Z1394" s="425">
        <f>VLOOKUP(H1394,'Fund Utilization Report'!$A$4:$U$1800,8,FALSE)</f>
        <v>5020000000</v>
      </c>
      <c r="AA1394" s="428" t="str">
        <f>VLOOKUP(H1394,'Fund Utilization Report'!$A$4:$U$1800,14,FALSE)</f>
        <v>100000100001000</v>
      </c>
      <c r="AB1394" s="349" t="str">
        <f>VLOOKUP(H1394,'Fund Utilization Report'!$A$4:$U$1800,15,FALSE)</f>
        <v>General Administration and Supervision - General Management and Supervision</v>
      </c>
      <c r="AC1394" s="39"/>
      <c r="AD1394" s="34"/>
      <c r="AE1394" s="39"/>
      <c r="AF1394" s="51"/>
      <c r="AG1394" s="40"/>
      <c r="AH1394" s="40"/>
    </row>
    <row r="1395" spans="1:34" s="32" customFormat="1">
      <c r="A1395" s="434" t="s">
        <v>942</v>
      </c>
      <c r="B1395" s="457" t="s">
        <v>946</v>
      </c>
      <c r="C1395" s="233">
        <v>44279</v>
      </c>
      <c r="D1395" s="435" t="s">
        <v>1267</v>
      </c>
      <c r="E1395" s="436" t="s">
        <v>1530</v>
      </c>
      <c r="F1395" s="338">
        <v>0.47222222222222227</v>
      </c>
      <c r="G1395" s="338">
        <v>0.4777777777777778</v>
      </c>
      <c r="H1395" s="338" t="s">
        <v>961</v>
      </c>
      <c r="I1395" s="353">
        <v>771</v>
      </c>
      <c r="J1395" s="338" t="str">
        <f>IFERROR(VLOOKUP(I1395,'Chart of accounts'!A:H,2,FALSE),"")</f>
        <v>50205010 00</v>
      </c>
      <c r="K1395" s="338" t="str">
        <f>IFERROR(VLOOKUP(I1395,'Chart of accounts'!A:H,3,FALSE),"")</f>
        <v>Postage and Courier Services</v>
      </c>
      <c r="L1395" s="338" t="str">
        <f>IFERROR(VLOOKUP(I1395,'Chart of accounts'!A:H,4,FALSE),"")</f>
        <v>50205010 00 - Postage and Courier Services (771)</v>
      </c>
      <c r="M1395" s="361">
        <v>67</v>
      </c>
      <c r="N1395" s="420" t="s">
        <v>822</v>
      </c>
      <c r="O1395" s="420" t="s">
        <v>1532</v>
      </c>
      <c r="P1395" s="420"/>
      <c r="Q1395" s="420">
        <v>12450</v>
      </c>
      <c r="R1395" s="428">
        <f t="shared" si="52"/>
        <v>-12450</v>
      </c>
      <c r="S1395" s="428" t="str">
        <f>VLOOKUP(H1395,'Fund Utilization Report'!$A$4:$U$1800,13,FALSE)</f>
        <v>MOOE</v>
      </c>
      <c r="T1395" s="428" t="str">
        <f>VLOOKUP(H1395,'Fund Utilization Report'!$A$4:$U$1800,2,FALSE)</f>
        <v>GAA</v>
      </c>
      <c r="U1395" s="428" t="str">
        <f>VLOOKUP(H1395,'Fund Utilization Report'!$A$4:$U$1800,3,FALSE)</f>
        <v>FY2021, RA11518</v>
      </c>
      <c r="V1395" s="428" t="str">
        <f>VLOOKUP(H1395,'Fund Utilization Report'!$A$4:$U$1800,4,FALSE)</f>
        <v>GAS(GMS)</v>
      </c>
      <c r="W1395" s="428" t="str">
        <f>VLOOKUP(H1395,'Fund Utilization Report'!$A$4:$U$1800,5,FALSE)</f>
        <v>01101101</v>
      </c>
      <c r="X1395" s="428" t="str">
        <f>VLOOKUP(H1395,'Fund Utilization Report'!$A$4:$U$1800,6,FALSE)</f>
        <v>GOP</v>
      </c>
      <c r="Y1395" s="320" t="str">
        <f>VLOOKUP(H1395,'Fund Utilization Report'!$A$4:$U$1800,7,FALSE)</f>
        <v>MOOE</v>
      </c>
      <c r="Z1395" s="425">
        <f>VLOOKUP(H1395,'Fund Utilization Report'!$A$4:$U$1800,8,FALSE)</f>
        <v>5020000000</v>
      </c>
      <c r="AA1395" s="428" t="str">
        <f>VLOOKUP(H1395,'Fund Utilization Report'!$A$4:$U$1800,14,FALSE)</f>
        <v>100000100001000</v>
      </c>
      <c r="AB1395" s="349" t="str">
        <f>VLOOKUP(H1395,'Fund Utilization Report'!$A$4:$U$1800,15,FALSE)</f>
        <v>General Administration and Supervision - General Management and Supervision</v>
      </c>
      <c r="AC1395" s="39"/>
      <c r="AD1395" s="34"/>
      <c r="AE1395" s="39"/>
      <c r="AF1395" s="51"/>
      <c r="AG1395" s="40"/>
      <c r="AH1395" s="40"/>
    </row>
    <row r="1396" spans="1:34" s="32" customFormat="1">
      <c r="A1396" s="434" t="s">
        <v>942</v>
      </c>
      <c r="B1396" s="457" t="s">
        <v>946</v>
      </c>
      <c r="C1396" s="233">
        <v>44279</v>
      </c>
      <c r="D1396" s="435" t="s">
        <v>1267</v>
      </c>
      <c r="E1396" s="436" t="s">
        <v>1530</v>
      </c>
      <c r="F1396" s="338">
        <v>0.47222222222222227</v>
      </c>
      <c r="G1396" s="338">
        <v>0.4777777777777778</v>
      </c>
      <c r="H1396" s="338" t="s">
        <v>961</v>
      </c>
      <c r="I1396" s="353">
        <v>772</v>
      </c>
      <c r="J1396" s="338" t="str">
        <f>IFERROR(VLOOKUP(I1396,'Chart of accounts'!A:H,2,FALSE),"")</f>
        <v>50205020 02</v>
      </c>
      <c r="K1396" s="338" t="str">
        <f>IFERROR(VLOOKUP(I1396,'Chart of accounts'!A:H,3,FALSE),"")</f>
        <v xml:space="preserve">Telephone Expenses - Landline </v>
      </c>
      <c r="L1396" s="338" t="str">
        <f>IFERROR(VLOOKUP(I1396,'Chart of accounts'!A:H,4,FALSE),"")</f>
        <v>50205020 02 - Telephone Expenses - Landline  (772)</v>
      </c>
      <c r="M1396" s="361">
        <v>67</v>
      </c>
      <c r="N1396" s="420" t="s">
        <v>822</v>
      </c>
      <c r="O1396" s="420" t="s">
        <v>1532</v>
      </c>
      <c r="P1396" s="420"/>
      <c r="Q1396" s="420">
        <v>3735</v>
      </c>
      <c r="R1396" s="428">
        <f t="shared" si="52"/>
        <v>-3735</v>
      </c>
      <c r="S1396" s="428" t="str">
        <f>VLOOKUP(H1396,'Fund Utilization Report'!$A$4:$U$1800,13,FALSE)</f>
        <v>MOOE</v>
      </c>
      <c r="T1396" s="428" t="str">
        <f>VLOOKUP(H1396,'Fund Utilization Report'!$A$4:$U$1800,2,FALSE)</f>
        <v>GAA</v>
      </c>
      <c r="U1396" s="428" t="str">
        <f>VLOOKUP(H1396,'Fund Utilization Report'!$A$4:$U$1800,3,FALSE)</f>
        <v>FY2021, RA11518</v>
      </c>
      <c r="V1396" s="428" t="str">
        <f>VLOOKUP(H1396,'Fund Utilization Report'!$A$4:$U$1800,4,FALSE)</f>
        <v>GAS(GMS)</v>
      </c>
      <c r="W1396" s="428" t="str">
        <f>VLOOKUP(H1396,'Fund Utilization Report'!$A$4:$U$1800,5,FALSE)</f>
        <v>01101101</v>
      </c>
      <c r="X1396" s="428" t="str">
        <f>VLOOKUP(H1396,'Fund Utilization Report'!$A$4:$U$1800,6,FALSE)</f>
        <v>GOP</v>
      </c>
      <c r="Y1396" s="320" t="str">
        <f>VLOOKUP(H1396,'Fund Utilization Report'!$A$4:$U$1800,7,FALSE)</f>
        <v>MOOE</v>
      </c>
      <c r="Z1396" s="425">
        <f>VLOOKUP(H1396,'Fund Utilization Report'!$A$4:$U$1800,8,FALSE)</f>
        <v>5020000000</v>
      </c>
      <c r="AA1396" s="428" t="str">
        <f>VLOOKUP(H1396,'Fund Utilization Report'!$A$4:$U$1800,14,FALSE)</f>
        <v>100000100001000</v>
      </c>
      <c r="AB1396" s="349" t="str">
        <f>VLOOKUP(H1396,'Fund Utilization Report'!$A$4:$U$1800,15,FALSE)</f>
        <v>General Administration and Supervision - General Management and Supervision</v>
      </c>
      <c r="AC1396" s="39"/>
      <c r="AD1396" s="34"/>
      <c r="AE1396" s="39"/>
      <c r="AF1396" s="51"/>
      <c r="AG1396" s="40"/>
      <c r="AH1396" s="40"/>
    </row>
    <row r="1397" spans="1:34" s="32" customFormat="1">
      <c r="A1397" s="434" t="s">
        <v>942</v>
      </c>
      <c r="B1397" s="457" t="s">
        <v>946</v>
      </c>
      <c r="C1397" s="233">
        <v>44279</v>
      </c>
      <c r="D1397" s="435" t="s">
        <v>1267</v>
      </c>
      <c r="E1397" s="436" t="s">
        <v>1530</v>
      </c>
      <c r="F1397" s="338">
        <v>0.47222222222222227</v>
      </c>
      <c r="G1397" s="338">
        <v>0.4777777777777778</v>
      </c>
      <c r="H1397" s="338" t="s">
        <v>961</v>
      </c>
      <c r="I1397" s="353">
        <v>773</v>
      </c>
      <c r="J1397" s="338" t="str">
        <f>IFERROR(VLOOKUP(I1397,'Chart of accounts'!A:H,2,FALSE),"")</f>
        <v>50205020 01</v>
      </c>
      <c r="K1397" s="338" t="str">
        <f>IFERROR(VLOOKUP(I1397,'Chart of accounts'!A:H,3,FALSE),"")</f>
        <v xml:space="preserve">Telephone Expenses - Mobile </v>
      </c>
      <c r="L1397" s="338" t="str">
        <f>IFERROR(VLOOKUP(I1397,'Chart of accounts'!A:H,4,FALSE),"")</f>
        <v>50205020 01 - Telephone Expenses - Mobile  (773)</v>
      </c>
      <c r="M1397" s="361">
        <v>67</v>
      </c>
      <c r="N1397" s="420" t="s">
        <v>822</v>
      </c>
      <c r="O1397" s="420" t="s">
        <v>1532</v>
      </c>
      <c r="P1397" s="420"/>
      <c r="Q1397" s="420">
        <v>7470</v>
      </c>
      <c r="R1397" s="428">
        <f t="shared" si="52"/>
        <v>-7470</v>
      </c>
      <c r="S1397" s="428" t="str">
        <f>VLOOKUP(H1397,'Fund Utilization Report'!$A$4:$U$1800,13,FALSE)</f>
        <v>MOOE</v>
      </c>
      <c r="T1397" s="428" t="str">
        <f>VLOOKUP(H1397,'Fund Utilization Report'!$A$4:$U$1800,2,FALSE)</f>
        <v>GAA</v>
      </c>
      <c r="U1397" s="428" t="str">
        <f>VLOOKUP(H1397,'Fund Utilization Report'!$A$4:$U$1800,3,FALSE)</f>
        <v>FY2021, RA11518</v>
      </c>
      <c r="V1397" s="428" t="str">
        <f>VLOOKUP(H1397,'Fund Utilization Report'!$A$4:$U$1800,4,FALSE)</f>
        <v>GAS(GMS)</v>
      </c>
      <c r="W1397" s="428" t="str">
        <f>VLOOKUP(H1397,'Fund Utilization Report'!$A$4:$U$1800,5,FALSE)</f>
        <v>01101101</v>
      </c>
      <c r="X1397" s="428" t="str">
        <f>VLOOKUP(H1397,'Fund Utilization Report'!$A$4:$U$1800,6,FALSE)</f>
        <v>GOP</v>
      </c>
      <c r="Y1397" s="320" t="str">
        <f>VLOOKUP(H1397,'Fund Utilization Report'!$A$4:$U$1800,7,FALSE)</f>
        <v>MOOE</v>
      </c>
      <c r="Z1397" s="425">
        <f>VLOOKUP(H1397,'Fund Utilization Report'!$A$4:$U$1800,8,FALSE)</f>
        <v>5020000000</v>
      </c>
      <c r="AA1397" s="428" t="str">
        <f>VLOOKUP(H1397,'Fund Utilization Report'!$A$4:$U$1800,14,FALSE)</f>
        <v>100000100001000</v>
      </c>
      <c r="AB1397" s="349" t="str">
        <f>VLOOKUP(H1397,'Fund Utilization Report'!$A$4:$U$1800,15,FALSE)</f>
        <v>General Administration and Supervision - General Management and Supervision</v>
      </c>
      <c r="AC1397" s="39"/>
      <c r="AD1397" s="34"/>
      <c r="AE1397" s="39"/>
      <c r="AF1397" s="51"/>
      <c r="AG1397" s="40"/>
      <c r="AH1397" s="40"/>
    </row>
    <row r="1398" spans="1:34" s="32" customFormat="1">
      <c r="A1398" s="434" t="s">
        <v>942</v>
      </c>
      <c r="B1398" s="457" t="s">
        <v>946</v>
      </c>
      <c r="C1398" s="233">
        <v>44279</v>
      </c>
      <c r="D1398" s="435" t="s">
        <v>1267</v>
      </c>
      <c r="E1398" s="436" t="s">
        <v>1530</v>
      </c>
      <c r="F1398" s="338">
        <v>0.47222222222222227</v>
      </c>
      <c r="G1398" s="338">
        <v>0.4777777777777778</v>
      </c>
      <c r="H1398" s="338" t="s">
        <v>961</v>
      </c>
      <c r="I1398" s="353">
        <v>775</v>
      </c>
      <c r="J1398" s="338" t="str">
        <f>IFERROR(VLOOKUP(I1398,'Chart of accounts'!A:H,2,FALSE),"")</f>
        <v>50205040 00</v>
      </c>
      <c r="K1398" s="338" t="str">
        <f>IFERROR(VLOOKUP(I1398,'Chart of accounts'!A:H,3,FALSE),"")</f>
        <v>Cable, Satellite, Telegraph, and Radio Expenses</v>
      </c>
      <c r="L1398" s="338" t="str">
        <f>IFERROR(VLOOKUP(I1398,'Chart of accounts'!A:H,4,FALSE),"")</f>
        <v>50205040 00 - Cable, Satellite, Telegraph, and Radio Expenses (775)</v>
      </c>
      <c r="M1398" s="361">
        <v>67</v>
      </c>
      <c r="N1398" s="420" t="s">
        <v>822</v>
      </c>
      <c r="O1398" s="420" t="s">
        <v>1532</v>
      </c>
      <c r="P1398" s="420"/>
      <c r="Q1398" s="420">
        <v>2502.4499999999998</v>
      </c>
      <c r="R1398" s="428">
        <f t="shared" si="52"/>
        <v>-2502.4499999999998</v>
      </c>
      <c r="S1398" s="428" t="str">
        <f>VLOOKUP(H1398,'Fund Utilization Report'!$A$4:$U$1800,13,FALSE)</f>
        <v>MOOE</v>
      </c>
      <c r="T1398" s="428" t="str">
        <f>VLOOKUP(H1398,'Fund Utilization Report'!$A$4:$U$1800,2,FALSE)</f>
        <v>GAA</v>
      </c>
      <c r="U1398" s="428" t="str">
        <f>VLOOKUP(H1398,'Fund Utilization Report'!$A$4:$U$1800,3,FALSE)</f>
        <v>FY2021, RA11518</v>
      </c>
      <c r="V1398" s="428" t="str">
        <f>VLOOKUP(H1398,'Fund Utilization Report'!$A$4:$U$1800,4,FALSE)</f>
        <v>GAS(GMS)</v>
      </c>
      <c r="W1398" s="428" t="str">
        <f>VLOOKUP(H1398,'Fund Utilization Report'!$A$4:$U$1800,5,FALSE)</f>
        <v>01101101</v>
      </c>
      <c r="X1398" s="428" t="str">
        <f>VLOOKUP(H1398,'Fund Utilization Report'!$A$4:$U$1800,6,FALSE)</f>
        <v>GOP</v>
      </c>
      <c r="Y1398" s="320" t="str">
        <f>VLOOKUP(H1398,'Fund Utilization Report'!$A$4:$U$1800,7,FALSE)</f>
        <v>MOOE</v>
      </c>
      <c r="Z1398" s="425">
        <f>VLOOKUP(H1398,'Fund Utilization Report'!$A$4:$U$1800,8,FALSE)</f>
        <v>5020000000</v>
      </c>
      <c r="AA1398" s="428" t="str">
        <f>VLOOKUP(H1398,'Fund Utilization Report'!$A$4:$U$1800,14,FALSE)</f>
        <v>100000100001000</v>
      </c>
      <c r="AB1398" s="349" t="str">
        <f>VLOOKUP(H1398,'Fund Utilization Report'!$A$4:$U$1800,15,FALSE)</f>
        <v>General Administration and Supervision - General Management and Supervision</v>
      </c>
      <c r="AC1398" s="39"/>
      <c r="AD1398" s="34"/>
      <c r="AE1398" s="39"/>
      <c r="AF1398" s="51"/>
      <c r="AG1398" s="40"/>
      <c r="AH1398" s="40"/>
    </row>
    <row r="1399" spans="1:34" s="32" customFormat="1">
      <c r="A1399" s="434" t="s">
        <v>942</v>
      </c>
      <c r="B1399" s="457" t="s">
        <v>946</v>
      </c>
      <c r="C1399" s="233">
        <v>44279</v>
      </c>
      <c r="D1399" s="435" t="s">
        <v>1267</v>
      </c>
      <c r="E1399" s="436" t="s">
        <v>1530</v>
      </c>
      <c r="F1399" s="338">
        <v>0.47222222222222227</v>
      </c>
      <c r="G1399" s="338">
        <v>0.4777777777777778</v>
      </c>
      <c r="H1399" s="338" t="s">
        <v>961</v>
      </c>
      <c r="I1399" s="353">
        <v>791</v>
      </c>
      <c r="J1399" s="338" t="str">
        <f>IFERROR(VLOOKUP(I1399,'Chart of accounts'!A:H,2,FALSE),"")</f>
        <v>50211010 00</v>
      </c>
      <c r="K1399" s="338" t="str">
        <f>IFERROR(VLOOKUP(I1399,'Chart of accounts'!A:H,3,FALSE),"")</f>
        <v>Legal Services</v>
      </c>
      <c r="L1399" s="338" t="str">
        <f>IFERROR(VLOOKUP(I1399,'Chart of accounts'!A:H,4,FALSE),"")</f>
        <v>50211010 00 - Legal Services (791)</v>
      </c>
      <c r="M1399" s="361">
        <v>67</v>
      </c>
      <c r="N1399" s="420" t="s">
        <v>822</v>
      </c>
      <c r="O1399" s="420" t="s">
        <v>1532</v>
      </c>
      <c r="P1399" s="420"/>
      <c r="Q1399" s="420">
        <v>498</v>
      </c>
      <c r="R1399" s="428">
        <f t="shared" si="52"/>
        <v>-498</v>
      </c>
      <c r="S1399" s="428" t="str">
        <f>VLOOKUP(H1399,'Fund Utilization Report'!$A$4:$U$1800,13,FALSE)</f>
        <v>MOOE</v>
      </c>
      <c r="T1399" s="428" t="str">
        <f>VLOOKUP(H1399,'Fund Utilization Report'!$A$4:$U$1800,2,FALSE)</f>
        <v>GAA</v>
      </c>
      <c r="U1399" s="428" t="str">
        <f>VLOOKUP(H1399,'Fund Utilization Report'!$A$4:$U$1800,3,FALSE)</f>
        <v>FY2021, RA11518</v>
      </c>
      <c r="V1399" s="428" t="str">
        <f>VLOOKUP(H1399,'Fund Utilization Report'!$A$4:$U$1800,4,FALSE)</f>
        <v>GAS(GMS)</v>
      </c>
      <c r="W1399" s="428" t="str">
        <f>VLOOKUP(H1399,'Fund Utilization Report'!$A$4:$U$1800,5,FALSE)</f>
        <v>01101101</v>
      </c>
      <c r="X1399" s="428" t="str">
        <f>VLOOKUP(H1399,'Fund Utilization Report'!$A$4:$U$1800,6,FALSE)</f>
        <v>GOP</v>
      </c>
      <c r="Y1399" s="320" t="str">
        <f>VLOOKUP(H1399,'Fund Utilization Report'!$A$4:$U$1800,7,FALSE)</f>
        <v>MOOE</v>
      </c>
      <c r="Z1399" s="425">
        <f>VLOOKUP(H1399,'Fund Utilization Report'!$A$4:$U$1800,8,FALSE)</f>
        <v>5020000000</v>
      </c>
      <c r="AA1399" s="428" t="str">
        <f>VLOOKUP(H1399,'Fund Utilization Report'!$A$4:$U$1800,14,FALSE)</f>
        <v>100000100001000</v>
      </c>
      <c r="AB1399" s="349" t="str">
        <f>VLOOKUP(H1399,'Fund Utilization Report'!$A$4:$U$1800,15,FALSE)</f>
        <v>General Administration and Supervision - General Management and Supervision</v>
      </c>
      <c r="AC1399" s="39"/>
      <c r="AD1399" s="34"/>
      <c r="AE1399" s="39"/>
      <c r="AF1399" s="51"/>
      <c r="AG1399" s="40"/>
      <c r="AH1399" s="40"/>
    </row>
    <row r="1400" spans="1:34" s="32" customFormat="1">
      <c r="A1400" s="434" t="s">
        <v>942</v>
      </c>
      <c r="B1400" s="457" t="s">
        <v>946</v>
      </c>
      <c r="C1400" s="233">
        <v>44279</v>
      </c>
      <c r="D1400" s="435" t="s">
        <v>1267</v>
      </c>
      <c r="E1400" s="436" t="s">
        <v>1530</v>
      </c>
      <c r="F1400" s="338">
        <v>0.47222222222222227</v>
      </c>
      <c r="G1400" s="338">
        <v>0.4777777777777778</v>
      </c>
      <c r="H1400" s="338" t="s">
        <v>961</v>
      </c>
      <c r="I1400" s="353">
        <v>796</v>
      </c>
      <c r="J1400" s="338" t="str">
        <f>IFERROR(VLOOKUP(I1400,'Chart of accounts'!A:H,2,FALSE),"")</f>
        <v>50212020 00</v>
      </c>
      <c r="K1400" s="338" t="str">
        <f>IFERROR(VLOOKUP(I1400,'Chart of accounts'!A:H,3,FALSE),"")</f>
        <v>Janitorial Services</v>
      </c>
      <c r="L1400" s="338" t="str">
        <f>IFERROR(VLOOKUP(I1400,'Chart of accounts'!A:H,4,FALSE),"")</f>
        <v>50212020 00 - Janitorial Services (796)</v>
      </c>
      <c r="M1400" s="361">
        <v>67</v>
      </c>
      <c r="N1400" s="420" t="s">
        <v>822</v>
      </c>
      <c r="O1400" s="420" t="s">
        <v>1532</v>
      </c>
      <c r="P1400" s="420"/>
      <c r="Q1400" s="420">
        <v>41541.5</v>
      </c>
      <c r="R1400" s="428">
        <f t="shared" si="52"/>
        <v>-41541.5</v>
      </c>
      <c r="S1400" s="428" t="str">
        <f>VLOOKUP(H1400,'Fund Utilization Report'!$A$4:$U$1800,13,FALSE)</f>
        <v>MOOE</v>
      </c>
      <c r="T1400" s="428" t="str">
        <f>VLOOKUP(H1400,'Fund Utilization Report'!$A$4:$U$1800,2,FALSE)</f>
        <v>GAA</v>
      </c>
      <c r="U1400" s="428" t="str">
        <f>VLOOKUP(H1400,'Fund Utilization Report'!$A$4:$U$1800,3,FALSE)</f>
        <v>FY2021, RA11518</v>
      </c>
      <c r="V1400" s="428" t="str">
        <f>VLOOKUP(H1400,'Fund Utilization Report'!$A$4:$U$1800,4,FALSE)</f>
        <v>GAS(GMS)</v>
      </c>
      <c r="W1400" s="428" t="str">
        <f>VLOOKUP(H1400,'Fund Utilization Report'!$A$4:$U$1800,5,FALSE)</f>
        <v>01101101</v>
      </c>
      <c r="X1400" s="428" t="str">
        <f>VLOOKUP(H1400,'Fund Utilization Report'!$A$4:$U$1800,6,FALSE)</f>
        <v>GOP</v>
      </c>
      <c r="Y1400" s="320" t="str">
        <f>VLOOKUP(H1400,'Fund Utilization Report'!$A$4:$U$1800,7,FALSE)</f>
        <v>MOOE</v>
      </c>
      <c r="Z1400" s="425">
        <f>VLOOKUP(H1400,'Fund Utilization Report'!$A$4:$U$1800,8,FALSE)</f>
        <v>5020000000</v>
      </c>
      <c r="AA1400" s="428" t="str">
        <f>VLOOKUP(H1400,'Fund Utilization Report'!$A$4:$U$1800,14,FALSE)</f>
        <v>100000100001000</v>
      </c>
      <c r="AB1400" s="349" t="str">
        <f>VLOOKUP(H1400,'Fund Utilization Report'!$A$4:$U$1800,15,FALSE)</f>
        <v>General Administration and Supervision - General Management and Supervision</v>
      </c>
      <c r="AC1400" s="39"/>
      <c r="AD1400" s="34"/>
      <c r="AE1400" s="39"/>
      <c r="AF1400" s="51"/>
      <c r="AG1400" s="40"/>
      <c r="AH1400" s="40"/>
    </row>
    <row r="1401" spans="1:34" s="32" customFormat="1">
      <c r="A1401" s="434" t="s">
        <v>942</v>
      </c>
      <c r="B1401" s="457" t="s">
        <v>946</v>
      </c>
      <c r="C1401" s="233">
        <v>44279</v>
      </c>
      <c r="D1401" s="435" t="s">
        <v>1267</v>
      </c>
      <c r="E1401" s="436" t="s">
        <v>1530</v>
      </c>
      <c r="F1401" s="338">
        <v>0.47222222222222227</v>
      </c>
      <c r="G1401" s="338">
        <v>0.4777777777777778</v>
      </c>
      <c r="H1401" s="338" t="s">
        <v>965</v>
      </c>
      <c r="I1401" s="353">
        <v>795</v>
      </c>
      <c r="J1401" s="338" t="str">
        <f>IFERROR(VLOOKUP(I1401,'Chart of accounts'!A:H,2,FALSE),"")</f>
        <v>50212990 00</v>
      </c>
      <c r="K1401" s="338" t="str">
        <f>IFERROR(VLOOKUP(I1401,'Chart of accounts'!A:H,3,FALSE),"")</f>
        <v>Other General Services</v>
      </c>
      <c r="L1401" s="338" t="str">
        <f>IFERROR(VLOOKUP(I1401,'Chart of accounts'!A:H,4,FALSE),"")</f>
        <v>50212990 00 - Other General Services (795)</v>
      </c>
      <c r="M1401" s="361">
        <v>67</v>
      </c>
      <c r="N1401" s="420" t="s">
        <v>822</v>
      </c>
      <c r="O1401" s="420" t="s">
        <v>1532</v>
      </c>
      <c r="P1401" s="420"/>
      <c r="Q1401" s="420">
        <v>167342.10999999999</v>
      </c>
      <c r="R1401" s="428">
        <f t="shared" si="52"/>
        <v>-167342.10999999999</v>
      </c>
      <c r="S1401" s="428" t="str">
        <f>VLOOKUP(H1401,'Fund Utilization Report'!$A$4:$U$1800,13,FALSE)</f>
        <v>MOOE</v>
      </c>
      <c r="T1401" s="428" t="str">
        <f>VLOOKUP(H1401,'Fund Utilization Report'!$A$4:$U$1800,2,FALSE)</f>
        <v>GAA</v>
      </c>
      <c r="U1401" s="428" t="str">
        <f>VLOOKUP(H1401,'Fund Utilization Report'!$A$4:$U$1800,3,FALSE)</f>
        <v>FY2021, RA11518</v>
      </c>
      <c r="V1401" s="428" t="str">
        <f>VLOOKUP(H1401,'Fund Utilization Report'!$A$4:$U$1800,4,FALSE)</f>
        <v>OO1</v>
      </c>
      <c r="W1401" s="428" t="str">
        <f>VLOOKUP(H1401,'Fund Utilization Report'!$A$4:$U$1800,5,FALSE)</f>
        <v>01101101</v>
      </c>
      <c r="X1401" s="428" t="str">
        <f>VLOOKUP(H1401,'Fund Utilization Report'!$A$4:$U$1800,6,FALSE)</f>
        <v>GOP</v>
      </c>
      <c r="Y1401" s="320" t="str">
        <f>VLOOKUP(H1401,'Fund Utilization Report'!$A$4:$U$1800,7,FALSE)</f>
        <v>MOOE</v>
      </c>
      <c r="Z1401" s="425">
        <f>VLOOKUP(H1401,'Fund Utilization Report'!$A$4:$U$1800,8,FALSE)</f>
        <v>5020000000</v>
      </c>
      <c r="AA1401" s="428" t="str">
        <f>VLOOKUP(H1401,'Fund Utilization Report'!$A$4:$U$1800,14,FALSE)</f>
        <v>310100100002000</v>
      </c>
      <c r="AB1401" s="349" t="str">
        <f>VLOOKUP(H1401,'Fund Utilization Report'!$A$4:$U$1800,15,FALSE)</f>
        <v>Development,Facilitation, and promotion of exports and investment, domestic and foreign</v>
      </c>
      <c r="AC1401" s="39"/>
      <c r="AD1401" s="34"/>
      <c r="AE1401" s="39"/>
      <c r="AF1401" s="51"/>
      <c r="AG1401" s="40"/>
      <c r="AH1401" s="40"/>
    </row>
    <row r="1402" spans="1:34" s="32" customFormat="1">
      <c r="A1402" s="434" t="s">
        <v>942</v>
      </c>
      <c r="B1402" s="457" t="s">
        <v>946</v>
      </c>
      <c r="C1402" s="233">
        <v>44279</v>
      </c>
      <c r="D1402" s="435" t="s">
        <v>1267</v>
      </c>
      <c r="E1402" s="436" t="s">
        <v>1530</v>
      </c>
      <c r="F1402" s="338">
        <v>0.47222222222222227</v>
      </c>
      <c r="G1402" s="338">
        <v>0.4777777777777778</v>
      </c>
      <c r="H1402" s="338" t="s">
        <v>971</v>
      </c>
      <c r="I1402" s="353">
        <v>821</v>
      </c>
      <c r="J1402" s="338" t="str">
        <f>IFERROR(VLOOKUP(I1402,'Chart of accounts'!A:H,2,FALSE),"")</f>
        <v>50213050 02</v>
      </c>
      <c r="K1402" s="338" t="str">
        <f>IFERROR(VLOOKUP(I1402,'Chart of accounts'!A:H,3,FALSE),"")</f>
        <v>Office Equipment</v>
      </c>
      <c r="L1402" s="338" t="str">
        <f>IFERROR(VLOOKUP(I1402,'Chart of accounts'!A:H,4,FALSE),"")</f>
        <v>50213050 02 - Office Equipment (821)</v>
      </c>
      <c r="M1402" s="361">
        <v>67</v>
      </c>
      <c r="N1402" s="420" t="s">
        <v>822</v>
      </c>
      <c r="O1402" s="420" t="s">
        <v>1532</v>
      </c>
      <c r="P1402" s="420"/>
      <c r="Q1402" s="420">
        <v>4150</v>
      </c>
      <c r="R1402" s="428">
        <f t="shared" si="52"/>
        <v>-4150</v>
      </c>
      <c r="S1402" s="428" t="str">
        <f>VLOOKUP(H1402,'Fund Utilization Report'!$A$4:$U$1800,13,FALSE)</f>
        <v>MOOE</v>
      </c>
      <c r="T1402" s="428" t="str">
        <f>VLOOKUP(H1402,'Fund Utilization Report'!$A$4:$U$1800,2,FALSE)</f>
        <v>GAA</v>
      </c>
      <c r="U1402" s="428" t="str">
        <f>VLOOKUP(H1402,'Fund Utilization Report'!$A$4:$U$1800,3,FALSE)</f>
        <v>FY2021, RA11518</v>
      </c>
      <c r="V1402" s="428" t="str">
        <f>VLOOKUP(H1402,'Fund Utilization Report'!$A$4:$U$1800,4,FALSE)</f>
        <v>OO3</v>
      </c>
      <c r="W1402" s="428" t="str">
        <f>VLOOKUP(H1402,'Fund Utilization Report'!$A$4:$U$1800,5,FALSE)</f>
        <v>01101101</v>
      </c>
      <c r="X1402" s="428" t="str">
        <f>VLOOKUP(H1402,'Fund Utilization Report'!$A$4:$U$1800,6,FALSE)</f>
        <v>GOP</v>
      </c>
      <c r="Y1402" s="320" t="str">
        <f>VLOOKUP(H1402,'Fund Utilization Report'!$A$4:$U$1800,7,FALSE)</f>
        <v>MOOE</v>
      </c>
      <c r="Z1402" s="425">
        <f>VLOOKUP(H1402,'Fund Utilization Report'!$A$4:$U$1800,8,FALSE)</f>
        <v>5020000000</v>
      </c>
      <c r="AA1402" s="428" t="str">
        <f>VLOOKUP(H1402,'Fund Utilization Report'!$A$4:$U$1800,14,FALSE)</f>
        <v>330100100002000</v>
      </c>
      <c r="AB1402" s="349" t="str">
        <f>VLOOKUP(H1402,'Fund Utilization Report'!$A$4:$U$1800,15,FALSE)</f>
        <v>Implementation of the MSME Development Plan and other initiatives to promote the growth of Micro, Small and Medium Enterprises</v>
      </c>
      <c r="AC1402" s="39"/>
      <c r="AD1402" s="34"/>
      <c r="AE1402" s="39"/>
      <c r="AF1402" s="51"/>
      <c r="AG1402" s="40"/>
      <c r="AH1402" s="40"/>
    </row>
    <row r="1403" spans="1:34" s="32" customFormat="1">
      <c r="A1403" s="434" t="s">
        <v>942</v>
      </c>
      <c r="B1403" s="457" t="s">
        <v>946</v>
      </c>
      <c r="C1403" s="233">
        <v>44279</v>
      </c>
      <c r="D1403" s="435" t="s">
        <v>1267</v>
      </c>
      <c r="E1403" s="436" t="s">
        <v>1530</v>
      </c>
      <c r="F1403" s="338">
        <v>0.47222222222222227</v>
      </c>
      <c r="G1403" s="338">
        <v>0.4777777777777778</v>
      </c>
      <c r="H1403" s="338" t="s">
        <v>968</v>
      </c>
      <c r="I1403" s="353">
        <v>823</v>
      </c>
      <c r="J1403" s="338" t="str">
        <f>IFERROR(VLOOKUP(I1403,'Chart of accounts'!A:H,2,FALSE),"")</f>
        <v>50213050 03</v>
      </c>
      <c r="K1403" s="338" t="str">
        <f>IFERROR(VLOOKUP(I1403,'Chart of accounts'!A:H,3,FALSE),"")</f>
        <v>ICT Equipment</v>
      </c>
      <c r="L1403" s="338" t="str">
        <f>IFERROR(VLOOKUP(I1403,'Chart of accounts'!A:H,4,FALSE),"")</f>
        <v>50213050 03 - ICT Equipment (823)</v>
      </c>
      <c r="M1403" s="361">
        <v>67</v>
      </c>
      <c r="N1403" s="420" t="s">
        <v>822</v>
      </c>
      <c r="O1403" s="420" t="s">
        <v>1532</v>
      </c>
      <c r="P1403" s="420"/>
      <c r="Q1403" s="420">
        <v>4150</v>
      </c>
      <c r="R1403" s="428">
        <f t="shared" si="52"/>
        <v>-4150</v>
      </c>
      <c r="S1403" s="428" t="str">
        <f>VLOOKUP(H1403,'Fund Utilization Report'!$A$4:$U$1800,13,FALSE)</f>
        <v>MOOE</v>
      </c>
      <c r="T1403" s="428" t="str">
        <f>VLOOKUP(H1403,'Fund Utilization Report'!$A$4:$U$1800,2,FALSE)</f>
        <v>GAA</v>
      </c>
      <c r="U1403" s="428" t="str">
        <f>VLOOKUP(H1403,'Fund Utilization Report'!$A$4:$U$1800,3,FALSE)</f>
        <v>FY2021, RA11518</v>
      </c>
      <c r="V1403" s="428" t="str">
        <f>VLOOKUP(H1403,'Fund Utilization Report'!$A$4:$U$1800,4,FALSE)</f>
        <v>OO2</v>
      </c>
      <c r="W1403" s="428" t="str">
        <f>VLOOKUP(H1403,'Fund Utilization Report'!$A$4:$U$1800,5,FALSE)</f>
        <v>01101101</v>
      </c>
      <c r="X1403" s="428" t="str">
        <f>VLOOKUP(H1403,'Fund Utilization Report'!$A$4:$U$1800,6,FALSE)</f>
        <v>GOP</v>
      </c>
      <c r="Y1403" s="320" t="str">
        <f>VLOOKUP(H1403,'Fund Utilization Report'!$A$4:$U$1800,7,FALSE)</f>
        <v>MOOE</v>
      </c>
      <c r="Z1403" s="425">
        <f>VLOOKUP(H1403,'Fund Utilization Report'!$A$4:$U$1800,8,FALSE)</f>
        <v>5020000000</v>
      </c>
      <c r="AA1403" s="428" t="str">
        <f>VLOOKUP(H1403,'Fund Utilization Report'!$A$4:$U$1800,14,FALSE)</f>
        <v>320100100001000</v>
      </c>
      <c r="AB1403" s="349" t="str">
        <f>VLOOKUP(H1403,'Fund Utilization Report'!$A$4:$U$1800,15,FALSE)</f>
        <v>Formulation of Strategic plans,programs, and policies to develop competitve industries</v>
      </c>
      <c r="AC1403" s="39"/>
      <c r="AD1403" s="34"/>
      <c r="AE1403" s="39"/>
      <c r="AF1403" s="51"/>
      <c r="AG1403" s="40"/>
      <c r="AH1403" s="40"/>
    </row>
    <row r="1404" spans="1:34" s="32" customFormat="1">
      <c r="A1404" s="434" t="s">
        <v>942</v>
      </c>
      <c r="B1404" s="457" t="s">
        <v>946</v>
      </c>
      <c r="C1404" s="233">
        <v>44279</v>
      </c>
      <c r="D1404" s="435" t="s">
        <v>1267</v>
      </c>
      <c r="E1404" s="436" t="s">
        <v>1530</v>
      </c>
      <c r="F1404" s="338">
        <v>0.47222222222222227</v>
      </c>
      <c r="G1404" s="338">
        <v>0.4777777777777778</v>
      </c>
      <c r="H1404" s="338" t="s">
        <v>968</v>
      </c>
      <c r="I1404" s="353">
        <v>822</v>
      </c>
      <c r="J1404" s="338" t="str">
        <f>IFERROR(VLOOKUP(I1404,'Chart of accounts'!A:H,2,FALSE),"")</f>
        <v>50213070 00</v>
      </c>
      <c r="K1404" s="338" t="str">
        <f>IFERROR(VLOOKUP(I1404,'Chart of accounts'!A:H,3,FALSE),"")</f>
        <v>Furniture and Fixture</v>
      </c>
      <c r="L1404" s="338" t="str">
        <f>IFERROR(VLOOKUP(I1404,'Chart of accounts'!A:H,4,FALSE),"")</f>
        <v>50213070 00 - Furniture and Fixture (822)</v>
      </c>
      <c r="M1404" s="361">
        <v>67</v>
      </c>
      <c r="N1404" s="420" t="s">
        <v>822</v>
      </c>
      <c r="O1404" s="420" t="s">
        <v>1532</v>
      </c>
      <c r="P1404" s="420"/>
      <c r="Q1404" s="420">
        <v>2075</v>
      </c>
      <c r="R1404" s="428">
        <f t="shared" si="52"/>
        <v>-2075</v>
      </c>
      <c r="S1404" s="428" t="str">
        <f>VLOOKUP(H1404,'Fund Utilization Report'!$A$4:$U$1800,13,FALSE)</f>
        <v>MOOE</v>
      </c>
      <c r="T1404" s="428" t="str">
        <f>VLOOKUP(H1404,'Fund Utilization Report'!$A$4:$U$1800,2,FALSE)</f>
        <v>GAA</v>
      </c>
      <c r="U1404" s="428" t="str">
        <f>VLOOKUP(H1404,'Fund Utilization Report'!$A$4:$U$1800,3,FALSE)</f>
        <v>FY2021, RA11518</v>
      </c>
      <c r="V1404" s="428" t="str">
        <f>VLOOKUP(H1404,'Fund Utilization Report'!$A$4:$U$1800,4,FALSE)</f>
        <v>OO2</v>
      </c>
      <c r="W1404" s="428" t="str">
        <f>VLOOKUP(H1404,'Fund Utilization Report'!$A$4:$U$1800,5,FALSE)</f>
        <v>01101101</v>
      </c>
      <c r="X1404" s="428" t="str">
        <f>VLOOKUP(H1404,'Fund Utilization Report'!$A$4:$U$1800,6,FALSE)</f>
        <v>GOP</v>
      </c>
      <c r="Y1404" s="320" t="str">
        <f>VLOOKUP(H1404,'Fund Utilization Report'!$A$4:$U$1800,7,FALSE)</f>
        <v>MOOE</v>
      </c>
      <c r="Z1404" s="425">
        <f>VLOOKUP(H1404,'Fund Utilization Report'!$A$4:$U$1800,8,FALSE)</f>
        <v>5020000000</v>
      </c>
      <c r="AA1404" s="428" t="str">
        <f>VLOOKUP(H1404,'Fund Utilization Report'!$A$4:$U$1800,14,FALSE)</f>
        <v>320100100001000</v>
      </c>
      <c r="AB1404" s="349" t="str">
        <f>VLOOKUP(H1404,'Fund Utilization Report'!$A$4:$U$1800,15,FALSE)</f>
        <v>Formulation of Strategic plans,programs, and policies to develop competitve industries</v>
      </c>
      <c r="AC1404" s="39"/>
      <c r="AD1404" s="34"/>
      <c r="AE1404" s="39"/>
      <c r="AF1404" s="51"/>
      <c r="AG1404" s="40"/>
      <c r="AH1404" s="40"/>
    </row>
    <row r="1405" spans="1:34" s="32" customFormat="1">
      <c r="A1405" s="434" t="s">
        <v>942</v>
      </c>
      <c r="B1405" s="457" t="s">
        <v>946</v>
      </c>
      <c r="C1405" s="233">
        <v>44279</v>
      </c>
      <c r="D1405" s="435" t="s">
        <v>1267</v>
      </c>
      <c r="E1405" s="436" t="s">
        <v>1530</v>
      </c>
      <c r="F1405" s="338">
        <v>0.47222222222222227</v>
      </c>
      <c r="G1405" s="338">
        <v>0.4777777777777778</v>
      </c>
      <c r="H1405" s="338" t="s">
        <v>961</v>
      </c>
      <c r="I1405" s="353">
        <v>841</v>
      </c>
      <c r="J1405" s="338" t="str">
        <f>IFERROR(VLOOKUP(I1405,'Chart of accounts'!A:H,2,FALSE),"")</f>
        <v>50213060 01</v>
      </c>
      <c r="K1405" s="338" t="str">
        <f>IFERROR(VLOOKUP(I1405,'Chart of accounts'!A:H,3,FALSE),"")</f>
        <v>Motor Vehicles</v>
      </c>
      <c r="L1405" s="338" t="str">
        <f>IFERROR(VLOOKUP(I1405,'Chart of accounts'!A:H,4,FALSE),"")</f>
        <v>50213060 01 - Motor Vehicles (841)</v>
      </c>
      <c r="M1405" s="361">
        <v>67</v>
      </c>
      <c r="N1405" s="420" t="s">
        <v>822</v>
      </c>
      <c r="O1405" s="420" t="s">
        <v>1532</v>
      </c>
      <c r="P1405" s="420"/>
      <c r="Q1405" s="420">
        <v>16600</v>
      </c>
      <c r="R1405" s="428">
        <f t="shared" si="52"/>
        <v>-16600</v>
      </c>
      <c r="S1405" s="428" t="str">
        <f>VLOOKUP(H1405,'Fund Utilization Report'!$A$4:$U$1800,13,FALSE)</f>
        <v>MOOE</v>
      </c>
      <c r="T1405" s="428" t="str">
        <f>VLOOKUP(H1405,'Fund Utilization Report'!$A$4:$U$1800,2,FALSE)</f>
        <v>GAA</v>
      </c>
      <c r="U1405" s="428" t="str">
        <f>VLOOKUP(H1405,'Fund Utilization Report'!$A$4:$U$1800,3,FALSE)</f>
        <v>FY2021, RA11518</v>
      </c>
      <c r="V1405" s="428" t="str">
        <f>VLOOKUP(H1405,'Fund Utilization Report'!$A$4:$U$1800,4,FALSE)</f>
        <v>GAS(GMS)</v>
      </c>
      <c r="W1405" s="428" t="str">
        <f>VLOOKUP(H1405,'Fund Utilization Report'!$A$4:$U$1800,5,FALSE)</f>
        <v>01101101</v>
      </c>
      <c r="X1405" s="428" t="str">
        <f>VLOOKUP(H1405,'Fund Utilization Report'!$A$4:$U$1800,6,FALSE)</f>
        <v>GOP</v>
      </c>
      <c r="Y1405" s="320" t="str">
        <f>VLOOKUP(H1405,'Fund Utilization Report'!$A$4:$U$1800,7,FALSE)</f>
        <v>MOOE</v>
      </c>
      <c r="Z1405" s="425">
        <f>VLOOKUP(H1405,'Fund Utilization Report'!$A$4:$U$1800,8,FALSE)</f>
        <v>5020000000</v>
      </c>
      <c r="AA1405" s="428" t="str">
        <f>VLOOKUP(H1405,'Fund Utilization Report'!$A$4:$U$1800,14,FALSE)</f>
        <v>100000100001000</v>
      </c>
      <c r="AB1405" s="349" t="str">
        <f>VLOOKUP(H1405,'Fund Utilization Report'!$A$4:$U$1800,15,FALSE)</f>
        <v>General Administration and Supervision - General Management and Supervision</v>
      </c>
      <c r="AC1405" s="39"/>
      <c r="AD1405" s="34"/>
      <c r="AE1405" s="39"/>
      <c r="AF1405" s="51"/>
      <c r="AG1405" s="40"/>
      <c r="AH1405" s="40"/>
    </row>
    <row r="1406" spans="1:34" s="32" customFormat="1">
      <c r="A1406" s="434" t="s">
        <v>942</v>
      </c>
      <c r="B1406" s="457" t="s">
        <v>946</v>
      </c>
      <c r="C1406" s="233">
        <v>44279</v>
      </c>
      <c r="D1406" s="435" t="s">
        <v>1267</v>
      </c>
      <c r="E1406" s="436" t="s">
        <v>1530</v>
      </c>
      <c r="F1406" s="338">
        <v>0.47222222222222227</v>
      </c>
      <c r="G1406" s="338">
        <v>0.4777777777777778</v>
      </c>
      <c r="H1406" s="338" t="s">
        <v>961</v>
      </c>
      <c r="I1406" s="353">
        <v>891</v>
      </c>
      <c r="J1406" s="338" t="str">
        <f>IFERROR(VLOOKUP(I1406,'Chart of accounts'!A:H,2,FALSE),"")</f>
        <v>50215010 01</v>
      </c>
      <c r="K1406" s="338" t="str">
        <f>IFERROR(VLOOKUP(I1406,'Chart of accounts'!A:H,3,FALSE),"")</f>
        <v>Taxes, Duties and Licenses</v>
      </c>
      <c r="L1406" s="338" t="str">
        <f>IFERROR(VLOOKUP(I1406,'Chart of accounts'!A:H,4,FALSE),"")</f>
        <v>50215010 01 - Taxes, Duties and Licenses (891)</v>
      </c>
      <c r="M1406" s="361">
        <v>67</v>
      </c>
      <c r="N1406" s="420" t="s">
        <v>822</v>
      </c>
      <c r="O1406" s="420" t="s">
        <v>1532</v>
      </c>
      <c r="P1406" s="420"/>
      <c r="Q1406" s="420">
        <v>1037.5</v>
      </c>
      <c r="R1406" s="428">
        <f t="shared" si="52"/>
        <v>-1037.5</v>
      </c>
      <c r="S1406" s="428" t="str">
        <f>VLOOKUP(H1406,'Fund Utilization Report'!$A$4:$U$1800,13,FALSE)</f>
        <v>MOOE</v>
      </c>
      <c r="T1406" s="428" t="str">
        <f>VLOOKUP(H1406,'Fund Utilization Report'!$A$4:$U$1800,2,FALSE)</f>
        <v>GAA</v>
      </c>
      <c r="U1406" s="428" t="str">
        <f>VLOOKUP(H1406,'Fund Utilization Report'!$A$4:$U$1800,3,FALSE)</f>
        <v>FY2021, RA11518</v>
      </c>
      <c r="V1406" s="428" t="str">
        <f>VLOOKUP(H1406,'Fund Utilization Report'!$A$4:$U$1800,4,FALSE)</f>
        <v>GAS(GMS)</v>
      </c>
      <c r="W1406" s="428" t="str">
        <f>VLOOKUP(H1406,'Fund Utilization Report'!$A$4:$U$1800,5,FALSE)</f>
        <v>01101101</v>
      </c>
      <c r="X1406" s="428" t="str">
        <f>VLOOKUP(H1406,'Fund Utilization Report'!$A$4:$U$1800,6,FALSE)</f>
        <v>GOP</v>
      </c>
      <c r="Y1406" s="320" t="str">
        <f>VLOOKUP(H1406,'Fund Utilization Report'!$A$4:$U$1800,7,FALSE)</f>
        <v>MOOE</v>
      </c>
      <c r="Z1406" s="425">
        <f>VLOOKUP(H1406,'Fund Utilization Report'!$A$4:$U$1800,8,FALSE)</f>
        <v>5020000000</v>
      </c>
      <c r="AA1406" s="428" t="str">
        <f>VLOOKUP(H1406,'Fund Utilization Report'!$A$4:$U$1800,14,FALSE)</f>
        <v>100000100001000</v>
      </c>
      <c r="AB1406" s="349" t="str">
        <f>VLOOKUP(H1406,'Fund Utilization Report'!$A$4:$U$1800,15,FALSE)</f>
        <v>General Administration and Supervision - General Management and Supervision</v>
      </c>
      <c r="AC1406" s="39"/>
      <c r="AD1406" s="34"/>
      <c r="AE1406" s="39"/>
      <c r="AF1406" s="51"/>
      <c r="AG1406" s="40"/>
      <c r="AH1406" s="40"/>
    </row>
    <row r="1407" spans="1:34" s="32" customFormat="1">
      <c r="A1407" s="434" t="s">
        <v>942</v>
      </c>
      <c r="B1407" s="457" t="s">
        <v>946</v>
      </c>
      <c r="C1407" s="233">
        <v>44279</v>
      </c>
      <c r="D1407" s="435" t="s">
        <v>1267</v>
      </c>
      <c r="E1407" s="436" t="s">
        <v>1530</v>
      </c>
      <c r="F1407" s="338">
        <v>0.47222222222222227</v>
      </c>
      <c r="G1407" s="338">
        <v>0.4777777777777778</v>
      </c>
      <c r="H1407" s="338" t="s">
        <v>961</v>
      </c>
      <c r="I1407" s="353">
        <v>892</v>
      </c>
      <c r="J1407" s="338" t="str">
        <f>IFERROR(VLOOKUP(I1407,'Chart of accounts'!A:H,2,FALSE),"")</f>
        <v>50215020 00</v>
      </c>
      <c r="K1407" s="338" t="str">
        <f>IFERROR(VLOOKUP(I1407,'Chart of accounts'!A:H,3,FALSE),"")</f>
        <v>Fidelity Bond Premiums</v>
      </c>
      <c r="L1407" s="338" t="str">
        <f>IFERROR(VLOOKUP(I1407,'Chart of accounts'!A:H,4,FALSE),"")</f>
        <v>50215020 00 - Fidelity Bond Premiums (892)</v>
      </c>
      <c r="M1407" s="361">
        <v>67</v>
      </c>
      <c r="N1407" s="420" t="s">
        <v>822</v>
      </c>
      <c r="O1407" s="420" t="s">
        <v>1532</v>
      </c>
      <c r="P1407" s="420"/>
      <c r="Q1407" s="420">
        <v>2075</v>
      </c>
      <c r="R1407" s="428">
        <f t="shared" si="52"/>
        <v>-2075</v>
      </c>
      <c r="S1407" s="428" t="str">
        <f>VLOOKUP(H1407,'Fund Utilization Report'!$A$4:$U$1800,13,FALSE)</f>
        <v>MOOE</v>
      </c>
      <c r="T1407" s="428" t="str">
        <f>VLOOKUP(H1407,'Fund Utilization Report'!$A$4:$U$1800,2,FALSE)</f>
        <v>GAA</v>
      </c>
      <c r="U1407" s="428" t="str">
        <f>VLOOKUP(H1407,'Fund Utilization Report'!$A$4:$U$1800,3,FALSE)</f>
        <v>FY2021, RA11518</v>
      </c>
      <c r="V1407" s="428" t="str">
        <f>VLOOKUP(H1407,'Fund Utilization Report'!$A$4:$U$1800,4,FALSE)</f>
        <v>GAS(GMS)</v>
      </c>
      <c r="W1407" s="428" t="str">
        <f>VLOOKUP(H1407,'Fund Utilization Report'!$A$4:$U$1800,5,FALSE)</f>
        <v>01101101</v>
      </c>
      <c r="X1407" s="428" t="str">
        <f>VLOOKUP(H1407,'Fund Utilization Report'!$A$4:$U$1800,6,FALSE)</f>
        <v>GOP</v>
      </c>
      <c r="Y1407" s="320" t="str">
        <f>VLOOKUP(H1407,'Fund Utilization Report'!$A$4:$U$1800,7,FALSE)</f>
        <v>MOOE</v>
      </c>
      <c r="Z1407" s="425">
        <f>VLOOKUP(H1407,'Fund Utilization Report'!$A$4:$U$1800,8,FALSE)</f>
        <v>5020000000</v>
      </c>
      <c r="AA1407" s="428" t="str">
        <f>VLOOKUP(H1407,'Fund Utilization Report'!$A$4:$U$1800,14,FALSE)</f>
        <v>100000100001000</v>
      </c>
      <c r="AB1407" s="349" t="str">
        <f>VLOOKUP(H1407,'Fund Utilization Report'!$A$4:$U$1800,15,FALSE)</f>
        <v>General Administration and Supervision - General Management and Supervision</v>
      </c>
      <c r="AC1407" s="39"/>
      <c r="AD1407" s="34"/>
      <c r="AE1407" s="39"/>
      <c r="AF1407" s="51"/>
      <c r="AG1407" s="40"/>
      <c r="AH1407" s="40"/>
    </row>
    <row r="1408" spans="1:34" s="32" customFormat="1">
      <c r="A1408" s="434" t="s">
        <v>942</v>
      </c>
      <c r="B1408" s="457" t="s">
        <v>946</v>
      </c>
      <c r="C1408" s="233">
        <v>44279</v>
      </c>
      <c r="D1408" s="435" t="s">
        <v>1267</v>
      </c>
      <c r="E1408" s="436" t="s">
        <v>1530</v>
      </c>
      <c r="F1408" s="338">
        <v>0.47222222222222227</v>
      </c>
      <c r="G1408" s="338">
        <v>0.4777777777777778</v>
      </c>
      <c r="H1408" s="338" t="s">
        <v>961</v>
      </c>
      <c r="I1408" s="353">
        <v>893</v>
      </c>
      <c r="J1408" s="338" t="str">
        <f>IFERROR(VLOOKUP(I1408,'Chart of accounts'!A:H,2,FALSE),"")</f>
        <v>50215030 00</v>
      </c>
      <c r="K1408" s="338" t="str">
        <f>IFERROR(VLOOKUP(I1408,'Chart of accounts'!A:H,3,FALSE),"")</f>
        <v>Insurance Expense</v>
      </c>
      <c r="L1408" s="338" t="str">
        <f>IFERROR(VLOOKUP(I1408,'Chart of accounts'!A:H,4,FALSE),"")</f>
        <v>50215030 00 - Insurance Expense (893)</v>
      </c>
      <c r="M1408" s="361">
        <v>67</v>
      </c>
      <c r="N1408" s="420" t="s">
        <v>822</v>
      </c>
      <c r="O1408" s="420" t="s">
        <v>1532</v>
      </c>
      <c r="P1408" s="420"/>
      <c r="Q1408" s="420">
        <v>4565</v>
      </c>
      <c r="R1408" s="428">
        <f t="shared" si="52"/>
        <v>-4565</v>
      </c>
      <c r="S1408" s="428" t="str">
        <f>VLOOKUP(H1408,'Fund Utilization Report'!$A$4:$U$1800,13,FALSE)</f>
        <v>MOOE</v>
      </c>
      <c r="T1408" s="428" t="str">
        <f>VLOOKUP(H1408,'Fund Utilization Report'!$A$4:$U$1800,2,FALSE)</f>
        <v>GAA</v>
      </c>
      <c r="U1408" s="428" t="str">
        <f>VLOOKUP(H1408,'Fund Utilization Report'!$A$4:$U$1800,3,FALSE)</f>
        <v>FY2021, RA11518</v>
      </c>
      <c r="V1408" s="428" t="str">
        <f>VLOOKUP(H1408,'Fund Utilization Report'!$A$4:$U$1800,4,FALSE)</f>
        <v>GAS(GMS)</v>
      </c>
      <c r="W1408" s="428" t="str">
        <f>VLOOKUP(H1408,'Fund Utilization Report'!$A$4:$U$1800,5,FALSE)</f>
        <v>01101101</v>
      </c>
      <c r="X1408" s="428" t="str">
        <f>VLOOKUP(H1408,'Fund Utilization Report'!$A$4:$U$1800,6,FALSE)</f>
        <v>GOP</v>
      </c>
      <c r="Y1408" s="320" t="str">
        <f>VLOOKUP(H1408,'Fund Utilization Report'!$A$4:$U$1800,7,FALSE)</f>
        <v>MOOE</v>
      </c>
      <c r="Z1408" s="425">
        <f>VLOOKUP(H1408,'Fund Utilization Report'!$A$4:$U$1800,8,FALSE)</f>
        <v>5020000000</v>
      </c>
      <c r="AA1408" s="428" t="str">
        <f>VLOOKUP(H1408,'Fund Utilization Report'!$A$4:$U$1800,14,FALSE)</f>
        <v>100000100001000</v>
      </c>
      <c r="AB1408" s="349" t="str">
        <f>VLOOKUP(H1408,'Fund Utilization Report'!$A$4:$U$1800,15,FALSE)</f>
        <v>General Administration and Supervision - General Management and Supervision</v>
      </c>
      <c r="AC1408" s="39"/>
      <c r="AD1408" s="34"/>
      <c r="AE1408" s="39"/>
      <c r="AF1408" s="51"/>
      <c r="AG1408" s="40"/>
      <c r="AH1408" s="40"/>
    </row>
    <row r="1409" spans="1:34" s="32" customFormat="1">
      <c r="A1409" s="434" t="s">
        <v>942</v>
      </c>
      <c r="B1409" s="457" t="s">
        <v>946</v>
      </c>
      <c r="C1409" s="233">
        <v>44279</v>
      </c>
      <c r="D1409" s="435" t="s">
        <v>1267</v>
      </c>
      <c r="E1409" s="436" t="s">
        <v>1530</v>
      </c>
      <c r="F1409" s="338">
        <v>0.47222222222222227</v>
      </c>
      <c r="G1409" s="338">
        <v>0.4777777777777778</v>
      </c>
      <c r="H1409" s="338" t="s">
        <v>961</v>
      </c>
      <c r="I1409" s="353">
        <v>782</v>
      </c>
      <c r="J1409" s="338" t="str">
        <f>IFERROR(VLOOKUP(I1409,'Chart of accounts'!A:H,2,FALSE),"")</f>
        <v>50299050 01</v>
      </c>
      <c r="K1409" s="338" t="str">
        <f>IFERROR(VLOOKUP(I1409,'Chart of accounts'!A:H,3,FALSE),"")</f>
        <v>Rent - Buildings and Structures</v>
      </c>
      <c r="L1409" s="338" t="str">
        <f>IFERROR(VLOOKUP(I1409,'Chart of accounts'!A:H,4,FALSE),"")</f>
        <v>50299050 01 - Rent - Buildings and Structures (782)</v>
      </c>
      <c r="M1409" s="361">
        <v>67</v>
      </c>
      <c r="N1409" s="420" t="s">
        <v>822</v>
      </c>
      <c r="O1409" s="420" t="s">
        <v>1532</v>
      </c>
      <c r="P1409" s="420"/>
      <c r="Q1409" s="420">
        <v>123670</v>
      </c>
      <c r="R1409" s="428">
        <f t="shared" si="52"/>
        <v>-123670</v>
      </c>
      <c r="S1409" s="428" t="str">
        <f>VLOOKUP(H1409,'Fund Utilization Report'!$A$4:$U$1800,13,FALSE)</f>
        <v>MOOE</v>
      </c>
      <c r="T1409" s="428" t="str">
        <f>VLOOKUP(H1409,'Fund Utilization Report'!$A$4:$U$1800,2,FALSE)</f>
        <v>GAA</v>
      </c>
      <c r="U1409" s="428" t="str">
        <f>VLOOKUP(H1409,'Fund Utilization Report'!$A$4:$U$1800,3,FALSE)</f>
        <v>FY2021, RA11518</v>
      </c>
      <c r="V1409" s="428" t="str">
        <f>VLOOKUP(H1409,'Fund Utilization Report'!$A$4:$U$1800,4,FALSE)</f>
        <v>GAS(GMS)</v>
      </c>
      <c r="W1409" s="428" t="str">
        <f>VLOOKUP(H1409,'Fund Utilization Report'!$A$4:$U$1800,5,FALSE)</f>
        <v>01101101</v>
      </c>
      <c r="X1409" s="428" t="str">
        <f>VLOOKUP(H1409,'Fund Utilization Report'!$A$4:$U$1800,6,FALSE)</f>
        <v>GOP</v>
      </c>
      <c r="Y1409" s="320" t="str">
        <f>VLOOKUP(H1409,'Fund Utilization Report'!$A$4:$U$1800,7,FALSE)</f>
        <v>MOOE</v>
      </c>
      <c r="Z1409" s="425">
        <f>VLOOKUP(H1409,'Fund Utilization Report'!$A$4:$U$1800,8,FALSE)</f>
        <v>5020000000</v>
      </c>
      <c r="AA1409" s="428" t="str">
        <f>VLOOKUP(H1409,'Fund Utilization Report'!$A$4:$U$1800,14,FALSE)</f>
        <v>100000100001000</v>
      </c>
      <c r="AB1409" s="349" t="str">
        <f>VLOOKUP(H1409,'Fund Utilization Report'!$A$4:$U$1800,15,FALSE)</f>
        <v>General Administration and Supervision - General Management and Supervision</v>
      </c>
      <c r="AC1409" s="39"/>
      <c r="AD1409" s="34"/>
      <c r="AE1409" s="39"/>
      <c r="AF1409" s="51"/>
      <c r="AG1409" s="40"/>
      <c r="AH1409" s="40"/>
    </row>
    <row r="1410" spans="1:34" s="32" customFormat="1">
      <c r="A1410" s="434" t="s">
        <v>942</v>
      </c>
      <c r="B1410" s="457" t="s">
        <v>946</v>
      </c>
      <c r="C1410" s="233">
        <v>44279</v>
      </c>
      <c r="D1410" s="435" t="s">
        <v>1267</v>
      </c>
      <c r="E1410" s="436" t="s">
        <v>1530</v>
      </c>
      <c r="F1410" s="338">
        <v>0.47222222222222227</v>
      </c>
      <c r="G1410" s="338">
        <v>0.4777777777777778</v>
      </c>
      <c r="H1410" s="338" t="s">
        <v>961</v>
      </c>
      <c r="I1410" s="459">
        <v>786</v>
      </c>
      <c r="J1410" s="458" t="str">
        <f>IFERROR(VLOOKUP(I1410,'Chart of accounts'!A:H,2,FALSE),"")</f>
        <v>50299070 00</v>
      </c>
      <c r="K1410" s="458" t="str">
        <f>IFERROR(VLOOKUP(I1410,'Chart of accounts'!A:H,3,FALSE),"")</f>
        <v>Subscriptions Expenses</v>
      </c>
      <c r="L1410" s="458" t="str">
        <f>IFERROR(VLOOKUP(I1410,'Chart of accounts'!A:H,4,FALSE),"")</f>
        <v>50299070 00 - Subscriptions Expenses (786)</v>
      </c>
      <c r="M1410" s="361">
        <v>67</v>
      </c>
      <c r="N1410" s="420" t="s">
        <v>822</v>
      </c>
      <c r="O1410" s="420" t="s">
        <v>1532</v>
      </c>
      <c r="P1410" s="460"/>
      <c r="Q1410" s="461">
        <v>2490</v>
      </c>
      <c r="R1410" s="462">
        <f t="shared" si="52"/>
        <v>-2490</v>
      </c>
      <c r="S1410" s="428" t="str">
        <f>VLOOKUP(H1410,'Fund Utilization Report'!$A$4:$U$1800,13,FALSE)</f>
        <v>MOOE</v>
      </c>
      <c r="T1410" s="428" t="str">
        <f>VLOOKUP(H1410,'Fund Utilization Report'!$A$4:$U$1800,2,FALSE)</f>
        <v>GAA</v>
      </c>
      <c r="U1410" s="428" t="str">
        <f>VLOOKUP(H1410,'Fund Utilization Report'!$A$4:$U$1800,3,FALSE)</f>
        <v>FY2021, RA11518</v>
      </c>
      <c r="V1410" s="428" t="str">
        <f>VLOOKUP(H1410,'Fund Utilization Report'!$A$4:$U$1800,4,FALSE)</f>
        <v>GAS(GMS)</v>
      </c>
      <c r="W1410" s="428" t="str">
        <f>VLOOKUP(H1410,'Fund Utilization Report'!$A$4:$U$1800,5,FALSE)</f>
        <v>01101101</v>
      </c>
      <c r="X1410" s="428" t="str">
        <f>VLOOKUP(H1410,'Fund Utilization Report'!$A$4:$U$1800,6,FALSE)</f>
        <v>GOP</v>
      </c>
      <c r="Y1410" s="320" t="str">
        <f>VLOOKUP(H1410,'Fund Utilization Report'!$A$4:$U$1800,7,FALSE)</f>
        <v>MOOE</v>
      </c>
      <c r="Z1410" s="425">
        <f>VLOOKUP(H1410,'Fund Utilization Report'!$A$4:$U$1800,8,FALSE)</f>
        <v>5020000000</v>
      </c>
      <c r="AA1410" s="428" t="str">
        <f>VLOOKUP(H1410,'Fund Utilization Report'!$A$4:$U$1800,14,FALSE)</f>
        <v>100000100001000</v>
      </c>
      <c r="AB1410" s="349" t="str">
        <f>VLOOKUP(H1410,'Fund Utilization Report'!$A$4:$U$1800,15,FALSE)</f>
        <v>General Administration and Supervision - General Management and Supervision</v>
      </c>
      <c r="AC1410" s="39"/>
      <c r="AD1410" s="34"/>
      <c r="AE1410" s="39"/>
      <c r="AF1410" s="51"/>
      <c r="AG1410" s="40"/>
      <c r="AH1410" s="40"/>
    </row>
    <row r="1411" spans="1:34" s="32" customFormat="1">
      <c r="A1411" s="434" t="s">
        <v>942</v>
      </c>
      <c r="B1411" s="457" t="s">
        <v>946</v>
      </c>
      <c r="C1411" s="233">
        <v>44279</v>
      </c>
      <c r="D1411" s="435" t="s">
        <v>1267</v>
      </c>
      <c r="E1411" s="436" t="s">
        <v>1530</v>
      </c>
      <c r="F1411" s="338">
        <v>0.47222222222222227</v>
      </c>
      <c r="G1411" s="338">
        <v>0.4777777777777778</v>
      </c>
      <c r="H1411" s="338" t="s">
        <v>961</v>
      </c>
      <c r="I1411" s="353">
        <v>751</v>
      </c>
      <c r="J1411" s="338" t="str">
        <f>IFERROR(VLOOKUP(I1411,'Chart of accounts'!A:H,2,FALSE),"")</f>
        <v>50201010 00</v>
      </c>
      <c r="K1411" s="338" t="str">
        <f>IFERROR(VLOOKUP(I1411,'Chart of accounts'!A:H,3,FALSE),"")</f>
        <v>Traveling Expenses - Local</v>
      </c>
      <c r="L1411" s="338" t="str">
        <f>IFERROR(VLOOKUP(I1411,'Chart of accounts'!A:H,4,FALSE),"")</f>
        <v>50201010 00 - Traveling Expenses - Local (751)</v>
      </c>
      <c r="M1411" s="361">
        <v>67</v>
      </c>
      <c r="N1411" s="420" t="s">
        <v>822</v>
      </c>
      <c r="O1411" s="420" t="s">
        <v>1532</v>
      </c>
      <c r="P1411" s="420"/>
      <c r="Q1411" s="420">
        <v>2075</v>
      </c>
      <c r="R1411" s="428">
        <f t="shared" si="52"/>
        <v>-2075</v>
      </c>
      <c r="S1411" s="428" t="str">
        <f>VLOOKUP(H1411,'Fund Utilization Report'!$A$4:$U$1800,13,FALSE)</f>
        <v>MOOE</v>
      </c>
      <c r="T1411" s="428" t="str">
        <f>VLOOKUP(H1411,'Fund Utilization Report'!$A$4:$U$1800,2,FALSE)</f>
        <v>GAA</v>
      </c>
      <c r="U1411" s="428" t="str">
        <f>VLOOKUP(H1411,'Fund Utilization Report'!$A$4:$U$1800,3,FALSE)</f>
        <v>FY2021, RA11518</v>
      </c>
      <c r="V1411" s="428" t="str">
        <f>VLOOKUP(H1411,'Fund Utilization Report'!$A$4:$U$1800,4,FALSE)</f>
        <v>GAS(GMS)</v>
      </c>
      <c r="W1411" s="428" t="str">
        <f>VLOOKUP(H1411,'Fund Utilization Report'!$A$4:$U$1800,5,FALSE)</f>
        <v>01101101</v>
      </c>
      <c r="X1411" s="428" t="str">
        <f>VLOOKUP(H1411,'Fund Utilization Report'!$A$4:$U$1800,6,FALSE)</f>
        <v>GOP</v>
      </c>
      <c r="Y1411" s="320" t="str">
        <f>VLOOKUP(H1411,'Fund Utilization Report'!$A$4:$U$1800,7,FALSE)</f>
        <v>MOOE</v>
      </c>
      <c r="Z1411" s="425">
        <f>VLOOKUP(H1411,'Fund Utilization Report'!$A$4:$U$1800,8,FALSE)</f>
        <v>5020000000</v>
      </c>
      <c r="AA1411" s="428" t="str">
        <f>VLOOKUP(H1411,'Fund Utilization Report'!$A$4:$U$1800,14,FALSE)</f>
        <v>100000100001000</v>
      </c>
      <c r="AB1411" s="349" t="str">
        <f>VLOOKUP(H1411,'Fund Utilization Report'!$A$4:$U$1800,15,FALSE)</f>
        <v>General Administration and Supervision - General Management and Supervision</v>
      </c>
      <c r="AC1411" s="39"/>
      <c r="AD1411" s="34"/>
      <c r="AE1411" s="39"/>
      <c r="AF1411" s="51"/>
      <c r="AG1411" s="40"/>
      <c r="AH1411" s="40"/>
    </row>
    <row r="1412" spans="1:34" s="32" customFormat="1">
      <c r="A1412" s="434" t="s">
        <v>942</v>
      </c>
      <c r="B1412" s="457" t="s">
        <v>946</v>
      </c>
      <c r="C1412" s="233">
        <v>44279</v>
      </c>
      <c r="D1412" s="435" t="s">
        <v>1267</v>
      </c>
      <c r="E1412" s="436" t="s">
        <v>1530</v>
      </c>
      <c r="F1412" s="338">
        <v>0.47222222222222227</v>
      </c>
      <c r="G1412" s="338">
        <v>0.4777777777777778</v>
      </c>
      <c r="H1412" s="338" t="s">
        <v>961</v>
      </c>
      <c r="I1412" s="353">
        <v>755</v>
      </c>
      <c r="J1412" s="338" t="str">
        <f>IFERROR(VLOOKUP(I1412,'Chart of accounts'!A:H,2,FALSE),"")</f>
        <v>50203010 00</v>
      </c>
      <c r="K1412" s="338" t="str">
        <f>IFERROR(VLOOKUP(I1412,'Chart of accounts'!A:H,3,FALSE),"")</f>
        <v>Office Supplies Expenses</v>
      </c>
      <c r="L1412" s="338" t="str">
        <f>IFERROR(VLOOKUP(I1412,'Chart of accounts'!A:H,4,FALSE),"")</f>
        <v>50203010 00 - Office Supplies Expenses (755)</v>
      </c>
      <c r="M1412" s="361">
        <v>67</v>
      </c>
      <c r="N1412" s="420" t="s">
        <v>822</v>
      </c>
      <c r="O1412" s="420" t="s">
        <v>1532</v>
      </c>
      <c r="P1412" s="420"/>
      <c r="Q1412" s="420">
        <v>10375</v>
      </c>
      <c r="R1412" s="428">
        <f t="shared" si="52"/>
        <v>-10375</v>
      </c>
      <c r="S1412" s="428" t="str">
        <f>VLOOKUP(H1412,'Fund Utilization Report'!$A$4:$U$1800,13,FALSE)</f>
        <v>MOOE</v>
      </c>
      <c r="T1412" s="428" t="str">
        <f>VLOOKUP(H1412,'Fund Utilization Report'!$A$4:$U$1800,2,FALSE)</f>
        <v>GAA</v>
      </c>
      <c r="U1412" s="428" t="str">
        <f>VLOOKUP(H1412,'Fund Utilization Report'!$A$4:$U$1800,3,FALSE)</f>
        <v>FY2021, RA11518</v>
      </c>
      <c r="V1412" s="428" t="str">
        <f>VLOOKUP(H1412,'Fund Utilization Report'!$A$4:$U$1800,4,FALSE)</f>
        <v>GAS(GMS)</v>
      </c>
      <c r="W1412" s="428" t="str">
        <f>VLOOKUP(H1412,'Fund Utilization Report'!$A$4:$U$1800,5,FALSE)</f>
        <v>01101101</v>
      </c>
      <c r="X1412" s="428" t="str">
        <f>VLOOKUP(H1412,'Fund Utilization Report'!$A$4:$U$1800,6,FALSE)</f>
        <v>GOP</v>
      </c>
      <c r="Y1412" s="320" t="str">
        <f>VLOOKUP(H1412,'Fund Utilization Report'!$A$4:$U$1800,7,FALSE)</f>
        <v>MOOE</v>
      </c>
      <c r="Z1412" s="425">
        <f>VLOOKUP(H1412,'Fund Utilization Report'!$A$4:$U$1800,8,FALSE)</f>
        <v>5020000000</v>
      </c>
      <c r="AA1412" s="428" t="str">
        <f>VLOOKUP(H1412,'Fund Utilization Report'!$A$4:$U$1800,14,FALSE)</f>
        <v>100000100001000</v>
      </c>
      <c r="AB1412" s="349" t="str">
        <f>VLOOKUP(H1412,'Fund Utilization Report'!$A$4:$U$1800,15,FALSE)</f>
        <v>General Administration and Supervision - General Management and Supervision</v>
      </c>
      <c r="AC1412" s="39"/>
      <c r="AD1412" s="34"/>
      <c r="AE1412" s="39"/>
      <c r="AF1412" s="51"/>
      <c r="AG1412" s="40"/>
      <c r="AH1412" s="40"/>
    </row>
    <row r="1413" spans="1:34" s="32" customFormat="1">
      <c r="A1413" s="434" t="s">
        <v>942</v>
      </c>
      <c r="B1413" s="457" t="s">
        <v>946</v>
      </c>
      <c r="C1413" s="233">
        <v>44279</v>
      </c>
      <c r="D1413" s="435" t="s">
        <v>1267</v>
      </c>
      <c r="E1413" s="436" t="s">
        <v>1530</v>
      </c>
      <c r="F1413" s="338">
        <v>0.47222222222222227</v>
      </c>
      <c r="G1413" s="338">
        <v>0.4777777777777778</v>
      </c>
      <c r="H1413" s="338" t="s">
        <v>961</v>
      </c>
      <c r="I1413" s="353">
        <v>781</v>
      </c>
      <c r="J1413" s="338" t="str">
        <f>IFERROR(VLOOKUP(I1413,'Chart of accounts'!A:H,2,FALSE),"")</f>
        <v>50299020 00</v>
      </c>
      <c r="K1413" s="338" t="str">
        <f>IFERROR(VLOOKUP(I1413,'Chart of accounts'!A:H,3,FALSE),"")</f>
        <v>Printing and Binding Expenses</v>
      </c>
      <c r="L1413" s="338" t="str">
        <f>IFERROR(VLOOKUP(I1413,'Chart of accounts'!A:H,4,FALSE),"")</f>
        <v>50299020 00 - Printing and Binding Expenses (781)</v>
      </c>
      <c r="M1413" s="361">
        <v>67</v>
      </c>
      <c r="N1413" s="420" t="s">
        <v>822</v>
      </c>
      <c r="O1413" s="420" t="s">
        <v>1532</v>
      </c>
      <c r="P1413" s="420"/>
      <c r="Q1413" s="420">
        <v>2075</v>
      </c>
      <c r="R1413" s="428">
        <f t="shared" si="52"/>
        <v>-2075</v>
      </c>
      <c r="S1413" s="428" t="str">
        <f>VLOOKUP(H1413,'Fund Utilization Report'!$A$4:$U$1800,13,FALSE)</f>
        <v>MOOE</v>
      </c>
      <c r="T1413" s="428" t="str">
        <f>VLOOKUP(H1413,'Fund Utilization Report'!$A$4:$U$1800,2,FALSE)</f>
        <v>GAA</v>
      </c>
      <c r="U1413" s="428" t="str">
        <f>VLOOKUP(H1413,'Fund Utilization Report'!$A$4:$U$1800,3,FALSE)</f>
        <v>FY2021, RA11518</v>
      </c>
      <c r="V1413" s="428" t="str">
        <f>VLOOKUP(H1413,'Fund Utilization Report'!$A$4:$U$1800,4,FALSE)</f>
        <v>GAS(GMS)</v>
      </c>
      <c r="W1413" s="428" t="str">
        <f>VLOOKUP(H1413,'Fund Utilization Report'!$A$4:$U$1800,5,FALSE)</f>
        <v>01101101</v>
      </c>
      <c r="X1413" s="428" t="str">
        <f>VLOOKUP(H1413,'Fund Utilization Report'!$A$4:$U$1800,6,FALSE)</f>
        <v>GOP</v>
      </c>
      <c r="Y1413" s="320" t="str">
        <f>VLOOKUP(H1413,'Fund Utilization Report'!$A$4:$U$1800,7,FALSE)</f>
        <v>MOOE</v>
      </c>
      <c r="Z1413" s="425">
        <f>VLOOKUP(H1413,'Fund Utilization Report'!$A$4:$U$1800,8,FALSE)</f>
        <v>5020000000</v>
      </c>
      <c r="AA1413" s="428" t="str">
        <f>VLOOKUP(H1413,'Fund Utilization Report'!$A$4:$U$1800,14,FALSE)</f>
        <v>100000100001000</v>
      </c>
      <c r="AB1413" s="349" t="str">
        <f>VLOOKUP(H1413,'Fund Utilization Report'!$A$4:$U$1800,15,FALSE)</f>
        <v>General Administration and Supervision - General Management and Supervision</v>
      </c>
      <c r="AC1413" s="39"/>
      <c r="AD1413" s="34"/>
      <c r="AE1413" s="39"/>
      <c r="AF1413" s="51"/>
      <c r="AG1413" s="40"/>
      <c r="AH1413" s="40"/>
    </row>
    <row r="1414" spans="1:34" s="32" customFormat="1">
      <c r="A1414" s="434" t="s">
        <v>942</v>
      </c>
      <c r="B1414" s="457" t="s">
        <v>946</v>
      </c>
      <c r="C1414" s="233">
        <v>44279</v>
      </c>
      <c r="D1414" s="435" t="s">
        <v>1267</v>
      </c>
      <c r="E1414" s="436" t="s">
        <v>1530</v>
      </c>
      <c r="F1414" s="338">
        <v>0.47222222222222227</v>
      </c>
      <c r="G1414" s="338">
        <v>0.4777777777777778</v>
      </c>
      <c r="H1414" s="338" t="s">
        <v>961</v>
      </c>
      <c r="I1414" s="353">
        <v>783</v>
      </c>
      <c r="J1414" s="338" t="str">
        <f>IFERROR(VLOOKUP(I1414,'Chart of accounts'!A:H,2,FALSE),"")</f>
        <v>50299030 00</v>
      </c>
      <c r="K1414" s="338" t="str">
        <f>IFERROR(VLOOKUP(I1414,'Chart of accounts'!A:H,3,FALSE),"")</f>
        <v>Representation Expenses</v>
      </c>
      <c r="L1414" s="338" t="str">
        <f>IFERROR(VLOOKUP(I1414,'Chart of accounts'!A:H,4,FALSE),"")</f>
        <v>50299030 00 - Representation Expenses (783)</v>
      </c>
      <c r="M1414" s="361">
        <v>67</v>
      </c>
      <c r="N1414" s="420" t="s">
        <v>822</v>
      </c>
      <c r="O1414" s="420" t="s">
        <v>1532</v>
      </c>
      <c r="P1414" s="420"/>
      <c r="Q1414" s="420">
        <v>5063</v>
      </c>
      <c r="R1414" s="428">
        <f t="shared" si="52"/>
        <v>-5063</v>
      </c>
      <c r="S1414" s="428" t="str">
        <f>VLOOKUP(H1414,'Fund Utilization Report'!$A$4:$U$1800,13,FALSE)</f>
        <v>MOOE</v>
      </c>
      <c r="T1414" s="428" t="str">
        <f>VLOOKUP(H1414,'Fund Utilization Report'!$A$4:$U$1800,2,FALSE)</f>
        <v>GAA</v>
      </c>
      <c r="U1414" s="428" t="str">
        <f>VLOOKUP(H1414,'Fund Utilization Report'!$A$4:$U$1800,3,FALSE)</f>
        <v>FY2021, RA11518</v>
      </c>
      <c r="V1414" s="428" t="str">
        <f>VLOOKUP(H1414,'Fund Utilization Report'!$A$4:$U$1800,4,FALSE)</f>
        <v>GAS(GMS)</v>
      </c>
      <c r="W1414" s="428" t="str">
        <f>VLOOKUP(H1414,'Fund Utilization Report'!$A$4:$U$1800,5,FALSE)</f>
        <v>01101101</v>
      </c>
      <c r="X1414" s="428" t="str">
        <f>VLOOKUP(H1414,'Fund Utilization Report'!$A$4:$U$1800,6,FALSE)</f>
        <v>GOP</v>
      </c>
      <c r="Y1414" s="320" t="str">
        <f>VLOOKUP(H1414,'Fund Utilization Report'!$A$4:$U$1800,7,FALSE)</f>
        <v>MOOE</v>
      </c>
      <c r="Z1414" s="425">
        <f>VLOOKUP(H1414,'Fund Utilization Report'!$A$4:$U$1800,8,FALSE)</f>
        <v>5020000000</v>
      </c>
      <c r="AA1414" s="428" t="str">
        <f>VLOOKUP(H1414,'Fund Utilization Report'!$A$4:$U$1800,14,FALSE)</f>
        <v>100000100001000</v>
      </c>
      <c r="AB1414" s="349" t="str">
        <f>VLOOKUP(H1414,'Fund Utilization Report'!$A$4:$U$1800,15,FALSE)</f>
        <v>General Administration and Supervision - General Management and Supervision</v>
      </c>
      <c r="AC1414" s="39"/>
      <c r="AD1414" s="34"/>
      <c r="AE1414" s="39"/>
      <c r="AF1414" s="51"/>
      <c r="AG1414" s="40"/>
      <c r="AH1414" s="40"/>
    </row>
    <row r="1415" spans="1:34" s="32" customFormat="1">
      <c r="A1415" s="434" t="s">
        <v>942</v>
      </c>
      <c r="B1415" s="457" t="s">
        <v>946</v>
      </c>
      <c r="C1415" s="233">
        <v>44279</v>
      </c>
      <c r="D1415" s="435" t="s">
        <v>1267</v>
      </c>
      <c r="E1415" s="436" t="s">
        <v>1530</v>
      </c>
      <c r="F1415" s="338">
        <v>0.47222222222222227</v>
      </c>
      <c r="G1415" s="338">
        <v>0.4777777777777778</v>
      </c>
      <c r="H1415" s="338" t="s">
        <v>968</v>
      </c>
      <c r="I1415" s="353">
        <v>784</v>
      </c>
      <c r="J1415" s="338" t="str">
        <f>IFERROR(VLOOKUP(I1415,'Chart of accounts'!A:H,2,FALSE),"")</f>
        <v>50299040 00</v>
      </c>
      <c r="K1415" s="338" t="str">
        <f>IFERROR(VLOOKUP(I1415,'Chart of accounts'!A:H,3,FALSE),"")</f>
        <v>Transportation and Delivery Expenses</v>
      </c>
      <c r="L1415" s="338" t="str">
        <f>IFERROR(VLOOKUP(I1415,'Chart of accounts'!A:H,4,FALSE),"")</f>
        <v>50299040 00 - Transportation and Delivery Expenses (784)</v>
      </c>
      <c r="M1415" s="361">
        <v>67</v>
      </c>
      <c r="N1415" s="420" t="s">
        <v>822</v>
      </c>
      <c r="O1415" s="420" t="s">
        <v>1532</v>
      </c>
      <c r="P1415" s="420"/>
      <c r="Q1415" s="420">
        <v>4980</v>
      </c>
      <c r="R1415" s="428">
        <f t="shared" si="52"/>
        <v>-4980</v>
      </c>
      <c r="S1415" s="428" t="str">
        <f>VLOOKUP(H1415,'Fund Utilization Report'!$A$4:$U$1800,13,FALSE)</f>
        <v>MOOE</v>
      </c>
      <c r="T1415" s="428" t="str">
        <f>VLOOKUP(H1415,'Fund Utilization Report'!$A$4:$U$1800,2,FALSE)</f>
        <v>GAA</v>
      </c>
      <c r="U1415" s="428" t="str">
        <f>VLOOKUP(H1415,'Fund Utilization Report'!$A$4:$U$1800,3,FALSE)</f>
        <v>FY2021, RA11518</v>
      </c>
      <c r="V1415" s="428" t="str">
        <f>VLOOKUP(H1415,'Fund Utilization Report'!$A$4:$U$1800,4,FALSE)</f>
        <v>OO2</v>
      </c>
      <c r="W1415" s="428" t="str">
        <f>VLOOKUP(H1415,'Fund Utilization Report'!$A$4:$U$1800,5,FALSE)</f>
        <v>01101101</v>
      </c>
      <c r="X1415" s="428" t="str">
        <f>VLOOKUP(H1415,'Fund Utilization Report'!$A$4:$U$1800,6,FALSE)</f>
        <v>GOP</v>
      </c>
      <c r="Y1415" s="320" t="str">
        <f>VLOOKUP(H1415,'Fund Utilization Report'!$A$4:$U$1800,7,FALSE)</f>
        <v>MOOE</v>
      </c>
      <c r="Z1415" s="425">
        <f>VLOOKUP(H1415,'Fund Utilization Report'!$A$4:$U$1800,8,FALSE)</f>
        <v>5020000000</v>
      </c>
      <c r="AA1415" s="428" t="str">
        <f>VLOOKUP(H1415,'Fund Utilization Report'!$A$4:$U$1800,14,FALSE)</f>
        <v>320100100001000</v>
      </c>
      <c r="AB1415" s="349" t="str">
        <f>VLOOKUP(H1415,'Fund Utilization Report'!$A$4:$U$1800,15,FALSE)</f>
        <v>Formulation of Strategic plans,programs, and policies to develop competitve industries</v>
      </c>
      <c r="AC1415" s="39"/>
      <c r="AD1415" s="34"/>
      <c r="AE1415" s="39"/>
      <c r="AF1415" s="51"/>
      <c r="AG1415" s="40"/>
      <c r="AH1415" s="40"/>
    </row>
    <row r="1416" spans="1:34" s="32" customFormat="1">
      <c r="A1416" s="434" t="s">
        <v>942</v>
      </c>
      <c r="B1416" s="457" t="s">
        <v>946</v>
      </c>
      <c r="C1416" s="233">
        <v>44279</v>
      </c>
      <c r="D1416" s="435" t="s">
        <v>1267</v>
      </c>
      <c r="E1416" s="436" t="s">
        <v>1530</v>
      </c>
      <c r="F1416" s="338">
        <v>0.47222222222222227</v>
      </c>
      <c r="G1416" s="338">
        <v>0.4777777777777778</v>
      </c>
      <c r="H1416" s="338" t="s">
        <v>961</v>
      </c>
      <c r="I1416" s="353">
        <v>969</v>
      </c>
      <c r="J1416" s="338" t="str">
        <f>IFERROR(VLOOKUP(I1416,'Chart of accounts'!A:H,2,FALSE),"")</f>
        <v>50299990 99</v>
      </c>
      <c r="K1416" s="338" t="str">
        <f>IFERROR(VLOOKUP(I1416,'Chart of accounts'!A:H,3,FALSE),"")</f>
        <v>Other Maintenance and Operating Expenses</v>
      </c>
      <c r="L1416" s="338" t="str">
        <f>IFERROR(VLOOKUP(I1416,'Chart of accounts'!A:H,4,FALSE),"")</f>
        <v>50299990 99 - Other Maintenance and Operating Expenses (969)</v>
      </c>
      <c r="M1416" s="361">
        <v>67</v>
      </c>
      <c r="N1416" s="420" t="s">
        <v>822</v>
      </c>
      <c r="O1416" s="420" t="s">
        <v>1532</v>
      </c>
      <c r="P1416" s="420"/>
      <c r="Q1416" s="420">
        <v>11952</v>
      </c>
      <c r="R1416" s="428">
        <f t="shared" si="52"/>
        <v>-11952</v>
      </c>
      <c r="S1416" s="428" t="str">
        <f>VLOOKUP(H1416,'Fund Utilization Report'!$A$4:$U$1800,13,FALSE)</f>
        <v>MOOE</v>
      </c>
      <c r="T1416" s="428" t="str">
        <f>VLOOKUP(H1416,'Fund Utilization Report'!$A$4:$U$1800,2,FALSE)</f>
        <v>GAA</v>
      </c>
      <c r="U1416" s="428" t="str">
        <f>VLOOKUP(H1416,'Fund Utilization Report'!$A$4:$U$1800,3,FALSE)</f>
        <v>FY2021, RA11518</v>
      </c>
      <c r="V1416" s="428" t="str">
        <f>VLOOKUP(H1416,'Fund Utilization Report'!$A$4:$U$1800,4,FALSE)</f>
        <v>GAS(GMS)</v>
      </c>
      <c r="W1416" s="428" t="str">
        <f>VLOOKUP(H1416,'Fund Utilization Report'!$A$4:$U$1800,5,FALSE)</f>
        <v>01101101</v>
      </c>
      <c r="X1416" s="428" t="str">
        <f>VLOOKUP(H1416,'Fund Utilization Report'!$A$4:$U$1800,6,FALSE)</f>
        <v>GOP</v>
      </c>
      <c r="Y1416" s="320" t="str">
        <f>VLOOKUP(H1416,'Fund Utilization Report'!$A$4:$U$1800,7,FALSE)</f>
        <v>MOOE</v>
      </c>
      <c r="Z1416" s="425">
        <f>VLOOKUP(H1416,'Fund Utilization Report'!$A$4:$U$1800,8,FALSE)</f>
        <v>5020000000</v>
      </c>
      <c r="AA1416" s="428" t="str">
        <f>VLOOKUP(H1416,'Fund Utilization Report'!$A$4:$U$1800,14,FALSE)</f>
        <v>100000100001000</v>
      </c>
      <c r="AB1416" s="349" t="str">
        <f>VLOOKUP(H1416,'Fund Utilization Report'!$A$4:$U$1800,15,FALSE)</f>
        <v>General Administration and Supervision - General Management and Supervision</v>
      </c>
      <c r="AC1416" s="39"/>
      <c r="AD1416" s="34"/>
      <c r="AE1416" s="39"/>
      <c r="AF1416" s="51"/>
      <c r="AG1416" s="40"/>
      <c r="AH1416" s="40"/>
    </row>
    <row r="1417" spans="1:34" s="32" customFormat="1">
      <c r="A1417" s="434" t="s">
        <v>942</v>
      </c>
      <c r="B1417" s="457" t="s">
        <v>946</v>
      </c>
      <c r="C1417" s="233">
        <v>44279</v>
      </c>
      <c r="D1417" s="435" t="s">
        <v>1267</v>
      </c>
      <c r="E1417" s="436" t="s">
        <v>1531</v>
      </c>
      <c r="F1417" s="338">
        <v>0.4777777777777778</v>
      </c>
      <c r="G1417" s="338">
        <v>0.4826388888888889</v>
      </c>
      <c r="H1417" s="338" t="s">
        <v>961</v>
      </c>
      <c r="I1417" s="353">
        <v>756</v>
      </c>
      <c r="J1417" s="338" t="str">
        <f>IFERROR(VLOOKUP(I1417,'Chart of accounts'!A:H,2,FALSE),"")</f>
        <v>50203020 00</v>
      </c>
      <c r="K1417" s="338" t="str">
        <f>IFERROR(VLOOKUP(I1417,'Chart of accounts'!A:H,3,FALSE),"")</f>
        <v xml:space="preserve">Accountable Forms Expenses </v>
      </c>
      <c r="L1417" s="338" t="str">
        <f>IFERROR(VLOOKUP(I1417,'Chart of accounts'!A:H,4,FALSE),"")</f>
        <v>50203020 00 - Accountable Forms Expenses  (756)</v>
      </c>
      <c r="M1417" s="361">
        <v>85</v>
      </c>
      <c r="N1417" s="420" t="s">
        <v>823</v>
      </c>
      <c r="O1417" s="420" t="s">
        <v>1532</v>
      </c>
      <c r="P1417" s="420"/>
      <c r="Q1417" s="420">
        <v>1494</v>
      </c>
      <c r="R1417" s="428">
        <f t="shared" si="52"/>
        <v>-1494</v>
      </c>
      <c r="S1417" s="428" t="str">
        <f>VLOOKUP(H1417,'Fund Utilization Report'!$A$4:$U$1800,13,FALSE)</f>
        <v>MOOE</v>
      </c>
      <c r="T1417" s="428" t="str">
        <f>VLOOKUP(H1417,'Fund Utilization Report'!$A$4:$U$1800,2,FALSE)</f>
        <v>GAA</v>
      </c>
      <c r="U1417" s="428" t="str">
        <f>VLOOKUP(H1417,'Fund Utilization Report'!$A$4:$U$1800,3,FALSE)</f>
        <v>FY2021, RA11518</v>
      </c>
      <c r="V1417" s="428" t="str">
        <f>VLOOKUP(H1417,'Fund Utilization Report'!$A$4:$U$1800,4,FALSE)</f>
        <v>GAS(GMS)</v>
      </c>
      <c r="W1417" s="428" t="str">
        <f>VLOOKUP(H1417,'Fund Utilization Report'!$A$4:$U$1800,5,FALSE)</f>
        <v>01101101</v>
      </c>
      <c r="X1417" s="428" t="str">
        <f>VLOOKUP(H1417,'Fund Utilization Report'!$A$4:$U$1800,6,FALSE)</f>
        <v>GOP</v>
      </c>
      <c r="Y1417" s="320" t="str">
        <f>VLOOKUP(H1417,'Fund Utilization Report'!$A$4:$U$1800,7,FALSE)</f>
        <v>MOOE</v>
      </c>
      <c r="Z1417" s="425">
        <f>VLOOKUP(H1417,'Fund Utilization Report'!$A$4:$U$1800,8,FALSE)</f>
        <v>5020000000</v>
      </c>
      <c r="AA1417" s="428" t="str">
        <f>VLOOKUP(H1417,'Fund Utilization Report'!$A$4:$U$1800,14,FALSE)</f>
        <v>100000100001000</v>
      </c>
      <c r="AB1417" s="349" t="str">
        <f>VLOOKUP(H1417,'Fund Utilization Report'!$A$4:$U$1800,15,FALSE)</f>
        <v>General Administration and Supervision - General Management and Supervision</v>
      </c>
      <c r="AC1417" s="39"/>
      <c r="AD1417" s="34"/>
      <c r="AE1417" s="39"/>
      <c r="AF1417" s="51"/>
      <c r="AG1417" s="40"/>
      <c r="AH1417" s="40"/>
    </row>
    <row r="1418" spans="1:34" s="32" customFormat="1">
      <c r="A1418" s="434" t="s">
        <v>942</v>
      </c>
      <c r="B1418" s="457" t="s">
        <v>946</v>
      </c>
      <c r="C1418" s="233">
        <v>44279</v>
      </c>
      <c r="D1418" s="435" t="s">
        <v>1267</v>
      </c>
      <c r="E1418" s="436" t="s">
        <v>1531</v>
      </c>
      <c r="F1418" s="338">
        <v>0.4777777777777778</v>
      </c>
      <c r="G1418" s="338">
        <v>0.4826388888888889</v>
      </c>
      <c r="H1418" s="338" t="s">
        <v>961</v>
      </c>
      <c r="I1418" s="353">
        <v>753</v>
      </c>
      <c r="J1418" s="338" t="str">
        <f>IFERROR(VLOOKUP(I1418,'Chart of accounts'!A:H,2,FALSE),"")</f>
        <v>50202010 00</v>
      </c>
      <c r="K1418" s="338" t="str">
        <f>IFERROR(VLOOKUP(I1418,'Chart of accounts'!A:H,3,FALSE),"")</f>
        <v>Training Expenses</v>
      </c>
      <c r="L1418" s="338" t="str">
        <f>IFERROR(VLOOKUP(I1418,'Chart of accounts'!A:H,4,FALSE),"")</f>
        <v>50202010 00 - Training Expenses (753)</v>
      </c>
      <c r="M1418" s="361">
        <v>85</v>
      </c>
      <c r="N1418" s="420" t="s">
        <v>823</v>
      </c>
      <c r="O1418" s="420" t="s">
        <v>1532</v>
      </c>
      <c r="P1418" s="420"/>
      <c r="Q1418" s="420">
        <v>11205</v>
      </c>
      <c r="R1418" s="428">
        <f t="shared" si="52"/>
        <v>-11205</v>
      </c>
      <c r="S1418" s="428" t="str">
        <f>VLOOKUP(H1418,'Fund Utilization Report'!$A$4:$U$1800,13,FALSE)</f>
        <v>MOOE</v>
      </c>
      <c r="T1418" s="428" t="str">
        <f>VLOOKUP(H1418,'Fund Utilization Report'!$A$4:$U$1800,2,FALSE)</f>
        <v>GAA</v>
      </c>
      <c r="U1418" s="428" t="str">
        <f>VLOOKUP(H1418,'Fund Utilization Report'!$A$4:$U$1800,3,FALSE)</f>
        <v>FY2021, RA11518</v>
      </c>
      <c r="V1418" s="428" t="str">
        <f>VLOOKUP(H1418,'Fund Utilization Report'!$A$4:$U$1800,4,FALSE)</f>
        <v>GAS(GMS)</v>
      </c>
      <c r="W1418" s="428" t="str">
        <f>VLOOKUP(H1418,'Fund Utilization Report'!$A$4:$U$1800,5,FALSE)</f>
        <v>01101101</v>
      </c>
      <c r="X1418" s="428" t="str">
        <f>VLOOKUP(H1418,'Fund Utilization Report'!$A$4:$U$1800,6,FALSE)</f>
        <v>GOP</v>
      </c>
      <c r="Y1418" s="320" t="str">
        <f>VLOOKUP(H1418,'Fund Utilization Report'!$A$4:$U$1800,7,FALSE)</f>
        <v>MOOE</v>
      </c>
      <c r="Z1418" s="425">
        <f>VLOOKUP(H1418,'Fund Utilization Report'!$A$4:$U$1800,8,FALSE)</f>
        <v>5020000000</v>
      </c>
      <c r="AA1418" s="428" t="str">
        <f>VLOOKUP(H1418,'Fund Utilization Report'!$A$4:$U$1800,14,FALSE)</f>
        <v>100000100001000</v>
      </c>
      <c r="AB1418" s="349" t="str">
        <f>VLOOKUP(H1418,'Fund Utilization Report'!$A$4:$U$1800,15,FALSE)</f>
        <v>General Administration and Supervision - General Management and Supervision</v>
      </c>
      <c r="AC1418" s="39"/>
      <c r="AD1418" s="34"/>
      <c r="AE1418" s="39"/>
      <c r="AF1418" s="51"/>
      <c r="AG1418" s="40"/>
      <c r="AH1418" s="40"/>
    </row>
    <row r="1419" spans="1:34" s="32" customFormat="1">
      <c r="A1419" s="434" t="s">
        <v>942</v>
      </c>
      <c r="B1419" s="457" t="s">
        <v>946</v>
      </c>
      <c r="C1419" s="233">
        <v>44279</v>
      </c>
      <c r="D1419" s="435" t="s">
        <v>1267</v>
      </c>
      <c r="E1419" s="436" t="s">
        <v>1531</v>
      </c>
      <c r="F1419" s="338">
        <v>0.4777777777777778</v>
      </c>
      <c r="G1419" s="338">
        <v>0.4826388888888889</v>
      </c>
      <c r="H1419" s="338" t="s">
        <v>961</v>
      </c>
      <c r="I1419" s="353">
        <v>761</v>
      </c>
      <c r="J1419" s="338" t="str">
        <f>IFERROR(VLOOKUP(I1419,'Chart of accounts'!A:H,2,FALSE),"")</f>
        <v>50203090 00</v>
      </c>
      <c r="K1419" s="338" t="str">
        <f>IFERROR(VLOOKUP(I1419,'Chart of accounts'!A:H,3,FALSE),"")</f>
        <v>Fuel, Oil and Lubricants Expenses</v>
      </c>
      <c r="L1419" s="338" t="str">
        <f>IFERROR(VLOOKUP(I1419,'Chart of accounts'!A:H,4,FALSE),"")</f>
        <v>50203090 00 - Fuel, Oil and Lubricants Expenses (761)</v>
      </c>
      <c r="M1419" s="361">
        <v>85</v>
      </c>
      <c r="N1419" s="420" t="s">
        <v>823</v>
      </c>
      <c r="O1419" s="420" t="s">
        <v>1532</v>
      </c>
      <c r="P1419" s="420"/>
      <c r="Q1419" s="420">
        <v>6225</v>
      </c>
      <c r="R1419" s="428">
        <f t="shared" si="52"/>
        <v>-6225</v>
      </c>
      <c r="S1419" s="428" t="str">
        <f>VLOOKUP(H1419,'Fund Utilization Report'!$A$4:$U$1800,13,FALSE)</f>
        <v>MOOE</v>
      </c>
      <c r="T1419" s="428" t="str">
        <f>VLOOKUP(H1419,'Fund Utilization Report'!$A$4:$U$1800,2,FALSE)</f>
        <v>GAA</v>
      </c>
      <c r="U1419" s="428" t="str">
        <f>VLOOKUP(H1419,'Fund Utilization Report'!$A$4:$U$1800,3,FALSE)</f>
        <v>FY2021, RA11518</v>
      </c>
      <c r="V1419" s="428" t="str">
        <f>VLOOKUP(H1419,'Fund Utilization Report'!$A$4:$U$1800,4,FALSE)</f>
        <v>GAS(GMS)</v>
      </c>
      <c r="W1419" s="428" t="str">
        <f>VLOOKUP(H1419,'Fund Utilization Report'!$A$4:$U$1800,5,FALSE)</f>
        <v>01101101</v>
      </c>
      <c r="X1419" s="428" t="str">
        <f>VLOOKUP(H1419,'Fund Utilization Report'!$A$4:$U$1800,6,FALSE)</f>
        <v>GOP</v>
      </c>
      <c r="Y1419" s="320" t="str">
        <f>VLOOKUP(H1419,'Fund Utilization Report'!$A$4:$U$1800,7,FALSE)</f>
        <v>MOOE</v>
      </c>
      <c r="Z1419" s="425">
        <f>VLOOKUP(H1419,'Fund Utilization Report'!$A$4:$U$1800,8,FALSE)</f>
        <v>5020000000</v>
      </c>
      <c r="AA1419" s="428" t="str">
        <f>VLOOKUP(H1419,'Fund Utilization Report'!$A$4:$U$1800,14,FALSE)</f>
        <v>100000100001000</v>
      </c>
      <c r="AB1419" s="349" t="str">
        <f>VLOOKUP(H1419,'Fund Utilization Report'!$A$4:$U$1800,15,FALSE)</f>
        <v>General Administration and Supervision - General Management and Supervision</v>
      </c>
      <c r="AC1419" s="39"/>
      <c r="AD1419" s="34"/>
      <c r="AE1419" s="39"/>
      <c r="AF1419" s="51"/>
      <c r="AG1419" s="40"/>
      <c r="AH1419" s="40"/>
    </row>
    <row r="1420" spans="1:34" s="32" customFormat="1">
      <c r="A1420" s="434" t="s">
        <v>942</v>
      </c>
      <c r="B1420" s="457" t="s">
        <v>946</v>
      </c>
      <c r="C1420" s="233">
        <v>44279</v>
      </c>
      <c r="D1420" s="435" t="s">
        <v>1267</v>
      </c>
      <c r="E1420" s="436" t="s">
        <v>1531</v>
      </c>
      <c r="F1420" s="338">
        <v>0.4777777777777778</v>
      </c>
      <c r="G1420" s="338">
        <v>0.4826388888888889</v>
      </c>
      <c r="H1420" s="338" t="s">
        <v>961</v>
      </c>
      <c r="I1420" s="353">
        <v>766</v>
      </c>
      <c r="J1420" s="338" t="str">
        <f>IFERROR(VLOOKUP(I1420,'Chart of accounts'!A:H,2,FALSE),"")</f>
        <v>50204010 00</v>
      </c>
      <c r="K1420" s="338" t="str">
        <f>IFERROR(VLOOKUP(I1420,'Chart of accounts'!A:H,3,FALSE),"")</f>
        <v>Water Expenses</v>
      </c>
      <c r="L1420" s="338" t="str">
        <f>IFERROR(VLOOKUP(I1420,'Chart of accounts'!A:H,4,FALSE),"")</f>
        <v>50204010 00 - Water Expenses (766)</v>
      </c>
      <c r="M1420" s="361">
        <v>85</v>
      </c>
      <c r="N1420" s="420" t="s">
        <v>823</v>
      </c>
      <c r="O1420" s="420" t="s">
        <v>1532</v>
      </c>
      <c r="P1420" s="420"/>
      <c r="Q1420" s="420">
        <v>2490</v>
      </c>
      <c r="R1420" s="428">
        <f t="shared" si="52"/>
        <v>-2490</v>
      </c>
      <c r="S1420" s="428" t="str">
        <f>VLOOKUP(H1420,'Fund Utilization Report'!$A$4:$U$1800,13,FALSE)</f>
        <v>MOOE</v>
      </c>
      <c r="T1420" s="428" t="str">
        <f>VLOOKUP(H1420,'Fund Utilization Report'!$A$4:$U$1800,2,FALSE)</f>
        <v>GAA</v>
      </c>
      <c r="U1420" s="428" t="str">
        <f>VLOOKUP(H1420,'Fund Utilization Report'!$A$4:$U$1800,3,FALSE)</f>
        <v>FY2021, RA11518</v>
      </c>
      <c r="V1420" s="428" t="str">
        <f>VLOOKUP(H1420,'Fund Utilization Report'!$A$4:$U$1800,4,FALSE)</f>
        <v>GAS(GMS)</v>
      </c>
      <c r="W1420" s="428" t="str">
        <f>VLOOKUP(H1420,'Fund Utilization Report'!$A$4:$U$1800,5,FALSE)</f>
        <v>01101101</v>
      </c>
      <c r="X1420" s="428" t="str">
        <f>VLOOKUP(H1420,'Fund Utilization Report'!$A$4:$U$1800,6,FALSE)</f>
        <v>GOP</v>
      </c>
      <c r="Y1420" s="320" t="str">
        <f>VLOOKUP(H1420,'Fund Utilization Report'!$A$4:$U$1800,7,FALSE)</f>
        <v>MOOE</v>
      </c>
      <c r="Z1420" s="425">
        <f>VLOOKUP(H1420,'Fund Utilization Report'!$A$4:$U$1800,8,FALSE)</f>
        <v>5020000000</v>
      </c>
      <c r="AA1420" s="428" t="str">
        <f>VLOOKUP(H1420,'Fund Utilization Report'!$A$4:$U$1800,14,FALSE)</f>
        <v>100000100001000</v>
      </c>
      <c r="AB1420" s="349" t="str">
        <f>VLOOKUP(H1420,'Fund Utilization Report'!$A$4:$U$1800,15,FALSE)</f>
        <v>General Administration and Supervision - General Management and Supervision</v>
      </c>
      <c r="AC1420" s="39"/>
      <c r="AD1420" s="34"/>
      <c r="AE1420" s="39"/>
      <c r="AF1420" s="51"/>
      <c r="AG1420" s="40"/>
      <c r="AH1420" s="40"/>
    </row>
    <row r="1421" spans="1:34" s="32" customFormat="1">
      <c r="A1421" s="434" t="s">
        <v>942</v>
      </c>
      <c r="B1421" s="457" t="s">
        <v>946</v>
      </c>
      <c r="C1421" s="233">
        <v>44279</v>
      </c>
      <c r="D1421" s="435" t="s">
        <v>1267</v>
      </c>
      <c r="E1421" s="436" t="s">
        <v>1531</v>
      </c>
      <c r="F1421" s="338">
        <v>0.4777777777777778</v>
      </c>
      <c r="G1421" s="338">
        <v>0.4826388888888889</v>
      </c>
      <c r="H1421" s="338" t="s">
        <v>961</v>
      </c>
      <c r="I1421" s="353">
        <v>767</v>
      </c>
      <c r="J1421" s="338" t="str">
        <f>IFERROR(VLOOKUP(I1421,'Chart of accounts'!A:H,2,FALSE),"")</f>
        <v>50204020 00</v>
      </c>
      <c r="K1421" s="338" t="str">
        <f>IFERROR(VLOOKUP(I1421,'Chart of accounts'!A:H,3,FALSE),"")</f>
        <v>Electricity Expense</v>
      </c>
      <c r="L1421" s="338" t="str">
        <f>IFERROR(VLOOKUP(I1421,'Chart of accounts'!A:H,4,FALSE),"")</f>
        <v>50204020 00 - Electricity Expense (767)</v>
      </c>
      <c r="M1421" s="361">
        <v>85</v>
      </c>
      <c r="N1421" s="420" t="s">
        <v>823</v>
      </c>
      <c r="O1421" s="420" t="s">
        <v>1532</v>
      </c>
      <c r="P1421" s="420"/>
      <c r="Q1421" s="420">
        <v>9960</v>
      </c>
      <c r="R1421" s="428">
        <f t="shared" si="52"/>
        <v>-9960</v>
      </c>
      <c r="S1421" s="428" t="str">
        <f>VLOOKUP(H1421,'Fund Utilization Report'!$A$4:$U$1800,13,FALSE)</f>
        <v>MOOE</v>
      </c>
      <c r="T1421" s="428" t="str">
        <f>VLOOKUP(H1421,'Fund Utilization Report'!$A$4:$U$1800,2,FALSE)</f>
        <v>GAA</v>
      </c>
      <c r="U1421" s="428" t="str">
        <f>VLOOKUP(H1421,'Fund Utilization Report'!$A$4:$U$1800,3,FALSE)</f>
        <v>FY2021, RA11518</v>
      </c>
      <c r="V1421" s="428" t="str">
        <f>VLOOKUP(H1421,'Fund Utilization Report'!$A$4:$U$1800,4,FALSE)</f>
        <v>GAS(GMS)</v>
      </c>
      <c r="W1421" s="428" t="str">
        <f>VLOOKUP(H1421,'Fund Utilization Report'!$A$4:$U$1800,5,FALSE)</f>
        <v>01101101</v>
      </c>
      <c r="X1421" s="428" t="str">
        <f>VLOOKUP(H1421,'Fund Utilization Report'!$A$4:$U$1800,6,FALSE)</f>
        <v>GOP</v>
      </c>
      <c r="Y1421" s="320" t="str">
        <f>VLOOKUP(H1421,'Fund Utilization Report'!$A$4:$U$1800,7,FALSE)</f>
        <v>MOOE</v>
      </c>
      <c r="Z1421" s="425">
        <f>VLOOKUP(H1421,'Fund Utilization Report'!$A$4:$U$1800,8,FALSE)</f>
        <v>5020000000</v>
      </c>
      <c r="AA1421" s="428" t="str">
        <f>VLOOKUP(H1421,'Fund Utilization Report'!$A$4:$U$1800,14,FALSE)</f>
        <v>100000100001000</v>
      </c>
      <c r="AB1421" s="349" t="str">
        <f>VLOOKUP(H1421,'Fund Utilization Report'!$A$4:$U$1800,15,FALSE)</f>
        <v>General Administration and Supervision - General Management and Supervision</v>
      </c>
      <c r="AC1421" s="39"/>
      <c r="AD1421" s="34"/>
      <c r="AE1421" s="39"/>
      <c r="AF1421" s="51"/>
      <c r="AG1421" s="40"/>
      <c r="AH1421" s="40"/>
    </row>
    <row r="1422" spans="1:34" s="32" customFormat="1">
      <c r="A1422" s="434" t="s">
        <v>942</v>
      </c>
      <c r="B1422" s="457" t="s">
        <v>946</v>
      </c>
      <c r="C1422" s="233">
        <v>44279</v>
      </c>
      <c r="D1422" s="435" t="s">
        <v>1267</v>
      </c>
      <c r="E1422" s="436" t="s">
        <v>1531</v>
      </c>
      <c r="F1422" s="338">
        <v>0.4777777777777778</v>
      </c>
      <c r="G1422" s="338">
        <v>0.4826388888888889</v>
      </c>
      <c r="H1422" s="338" t="s">
        <v>961</v>
      </c>
      <c r="I1422" s="353">
        <v>771</v>
      </c>
      <c r="J1422" s="338" t="str">
        <f>IFERROR(VLOOKUP(I1422,'Chart of accounts'!A:H,2,FALSE),"")</f>
        <v>50205010 00</v>
      </c>
      <c r="K1422" s="338" t="str">
        <f>IFERROR(VLOOKUP(I1422,'Chart of accounts'!A:H,3,FALSE),"")</f>
        <v>Postage and Courier Services</v>
      </c>
      <c r="L1422" s="338" t="str">
        <f>IFERROR(VLOOKUP(I1422,'Chart of accounts'!A:H,4,FALSE),"")</f>
        <v>50205010 00 - Postage and Courier Services (771)</v>
      </c>
      <c r="M1422" s="361">
        <v>85</v>
      </c>
      <c r="N1422" s="420" t="s">
        <v>823</v>
      </c>
      <c r="O1422" s="420" t="s">
        <v>1532</v>
      </c>
      <c r="P1422" s="420"/>
      <c r="Q1422" s="420">
        <v>4980</v>
      </c>
      <c r="R1422" s="428">
        <f t="shared" si="52"/>
        <v>-4980</v>
      </c>
      <c r="S1422" s="428" t="str">
        <f>VLOOKUP(H1422,'Fund Utilization Report'!$A$4:$U$1800,13,FALSE)</f>
        <v>MOOE</v>
      </c>
      <c r="T1422" s="428" t="str">
        <f>VLOOKUP(H1422,'Fund Utilization Report'!$A$4:$U$1800,2,FALSE)</f>
        <v>GAA</v>
      </c>
      <c r="U1422" s="428" t="str">
        <f>VLOOKUP(H1422,'Fund Utilization Report'!$A$4:$U$1800,3,FALSE)</f>
        <v>FY2021, RA11518</v>
      </c>
      <c r="V1422" s="428" t="str">
        <f>VLOOKUP(H1422,'Fund Utilization Report'!$A$4:$U$1800,4,FALSE)</f>
        <v>GAS(GMS)</v>
      </c>
      <c r="W1422" s="428" t="str">
        <f>VLOOKUP(H1422,'Fund Utilization Report'!$A$4:$U$1800,5,FALSE)</f>
        <v>01101101</v>
      </c>
      <c r="X1422" s="428" t="str">
        <f>VLOOKUP(H1422,'Fund Utilization Report'!$A$4:$U$1800,6,FALSE)</f>
        <v>GOP</v>
      </c>
      <c r="Y1422" s="320" t="str">
        <f>VLOOKUP(H1422,'Fund Utilization Report'!$A$4:$U$1800,7,FALSE)</f>
        <v>MOOE</v>
      </c>
      <c r="Z1422" s="425">
        <f>VLOOKUP(H1422,'Fund Utilization Report'!$A$4:$U$1800,8,FALSE)</f>
        <v>5020000000</v>
      </c>
      <c r="AA1422" s="428" t="str">
        <f>VLOOKUP(H1422,'Fund Utilization Report'!$A$4:$U$1800,14,FALSE)</f>
        <v>100000100001000</v>
      </c>
      <c r="AB1422" s="349" t="str">
        <f>VLOOKUP(H1422,'Fund Utilization Report'!$A$4:$U$1800,15,FALSE)</f>
        <v>General Administration and Supervision - General Management and Supervision</v>
      </c>
      <c r="AC1422" s="39"/>
      <c r="AD1422" s="34"/>
      <c r="AE1422" s="39"/>
      <c r="AF1422" s="51"/>
      <c r="AG1422" s="40"/>
      <c r="AH1422" s="40"/>
    </row>
    <row r="1423" spans="1:34" s="32" customFormat="1">
      <c r="A1423" s="434" t="s">
        <v>942</v>
      </c>
      <c r="B1423" s="457" t="s">
        <v>946</v>
      </c>
      <c r="C1423" s="233">
        <v>44279</v>
      </c>
      <c r="D1423" s="435" t="s">
        <v>1267</v>
      </c>
      <c r="E1423" s="436" t="s">
        <v>1531</v>
      </c>
      <c r="F1423" s="338">
        <v>0.4777777777777778</v>
      </c>
      <c r="G1423" s="338">
        <v>0.4826388888888889</v>
      </c>
      <c r="H1423" s="338" t="s">
        <v>961</v>
      </c>
      <c r="I1423" s="353">
        <v>772</v>
      </c>
      <c r="J1423" s="338" t="str">
        <f>IFERROR(VLOOKUP(I1423,'Chart of accounts'!A:H,2,FALSE),"")</f>
        <v>50205020 02</v>
      </c>
      <c r="K1423" s="338" t="str">
        <f>IFERROR(VLOOKUP(I1423,'Chart of accounts'!A:H,3,FALSE),"")</f>
        <v xml:space="preserve">Telephone Expenses - Landline </v>
      </c>
      <c r="L1423" s="338" t="str">
        <f>IFERROR(VLOOKUP(I1423,'Chart of accounts'!A:H,4,FALSE),"")</f>
        <v>50205020 02 - Telephone Expenses - Landline  (772)</v>
      </c>
      <c r="M1423" s="361">
        <v>85</v>
      </c>
      <c r="N1423" s="420" t="s">
        <v>823</v>
      </c>
      <c r="O1423" s="420" t="s">
        <v>1532</v>
      </c>
      <c r="P1423" s="420"/>
      <c r="Q1423" s="420">
        <v>2490</v>
      </c>
      <c r="R1423" s="428">
        <f t="shared" si="52"/>
        <v>-2490</v>
      </c>
      <c r="S1423" s="428" t="str">
        <f>VLOOKUP(H1423,'Fund Utilization Report'!$A$4:$U$1800,13,FALSE)</f>
        <v>MOOE</v>
      </c>
      <c r="T1423" s="428" t="str">
        <f>VLOOKUP(H1423,'Fund Utilization Report'!$A$4:$U$1800,2,FALSE)</f>
        <v>GAA</v>
      </c>
      <c r="U1423" s="428" t="str">
        <f>VLOOKUP(H1423,'Fund Utilization Report'!$A$4:$U$1800,3,FALSE)</f>
        <v>FY2021, RA11518</v>
      </c>
      <c r="V1423" s="428" t="str">
        <f>VLOOKUP(H1423,'Fund Utilization Report'!$A$4:$U$1800,4,FALSE)</f>
        <v>GAS(GMS)</v>
      </c>
      <c r="W1423" s="428" t="str">
        <f>VLOOKUP(H1423,'Fund Utilization Report'!$A$4:$U$1800,5,FALSE)</f>
        <v>01101101</v>
      </c>
      <c r="X1423" s="428" t="str">
        <f>VLOOKUP(H1423,'Fund Utilization Report'!$A$4:$U$1800,6,FALSE)</f>
        <v>GOP</v>
      </c>
      <c r="Y1423" s="320" t="str">
        <f>VLOOKUP(H1423,'Fund Utilization Report'!$A$4:$U$1800,7,FALSE)</f>
        <v>MOOE</v>
      </c>
      <c r="Z1423" s="425">
        <f>VLOOKUP(H1423,'Fund Utilization Report'!$A$4:$U$1800,8,FALSE)</f>
        <v>5020000000</v>
      </c>
      <c r="AA1423" s="428" t="str">
        <f>VLOOKUP(H1423,'Fund Utilization Report'!$A$4:$U$1800,14,FALSE)</f>
        <v>100000100001000</v>
      </c>
      <c r="AB1423" s="349" t="str">
        <f>VLOOKUP(H1423,'Fund Utilization Report'!$A$4:$U$1800,15,FALSE)</f>
        <v>General Administration and Supervision - General Management and Supervision</v>
      </c>
      <c r="AC1423" s="39"/>
      <c r="AD1423" s="34"/>
      <c r="AE1423" s="39"/>
      <c r="AF1423" s="51"/>
      <c r="AG1423" s="40"/>
      <c r="AH1423" s="40"/>
    </row>
    <row r="1424" spans="1:34" s="32" customFormat="1">
      <c r="A1424" s="434" t="s">
        <v>942</v>
      </c>
      <c r="B1424" s="457" t="s">
        <v>946</v>
      </c>
      <c r="C1424" s="233">
        <v>44279</v>
      </c>
      <c r="D1424" s="435" t="s">
        <v>1267</v>
      </c>
      <c r="E1424" s="436" t="s">
        <v>1531</v>
      </c>
      <c r="F1424" s="338">
        <v>0.4777777777777778</v>
      </c>
      <c r="G1424" s="338">
        <v>0.4826388888888889</v>
      </c>
      <c r="H1424" s="338" t="s">
        <v>961</v>
      </c>
      <c r="I1424" s="353">
        <v>773</v>
      </c>
      <c r="J1424" s="338" t="str">
        <f>IFERROR(VLOOKUP(I1424,'Chart of accounts'!A:H,2,FALSE),"")</f>
        <v>50205020 01</v>
      </c>
      <c r="K1424" s="338" t="str">
        <f>IFERROR(VLOOKUP(I1424,'Chart of accounts'!A:H,3,FALSE),"")</f>
        <v xml:space="preserve">Telephone Expenses - Mobile </v>
      </c>
      <c r="L1424" s="338" t="str">
        <f>IFERROR(VLOOKUP(I1424,'Chart of accounts'!A:H,4,FALSE),"")</f>
        <v>50205020 01 - Telephone Expenses - Mobile  (773)</v>
      </c>
      <c r="M1424" s="361">
        <v>85</v>
      </c>
      <c r="N1424" s="420" t="s">
        <v>823</v>
      </c>
      <c r="O1424" s="420" t="s">
        <v>1532</v>
      </c>
      <c r="P1424" s="420"/>
      <c r="Q1424" s="420">
        <v>4482</v>
      </c>
      <c r="R1424" s="428">
        <f t="shared" si="52"/>
        <v>-4482</v>
      </c>
      <c r="S1424" s="428" t="str">
        <f>VLOOKUP(H1424,'Fund Utilization Report'!$A$4:$U$1800,13,FALSE)</f>
        <v>MOOE</v>
      </c>
      <c r="T1424" s="428" t="str">
        <f>VLOOKUP(H1424,'Fund Utilization Report'!$A$4:$U$1800,2,FALSE)</f>
        <v>GAA</v>
      </c>
      <c r="U1424" s="428" t="str">
        <f>VLOOKUP(H1424,'Fund Utilization Report'!$A$4:$U$1800,3,FALSE)</f>
        <v>FY2021, RA11518</v>
      </c>
      <c r="V1424" s="428" t="str">
        <f>VLOOKUP(H1424,'Fund Utilization Report'!$A$4:$U$1800,4,FALSE)</f>
        <v>GAS(GMS)</v>
      </c>
      <c r="W1424" s="428" t="str">
        <f>VLOOKUP(H1424,'Fund Utilization Report'!$A$4:$U$1800,5,FALSE)</f>
        <v>01101101</v>
      </c>
      <c r="X1424" s="428" t="str">
        <f>VLOOKUP(H1424,'Fund Utilization Report'!$A$4:$U$1800,6,FALSE)</f>
        <v>GOP</v>
      </c>
      <c r="Y1424" s="320" t="str">
        <f>VLOOKUP(H1424,'Fund Utilization Report'!$A$4:$U$1800,7,FALSE)</f>
        <v>MOOE</v>
      </c>
      <c r="Z1424" s="425">
        <f>VLOOKUP(H1424,'Fund Utilization Report'!$A$4:$U$1800,8,FALSE)</f>
        <v>5020000000</v>
      </c>
      <c r="AA1424" s="428" t="str">
        <f>VLOOKUP(H1424,'Fund Utilization Report'!$A$4:$U$1800,14,FALSE)</f>
        <v>100000100001000</v>
      </c>
      <c r="AB1424" s="349" t="str">
        <f>VLOOKUP(H1424,'Fund Utilization Report'!$A$4:$U$1800,15,FALSE)</f>
        <v>General Administration and Supervision - General Management and Supervision</v>
      </c>
      <c r="AC1424" s="39"/>
      <c r="AD1424" s="34"/>
      <c r="AE1424" s="39"/>
      <c r="AF1424" s="51"/>
      <c r="AG1424" s="40"/>
      <c r="AH1424" s="40"/>
    </row>
    <row r="1425" spans="1:34" s="32" customFormat="1">
      <c r="A1425" s="434" t="s">
        <v>942</v>
      </c>
      <c r="B1425" s="457" t="s">
        <v>946</v>
      </c>
      <c r="C1425" s="233">
        <v>44279</v>
      </c>
      <c r="D1425" s="435" t="s">
        <v>1267</v>
      </c>
      <c r="E1425" s="436" t="s">
        <v>1531</v>
      </c>
      <c r="F1425" s="338">
        <v>0.4777777777777778</v>
      </c>
      <c r="G1425" s="338">
        <v>0.4826388888888889</v>
      </c>
      <c r="H1425" s="338" t="s">
        <v>961</v>
      </c>
      <c r="I1425" s="353">
        <v>775</v>
      </c>
      <c r="J1425" s="338" t="str">
        <f>IFERROR(VLOOKUP(I1425,'Chart of accounts'!A:H,2,FALSE),"")</f>
        <v>50205040 00</v>
      </c>
      <c r="K1425" s="338" t="str">
        <f>IFERROR(VLOOKUP(I1425,'Chart of accounts'!A:H,3,FALSE),"")</f>
        <v>Cable, Satellite, Telegraph, and Radio Expenses</v>
      </c>
      <c r="L1425" s="338" t="str">
        <f>IFERROR(VLOOKUP(I1425,'Chart of accounts'!A:H,4,FALSE),"")</f>
        <v>50205040 00 - Cable, Satellite, Telegraph, and Radio Expenses (775)</v>
      </c>
      <c r="M1425" s="361">
        <v>85</v>
      </c>
      <c r="N1425" s="420" t="s">
        <v>823</v>
      </c>
      <c r="O1425" s="420" t="s">
        <v>1532</v>
      </c>
      <c r="P1425" s="420"/>
      <c r="Q1425" s="420">
        <v>871.5</v>
      </c>
      <c r="R1425" s="428">
        <f t="shared" si="52"/>
        <v>-871.5</v>
      </c>
      <c r="S1425" s="428" t="str">
        <f>VLOOKUP(H1425,'Fund Utilization Report'!$A$4:$U$1800,13,FALSE)</f>
        <v>MOOE</v>
      </c>
      <c r="T1425" s="428" t="str">
        <f>VLOOKUP(H1425,'Fund Utilization Report'!$A$4:$U$1800,2,FALSE)</f>
        <v>GAA</v>
      </c>
      <c r="U1425" s="428" t="str">
        <f>VLOOKUP(H1425,'Fund Utilization Report'!$A$4:$U$1800,3,FALSE)</f>
        <v>FY2021, RA11518</v>
      </c>
      <c r="V1425" s="428" t="str">
        <f>VLOOKUP(H1425,'Fund Utilization Report'!$A$4:$U$1800,4,FALSE)</f>
        <v>GAS(GMS)</v>
      </c>
      <c r="W1425" s="428" t="str">
        <f>VLOOKUP(H1425,'Fund Utilization Report'!$A$4:$U$1800,5,FALSE)</f>
        <v>01101101</v>
      </c>
      <c r="X1425" s="428" t="str">
        <f>VLOOKUP(H1425,'Fund Utilization Report'!$A$4:$U$1800,6,FALSE)</f>
        <v>GOP</v>
      </c>
      <c r="Y1425" s="320" t="str">
        <f>VLOOKUP(H1425,'Fund Utilization Report'!$A$4:$U$1800,7,FALSE)</f>
        <v>MOOE</v>
      </c>
      <c r="Z1425" s="425">
        <f>VLOOKUP(H1425,'Fund Utilization Report'!$A$4:$U$1800,8,FALSE)</f>
        <v>5020000000</v>
      </c>
      <c r="AA1425" s="428" t="str">
        <f>VLOOKUP(H1425,'Fund Utilization Report'!$A$4:$U$1800,14,FALSE)</f>
        <v>100000100001000</v>
      </c>
      <c r="AB1425" s="349" t="str">
        <f>VLOOKUP(H1425,'Fund Utilization Report'!$A$4:$U$1800,15,FALSE)</f>
        <v>General Administration and Supervision - General Management and Supervision</v>
      </c>
      <c r="AC1425" s="39"/>
      <c r="AD1425" s="34"/>
      <c r="AE1425" s="39"/>
      <c r="AF1425" s="51"/>
      <c r="AG1425" s="40"/>
      <c r="AH1425" s="40"/>
    </row>
    <row r="1426" spans="1:34" s="32" customFormat="1">
      <c r="A1426" s="434" t="s">
        <v>942</v>
      </c>
      <c r="B1426" s="457" t="s">
        <v>946</v>
      </c>
      <c r="C1426" s="233">
        <v>44279</v>
      </c>
      <c r="D1426" s="435" t="s">
        <v>1267</v>
      </c>
      <c r="E1426" s="436" t="s">
        <v>1531</v>
      </c>
      <c r="F1426" s="338">
        <v>0.4777777777777778</v>
      </c>
      <c r="G1426" s="338">
        <v>0.4826388888888889</v>
      </c>
      <c r="H1426" s="338" t="s">
        <v>961</v>
      </c>
      <c r="I1426" s="353">
        <v>791</v>
      </c>
      <c r="J1426" s="338" t="str">
        <f>IFERROR(VLOOKUP(I1426,'Chart of accounts'!A:H,2,FALSE),"")</f>
        <v>50211010 00</v>
      </c>
      <c r="K1426" s="338" t="str">
        <f>IFERROR(VLOOKUP(I1426,'Chart of accounts'!A:H,3,FALSE),"")</f>
        <v>Legal Services</v>
      </c>
      <c r="L1426" s="338" t="str">
        <f>IFERROR(VLOOKUP(I1426,'Chart of accounts'!A:H,4,FALSE),"")</f>
        <v>50211010 00 - Legal Services (791)</v>
      </c>
      <c r="M1426" s="361">
        <v>85</v>
      </c>
      <c r="N1426" s="420" t="s">
        <v>823</v>
      </c>
      <c r="O1426" s="420" t="s">
        <v>1532</v>
      </c>
      <c r="P1426" s="420"/>
      <c r="Q1426" s="420">
        <v>2386.25</v>
      </c>
      <c r="R1426" s="428">
        <f t="shared" si="52"/>
        <v>-2386.25</v>
      </c>
      <c r="S1426" s="428" t="str">
        <f>VLOOKUP(H1426,'Fund Utilization Report'!$A$4:$U$1800,13,FALSE)</f>
        <v>MOOE</v>
      </c>
      <c r="T1426" s="428" t="str">
        <f>VLOOKUP(H1426,'Fund Utilization Report'!$A$4:$U$1800,2,FALSE)</f>
        <v>GAA</v>
      </c>
      <c r="U1426" s="428" t="str">
        <f>VLOOKUP(H1426,'Fund Utilization Report'!$A$4:$U$1800,3,FALSE)</f>
        <v>FY2021, RA11518</v>
      </c>
      <c r="V1426" s="428" t="str">
        <f>VLOOKUP(H1426,'Fund Utilization Report'!$A$4:$U$1800,4,FALSE)</f>
        <v>GAS(GMS)</v>
      </c>
      <c r="W1426" s="428" t="str">
        <f>VLOOKUP(H1426,'Fund Utilization Report'!$A$4:$U$1800,5,FALSE)</f>
        <v>01101101</v>
      </c>
      <c r="X1426" s="428" t="str">
        <f>VLOOKUP(H1426,'Fund Utilization Report'!$A$4:$U$1800,6,FALSE)</f>
        <v>GOP</v>
      </c>
      <c r="Y1426" s="320" t="str">
        <f>VLOOKUP(H1426,'Fund Utilization Report'!$A$4:$U$1800,7,FALSE)</f>
        <v>MOOE</v>
      </c>
      <c r="Z1426" s="425">
        <f>VLOOKUP(H1426,'Fund Utilization Report'!$A$4:$U$1800,8,FALSE)</f>
        <v>5020000000</v>
      </c>
      <c r="AA1426" s="428" t="str">
        <f>VLOOKUP(H1426,'Fund Utilization Report'!$A$4:$U$1800,14,FALSE)</f>
        <v>100000100001000</v>
      </c>
      <c r="AB1426" s="349" t="str">
        <f>VLOOKUP(H1426,'Fund Utilization Report'!$A$4:$U$1800,15,FALSE)</f>
        <v>General Administration and Supervision - General Management and Supervision</v>
      </c>
      <c r="AC1426" s="39"/>
      <c r="AD1426" s="34"/>
      <c r="AE1426" s="39"/>
      <c r="AF1426" s="51"/>
      <c r="AG1426" s="40"/>
      <c r="AH1426" s="40"/>
    </row>
    <row r="1427" spans="1:34" s="32" customFormat="1">
      <c r="A1427" s="434" t="s">
        <v>942</v>
      </c>
      <c r="B1427" s="457" t="s">
        <v>946</v>
      </c>
      <c r="C1427" s="233">
        <v>44279</v>
      </c>
      <c r="D1427" s="435" t="s">
        <v>1267</v>
      </c>
      <c r="E1427" s="436" t="s">
        <v>1531</v>
      </c>
      <c r="F1427" s="338">
        <v>0.4777777777777778</v>
      </c>
      <c r="G1427" s="338">
        <v>0.4826388888888889</v>
      </c>
      <c r="H1427" s="338" t="s">
        <v>961</v>
      </c>
      <c r="I1427" s="353">
        <v>796</v>
      </c>
      <c r="J1427" s="338" t="str">
        <f>IFERROR(VLOOKUP(I1427,'Chart of accounts'!A:H,2,FALSE),"")</f>
        <v>50212020 00</v>
      </c>
      <c r="K1427" s="338" t="str">
        <f>IFERROR(VLOOKUP(I1427,'Chart of accounts'!A:H,3,FALSE),"")</f>
        <v>Janitorial Services</v>
      </c>
      <c r="L1427" s="338" t="str">
        <f>IFERROR(VLOOKUP(I1427,'Chart of accounts'!A:H,4,FALSE),"")</f>
        <v>50212020 00 - Janitorial Services (796)</v>
      </c>
      <c r="M1427" s="361">
        <v>85</v>
      </c>
      <c r="N1427" s="420" t="s">
        <v>823</v>
      </c>
      <c r="O1427" s="420" t="s">
        <v>1532</v>
      </c>
      <c r="P1427" s="420"/>
      <c r="Q1427" s="420">
        <v>23738</v>
      </c>
      <c r="R1427" s="428">
        <f t="shared" si="52"/>
        <v>-23738</v>
      </c>
      <c r="S1427" s="428" t="str">
        <f>VLOOKUP(H1427,'Fund Utilization Report'!$A$4:$U$1800,13,FALSE)</f>
        <v>MOOE</v>
      </c>
      <c r="T1427" s="428" t="str">
        <f>VLOOKUP(H1427,'Fund Utilization Report'!$A$4:$U$1800,2,FALSE)</f>
        <v>GAA</v>
      </c>
      <c r="U1427" s="428" t="str">
        <f>VLOOKUP(H1427,'Fund Utilization Report'!$A$4:$U$1800,3,FALSE)</f>
        <v>FY2021, RA11518</v>
      </c>
      <c r="V1427" s="428" t="str">
        <f>VLOOKUP(H1427,'Fund Utilization Report'!$A$4:$U$1800,4,FALSE)</f>
        <v>GAS(GMS)</v>
      </c>
      <c r="W1427" s="428" t="str">
        <f>VLOOKUP(H1427,'Fund Utilization Report'!$A$4:$U$1800,5,FALSE)</f>
        <v>01101101</v>
      </c>
      <c r="X1427" s="428" t="str">
        <f>VLOOKUP(H1427,'Fund Utilization Report'!$A$4:$U$1800,6,FALSE)</f>
        <v>GOP</v>
      </c>
      <c r="Y1427" s="320" t="str">
        <f>VLOOKUP(H1427,'Fund Utilization Report'!$A$4:$U$1800,7,FALSE)</f>
        <v>MOOE</v>
      </c>
      <c r="Z1427" s="425">
        <f>VLOOKUP(H1427,'Fund Utilization Report'!$A$4:$U$1800,8,FALSE)</f>
        <v>5020000000</v>
      </c>
      <c r="AA1427" s="428" t="str">
        <f>VLOOKUP(H1427,'Fund Utilization Report'!$A$4:$U$1800,14,FALSE)</f>
        <v>100000100001000</v>
      </c>
      <c r="AB1427" s="349" t="str">
        <f>VLOOKUP(H1427,'Fund Utilization Report'!$A$4:$U$1800,15,FALSE)</f>
        <v>General Administration and Supervision - General Management and Supervision</v>
      </c>
      <c r="AC1427" s="39"/>
      <c r="AD1427" s="34"/>
      <c r="AE1427" s="39"/>
      <c r="AF1427" s="51"/>
      <c r="AG1427" s="40"/>
      <c r="AH1427" s="40"/>
    </row>
    <row r="1428" spans="1:34" s="32" customFormat="1">
      <c r="A1428" s="434" t="s">
        <v>942</v>
      </c>
      <c r="B1428" s="457" t="s">
        <v>946</v>
      </c>
      <c r="C1428" s="233">
        <v>44279</v>
      </c>
      <c r="D1428" s="435" t="s">
        <v>1267</v>
      </c>
      <c r="E1428" s="436" t="s">
        <v>1531</v>
      </c>
      <c r="F1428" s="338">
        <v>0.4777777777777778</v>
      </c>
      <c r="G1428" s="338">
        <v>0.4826388888888889</v>
      </c>
      <c r="H1428" s="338" t="s">
        <v>965</v>
      </c>
      <c r="I1428" s="353">
        <v>795</v>
      </c>
      <c r="J1428" s="338" t="str">
        <f>IFERROR(VLOOKUP(I1428,'Chart of accounts'!A:H,2,FALSE),"")</f>
        <v>50212990 00</v>
      </c>
      <c r="K1428" s="338" t="str">
        <f>IFERROR(VLOOKUP(I1428,'Chart of accounts'!A:H,3,FALSE),"")</f>
        <v>Other General Services</v>
      </c>
      <c r="L1428" s="338" t="str">
        <f>IFERROR(VLOOKUP(I1428,'Chart of accounts'!A:H,4,FALSE),"")</f>
        <v>50212990 00 - Other General Services (795)</v>
      </c>
      <c r="M1428" s="361">
        <v>85</v>
      </c>
      <c r="N1428" s="420" t="s">
        <v>823</v>
      </c>
      <c r="O1428" s="420" t="s">
        <v>1532</v>
      </c>
      <c r="P1428" s="420"/>
      <c r="Q1428" s="420">
        <v>129846.86</v>
      </c>
      <c r="R1428" s="428">
        <f t="shared" si="52"/>
        <v>-129846.86</v>
      </c>
      <c r="S1428" s="428" t="str">
        <f>VLOOKUP(H1428,'Fund Utilization Report'!$A$4:$U$1800,13,FALSE)</f>
        <v>MOOE</v>
      </c>
      <c r="T1428" s="428" t="str">
        <f>VLOOKUP(H1428,'Fund Utilization Report'!$A$4:$U$1800,2,FALSE)</f>
        <v>GAA</v>
      </c>
      <c r="U1428" s="428" t="str">
        <f>VLOOKUP(H1428,'Fund Utilization Report'!$A$4:$U$1800,3,FALSE)</f>
        <v>FY2021, RA11518</v>
      </c>
      <c r="V1428" s="428" t="str">
        <f>VLOOKUP(H1428,'Fund Utilization Report'!$A$4:$U$1800,4,FALSE)</f>
        <v>OO1</v>
      </c>
      <c r="W1428" s="428" t="str">
        <f>VLOOKUP(H1428,'Fund Utilization Report'!$A$4:$U$1800,5,FALSE)</f>
        <v>01101101</v>
      </c>
      <c r="X1428" s="428" t="str">
        <f>VLOOKUP(H1428,'Fund Utilization Report'!$A$4:$U$1800,6,FALSE)</f>
        <v>GOP</v>
      </c>
      <c r="Y1428" s="320" t="str">
        <f>VLOOKUP(H1428,'Fund Utilization Report'!$A$4:$U$1800,7,FALSE)</f>
        <v>MOOE</v>
      </c>
      <c r="Z1428" s="425">
        <f>VLOOKUP(H1428,'Fund Utilization Report'!$A$4:$U$1800,8,FALSE)</f>
        <v>5020000000</v>
      </c>
      <c r="AA1428" s="428" t="str">
        <f>VLOOKUP(H1428,'Fund Utilization Report'!$A$4:$U$1800,14,FALSE)</f>
        <v>310100100002000</v>
      </c>
      <c r="AB1428" s="349" t="str">
        <f>VLOOKUP(H1428,'Fund Utilization Report'!$A$4:$U$1800,15,FALSE)</f>
        <v>Development,Facilitation, and promotion of exports and investment, domestic and foreign</v>
      </c>
      <c r="AC1428" s="39"/>
      <c r="AD1428" s="34"/>
      <c r="AE1428" s="39"/>
      <c r="AF1428" s="51"/>
      <c r="AG1428" s="40"/>
      <c r="AH1428" s="40"/>
    </row>
    <row r="1429" spans="1:34" s="32" customFormat="1">
      <c r="A1429" s="434" t="s">
        <v>942</v>
      </c>
      <c r="B1429" s="457" t="s">
        <v>946</v>
      </c>
      <c r="C1429" s="233">
        <v>44279</v>
      </c>
      <c r="D1429" s="435" t="s">
        <v>1267</v>
      </c>
      <c r="E1429" s="436" t="s">
        <v>1531</v>
      </c>
      <c r="F1429" s="338">
        <v>0.4777777777777778</v>
      </c>
      <c r="G1429" s="338">
        <v>0.4826388888888889</v>
      </c>
      <c r="H1429" s="338" t="s">
        <v>971</v>
      </c>
      <c r="I1429" s="353">
        <v>821</v>
      </c>
      <c r="J1429" s="338" t="str">
        <f>IFERROR(VLOOKUP(I1429,'Chart of accounts'!A:H,2,FALSE),"")</f>
        <v>50213050 02</v>
      </c>
      <c r="K1429" s="338" t="str">
        <f>IFERROR(VLOOKUP(I1429,'Chart of accounts'!A:H,3,FALSE),"")</f>
        <v>Office Equipment</v>
      </c>
      <c r="L1429" s="338" t="str">
        <f>IFERROR(VLOOKUP(I1429,'Chart of accounts'!A:H,4,FALSE),"")</f>
        <v>50213050 02 - Office Equipment (821)</v>
      </c>
      <c r="M1429" s="361">
        <v>85</v>
      </c>
      <c r="N1429" s="420" t="s">
        <v>823</v>
      </c>
      <c r="O1429" s="420" t="s">
        <v>1532</v>
      </c>
      <c r="P1429" s="420"/>
      <c r="Q1429" s="420">
        <v>10375</v>
      </c>
      <c r="R1429" s="428">
        <f t="shared" si="52"/>
        <v>-10375</v>
      </c>
      <c r="S1429" s="428" t="str">
        <f>VLOOKUP(H1429,'Fund Utilization Report'!$A$4:$U$1800,13,FALSE)</f>
        <v>MOOE</v>
      </c>
      <c r="T1429" s="428" t="str">
        <f>VLOOKUP(H1429,'Fund Utilization Report'!$A$4:$U$1800,2,FALSE)</f>
        <v>GAA</v>
      </c>
      <c r="U1429" s="428" t="str">
        <f>VLOOKUP(H1429,'Fund Utilization Report'!$A$4:$U$1800,3,FALSE)</f>
        <v>FY2021, RA11518</v>
      </c>
      <c r="V1429" s="428" t="str">
        <f>VLOOKUP(H1429,'Fund Utilization Report'!$A$4:$U$1800,4,FALSE)</f>
        <v>OO3</v>
      </c>
      <c r="W1429" s="428" t="str">
        <f>VLOOKUP(H1429,'Fund Utilization Report'!$A$4:$U$1800,5,FALSE)</f>
        <v>01101101</v>
      </c>
      <c r="X1429" s="428" t="str">
        <f>VLOOKUP(H1429,'Fund Utilization Report'!$A$4:$U$1800,6,FALSE)</f>
        <v>GOP</v>
      </c>
      <c r="Y1429" s="320" t="str">
        <f>VLOOKUP(H1429,'Fund Utilization Report'!$A$4:$U$1800,7,FALSE)</f>
        <v>MOOE</v>
      </c>
      <c r="Z1429" s="425">
        <f>VLOOKUP(H1429,'Fund Utilization Report'!$A$4:$U$1800,8,FALSE)</f>
        <v>5020000000</v>
      </c>
      <c r="AA1429" s="428" t="str">
        <f>VLOOKUP(H1429,'Fund Utilization Report'!$A$4:$U$1800,14,FALSE)</f>
        <v>330100100002000</v>
      </c>
      <c r="AB1429" s="349" t="str">
        <f>VLOOKUP(H1429,'Fund Utilization Report'!$A$4:$U$1800,15,FALSE)</f>
        <v>Implementation of the MSME Development Plan and other initiatives to promote the growth of Micro, Small and Medium Enterprises</v>
      </c>
      <c r="AC1429" s="39"/>
      <c r="AD1429" s="34"/>
      <c r="AE1429" s="39"/>
      <c r="AF1429" s="51"/>
      <c r="AG1429" s="40"/>
      <c r="AH1429" s="40"/>
    </row>
    <row r="1430" spans="1:34" s="32" customFormat="1">
      <c r="A1430" s="434" t="s">
        <v>942</v>
      </c>
      <c r="B1430" s="457" t="s">
        <v>946</v>
      </c>
      <c r="C1430" s="233">
        <v>44279</v>
      </c>
      <c r="D1430" s="435" t="s">
        <v>1267</v>
      </c>
      <c r="E1430" s="436" t="s">
        <v>1531</v>
      </c>
      <c r="F1430" s="338">
        <v>0.4777777777777778</v>
      </c>
      <c r="G1430" s="338">
        <v>0.4826388888888889</v>
      </c>
      <c r="H1430" s="338" t="s">
        <v>968</v>
      </c>
      <c r="I1430" s="353">
        <v>823</v>
      </c>
      <c r="J1430" s="338" t="str">
        <f>IFERROR(VLOOKUP(I1430,'Chart of accounts'!A:H,2,FALSE),"")</f>
        <v>50213050 03</v>
      </c>
      <c r="K1430" s="338" t="str">
        <f>IFERROR(VLOOKUP(I1430,'Chart of accounts'!A:H,3,FALSE),"")</f>
        <v>ICT Equipment</v>
      </c>
      <c r="L1430" s="338" t="str">
        <f>IFERROR(VLOOKUP(I1430,'Chart of accounts'!A:H,4,FALSE),"")</f>
        <v>50213050 03 - ICT Equipment (823)</v>
      </c>
      <c r="M1430" s="361">
        <v>85</v>
      </c>
      <c r="N1430" s="420" t="s">
        <v>823</v>
      </c>
      <c r="O1430" s="420" t="s">
        <v>1532</v>
      </c>
      <c r="P1430" s="420"/>
      <c r="Q1430" s="420">
        <v>4150</v>
      </c>
      <c r="R1430" s="428">
        <f t="shared" si="52"/>
        <v>-4150</v>
      </c>
      <c r="S1430" s="428" t="str">
        <f>VLOOKUP(H1430,'Fund Utilization Report'!$A$4:$U$1800,13,FALSE)</f>
        <v>MOOE</v>
      </c>
      <c r="T1430" s="428" t="str">
        <f>VLOOKUP(H1430,'Fund Utilization Report'!$A$4:$U$1800,2,FALSE)</f>
        <v>GAA</v>
      </c>
      <c r="U1430" s="428" t="str">
        <f>VLOOKUP(H1430,'Fund Utilization Report'!$A$4:$U$1800,3,FALSE)</f>
        <v>FY2021, RA11518</v>
      </c>
      <c r="V1430" s="428" t="str">
        <f>VLOOKUP(H1430,'Fund Utilization Report'!$A$4:$U$1800,4,FALSE)</f>
        <v>OO2</v>
      </c>
      <c r="W1430" s="428" t="str">
        <f>VLOOKUP(H1430,'Fund Utilization Report'!$A$4:$U$1800,5,FALSE)</f>
        <v>01101101</v>
      </c>
      <c r="X1430" s="428" t="str">
        <f>VLOOKUP(H1430,'Fund Utilization Report'!$A$4:$U$1800,6,FALSE)</f>
        <v>GOP</v>
      </c>
      <c r="Y1430" s="320" t="str">
        <f>VLOOKUP(H1430,'Fund Utilization Report'!$A$4:$U$1800,7,FALSE)</f>
        <v>MOOE</v>
      </c>
      <c r="Z1430" s="425">
        <f>VLOOKUP(H1430,'Fund Utilization Report'!$A$4:$U$1800,8,FALSE)</f>
        <v>5020000000</v>
      </c>
      <c r="AA1430" s="428" t="str">
        <f>VLOOKUP(H1430,'Fund Utilization Report'!$A$4:$U$1800,14,FALSE)</f>
        <v>320100100001000</v>
      </c>
      <c r="AB1430" s="349" t="str">
        <f>VLOOKUP(H1430,'Fund Utilization Report'!$A$4:$U$1800,15,FALSE)</f>
        <v>Formulation of Strategic plans,programs, and policies to develop competitve industries</v>
      </c>
      <c r="AC1430" s="39"/>
      <c r="AD1430" s="34"/>
      <c r="AE1430" s="39"/>
      <c r="AF1430" s="51"/>
      <c r="AG1430" s="40"/>
      <c r="AH1430" s="40"/>
    </row>
    <row r="1431" spans="1:34" s="32" customFormat="1">
      <c r="A1431" s="434" t="s">
        <v>942</v>
      </c>
      <c r="B1431" s="457" t="s">
        <v>946</v>
      </c>
      <c r="C1431" s="233">
        <v>44279</v>
      </c>
      <c r="D1431" s="435" t="s">
        <v>1267</v>
      </c>
      <c r="E1431" s="436" t="s">
        <v>1531</v>
      </c>
      <c r="F1431" s="338">
        <v>0.4777777777777778</v>
      </c>
      <c r="G1431" s="338">
        <v>0.4826388888888889</v>
      </c>
      <c r="H1431" s="338" t="s">
        <v>968</v>
      </c>
      <c r="I1431" s="353">
        <v>822</v>
      </c>
      <c r="J1431" s="338" t="str">
        <f>IFERROR(VLOOKUP(I1431,'Chart of accounts'!A:H,2,FALSE),"")</f>
        <v>50213070 00</v>
      </c>
      <c r="K1431" s="338" t="str">
        <f>IFERROR(VLOOKUP(I1431,'Chart of accounts'!A:H,3,FALSE),"")</f>
        <v>Furniture and Fixture</v>
      </c>
      <c r="L1431" s="338" t="str">
        <f>IFERROR(VLOOKUP(I1431,'Chart of accounts'!A:H,4,FALSE),"")</f>
        <v>50213070 00 - Furniture and Fixture (822)</v>
      </c>
      <c r="M1431" s="361">
        <v>85</v>
      </c>
      <c r="N1431" s="420" t="s">
        <v>823</v>
      </c>
      <c r="O1431" s="420" t="s">
        <v>1532</v>
      </c>
      <c r="P1431" s="420"/>
      <c r="Q1431" s="420">
        <v>2075</v>
      </c>
      <c r="R1431" s="428">
        <f t="shared" si="52"/>
        <v>-2075</v>
      </c>
      <c r="S1431" s="428" t="str">
        <f>VLOOKUP(H1431,'Fund Utilization Report'!$A$4:$U$1800,13,FALSE)</f>
        <v>MOOE</v>
      </c>
      <c r="T1431" s="428" t="str">
        <f>VLOOKUP(H1431,'Fund Utilization Report'!$A$4:$U$1800,2,FALSE)</f>
        <v>GAA</v>
      </c>
      <c r="U1431" s="428" t="str">
        <f>VLOOKUP(H1431,'Fund Utilization Report'!$A$4:$U$1800,3,FALSE)</f>
        <v>FY2021, RA11518</v>
      </c>
      <c r="V1431" s="428" t="str">
        <f>VLOOKUP(H1431,'Fund Utilization Report'!$A$4:$U$1800,4,FALSE)</f>
        <v>OO2</v>
      </c>
      <c r="W1431" s="428" t="str">
        <f>VLOOKUP(H1431,'Fund Utilization Report'!$A$4:$U$1800,5,FALSE)</f>
        <v>01101101</v>
      </c>
      <c r="X1431" s="428" t="str">
        <f>VLOOKUP(H1431,'Fund Utilization Report'!$A$4:$U$1800,6,FALSE)</f>
        <v>GOP</v>
      </c>
      <c r="Y1431" s="320" t="str">
        <f>VLOOKUP(H1431,'Fund Utilization Report'!$A$4:$U$1800,7,FALSE)</f>
        <v>MOOE</v>
      </c>
      <c r="Z1431" s="425">
        <f>VLOOKUP(H1431,'Fund Utilization Report'!$A$4:$U$1800,8,FALSE)</f>
        <v>5020000000</v>
      </c>
      <c r="AA1431" s="428" t="str">
        <f>VLOOKUP(H1431,'Fund Utilization Report'!$A$4:$U$1800,14,FALSE)</f>
        <v>320100100001000</v>
      </c>
      <c r="AB1431" s="349" t="str">
        <f>VLOOKUP(H1431,'Fund Utilization Report'!$A$4:$U$1800,15,FALSE)</f>
        <v>Formulation of Strategic plans,programs, and policies to develop competitve industries</v>
      </c>
      <c r="AC1431" s="39"/>
      <c r="AD1431" s="34"/>
      <c r="AE1431" s="39"/>
      <c r="AF1431" s="51"/>
      <c r="AG1431" s="40"/>
      <c r="AH1431" s="40"/>
    </row>
    <row r="1432" spans="1:34" s="32" customFormat="1">
      <c r="A1432" s="434" t="s">
        <v>942</v>
      </c>
      <c r="B1432" s="457" t="s">
        <v>946</v>
      </c>
      <c r="C1432" s="233">
        <v>44279</v>
      </c>
      <c r="D1432" s="435" t="s">
        <v>1267</v>
      </c>
      <c r="E1432" s="436" t="s">
        <v>1531</v>
      </c>
      <c r="F1432" s="338">
        <v>0.4777777777777778</v>
      </c>
      <c r="G1432" s="338">
        <v>0.4826388888888889</v>
      </c>
      <c r="H1432" s="338" t="s">
        <v>961</v>
      </c>
      <c r="I1432" s="353">
        <v>841</v>
      </c>
      <c r="J1432" s="338" t="str">
        <f>IFERROR(VLOOKUP(I1432,'Chart of accounts'!A:H,2,FALSE),"")</f>
        <v>50213060 01</v>
      </c>
      <c r="K1432" s="338" t="str">
        <f>IFERROR(VLOOKUP(I1432,'Chart of accounts'!A:H,3,FALSE),"")</f>
        <v>Motor Vehicles</v>
      </c>
      <c r="L1432" s="338" t="str">
        <f>IFERROR(VLOOKUP(I1432,'Chart of accounts'!A:H,4,FALSE),"")</f>
        <v>50213060 01 - Motor Vehicles (841)</v>
      </c>
      <c r="M1432" s="361">
        <v>85</v>
      </c>
      <c r="N1432" s="420" t="s">
        <v>823</v>
      </c>
      <c r="O1432" s="420" t="s">
        <v>1532</v>
      </c>
      <c r="P1432" s="420"/>
      <c r="Q1432" s="420">
        <v>31125</v>
      </c>
      <c r="R1432" s="428">
        <f t="shared" si="52"/>
        <v>-31125</v>
      </c>
      <c r="S1432" s="428" t="str">
        <f>VLOOKUP(H1432,'Fund Utilization Report'!$A$4:$U$1800,13,FALSE)</f>
        <v>MOOE</v>
      </c>
      <c r="T1432" s="428" t="str">
        <f>VLOOKUP(H1432,'Fund Utilization Report'!$A$4:$U$1800,2,FALSE)</f>
        <v>GAA</v>
      </c>
      <c r="U1432" s="428" t="str">
        <f>VLOOKUP(H1432,'Fund Utilization Report'!$A$4:$U$1800,3,FALSE)</f>
        <v>FY2021, RA11518</v>
      </c>
      <c r="V1432" s="428" t="str">
        <f>VLOOKUP(H1432,'Fund Utilization Report'!$A$4:$U$1800,4,FALSE)</f>
        <v>GAS(GMS)</v>
      </c>
      <c r="W1432" s="428" t="str">
        <f>VLOOKUP(H1432,'Fund Utilization Report'!$A$4:$U$1800,5,FALSE)</f>
        <v>01101101</v>
      </c>
      <c r="X1432" s="428" t="str">
        <f>VLOOKUP(H1432,'Fund Utilization Report'!$A$4:$U$1800,6,FALSE)</f>
        <v>GOP</v>
      </c>
      <c r="Y1432" s="320" t="str">
        <f>VLOOKUP(H1432,'Fund Utilization Report'!$A$4:$U$1800,7,FALSE)</f>
        <v>MOOE</v>
      </c>
      <c r="Z1432" s="425">
        <f>VLOOKUP(H1432,'Fund Utilization Report'!$A$4:$U$1800,8,FALSE)</f>
        <v>5020000000</v>
      </c>
      <c r="AA1432" s="428" t="str">
        <f>VLOOKUP(H1432,'Fund Utilization Report'!$A$4:$U$1800,14,FALSE)</f>
        <v>100000100001000</v>
      </c>
      <c r="AB1432" s="349" t="str">
        <f>VLOOKUP(H1432,'Fund Utilization Report'!$A$4:$U$1800,15,FALSE)</f>
        <v>General Administration and Supervision - General Management and Supervision</v>
      </c>
      <c r="AC1432" s="39"/>
      <c r="AD1432" s="34"/>
      <c r="AE1432" s="39"/>
      <c r="AF1432" s="51"/>
      <c r="AG1432" s="40"/>
      <c r="AH1432" s="40"/>
    </row>
    <row r="1433" spans="1:34" s="32" customFormat="1">
      <c r="A1433" s="434" t="s">
        <v>942</v>
      </c>
      <c r="B1433" s="457" t="s">
        <v>946</v>
      </c>
      <c r="C1433" s="233">
        <v>44279</v>
      </c>
      <c r="D1433" s="435" t="s">
        <v>1267</v>
      </c>
      <c r="E1433" s="436" t="s">
        <v>1531</v>
      </c>
      <c r="F1433" s="338">
        <v>0.4777777777777778</v>
      </c>
      <c r="G1433" s="338">
        <v>0.4826388888888889</v>
      </c>
      <c r="H1433" s="338" t="s">
        <v>961</v>
      </c>
      <c r="I1433" s="353">
        <v>891</v>
      </c>
      <c r="J1433" s="338" t="str">
        <f>IFERROR(VLOOKUP(I1433,'Chart of accounts'!A:H,2,FALSE),"")</f>
        <v>50215010 01</v>
      </c>
      <c r="K1433" s="338" t="str">
        <f>IFERROR(VLOOKUP(I1433,'Chart of accounts'!A:H,3,FALSE),"")</f>
        <v>Taxes, Duties and Licenses</v>
      </c>
      <c r="L1433" s="338" t="str">
        <f>IFERROR(VLOOKUP(I1433,'Chart of accounts'!A:H,4,FALSE),"")</f>
        <v>50215010 01 - Taxes, Duties and Licenses (891)</v>
      </c>
      <c r="M1433" s="361">
        <v>85</v>
      </c>
      <c r="N1433" s="420" t="s">
        <v>823</v>
      </c>
      <c r="O1433" s="420" t="s">
        <v>1532</v>
      </c>
      <c r="P1433" s="420"/>
      <c r="Q1433" s="420">
        <v>1037.5</v>
      </c>
      <c r="R1433" s="428">
        <f t="shared" si="52"/>
        <v>-1037.5</v>
      </c>
      <c r="S1433" s="428" t="str">
        <f>VLOOKUP(H1433,'Fund Utilization Report'!$A$4:$U$1800,13,FALSE)</f>
        <v>MOOE</v>
      </c>
      <c r="T1433" s="428" t="str">
        <f>VLOOKUP(H1433,'Fund Utilization Report'!$A$4:$U$1800,2,FALSE)</f>
        <v>GAA</v>
      </c>
      <c r="U1433" s="428" t="str">
        <f>VLOOKUP(H1433,'Fund Utilization Report'!$A$4:$U$1800,3,FALSE)</f>
        <v>FY2021, RA11518</v>
      </c>
      <c r="V1433" s="428" t="str">
        <f>VLOOKUP(H1433,'Fund Utilization Report'!$A$4:$U$1800,4,FALSE)</f>
        <v>GAS(GMS)</v>
      </c>
      <c r="W1433" s="428" t="str">
        <f>VLOOKUP(H1433,'Fund Utilization Report'!$A$4:$U$1800,5,FALSE)</f>
        <v>01101101</v>
      </c>
      <c r="X1433" s="428" t="str">
        <f>VLOOKUP(H1433,'Fund Utilization Report'!$A$4:$U$1800,6,FALSE)</f>
        <v>GOP</v>
      </c>
      <c r="Y1433" s="320" t="str">
        <f>VLOOKUP(H1433,'Fund Utilization Report'!$A$4:$U$1800,7,FALSE)</f>
        <v>MOOE</v>
      </c>
      <c r="Z1433" s="425">
        <f>VLOOKUP(H1433,'Fund Utilization Report'!$A$4:$U$1800,8,FALSE)</f>
        <v>5020000000</v>
      </c>
      <c r="AA1433" s="428" t="str">
        <f>VLOOKUP(H1433,'Fund Utilization Report'!$A$4:$U$1800,14,FALSE)</f>
        <v>100000100001000</v>
      </c>
      <c r="AB1433" s="349" t="str">
        <f>VLOOKUP(H1433,'Fund Utilization Report'!$A$4:$U$1800,15,FALSE)</f>
        <v>General Administration and Supervision - General Management and Supervision</v>
      </c>
      <c r="AC1433" s="39"/>
      <c r="AD1433" s="34"/>
      <c r="AE1433" s="39"/>
      <c r="AF1433" s="51"/>
      <c r="AG1433" s="40"/>
      <c r="AH1433" s="40"/>
    </row>
    <row r="1434" spans="1:34" s="32" customFormat="1">
      <c r="A1434" s="434" t="s">
        <v>942</v>
      </c>
      <c r="B1434" s="457" t="s">
        <v>946</v>
      </c>
      <c r="C1434" s="233">
        <v>44279</v>
      </c>
      <c r="D1434" s="435" t="s">
        <v>1267</v>
      </c>
      <c r="E1434" s="436" t="s">
        <v>1531</v>
      </c>
      <c r="F1434" s="338">
        <v>0.4777777777777778</v>
      </c>
      <c r="G1434" s="338">
        <v>0.4826388888888889</v>
      </c>
      <c r="H1434" s="338" t="s">
        <v>961</v>
      </c>
      <c r="I1434" s="353">
        <v>892</v>
      </c>
      <c r="J1434" s="338" t="str">
        <f>IFERROR(VLOOKUP(I1434,'Chart of accounts'!A:H,2,FALSE),"")</f>
        <v>50215020 00</v>
      </c>
      <c r="K1434" s="338" t="str">
        <f>IFERROR(VLOOKUP(I1434,'Chart of accounts'!A:H,3,FALSE),"")</f>
        <v>Fidelity Bond Premiums</v>
      </c>
      <c r="L1434" s="338" t="str">
        <f>IFERROR(VLOOKUP(I1434,'Chart of accounts'!A:H,4,FALSE),"")</f>
        <v>50215020 00 - Fidelity Bond Premiums (892)</v>
      </c>
      <c r="M1434" s="361">
        <v>85</v>
      </c>
      <c r="N1434" s="420" t="s">
        <v>823</v>
      </c>
      <c r="O1434" s="420" t="s">
        <v>1532</v>
      </c>
      <c r="P1434" s="420"/>
      <c r="Q1434" s="420">
        <v>2619.69</v>
      </c>
      <c r="R1434" s="428">
        <f t="shared" si="52"/>
        <v>-2619.69</v>
      </c>
      <c r="S1434" s="428" t="str">
        <f>VLOOKUP(H1434,'Fund Utilization Report'!$A$4:$U$1800,13,FALSE)</f>
        <v>MOOE</v>
      </c>
      <c r="T1434" s="428" t="str">
        <f>VLOOKUP(H1434,'Fund Utilization Report'!$A$4:$U$1800,2,FALSE)</f>
        <v>GAA</v>
      </c>
      <c r="U1434" s="428" t="str">
        <f>VLOOKUP(H1434,'Fund Utilization Report'!$A$4:$U$1800,3,FALSE)</f>
        <v>FY2021, RA11518</v>
      </c>
      <c r="V1434" s="428" t="str">
        <f>VLOOKUP(H1434,'Fund Utilization Report'!$A$4:$U$1800,4,FALSE)</f>
        <v>GAS(GMS)</v>
      </c>
      <c r="W1434" s="428" t="str">
        <f>VLOOKUP(H1434,'Fund Utilization Report'!$A$4:$U$1800,5,FALSE)</f>
        <v>01101101</v>
      </c>
      <c r="X1434" s="428" t="str">
        <f>VLOOKUP(H1434,'Fund Utilization Report'!$A$4:$U$1800,6,FALSE)</f>
        <v>GOP</v>
      </c>
      <c r="Y1434" s="320" t="str">
        <f>VLOOKUP(H1434,'Fund Utilization Report'!$A$4:$U$1800,7,FALSE)</f>
        <v>MOOE</v>
      </c>
      <c r="Z1434" s="425">
        <f>VLOOKUP(H1434,'Fund Utilization Report'!$A$4:$U$1800,8,FALSE)</f>
        <v>5020000000</v>
      </c>
      <c r="AA1434" s="428" t="str">
        <f>VLOOKUP(H1434,'Fund Utilization Report'!$A$4:$U$1800,14,FALSE)</f>
        <v>100000100001000</v>
      </c>
      <c r="AB1434" s="349" t="str">
        <f>VLOOKUP(H1434,'Fund Utilization Report'!$A$4:$U$1800,15,FALSE)</f>
        <v>General Administration and Supervision - General Management and Supervision</v>
      </c>
      <c r="AC1434" s="39"/>
      <c r="AD1434" s="34"/>
      <c r="AE1434" s="39"/>
      <c r="AF1434" s="51"/>
      <c r="AG1434" s="40"/>
      <c r="AH1434" s="40"/>
    </row>
    <row r="1435" spans="1:34" s="32" customFormat="1">
      <c r="A1435" s="434" t="s">
        <v>942</v>
      </c>
      <c r="B1435" s="457" t="s">
        <v>946</v>
      </c>
      <c r="C1435" s="233">
        <v>44279</v>
      </c>
      <c r="D1435" s="435" t="s">
        <v>1267</v>
      </c>
      <c r="E1435" s="436" t="s">
        <v>1531</v>
      </c>
      <c r="F1435" s="338">
        <v>0.4777777777777778</v>
      </c>
      <c r="G1435" s="338">
        <v>0.4826388888888889</v>
      </c>
      <c r="H1435" s="338" t="s">
        <v>961</v>
      </c>
      <c r="I1435" s="353">
        <v>893</v>
      </c>
      <c r="J1435" s="338" t="str">
        <f>IFERROR(VLOOKUP(I1435,'Chart of accounts'!A:H,2,FALSE),"")</f>
        <v>50215030 00</v>
      </c>
      <c r="K1435" s="338" t="str">
        <f>IFERROR(VLOOKUP(I1435,'Chart of accounts'!A:H,3,FALSE),"")</f>
        <v>Insurance Expense</v>
      </c>
      <c r="L1435" s="338" t="str">
        <f>IFERROR(VLOOKUP(I1435,'Chart of accounts'!A:H,4,FALSE),"")</f>
        <v>50215030 00 - Insurance Expense (893)</v>
      </c>
      <c r="M1435" s="361">
        <v>85</v>
      </c>
      <c r="N1435" s="420" t="s">
        <v>823</v>
      </c>
      <c r="O1435" s="420" t="s">
        <v>1532</v>
      </c>
      <c r="P1435" s="420"/>
      <c r="Q1435" s="420">
        <v>4565</v>
      </c>
      <c r="R1435" s="428">
        <f t="shared" si="52"/>
        <v>-4565</v>
      </c>
      <c r="S1435" s="428" t="str">
        <f>VLOOKUP(H1435,'Fund Utilization Report'!$A$4:$U$1800,13,FALSE)</f>
        <v>MOOE</v>
      </c>
      <c r="T1435" s="428" t="str">
        <f>VLOOKUP(H1435,'Fund Utilization Report'!$A$4:$U$1800,2,FALSE)</f>
        <v>GAA</v>
      </c>
      <c r="U1435" s="428" t="str">
        <f>VLOOKUP(H1435,'Fund Utilization Report'!$A$4:$U$1800,3,FALSE)</f>
        <v>FY2021, RA11518</v>
      </c>
      <c r="V1435" s="428" t="str">
        <f>VLOOKUP(H1435,'Fund Utilization Report'!$A$4:$U$1800,4,FALSE)</f>
        <v>GAS(GMS)</v>
      </c>
      <c r="W1435" s="428" t="str">
        <f>VLOOKUP(H1435,'Fund Utilization Report'!$A$4:$U$1800,5,FALSE)</f>
        <v>01101101</v>
      </c>
      <c r="X1435" s="428" t="str">
        <f>VLOOKUP(H1435,'Fund Utilization Report'!$A$4:$U$1800,6,FALSE)</f>
        <v>GOP</v>
      </c>
      <c r="Y1435" s="320" t="str">
        <f>VLOOKUP(H1435,'Fund Utilization Report'!$A$4:$U$1800,7,FALSE)</f>
        <v>MOOE</v>
      </c>
      <c r="Z1435" s="425">
        <f>VLOOKUP(H1435,'Fund Utilization Report'!$A$4:$U$1800,8,FALSE)</f>
        <v>5020000000</v>
      </c>
      <c r="AA1435" s="428" t="str">
        <f>VLOOKUP(H1435,'Fund Utilization Report'!$A$4:$U$1800,14,FALSE)</f>
        <v>100000100001000</v>
      </c>
      <c r="AB1435" s="349" t="str">
        <f>VLOOKUP(H1435,'Fund Utilization Report'!$A$4:$U$1800,15,FALSE)</f>
        <v>General Administration and Supervision - General Management and Supervision</v>
      </c>
      <c r="AC1435" s="39"/>
      <c r="AD1435" s="34"/>
      <c r="AE1435" s="39"/>
      <c r="AF1435" s="51"/>
      <c r="AG1435" s="40"/>
      <c r="AH1435" s="40"/>
    </row>
    <row r="1436" spans="1:34" s="32" customFormat="1">
      <c r="A1436" s="434" t="s">
        <v>942</v>
      </c>
      <c r="B1436" s="457" t="s">
        <v>946</v>
      </c>
      <c r="C1436" s="233">
        <v>44279</v>
      </c>
      <c r="D1436" s="435" t="s">
        <v>1267</v>
      </c>
      <c r="E1436" s="436" t="s">
        <v>1531</v>
      </c>
      <c r="F1436" s="338">
        <v>0.4777777777777778</v>
      </c>
      <c r="G1436" s="338">
        <v>0.4826388888888889</v>
      </c>
      <c r="H1436" s="338" t="s">
        <v>961</v>
      </c>
      <c r="I1436" s="353">
        <v>782</v>
      </c>
      <c r="J1436" s="338" t="str">
        <f>IFERROR(VLOOKUP(I1436,'Chart of accounts'!A:H,2,FALSE),"")</f>
        <v>50299050 01</v>
      </c>
      <c r="K1436" s="338" t="str">
        <f>IFERROR(VLOOKUP(I1436,'Chart of accounts'!A:H,3,FALSE),"")</f>
        <v>Rent - Buildings and Structures</v>
      </c>
      <c r="L1436" s="338" t="str">
        <f>IFERROR(VLOOKUP(I1436,'Chart of accounts'!A:H,4,FALSE),"")</f>
        <v>50299050 01 - Rent - Buildings and Structures (782)</v>
      </c>
      <c r="M1436" s="361">
        <v>85</v>
      </c>
      <c r="N1436" s="420" t="s">
        <v>823</v>
      </c>
      <c r="O1436" s="420" t="s">
        <v>1532</v>
      </c>
      <c r="P1436" s="420"/>
      <c r="Q1436" s="420">
        <v>54780</v>
      </c>
      <c r="R1436" s="428">
        <f t="shared" si="52"/>
        <v>-54780</v>
      </c>
      <c r="S1436" s="428" t="str">
        <f>VLOOKUP(H1436,'Fund Utilization Report'!$A$4:$U$1800,13,FALSE)</f>
        <v>MOOE</v>
      </c>
      <c r="T1436" s="428" t="str">
        <f>VLOOKUP(H1436,'Fund Utilization Report'!$A$4:$U$1800,2,FALSE)</f>
        <v>GAA</v>
      </c>
      <c r="U1436" s="428" t="str">
        <f>VLOOKUP(H1436,'Fund Utilization Report'!$A$4:$U$1800,3,FALSE)</f>
        <v>FY2021, RA11518</v>
      </c>
      <c r="V1436" s="428" t="str">
        <f>VLOOKUP(H1436,'Fund Utilization Report'!$A$4:$U$1800,4,FALSE)</f>
        <v>GAS(GMS)</v>
      </c>
      <c r="W1436" s="428" t="str">
        <f>VLOOKUP(H1436,'Fund Utilization Report'!$A$4:$U$1800,5,FALSE)</f>
        <v>01101101</v>
      </c>
      <c r="X1436" s="428" t="str">
        <f>VLOOKUP(H1436,'Fund Utilization Report'!$A$4:$U$1800,6,FALSE)</f>
        <v>GOP</v>
      </c>
      <c r="Y1436" s="320" t="str">
        <f>VLOOKUP(H1436,'Fund Utilization Report'!$A$4:$U$1800,7,FALSE)</f>
        <v>MOOE</v>
      </c>
      <c r="Z1436" s="425">
        <f>VLOOKUP(H1436,'Fund Utilization Report'!$A$4:$U$1800,8,FALSE)</f>
        <v>5020000000</v>
      </c>
      <c r="AA1436" s="428" t="str">
        <f>VLOOKUP(H1436,'Fund Utilization Report'!$A$4:$U$1800,14,FALSE)</f>
        <v>100000100001000</v>
      </c>
      <c r="AB1436" s="349" t="str">
        <f>VLOOKUP(H1436,'Fund Utilization Report'!$A$4:$U$1800,15,FALSE)</f>
        <v>General Administration and Supervision - General Management and Supervision</v>
      </c>
      <c r="AC1436" s="39"/>
      <c r="AD1436" s="34"/>
      <c r="AE1436" s="39"/>
      <c r="AF1436" s="51"/>
      <c r="AG1436" s="40"/>
      <c r="AH1436" s="40"/>
    </row>
    <row r="1437" spans="1:34" s="32" customFormat="1">
      <c r="A1437" s="434" t="s">
        <v>942</v>
      </c>
      <c r="B1437" s="457" t="s">
        <v>946</v>
      </c>
      <c r="C1437" s="233">
        <v>44279</v>
      </c>
      <c r="D1437" s="435" t="s">
        <v>1267</v>
      </c>
      <c r="E1437" s="436" t="s">
        <v>1531</v>
      </c>
      <c r="F1437" s="338">
        <v>0.4777777777777778</v>
      </c>
      <c r="G1437" s="338">
        <v>0.4826388888888889</v>
      </c>
      <c r="H1437" s="338" t="s">
        <v>961</v>
      </c>
      <c r="I1437" s="353">
        <v>751</v>
      </c>
      <c r="J1437" s="338" t="str">
        <f>IFERROR(VLOOKUP(I1437,'Chart of accounts'!A:H,2,FALSE),"")</f>
        <v>50201010 00</v>
      </c>
      <c r="K1437" s="338" t="str">
        <f>IFERROR(VLOOKUP(I1437,'Chart of accounts'!A:H,3,FALSE),"")</f>
        <v>Traveling Expenses - Local</v>
      </c>
      <c r="L1437" s="338" t="str">
        <f>IFERROR(VLOOKUP(I1437,'Chart of accounts'!A:H,4,FALSE),"")</f>
        <v>50201010 00 - Traveling Expenses - Local (751)</v>
      </c>
      <c r="M1437" s="361">
        <v>85</v>
      </c>
      <c r="N1437" s="420" t="s">
        <v>823</v>
      </c>
      <c r="O1437" s="420" t="s">
        <v>1532</v>
      </c>
      <c r="P1437" s="420"/>
      <c r="Q1437" s="420">
        <v>2075</v>
      </c>
      <c r="R1437" s="428">
        <f t="shared" si="52"/>
        <v>-2075</v>
      </c>
      <c r="S1437" s="428" t="str">
        <f>VLOOKUP(H1437,'Fund Utilization Report'!$A$4:$U$1800,13,FALSE)</f>
        <v>MOOE</v>
      </c>
      <c r="T1437" s="428" t="str">
        <f>VLOOKUP(H1437,'Fund Utilization Report'!$A$4:$U$1800,2,FALSE)</f>
        <v>GAA</v>
      </c>
      <c r="U1437" s="428" t="str">
        <f>VLOOKUP(H1437,'Fund Utilization Report'!$A$4:$U$1800,3,FALSE)</f>
        <v>FY2021, RA11518</v>
      </c>
      <c r="V1437" s="428" t="str">
        <f>VLOOKUP(H1437,'Fund Utilization Report'!$A$4:$U$1800,4,FALSE)</f>
        <v>GAS(GMS)</v>
      </c>
      <c r="W1437" s="428" t="str">
        <f>VLOOKUP(H1437,'Fund Utilization Report'!$A$4:$U$1800,5,FALSE)</f>
        <v>01101101</v>
      </c>
      <c r="X1437" s="428" t="str">
        <f>VLOOKUP(H1437,'Fund Utilization Report'!$A$4:$U$1800,6,FALSE)</f>
        <v>GOP</v>
      </c>
      <c r="Y1437" s="320" t="str">
        <f>VLOOKUP(H1437,'Fund Utilization Report'!$A$4:$U$1800,7,FALSE)</f>
        <v>MOOE</v>
      </c>
      <c r="Z1437" s="425">
        <f>VLOOKUP(H1437,'Fund Utilization Report'!$A$4:$U$1800,8,FALSE)</f>
        <v>5020000000</v>
      </c>
      <c r="AA1437" s="428" t="str">
        <f>VLOOKUP(H1437,'Fund Utilization Report'!$A$4:$U$1800,14,FALSE)</f>
        <v>100000100001000</v>
      </c>
      <c r="AB1437" s="349" t="str">
        <f>VLOOKUP(H1437,'Fund Utilization Report'!$A$4:$U$1800,15,FALSE)</f>
        <v>General Administration and Supervision - General Management and Supervision</v>
      </c>
      <c r="AC1437" s="39"/>
      <c r="AD1437" s="34"/>
      <c r="AE1437" s="39"/>
      <c r="AF1437" s="51"/>
      <c r="AG1437" s="40"/>
      <c r="AH1437" s="40"/>
    </row>
    <row r="1438" spans="1:34" s="32" customFormat="1">
      <c r="A1438" s="434" t="s">
        <v>942</v>
      </c>
      <c r="B1438" s="457" t="s">
        <v>946</v>
      </c>
      <c r="C1438" s="233">
        <v>44279</v>
      </c>
      <c r="D1438" s="435" t="s">
        <v>1267</v>
      </c>
      <c r="E1438" s="436" t="s">
        <v>1531</v>
      </c>
      <c r="F1438" s="338">
        <v>0.4777777777777778</v>
      </c>
      <c r="G1438" s="338">
        <v>0.4826388888888889</v>
      </c>
      <c r="H1438" s="338" t="s">
        <v>961</v>
      </c>
      <c r="I1438" s="353">
        <v>755</v>
      </c>
      <c r="J1438" s="338" t="str">
        <f>IFERROR(VLOOKUP(I1438,'Chart of accounts'!A:H,2,FALSE),"")</f>
        <v>50203010 00</v>
      </c>
      <c r="K1438" s="338" t="str">
        <f>IFERROR(VLOOKUP(I1438,'Chart of accounts'!A:H,3,FALSE),"")</f>
        <v>Office Supplies Expenses</v>
      </c>
      <c r="L1438" s="338" t="str">
        <f>IFERROR(VLOOKUP(I1438,'Chart of accounts'!A:H,4,FALSE),"")</f>
        <v>50203010 00 - Office Supplies Expenses (755)</v>
      </c>
      <c r="M1438" s="361">
        <v>85</v>
      </c>
      <c r="N1438" s="420" t="s">
        <v>823</v>
      </c>
      <c r="O1438" s="420" t="s">
        <v>1532</v>
      </c>
      <c r="P1438" s="420"/>
      <c r="Q1438" s="420">
        <v>10375</v>
      </c>
      <c r="R1438" s="428">
        <f t="shared" ref="R1438:R1446" si="53">P1438-Q1438</f>
        <v>-10375</v>
      </c>
      <c r="S1438" s="428" t="str">
        <f>VLOOKUP(H1438,'Fund Utilization Report'!$A$4:$U$1800,13,FALSE)</f>
        <v>MOOE</v>
      </c>
      <c r="T1438" s="428" t="str">
        <f>VLOOKUP(H1438,'Fund Utilization Report'!$A$4:$U$1800,2,FALSE)</f>
        <v>GAA</v>
      </c>
      <c r="U1438" s="428" t="str">
        <f>VLOOKUP(H1438,'Fund Utilization Report'!$A$4:$U$1800,3,FALSE)</f>
        <v>FY2021, RA11518</v>
      </c>
      <c r="V1438" s="428" t="str">
        <f>VLOOKUP(H1438,'Fund Utilization Report'!$A$4:$U$1800,4,FALSE)</f>
        <v>GAS(GMS)</v>
      </c>
      <c r="W1438" s="428" t="str">
        <f>VLOOKUP(H1438,'Fund Utilization Report'!$A$4:$U$1800,5,FALSE)</f>
        <v>01101101</v>
      </c>
      <c r="X1438" s="428" t="str">
        <f>VLOOKUP(H1438,'Fund Utilization Report'!$A$4:$U$1800,6,FALSE)</f>
        <v>GOP</v>
      </c>
      <c r="Y1438" s="320" t="str">
        <f>VLOOKUP(H1438,'Fund Utilization Report'!$A$4:$U$1800,7,FALSE)</f>
        <v>MOOE</v>
      </c>
      <c r="Z1438" s="425">
        <f>VLOOKUP(H1438,'Fund Utilization Report'!$A$4:$U$1800,8,FALSE)</f>
        <v>5020000000</v>
      </c>
      <c r="AA1438" s="428" t="str">
        <f>VLOOKUP(H1438,'Fund Utilization Report'!$A$4:$U$1800,14,FALSE)</f>
        <v>100000100001000</v>
      </c>
      <c r="AB1438" s="349" t="str">
        <f>VLOOKUP(H1438,'Fund Utilization Report'!$A$4:$U$1800,15,FALSE)</f>
        <v>General Administration and Supervision - General Management and Supervision</v>
      </c>
      <c r="AC1438" s="39"/>
      <c r="AD1438" s="34"/>
      <c r="AE1438" s="39"/>
      <c r="AF1438" s="51"/>
      <c r="AG1438" s="40"/>
      <c r="AH1438" s="40"/>
    </row>
    <row r="1439" spans="1:34" s="32" customFormat="1">
      <c r="A1439" s="434" t="s">
        <v>942</v>
      </c>
      <c r="B1439" s="457" t="s">
        <v>946</v>
      </c>
      <c r="C1439" s="233">
        <v>44279</v>
      </c>
      <c r="D1439" s="435" t="s">
        <v>1267</v>
      </c>
      <c r="E1439" s="436" t="s">
        <v>1531</v>
      </c>
      <c r="F1439" s="338">
        <v>0.4777777777777778</v>
      </c>
      <c r="G1439" s="338">
        <v>0.4826388888888889</v>
      </c>
      <c r="H1439" s="338" t="s">
        <v>961</v>
      </c>
      <c r="I1439" s="353">
        <v>781</v>
      </c>
      <c r="J1439" s="338" t="str">
        <f>IFERROR(VLOOKUP(I1439,'Chart of accounts'!A:H,2,FALSE),"")</f>
        <v>50299020 00</v>
      </c>
      <c r="K1439" s="338" t="str">
        <f>IFERROR(VLOOKUP(I1439,'Chart of accounts'!A:H,3,FALSE),"")</f>
        <v>Printing and Binding Expenses</v>
      </c>
      <c r="L1439" s="338" t="str">
        <f>IFERROR(VLOOKUP(I1439,'Chart of accounts'!A:H,4,FALSE),"")</f>
        <v>50299020 00 - Printing and Binding Expenses (781)</v>
      </c>
      <c r="M1439" s="361">
        <v>85</v>
      </c>
      <c r="N1439" s="420" t="s">
        <v>823</v>
      </c>
      <c r="O1439" s="420" t="s">
        <v>1532</v>
      </c>
      <c r="P1439" s="420"/>
      <c r="Q1439" s="420">
        <v>1037.5</v>
      </c>
      <c r="R1439" s="428">
        <f t="shared" si="53"/>
        <v>-1037.5</v>
      </c>
      <c r="S1439" s="428" t="str">
        <f>VLOOKUP(H1439,'Fund Utilization Report'!$A$4:$U$1800,13,FALSE)</f>
        <v>MOOE</v>
      </c>
      <c r="T1439" s="428" t="str">
        <f>VLOOKUP(H1439,'Fund Utilization Report'!$A$4:$U$1800,2,FALSE)</f>
        <v>GAA</v>
      </c>
      <c r="U1439" s="428" t="str">
        <f>VLOOKUP(H1439,'Fund Utilization Report'!$A$4:$U$1800,3,FALSE)</f>
        <v>FY2021, RA11518</v>
      </c>
      <c r="V1439" s="428" t="str">
        <f>VLOOKUP(H1439,'Fund Utilization Report'!$A$4:$U$1800,4,FALSE)</f>
        <v>GAS(GMS)</v>
      </c>
      <c r="W1439" s="428" t="str">
        <f>VLOOKUP(H1439,'Fund Utilization Report'!$A$4:$U$1800,5,FALSE)</f>
        <v>01101101</v>
      </c>
      <c r="X1439" s="428" t="str">
        <f>VLOOKUP(H1439,'Fund Utilization Report'!$A$4:$U$1800,6,FALSE)</f>
        <v>GOP</v>
      </c>
      <c r="Y1439" s="320" t="str">
        <f>VLOOKUP(H1439,'Fund Utilization Report'!$A$4:$U$1800,7,FALSE)</f>
        <v>MOOE</v>
      </c>
      <c r="Z1439" s="425">
        <f>VLOOKUP(H1439,'Fund Utilization Report'!$A$4:$U$1800,8,FALSE)</f>
        <v>5020000000</v>
      </c>
      <c r="AA1439" s="428" t="str">
        <f>VLOOKUP(H1439,'Fund Utilization Report'!$A$4:$U$1800,14,FALSE)</f>
        <v>100000100001000</v>
      </c>
      <c r="AB1439" s="349" t="str">
        <f>VLOOKUP(H1439,'Fund Utilization Report'!$A$4:$U$1800,15,FALSE)</f>
        <v>General Administration and Supervision - General Management and Supervision</v>
      </c>
      <c r="AC1439" s="39"/>
      <c r="AD1439" s="34"/>
      <c r="AE1439" s="39"/>
      <c r="AF1439" s="51"/>
      <c r="AG1439" s="40"/>
      <c r="AH1439" s="40"/>
    </row>
    <row r="1440" spans="1:34" s="32" customFormat="1">
      <c r="A1440" s="434" t="s">
        <v>942</v>
      </c>
      <c r="B1440" s="457" t="s">
        <v>946</v>
      </c>
      <c r="C1440" s="233">
        <v>44279</v>
      </c>
      <c r="D1440" s="435" t="s">
        <v>1267</v>
      </c>
      <c r="E1440" s="436" t="s">
        <v>1531</v>
      </c>
      <c r="F1440" s="338">
        <v>0.4777777777777778</v>
      </c>
      <c r="G1440" s="338">
        <v>0.4826388888888889</v>
      </c>
      <c r="H1440" s="338" t="s">
        <v>961</v>
      </c>
      <c r="I1440" s="353">
        <v>783</v>
      </c>
      <c r="J1440" s="338" t="str">
        <f>IFERROR(VLOOKUP(I1440,'Chart of accounts'!A:H,2,FALSE),"")</f>
        <v>50299030 00</v>
      </c>
      <c r="K1440" s="338" t="str">
        <f>IFERROR(VLOOKUP(I1440,'Chart of accounts'!A:H,3,FALSE),"")</f>
        <v>Representation Expenses</v>
      </c>
      <c r="L1440" s="338" t="str">
        <f>IFERROR(VLOOKUP(I1440,'Chart of accounts'!A:H,4,FALSE),"")</f>
        <v>50299030 00 - Representation Expenses (783)</v>
      </c>
      <c r="M1440" s="361">
        <v>85</v>
      </c>
      <c r="N1440" s="420" t="s">
        <v>823</v>
      </c>
      <c r="O1440" s="420" t="s">
        <v>1532</v>
      </c>
      <c r="P1440" s="420"/>
      <c r="Q1440" s="420">
        <v>4316</v>
      </c>
      <c r="R1440" s="428">
        <f t="shared" si="53"/>
        <v>-4316</v>
      </c>
      <c r="S1440" s="428" t="str">
        <f>VLOOKUP(H1440,'Fund Utilization Report'!$A$4:$U$1800,13,FALSE)</f>
        <v>MOOE</v>
      </c>
      <c r="T1440" s="428" t="str">
        <f>VLOOKUP(H1440,'Fund Utilization Report'!$A$4:$U$1800,2,FALSE)</f>
        <v>GAA</v>
      </c>
      <c r="U1440" s="428" t="str">
        <f>VLOOKUP(H1440,'Fund Utilization Report'!$A$4:$U$1800,3,FALSE)</f>
        <v>FY2021, RA11518</v>
      </c>
      <c r="V1440" s="428" t="str">
        <f>VLOOKUP(H1440,'Fund Utilization Report'!$A$4:$U$1800,4,FALSE)</f>
        <v>GAS(GMS)</v>
      </c>
      <c r="W1440" s="428" t="str">
        <f>VLOOKUP(H1440,'Fund Utilization Report'!$A$4:$U$1800,5,FALSE)</f>
        <v>01101101</v>
      </c>
      <c r="X1440" s="428" t="str">
        <f>VLOOKUP(H1440,'Fund Utilization Report'!$A$4:$U$1800,6,FALSE)</f>
        <v>GOP</v>
      </c>
      <c r="Y1440" s="320" t="str">
        <f>VLOOKUP(H1440,'Fund Utilization Report'!$A$4:$U$1800,7,FALSE)</f>
        <v>MOOE</v>
      </c>
      <c r="Z1440" s="425">
        <f>VLOOKUP(H1440,'Fund Utilization Report'!$A$4:$U$1800,8,FALSE)</f>
        <v>5020000000</v>
      </c>
      <c r="AA1440" s="428" t="str">
        <f>VLOOKUP(H1440,'Fund Utilization Report'!$A$4:$U$1800,14,FALSE)</f>
        <v>100000100001000</v>
      </c>
      <c r="AB1440" s="349" t="str">
        <f>VLOOKUP(H1440,'Fund Utilization Report'!$A$4:$U$1800,15,FALSE)</f>
        <v>General Administration and Supervision - General Management and Supervision</v>
      </c>
      <c r="AC1440" s="39"/>
      <c r="AD1440" s="34"/>
      <c r="AE1440" s="39"/>
      <c r="AF1440" s="51"/>
      <c r="AG1440" s="40"/>
      <c r="AH1440" s="40"/>
    </row>
    <row r="1441" spans="1:35" s="32" customFormat="1">
      <c r="A1441" s="434" t="s">
        <v>942</v>
      </c>
      <c r="B1441" s="457" t="s">
        <v>946</v>
      </c>
      <c r="C1441" s="233">
        <v>44279</v>
      </c>
      <c r="D1441" s="435" t="s">
        <v>1267</v>
      </c>
      <c r="E1441" s="436" t="s">
        <v>1531</v>
      </c>
      <c r="F1441" s="338">
        <v>0.4777777777777778</v>
      </c>
      <c r="G1441" s="338">
        <v>0.4826388888888889</v>
      </c>
      <c r="H1441" s="338" t="s">
        <v>968</v>
      </c>
      <c r="I1441" s="353">
        <v>784</v>
      </c>
      <c r="J1441" s="338" t="str">
        <f>IFERROR(VLOOKUP(I1441,'Chart of accounts'!A:H,2,FALSE),"")</f>
        <v>50299040 00</v>
      </c>
      <c r="K1441" s="338" t="str">
        <f>IFERROR(VLOOKUP(I1441,'Chart of accounts'!A:H,3,FALSE),"")</f>
        <v>Transportation and Delivery Expenses</v>
      </c>
      <c r="L1441" s="338" t="str">
        <f>IFERROR(VLOOKUP(I1441,'Chart of accounts'!A:H,4,FALSE),"")</f>
        <v>50299040 00 - Transportation and Delivery Expenses (784)</v>
      </c>
      <c r="M1441" s="361">
        <v>85</v>
      </c>
      <c r="N1441" s="420" t="s">
        <v>823</v>
      </c>
      <c r="O1441" s="420" t="s">
        <v>1532</v>
      </c>
      <c r="P1441" s="420"/>
      <c r="Q1441" s="420">
        <v>8300</v>
      </c>
      <c r="R1441" s="428">
        <f t="shared" si="53"/>
        <v>-8300</v>
      </c>
      <c r="S1441" s="428" t="str">
        <f>VLOOKUP(H1441,'Fund Utilization Report'!$A$4:$U$1800,13,FALSE)</f>
        <v>MOOE</v>
      </c>
      <c r="T1441" s="428" t="str">
        <f>VLOOKUP(H1441,'Fund Utilization Report'!$A$4:$U$1800,2,FALSE)</f>
        <v>GAA</v>
      </c>
      <c r="U1441" s="428" t="str">
        <f>VLOOKUP(H1441,'Fund Utilization Report'!$A$4:$U$1800,3,FALSE)</f>
        <v>FY2021, RA11518</v>
      </c>
      <c r="V1441" s="428" t="str">
        <f>VLOOKUP(H1441,'Fund Utilization Report'!$A$4:$U$1800,4,FALSE)</f>
        <v>OO2</v>
      </c>
      <c r="W1441" s="428" t="str">
        <f>VLOOKUP(H1441,'Fund Utilization Report'!$A$4:$U$1800,5,FALSE)</f>
        <v>01101101</v>
      </c>
      <c r="X1441" s="428" t="str">
        <f>VLOOKUP(H1441,'Fund Utilization Report'!$A$4:$U$1800,6,FALSE)</f>
        <v>GOP</v>
      </c>
      <c r="Y1441" s="320" t="str">
        <f>VLOOKUP(H1441,'Fund Utilization Report'!$A$4:$U$1800,7,FALSE)</f>
        <v>MOOE</v>
      </c>
      <c r="Z1441" s="425">
        <f>VLOOKUP(H1441,'Fund Utilization Report'!$A$4:$U$1800,8,FALSE)</f>
        <v>5020000000</v>
      </c>
      <c r="AA1441" s="428" t="str">
        <f>VLOOKUP(H1441,'Fund Utilization Report'!$A$4:$U$1800,14,FALSE)</f>
        <v>320100100001000</v>
      </c>
      <c r="AB1441" s="349" t="str">
        <f>VLOOKUP(H1441,'Fund Utilization Report'!$A$4:$U$1800,15,FALSE)</f>
        <v>Formulation of Strategic plans,programs, and policies to develop competitve industries</v>
      </c>
      <c r="AC1441" s="39"/>
      <c r="AD1441" s="34"/>
      <c r="AE1441" s="39"/>
      <c r="AF1441" s="51"/>
      <c r="AG1441" s="40"/>
      <c r="AH1441" s="40"/>
    </row>
    <row r="1442" spans="1:35" s="32" customFormat="1">
      <c r="A1442" s="434" t="s">
        <v>942</v>
      </c>
      <c r="B1442" s="457" t="s">
        <v>946</v>
      </c>
      <c r="C1442" s="233">
        <v>44279</v>
      </c>
      <c r="D1442" s="435" t="s">
        <v>1267</v>
      </c>
      <c r="E1442" s="436" t="s">
        <v>1531</v>
      </c>
      <c r="F1442" s="338">
        <v>0.4777777777777778</v>
      </c>
      <c r="G1442" s="338">
        <v>0.4826388888888889</v>
      </c>
      <c r="H1442" s="338" t="s">
        <v>961</v>
      </c>
      <c r="I1442" s="353">
        <v>969</v>
      </c>
      <c r="J1442" s="338" t="str">
        <f>IFERROR(VLOOKUP(I1442,'Chart of accounts'!A:H,2,FALSE),"")</f>
        <v>50299990 99</v>
      </c>
      <c r="K1442" s="338" t="str">
        <f>IFERROR(VLOOKUP(I1442,'Chart of accounts'!A:H,3,FALSE),"")</f>
        <v>Other Maintenance and Operating Expenses</v>
      </c>
      <c r="L1442" s="338" t="str">
        <f>IFERROR(VLOOKUP(I1442,'Chart of accounts'!A:H,4,FALSE),"")</f>
        <v>50299990 99 - Other Maintenance and Operating Expenses (969)</v>
      </c>
      <c r="M1442" s="361">
        <v>85</v>
      </c>
      <c r="N1442" s="420" t="s">
        <v>823</v>
      </c>
      <c r="O1442" s="420" t="s">
        <v>1532</v>
      </c>
      <c r="P1442" s="420"/>
      <c r="Q1442" s="420">
        <v>8964</v>
      </c>
      <c r="R1442" s="428">
        <f t="shared" si="53"/>
        <v>-8964</v>
      </c>
      <c r="S1442" s="428" t="str">
        <f>VLOOKUP(H1442,'Fund Utilization Report'!$A$4:$U$1800,13,FALSE)</f>
        <v>MOOE</v>
      </c>
      <c r="T1442" s="428" t="str">
        <f>VLOOKUP(H1442,'Fund Utilization Report'!$A$4:$U$1800,2,FALSE)</f>
        <v>GAA</v>
      </c>
      <c r="U1442" s="428" t="str">
        <f>VLOOKUP(H1442,'Fund Utilization Report'!$A$4:$U$1800,3,FALSE)</f>
        <v>FY2021, RA11518</v>
      </c>
      <c r="V1442" s="428" t="str">
        <f>VLOOKUP(H1442,'Fund Utilization Report'!$A$4:$U$1800,4,FALSE)</f>
        <v>GAS(GMS)</v>
      </c>
      <c r="W1442" s="428" t="str">
        <f>VLOOKUP(H1442,'Fund Utilization Report'!$A$4:$U$1800,5,FALSE)</f>
        <v>01101101</v>
      </c>
      <c r="X1442" s="428" t="str">
        <f>VLOOKUP(H1442,'Fund Utilization Report'!$A$4:$U$1800,6,FALSE)</f>
        <v>GOP</v>
      </c>
      <c r="Y1442" s="320" t="str">
        <f>VLOOKUP(H1442,'Fund Utilization Report'!$A$4:$U$1800,7,FALSE)</f>
        <v>MOOE</v>
      </c>
      <c r="Z1442" s="425">
        <f>VLOOKUP(H1442,'Fund Utilization Report'!$A$4:$U$1800,8,FALSE)</f>
        <v>5020000000</v>
      </c>
      <c r="AA1442" s="428" t="str">
        <f>VLOOKUP(H1442,'Fund Utilization Report'!$A$4:$U$1800,14,FALSE)</f>
        <v>100000100001000</v>
      </c>
      <c r="AB1442" s="349" t="str">
        <f>VLOOKUP(H1442,'Fund Utilization Report'!$A$4:$U$1800,15,FALSE)</f>
        <v>General Administration and Supervision - General Management and Supervision</v>
      </c>
      <c r="AC1442" s="39"/>
      <c r="AD1442" s="34"/>
      <c r="AE1442" s="39"/>
      <c r="AF1442" s="51"/>
      <c r="AG1442" s="40"/>
      <c r="AH1442" s="40"/>
    </row>
    <row r="1443" spans="1:35" s="32" customFormat="1" ht="27.6">
      <c r="A1443" s="434" t="s">
        <v>942</v>
      </c>
      <c r="B1443" s="457" t="s">
        <v>946</v>
      </c>
      <c r="C1443" s="233">
        <v>44279</v>
      </c>
      <c r="D1443" s="435" t="s">
        <v>1267</v>
      </c>
      <c r="E1443" s="436" t="s">
        <v>1534</v>
      </c>
      <c r="F1443" s="338">
        <v>0.6743055555555556</v>
      </c>
      <c r="G1443" s="338">
        <v>0.67499999999999993</v>
      </c>
      <c r="H1443" s="434" t="s">
        <v>985</v>
      </c>
      <c r="I1443" s="437">
        <v>751</v>
      </c>
      <c r="J1443" s="434" t="str">
        <f>IFERROR(VLOOKUP(I1443,'Chart of accounts'!A:H,2,FALSE),"")</f>
        <v>50201010 00</v>
      </c>
      <c r="K1443" s="434" t="str">
        <f>IFERROR(VLOOKUP(I1443,'Chart of accounts'!A:H,3,FALSE),"")</f>
        <v>Traveling Expenses - Local</v>
      </c>
      <c r="L1443" s="434" t="str">
        <f>IFERROR(VLOOKUP(I1443,'Chart of accounts'!A:H,4,FALSE),"")</f>
        <v>50201010 00 - Traveling Expenses - Local (751)</v>
      </c>
      <c r="M1443" s="438">
        <v>68</v>
      </c>
      <c r="N1443" s="439" t="s">
        <v>821</v>
      </c>
      <c r="O1443" s="439" t="s">
        <v>1535</v>
      </c>
      <c r="P1443" s="439"/>
      <c r="Q1443" s="50">
        <f>57498</f>
        <v>57498</v>
      </c>
      <c r="R1443" s="428">
        <f t="shared" si="53"/>
        <v>-57498</v>
      </c>
      <c r="S1443" s="428" t="str">
        <f>VLOOKUP(H1443,'Fund Utilization Report'!$A$4:$U$1800,13,FALSE)</f>
        <v>MOOE</v>
      </c>
      <c r="T1443" s="428" t="str">
        <f>VLOOKUP(H1443,'Fund Utilization Report'!$A$4:$U$1800,2,FALSE)</f>
        <v>GAA</v>
      </c>
      <c r="U1443" s="428" t="str">
        <f>VLOOKUP(H1443,'Fund Utilization Report'!$A$4:$U$1800,3,FALSE)</f>
        <v>FY2021, RA11518</v>
      </c>
      <c r="V1443" s="428" t="str">
        <f>VLOOKUP(H1443,'Fund Utilization Report'!$A$4:$U$1800,4,FALSE)</f>
        <v>LSP-PBG</v>
      </c>
      <c r="W1443" s="428" t="str">
        <f>VLOOKUP(H1443,'Fund Utilization Report'!$A$4:$U$1800,5,FALSE)</f>
        <v>01101101</v>
      </c>
      <c r="X1443" s="428" t="str">
        <f>VLOOKUP(H1443,'Fund Utilization Report'!$A$4:$U$1800,6,FALSE)</f>
        <v>GOP</v>
      </c>
      <c r="Y1443" s="320" t="str">
        <f>VLOOKUP(H1443,'Fund Utilization Report'!$A$4:$U$1800,7,FALSE)</f>
        <v>MOOE</v>
      </c>
      <c r="Z1443" s="425">
        <f>VLOOKUP(H1443,'Fund Utilization Report'!$A$4:$U$1800,8,FALSE)</f>
        <v>5020000000</v>
      </c>
      <c r="AA1443" s="428" t="str">
        <f>VLOOKUP(H1443,'Fund Utilization Report'!$A$4:$U$1800,14,FALSE)</f>
        <v>330100200004000</v>
      </c>
      <c r="AB1443" s="349" t="str">
        <f>VLOOKUP(H1443,'Fund Utilization Report'!$A$4:$U$1800,15,FALSE)</f>
        <v>MSME Development Program : Livelihood Seeding Program and Pangkabuhayan sa Pagbangon at Ginhawa</v>
      </c>
      <c r="AC1443" s="39"/>
      <c r="AD1443" s="34"/>
      <c r="AE1443" s="39"/>
      <c r="AF1443" s="51"/>
      <c r="AG1443" s="442"/>
      <c r="AH1443" s="442"/>
      <c r="AI1443" s="443"/>
    </row>
    <row r="1444" spans="1:35" s="32" customFormat="1" ht="27.6">
      <c r="A1444" s="434" t="s">
        <v>942</v>
      </c>
      <c r="B1444" s="457" t="s">
        <v>946</v>
      </c>
      <c r="C1444" s="233">
        <v>44279</v>
      </c>
      <c r="D1444" s="435" t="s">
        <v>1267</v>
      </c>
      <c r="E1444" s="436" t="s">
        <v>1534</v>
      </c>
      <c r="F1444" s="338">
        <v>0.6743055555555556</v>
      </c>
      <c r="G1444" s="338">
        <v>0.67499999999999993</v>
      </c>
      <c r="H1444" s="434" t="s">
        <v>985</v>
      </c>
      <c r="I1444" s="437">
        <v>753</v>
      </c>
      <c r="J1444" s="434" t="str">
        <f>IFERROR(VLOOKUP(I1444,'Chart of accounts'!A:H,2,FALSE),"")</f>
        <v>50202010 00</v>
      </c>
      <c r="K1444" s="434" t="str">
        <f>IFERROR(VLOOKUP(I1444,'Chart of accounts'!A:H,3,FALSE),"")</f>
        <v>Training Expenses</v>
      </c>
      <c r="L1444" s="434" t="str">
        <f>IFERROR(VLOOKUP(I1444,'Chart of accounts'!A:H,4,FALSE),"")</f>
        <v>50202010 00 - Training Expenses (753)</v>
      </c>
      <c r="M1444" s="438">
        <v>68</v>
      </c>
      <c r="N1444" s="439" t="s">
        <v>821</v>
      </c>
      <c r="O1444" s="439" t="s">
        <v>1535</v>
      </c>
      <c r="P1444" s="439"/>
      <c r="Q1444" s="50">
        <v>785004</v>
      </c>
      <c r="R1444" s="428">
        <f t="shared" si="53"/>
        <v>-785004</v>
      </c>
      <c r="S1444" s="428" t="str">
        <f>VLOOKUP(H1444,'Fund Utilization Report'!$A$4:$U$1800,13,FALSE)</f>
        <v>MOOE</v>
      </c>
      <c r="T1444" s="428" t="str">
        <f>VLOOKUP(H1444,'Fund Utilization Report'!$A$4:$U$1800,2,FALSE)</f>
        <v>GAA</v>
      </c>
      <c r="U1444" s="428" t="str">
        <f>VLOOKUP(H1444,'Fund Utilization Report'!$A$4:$U$1800,3,FALSE)</f>
        <v>FY2021, RA11518</v>
      </c>
      <c r="V1444" s="428" t="str">
        <f>VLOOKUP(H1444,'Fund Utilization Report'!$A$4:$U$1800,4,FALSE)</f>
        <v>LSP-PBG</v>
      </c>
      <c r="W1444" s="428" t="str">
        <f>VLOOKUP(H1444,'Fund Utilization Report'!$A$4:$U$1800,5,FALSE)</f>
        <v>01101101</v>
      </c>
      <c r="X1444" s="428" t="str">
        <f>VLOOKUP(H1444,'Fund Utilization Report'!$A$4:$U$1800,6,FALSE)</f>
        <v>GOP</v>
      </c>
      <c r="Y1444" s="320" t="str">
        <f>VLOOKUP(H1444,'Fund Utilization Report'!$A$4:$U$1800,7,FALSE)</f>
        <v>MOOE</v>
      </c>
      <c r="Z1444" s="425">
        <f>VLOOKUP(H1444,'Fund Utilization Report'!$A$4:$U$1800,8,FALSE)</f>
        <v>5020000000</v>
      </c>
      <c r="AA1444" s="428" t="str">
        <f>VLOOKUP(H1444,'Fund Utilization Report'!$A$4:$U$1800,14,FALSE)</f>
        <v>330100200004000</v>
      </c>
      <c r="AB1444" s="349" t="str">
        <f>VLOOKUP(H1444,'Fund Utilization Report'!$A$4:$U$1800,15,FALSE)</f>
        <v>MSME Development Program : Livelihood Seeding Program and Pangkabuhayan sa Pagbangon at Ginhawa</v>
      </c>
      <c r="AC1444" s="39"/>
      <c r="AD1444" s="34"/>
      <c r="AE1444" s="39"/>
      <c r="AF1444" s="51"/>
      <c r="AG1444" s="442"/>
      <c r="AH1444" s="442"/>
      <c r="AI1444" s="443"/>
    </row>
    <row r="1445" spans="1:35" s="32" customFormat="1" ht="27.6">
      <c r="A1445" s="434" t="s">
        <v>942</v>
      </c>
      <c r="B1445" s="457" t="s">
        <v>946</v>
      </c>
      <c r="C1445" s="233">
        <v>44279</v>
      </c>
      <c r="D1445" s="435" t="s">
        <v>1267</v>
      </c>
      <c r="E1445" s="436" t="s">
        <v>1534</v>
      </c>
      <c r="F1445" s="338">
        <v>0.6743055555555556</v>
      </c>
      <c r="G1445" s="338">
        <v>0.67499999999999993</v>
      </c>
      <c r="H1445" s="434" t="s">
        <v>985</v>
      </c>
      <c r="I1445" s="437">
        <v>773</v>
      </c>
      <c r="J1445" s="434" t="str">
        <f>IFERROR(VLOOKUP(I1445,'Chart of accounts'!A:H,2,FALSE),"")</f>
        <v>50205020 01</v>
      </c>
      <c r="K1445" s="434" t="str">
        <f>IFERROR(VLOOKUP(I1445,'Chart of accounts'!A:H,3,FALSE),"")</f>
        <v xml:space="preserve">Telephone Expenses - Mobile </v>
      </c>
      <c r="L1445" s="434" t="str">
        <f>IFERROR(VLOOKUP(I1445,'Chart of accounts'!A:H,4,FALSE),"")</f>
        <v>50205020 01 - Telephone Expenses - Mobile  (773)</v>
      </c>
      <c r="M1445" s="438">
        <v>68</v>
      </c>
      <c r="N1445" s="439" t="s">
        <v>821</v>
      </c>
      <c r="O1445" s="439" t="s">
        <v>1535</v>
      </c>
      <c r="P1445" s="439"/>
      <c r="Q1445" s="50">
        <f>19166</f>
        <v>19166</v>
      </c>
      <c r="R1445" s="428">
        <f t="shared" si="53"/>
        <v>-19166</v>
      </c>
      <c r="S1445" s="428" t="str">
        <f>VLOOKUP(H1445,'Fund Utilization Report'!$A$4:$U$1800,13,FALSE)</f>
        <v>MOOE</v>
      </c>
      <c r="T1445" s="428" t="str">
        <f>VLOOKUP(H1445,'Fund Utilization Report'!$A$4:$U$1800,2,FALSE)</f>
        <v>GAA</v>
      </c>
      <c r="U1445" s="428" t="str">
        <f>VLOOKUP(H1445,'Fund Utilization Report'!$A$4:$U$1800,3,FALSE)</f>
        <v>FY2021, RA11518</v>
      </c>
      <c r="V1445" s="428" t="str">
        <f>VLOOKUP(H1445,'Fund Utilization Report'!$A$4:$U$1800,4,FALSE)</f>
        <v>LSP-PBG</v>
      </c>
      <c r="W1445" s="428" t="str">
        <f>VLOOKUP(H1445,'Fund Utilization Report'!$A$4:$U$1800,5,FALSE)</f>
        <v>01101101</v>
      </c>
      <c r="X1445" s="428" t="str">
        <f>VLOOKUP(H1445,'Fund Utilization Report'!$A$4:$U$1800,6,FALSE)</f>
        <v>GOP</v>
      </c>
      <c r="Y1445" s="320" t="str">
        <f>VLOOKUP(H1445,'Fund Utilization Report'!$A$4:$U$1800,7,FALSE)</f>
        <v>MOOE</v>
      </c>
      <c r="Z1445" s="425">
        <f>VLOOKUP(H1445,'Fund Utilization Report'!$A$4:$U$1800,8,FALSE)</f>
        <v>5020000000</v>
      </c>
      <c r="AA1445" s="428" t="str">
        <f>VLOOKUP(H1445,'Fund Utilization Report'!$A$4:$U$1800,14,FALSE)</f>
        <v>330100200004000</v>
      </c>
      <c r="AB1445" s="349" t="str">
        <f>VLOOKUP(H1445,'Fund Utilization Report'!$A$4:$U$1800,15,FALSE)</f>
        <v>MSME Development Program : Livelihood Seeding Program and Pangkabuhayan sa Pagbangon at Ginhawa</v>
      </c>
      <c r="AC1445" s="39"/>
      <c r="AD1445" s="34"/>
      <c r="AE1445" s="39"/>
      <c r="AF1445" s="51"/>
      <c r="AG1445" s="442"/>
      <c r="AH1445" s="442"/>
      <c r="AI1445" s="443"/>
    </row>
    <row r="1446" spans="1:35" s="32" customFormat="1" ht="27.6">
      <c r="A1446" s="434" t="s">
        <v>942</v>
      </c>
      <c r="B1446" s="457" t="s">
        <v>946</v>
      </c>
      <c r="C1446" s="233">
        <v>44279</v>
      </c>
      <c r="D1446" s="435" t="s">
        <v>1267</v>
      </c>
      <c r="E1446" s="436" t="s">
        <v>1534</v>
      </c>
      <c r="F1446" s="338">
        <v>0.6743055555555556</v>
      </c>
      <c r="G1446" s="338">
        <v>0.67499999999999993</v>
      </c>
      <c r="H1446" s="434" t="s">
        <v>985</v>
      </c>
      <c r="I1446" s="437">
        <v>799</v>
      </c>
      <c r="J1446" s="434" t="str">
        <f>IFERROR(VLOOKUP(I1446,'Chart of accounts'!A:H,2,FALSE),"")</f>
        <v>50211990 00</v>
      </c>
      <c r="K1446" s="434" t="str">
        <f>IFERROR(VLOOKUP(I1446,'Chart of accounts'!A:H,3,FALSE),"")</f>
        <v>Other Professional Services</v>
      </c>
      <c r="L1446" s="434" t="str">
        <f>IFERROR(VLOOKUP(I1446,'Chart of accounts'!A:H,4,FALSE),"")</f>
        <v>50211990 00 - Other Professional Services (799)</v>
      </c>
      <c r="M1446" s="438">
        <v>68</v>
      </c>
      <c r="N1446" s="439" t="s">
        <v>821</v>
      </c>
      <c r="O1446" s="439" t="s">
        <v>1535</v>
      </c>
      <c r="P1446" s="439"/>
      <c r="Q1446" s="50">
        <f>38332</f>
        <v>38332</v>
      </c>
      <c r="R1446" s="428">
        <f t="shared" si="53"/>
        <v>-38332</v>
      </c>
      <c r="S1446" s="428" t="str">
        <f>VLOOKUP(H1446,'Fund Utilization Report'!$A$4:$U$1800,13,FALSE)</f>
        <v>MOOE</v>
      </c>
      <c r="T1446" s="428" t="str">
        <f>VLOOKUP(H1446,'Fund Utilization Report'!$A$4:$U$1800,2,FALSE)</f>
        <v>GAA</v>
      </c>
      <c r="U1446" s="428" t="str">
        <f>VLOOKUP(H1446,'Fund Utilization Report'!$A$4:$U$1800,3,FALSE)</f>
        <v>FY2021, RA11518</v>
      </c>
      <c r="V1446" s="428" t="str">
        <f>VLOOKUP(H1446,'Fund Utilization Report'!$A$4:$U$1800,4,FALSE)</f>
        <v>LSP-PBG</v>
      </c>
      <c r="W1446" s="428" t="str">
        <f>VLOOKUP(H1446,'Fund Utilization Report'!$A$4:$U$1800,5,FALSE)</f>
        <v>01101101</v>
      </c>
      <c r="X1446" s="428" t="str">
        <f>VLOOKUP(H1446,'Fund Utilization Report'!$A$4:$U$1800,6,FALSE)</f>
        <v>GOP</v>
      </c>
      <c r="Y1446" s="320" t="str">
        <f>VLOOKUP(H1446,'Fund Utilization Report'!$A$4:$U$1800,7,FALSE)</f>
        <v>MOOE</v>
      </c>
      <c r="Z1446" s="425">
        <f>VLOOKUP(H1446,'Fund Utilization Report'!$A$4:$U$1800,8,FALSE)</f>
        <v>5020000000</v>
      </c>
      <c r="AA1446" s="428" t="str">
        <f>VLOOKUP(H1446,'Fund Utilization Report'!$A$4:$U$1800,14,FALSE)</f>
        <v>330100200004000</v>
      </c>
      <c r="AB1446" s="349" t="str">
        <f>VLOOKUP(H1446,'Fund Utilization Report'!$A$4:$U$1800,15,FALSE)</f>
        <v>MSME Development Program : Livelihood Seeding Program and Pangkabuhayan sa Pagbangon at Ginhawa</v>
      </c>
      <c r="AC1446" s="39"/>
      <c r="AD1446" s="34"/>
      <c r="AE1446" s="39"/>
      <c r="AF1446" s="51"/>
      <c r="AG1446" s="442"/>
      <c r="AH1446" s="442"/>
      <c r="AI1446" s="443"/>
    </row>
    <row r="1447" spans="1:35" s="487" customFormat="1" ht="27.6">
      <c r="A1447" s="473" t="s">
        <v>942</v>
      </c>
      <c r="B1447" s="473" t="s">
        <v>945</v>
      </c>
      <c r="C1447" s="474">
        <v>44237</v>
      </c>
      <c r="D1447" s="475" t="s">
        <v>1028</v>
      </c>
      <c r="E1447" s="476" t="s">
        <v>1116</v>
      </c>
      <c r="F1447" s="473">
        <v>0.46736111111111112</v>
      </c>
      <c r="G1447" s="473">
        <v>0.47222222222222227</v>
      </c>
      <c r="H1447" s="473" t="s">
        <v>962</v>
      </c>
      <c r="I1447" s="477">
        <v>731</v>
      </c>
      <c r="J1447" s="473" t="s">
        <v>527</v>
      </c>
      <c r="K1447" s="473" t="s">
        <v>528</v>
      </c>
      <c r="L1447" s="473" t="s">
        <v>1067</v>
      </c>
      <c r="M1447" s="478">
        <v>1</v>
      </c>
      <c r="N1447" s="479" t="s">
        <v>847</v>
      </c>
      <c r="O1447" s="479" t="s">
        <v>1117</v>
      </c>
      <c r="P1447" s="479"/>
      <c r="Q1447" s="480">
        <v>-54.52</v>
      </c>
      <c r="R1447" s="481">
        <v>-54.52</v>
      </c>
      <c r="S1447" s="481" t="s">
        <v>12</v>
      </c>
      <c r="T1447" s="481" t="s">
        <v>881</v>
      </c>
      <c r="U1447" s="481" t="s">
        <v>883</v>
      </c>
      <c r="V1447" s="481" t="s">
        <v>892</v>
      </c>
      <c r="W1447" s="481" t="s">
        <v>887</v>
      </c>
      <c r="X1447" s="481" t="s">
        <v>888</v>
      </c>
      <c r="Y1447" s="482" t="s">
        <v>928</v>
      </c>
      <c r="Z1447" s="483" t="s">
        <v>929</v>
      </c>
      <c r="AA1447" s="481" t="s">
        <v>884</v>
      </c>
      <c r="AB1447" s="484" t="s">
        <v>931</v>
      </c>
      <c r="AC1447" s="485"/>
      <c r="AD1447" s="475"/>
      <c r="AE1447" s="485"/>
      <c r="AF1447" s="485"/>
      <c r="AG1447" s="486"/>
      <c r="AH1447" s="486"/>
    </row>
    <row r="1448" spans="1:35" s="487" customFormat="1" ht="27.6">
      <c r="A1448" s="473" t="s">
        <v>942</v>
      </c>
      <c r="B1448" s="473" t="s">
        <v>945</v>
      </c>
      <c r="C1448" s="474">
        <v>44237</v>
      </c>
      <c r="D1448" s="475" t="s">
        <v>1028</v>
      </c>
      <c r="E1448" s="476" t="s">
        <v>1118</v>
      </c>
      <c r="F1448" s="473">
        <v>0.47222222222222227</v>
      </c>
      <c r="G1448" s="473">
        <v>0.47361111111111115</v>
      </c>
      <c r="H1448" s="473" t="s">
        <v>962</v>
      </c>
      <c r="I1448" s="477">
        <v>731</v>
      </c>
      <c r="J1448" s="473" t="s">
        <v>527</v>
      </c>
      <c r="K1448" s="473" t="s">
        <v>528</v>
      </c>
      <c r="L1448" s="473" t="s">
        <v>1067</v>
      </c>
      <c r="M1448" s="478">
        <v>3</v>
      </c>
      <c r="N1448" s="479" t="s">
        <v>1119</v>
      </c>
      <c r="O1448" s="479" t="s">
        <v>1117</v>
      </c>
      <c r="P1448" s="479"/>
      <c r="Q1448" s="480">
        <v>-30.78</v>
      </c>
      <c r="R1448" s="481">
        <v>-30.78</v>
      </c>
      <c r="S1448" s="481" t="s">
        <v>12</v>
      </c>
      <c r="T1448" s="481" t="s">
        <v>881</v>
      </c>
      <c r="U1448" s="481" t="s">
        <v>883</v>
      </c>
      <c r="V1448" s="481" t="s">
        <v>892</v>
      </c>
      <c r="W1448" s="481" t="s">
        <v>887</v>
      </c>
      <c r="X1448" s="481" t="s">
        <v>888</v>
      </c>
      <c r="Y1448" s="482" t="s">
        <v>928</v>
      </c>
      <c r="Z1448" s="483" t="s">
        <v>929</v>
      </c>
      <c r="AA1448" s="481" t="s">
        <v>884</v>
      </c>
      <c r="AB1448" s="484" t="s">
        <v>931</v>
      </c>
      <c r="AC1448" s="485"/>
      <c r="AD1448" s="475"/>
      <c r="AE1448" s="485"/>
      <c r="AF1448" s="485"/>
      <c r="AG1448" s="486"/>
      <c r="AH1448" s="486"/>
    </row>
    <row r="1449" spans="1:35" s="487" customFormat="1" ht="27.6">
      <c r="A1449" s="473" t="s">
        <v>942</v>
      </c>
      <c r="B1449" s="473" t="s">
        <v>945</v>
      </c>
      <c r="C1449" s="474">
        <v>44237</v>
      </c>
      <c r="D1449" s="475" t="s">
        <v>1028</v>
      </c>
      <c r="E1449" s="476" t="s">
        <v>1120</v>
      </c>
      <c r="F1449" s="473">
        <v>0.47361111111111115</v>
      </c>
      <c r="G1449" s="473">
        <v>0.47569444444444442</v>
      </c>
      <c r="H1449" s="473" t="s">
        <v>962</v>
      </c>
      <c r="I1449" s="477">
        <v>731</v>
      </c>
      <c r="J1449" s="473" t="s">
        <v>527</v>
      </c>
      <c r="K1449" s="473" t="s">
        <v>528</v>
      </c>
      <c r="L1449" s="473" t="s">
        <v>1067</v>
      </c>
      <c r="M1449" s="478">
        <v>1</v>
      </c>
      <c r="N1449" s="479" t="s">
        <v>833</v>
      </c>
      <c r="O1449" s="479" t="s">
        <v>1121</v>
      </c>
      <c r="P1449" s="479"/>
      <c r="Q1449" s="480">
        <v>-73.27</v>
      </c>
      <c r="R1449" s="481">
        <v>-73.27</v>
      </c>
      <c r="S1449" s="481" t="s">
        <v>12</v>
      </c>
      <c r="T1449" s="481" t="s">
        <v>881</v>
      </c>
      <c r="U1449" s="481" t="s">
        <v>883</v>
      </c>
      <c r="V1449" s="481" t="s">
        <v>892</v>
      </c>
      <c r="W1449" s="481" t="s">
        <v>887</v>
      </c>
      <c r="X1449" s="481" t="s">
        <v>888</v>
      </c>
      <c r="Y1449" s="482" t="s">
        <v>928</v>
      </c>
      <c r="Z1449" s="483" t="s">
        <v>929</v>
      </c>
      <c r="AA1449" s="481" t="s">
        <v>884</v>
      </c>
      <c r="AB1449" s="484" t="s">
        <v>931</v>
      </c>
      <c r="AC1449" s="485"/>
      <c r="AD1449" s="475"/>
      <c r="AE1449" s="485"/>
      <c r="AF1449" s="485"/>
      <c r="AG1449" s="486"/>
      <c r="AH1449" s="486"/>
    </row>
    <row r="1450" spans="1:35" s="32" customFormat="1" ht="27.6">
      <c r="A1450" s="434" t="s">
        <v>942</v>
      </c>
      <c r="B1450" s="457" t="s">
        <v>946</v>
      </c>
      <c r="C1450" s="233">
        <v>44280</v>
      </c>
      <c r="D1450" s="435" t="s">
        <v>1267</v>
      </c>
      <c r="E1450" s="436" t="s">
        <v>1536</v>
      </c>
      <c r="F1450" s="338">
        <v>0.36805555555555558</v>
      </c>
      <c r="G1450" s="338">
        <v>0.36874999999999997</v>
      </c>
      <c r="H1450" s="338" t="s">
        <v>974</v>
      </c>
      <c r="I1450" s="353">
        <v>751</v>
      </c>
      <c r="J1450" s="338" t="str">
        <f>IFERROR(VLOOKUP(I1450,'Chart of accounts'!A:H,2,FALSE),"")</f>
        <v>50201010 00</v>
      </c>
      <c r="K1450" s="338" t="str">
        <f>IFERROR(VLOOKUP(I1450,'Chart of accounts'!A:H,3,FALSE),"")</f>
        <v>Traveling Expenses - Local</v>
      </c>
      <c r="L1450" s="338" t="str">
        <f>IFERROR(VLOOKUP(I1450,'Chart of accounts'!A:H,4,FALSE),"")</f>
        <v>50201010 00 - Traveling Expenses - Local (751)</v>
      </c>
      <c r="M1450" s="361" t="s">
        <v>1537</v>
      </c>
      <c r="N1450" s="355" t="s">
        <v>818</v>
      </c>
      <c r="O1450" s="355" t="s">
        <v>1538</v>
      </c>
      <c r="P1450" s="355"/>
      <c r="Q1450" s="363">
        <v>15000</v>
      </c>
      <c r="R1450" s="428">
        <f>P1450-Q1450</f>
        <v>-15000</v>
      </c>
      <c r="S1450" s="428" t="str">
        <f>VLOOKUP(H1450,'Fund Utilization Report'!$A$4:$U$1800,13,FALSE)</f>
        <v>MOOE</v>
      </c>
      <c r="T1450" s="428" t="str">
        <f>VLOOKUP(H1450,'Fund Utilization Report'!$A$4:$U$1800,2,FALSE)</f>
        <v>GAA</v>
      </c>
      <c r="U1450" s="428" t="str">
        <f>VLOOKUP(H1450,'Fund Utilization Report'!$A$4:$U$1800,3,FALSE)</f>
        <v>FY2021, RA11518</v>
      </c>
      <c r="V1450" s="428" t="str">
        <f>VLOOKUP(H1450,'Fund Utilization Report'!$A$4:$U$1800,4,FALSE)</f>
        <v>OO4.1(FTL)</v>
      </c>
      <c r="W1450" s="428" t="str">
        <f>VLOOKUP(H1450,'Fund Utilization Report'!$A$4:$U$1800,5,FALSE)</f>
        <v>01101101</v>
      </c>
      <c r="X1450" s="428" t="str">
        <f>VLOOKUP(H1450,'Fund Utilization Report'!$A$4:$U$1800,6,FALSE)</f>
        <v>GOP</v>
      </c>
      <c r="Y1450" s="320" t="str">
        <f>VLOOKUP(H1450,'Fund Utilization Report'!$A$4:$U$1800,7,FALSE)</f>
        <v>MOOE</v>
      </c>
      <c r="Z1450" s="425">
        <f>VLOOKUP(H1450,'Fund Utilization Report'!$A$4:$U$1800,8,FALSE)</f>
        <v>5020000000</v>
      </c>
      <c r="AA1450" s="428" t="str">
        <f>VLOOKUP(H1450,'Fund Utilization Report'!$A$4:$U$1800,14,FALSE)</f>
        <v>340100100002000</v>
      </c>
      <c r="AB1450" s="349" t="str">
        <f>VLOOKUP(H1450,'Fund Utilization Report'!$A$4:$U$1800,15,FALSE)</f>
        <v>Monitoring and Enforcement of FTL including consumer complaints handling</v>
      </c>
      <c r="AC1450" s="39"/>
      <c r="AD1450" s="34"/>
      <c r="AE1450" s="39"/>
      <c r="AF1450" s="51"/>
      <c r="AG1450" s="442"/>
      <c r="AH1450" s="442"/>
      <c r="AI1450" s="443"/>
    </row>
    <row r="1451" spans="1:35" s="32" customFormat="1" ht="27.6">
      <c r="A1451" s="434" t="s">
        <v>942</v>
      </c>
      <c r="B1451" s="457" t="s">
        <v>946</v>
      </c>
      <c r="C1451" s="233">
        <v>44280</v>
      </c>
      <c r="D1451" s="435" t="s">
        <v>1267</v>
      </c>
      <c r="E1451" s="436" t="s">
        <v>1536</v>
      </c>
      <c r="F1451" s="338">
        <v>0.36805555555555558</v>
      </c>
      <c r="G1451" s="338">
        <v>0.36874999999999997</v>
      </c>
      <c r="H1451" s="338" t="s">
        <v>974</v>
      </c>
      <c r="I1451" s="353">
        <v>753</v>
      </c>
      <c r="J1451" s="338" t="str">
        <f>IFERROR(VLOOKUP(I1451,'Chart of accounts'!A:H,2,FALSE),"")</f>
        <v>50202010 00</v>
      </c>
      <c r="K1451" s="338" t="str">
        <f>IFERROR(VLOOKUP(I1451,'Chart of accounts'!A:H,3,FALSE),"")</f>
        <v>Training Expenses</v>
      </c>
      <c r="L1451" s="338" t="str">
        <f>IFERROR(VLOOKUP(I1451,'Chart of accounts'!A:H,4,FALSE),"")</f>
        <v>50202010 00 - Training Expenses (753)</v>
      </c>
      <c r="M1451" s="361" t="s">
        <v>1537</v>
      </c>
      <c r="N1451" s="355" t="s">
        <v>818</v>
      </c>
      <c r="O1451" s="355" t="s">
        <v>1538</v>
      </c>
      <c r="P1451" s="355"/>
      <c r="Q1451" s="363">
        <v>23000</v>
      </c>
      <c r="R1451" s="428">
        <f>P1451-Q1451</f>
        <v>-23000</v>
      </c>
      <c r="S1451" s="428" t="str">
        <f>VLOOKUP(H1451,'Fund Utilization Report'!$A$4:$U$1800,13,FALSE)</f>
        <v>MOOE</v>
      </c>
      <c r="T1451" s="428" t="str">
        <f>VLOOKUP(H1451,'Fund Utilization Report'!$A$4:$U$1800,2,FALSE)</f>
        <v>GAA</v>
      </c>
      <c r="U1451" s="428" t="str">
        <f>VLOOKUP(H1451,'Fund Utilization Report'!$A$4:$U$1800,3,FALSE)</f>
        <v>FY2021, RA11518</v>
      </c>
      <c r="V1451" s="428" t="str">
        <f>VLOOKUP(H1451,'Fund Utilization Report'!$A$4:$U$1800,4,FALSE)</f>
        <v>OO4.1(FTL)</v>
      </c>
      <c r="W1451" s="428" t="str">
        <f>VLOOKUP(H1451,'Fund Utilization Report'!$A$4:$U$1800,5,FALSE)</f>
        <v>01101101</v>
      </c>
      <c r="X1451" s="428" t="str">
        <f>VLOOKUP(H1451,'Fund Utilization Report'!$A$4:$U$1800,6,FALSE)</f>
        <v>GOP</v>
      </c>
      <c r="Y1451" s="320" t="str">
        <f>VLOOKUP(H1451,'Fund Utilization Report'!$A$4:$U$1800,7,FALSE)</f>
        <v>MOOE</v>
      </c>
      <c r="Z1451" s="425">
        <f>VLOOKUP(H1451,'Fund Utilization Report'!$A$4:$U$1800,8,FALSE)</f>
        <v>5020000000</v>
      </c>
      <c r="AA1451" s="428" t="str">
        <f>VLOOKUP(H1451,'Fund Utilization Report'!$A$4:$U$1800,14,FALSE)</f>
        <v>340100100002000</v>
      </c>
      <c r="AB1451" s="349" t="str">
        <f>VLOOKUP(H1451,'Fund Utilization Report'!$A$4:$U$1800,15,FALSE)</f>
        <v>Monitoring and Enforcement of FTL including consumer complaints handling</v>
      </c>
      <c r="AC1451" s="39"/>
      <c r="AD1451" s="34"/>
      <c r="AE1451" s="39"/>
      <c r="AF1451" s="51"/>
      <c r="AG1451" s="442"/>
      <c r="AH1451" s="442"/>
      <c r="AI1451" s="443"/>
    </row>
    <row r="1452" spans="1:35" s="32" customFormat="1" ht="27.6">
      <c r="A1452" s="434" t="s">
        <v>942</v>
      </c>
      <c r="B1452" s="457" t="s">
        <v>946</v>
      </c>
      <c r="C1452" s="233">
        <v>44280</v>
      </c>
      <c r="D1452" s="435" t="s">
        <v>1267</v>
      </c>
      <c r="E1452" s="436" t="s">
        <v>1536</v>
      </c>
      <c r="F1452" s="338">
        <v>0.36805555555555558</v>
      </c>
      <c r="G1452" s="338">
        <v>0.36874999999999997</v>
      </c>
      <c r="H1452" s="338" t="s">
        <v>974</v>
      </c>
      <c r="I1452" s="353">
        <v>799</v>
      </c>
      <c r="J1452" s="338" t="str">
        <f>IFERROR(VLOOKUP(I1452,'Chart of accounts'!A:H,2,FALSE),"")</f>
        <v>50211990 00</v>
      </c>
      <c r="K1452" s="338" t="str">
        <f>IFERROR(VLOOKUP(I1452,'Chart of accounts'!A:H,3,FALSE),"")</f>
        <v>Other Professional Services</v>
      </c>
      <c r="L1452" s="338" t="str">
        <f>IFERROR(VLOOKUP(I1452,'Chart of accounts'!A:H,4,FALSE),"")</f>
        <v>50211990 00 - Other Professional Services (799)</v>
      </c>
      <c r="M1452" s="361" t="s">
        <v>1537</v>
      </c>
      <c r="N1452" s="355" t="s">
        <v>818</v>
      </c>
      <c r="O1452" s="355" t="s">
        <v>1538</v>
      </c>
      <c r="P1452" s="355"/>
      <c r="Q1452" s="363">
        <v>5000</v>
      </c>
      <c r="R1452" s="428">
        <f>P1452-Q1452</f>
        <v>-5000</v>
      </c>
      <c r="S1452" s="428" t="str">
        <f>VLOOKUP(H1452,'Fund Utilization Report'!$A$4:$U$1800,13,FALSE)</f>
        <v>MOOE</v>
      </c>
      <c r="T1452" s="428" t="str">
        <f>VLOOKUP(H1452,'Fund Utilization Report'!$A$4:$U$1800,2,FALSE)</f>
        <v>GAA</v>
      </c>
      <c r="U1452" s="428" t="str">
        <f>VLOOKUP(H1452,'Fund Utilization Report'!$A$4:$U$1800,3,FALSE)</f>
        <v>FY2021, RA11518</v>
      </c>
      <c r="V1452" s="428" t="str">
        <f>VLOOKUP(H1452,'Fund Utilization Report'!$A$4:$U$1800,4,FALSE)</f>
        <v>OO4.1(FTL)</v>
      </c>
      <c r="W1452" s="428" t="str">
        <f>VLOOKUP(H1452,'Fund Utilization Report'!$A$4:$U$1800,5,FALSE)</f>
        <v>01101101</v>
      </c>
      <c r="X1452" s="428" t="str">
        <f>VLOOKUP(H1452,'Fund Utilization Report'!$A$4:$U$1800,6,FALSE)</f>
        <v>GOP</v>
      </c>
      <c r="Y1452" s="320" t="str">
        <f>VLOOKUP(H1452,'Fund Utilization Report'!$A$4:$U$1800,7,FALSE)</f>
        <v>MOOE</v>
      </c>
      <c r="Z1452" s="425">
        <f>VLOOKUP(H1452,'Fund Utilization Report'!$A$4:$U$1800,8,FALSE)</f>
        <v>5020000000</v>
      </c>
      <c r="AA1452" s="428" t="str">
        <f>VLOOKUP(H1452,'Fund Utilization Report'!$A$4:$U$1800,14,FALSE)</f>
        <v>340100100002000</v>
      </c>
      <c r="AB1452" s="349" t="str">
        <f>VLOOKUP(H1452,'Fund Utilization Report'!$A$4:$U$1800,15,FALSE)</f>
        <v>Monitoring and Enforcement of FTL including consumer complaints handling</v>
      </c>
      <c r="AC1452" s="39"/>
      <c r="AD1452" s="34"/>
      <c r="AE1452" s="39"/>
      <c r="AF1452" s="51"/>
      <c r="AG1452" s="442"/>
      <c r="AH1452" s="442"/>
      <c r="AI1452" s="443"/>
    </row>
    <row r="1453" spans="1:35" s="32" customFormat="1" ht="27.6">
      <c r="A1453" s="434" t="s">
        <v>942</v>
      </c>
      <c r="B1453" s="457" t="s">
        <v>946</v>
      </c>
      <c r="C1453" s="233">
        <v>44280</v>
      </c>
      <c r="D1453" s="435" t="s">
        <v>1267</v>
      </c>
      <c r="E1453" s="436" t="s">
        <v>1536</v>
      </c>
      <c r="F1453" s="338">
        <v>0.36805555555555558</v>
      </c>
      <c r="G1453" s="338">
        <v>0.36874999999999997</v>
      </c>
      <c r="H1453" s="338" t="s">
        <v>977</v>
      </c>
      <c r="I1453" s="353">
        <v>751</v>
      </c>
      <c r="J1453" s="338" t="str">
        <f>IFERROR(VLOOKUP(I1453,'Chart of accounts'!A:H,2,FALSE),"")</f>
        <v>50201010 00</v>
      </c>
      <c r="K1453" s="338" t="str">
        <f>IFERROR(VLOOKUP(I1453,'Chart of accounts'!A:H,3,FALSE),"")</f>
        <v>Traveling Expenses - Local</v>
      </c>
      <c r="L1453" s="338" t="str">
        <f>IFERROR(VLOOKUP(I1453,'Chart of accounts'!A:H,4,FALSE),"")</f>
        <v>50201010 00 - Traveling Expenses - Local (751)</v>
      </c>
      <c r="M1453" s="361" t="s">
        <v>1537</v>
      </c>
      <c r="N1453" s="355" t="s">
        <v>818</v>
      </c>
      <c r="O1453" s="355" t="s">
        <v>1538</v>
      </c>
      <c r="P1453" s="355"/>
      <c r="Q1453" s="363">
        <v>30000</v>
      </c>
      <c r="R1453" s="428">
        <f>P1453-Q1453</f>
        <v>-30000</v>
      </c>
      <c r="S1453" s="428" t="str">
        <f>VLOOKUP(H1453,'Fund Utilization Report'!$A$4:$U$1800,13,FALSE)</f>
        <v>MOOE</v>
      </c>
      <c r="T1453" s="428" t="str">
        <f>VLOOKUP(H1453,'Fund Utilization Report'!$A$4:$U$1800,2,FALSE)</f>
        <v>GAA</v>
      </c>
      <c r="U1453" s="428" t="str">
        <f>VLOOKUP(H1453,'Fund Utilization Report'!$A$4:$U$1800,3,FALSE)</f>
        <v>FY2021, RA11518</v>
      </c>
      <c r="V1453" s="428" t="str">
        <f>VLOOKUP(H1453,'Fund Utilization Report'!$A$4:$U$1800,4,FALSE)</f>
        <v>OO4.1(Acc)</v>
      </c>
      <c r="W1453" s="428" t="str">
        <f>VLOOKUP(H1453,'Fund Utilization Report'!$A$4:$U$1800,5,FALSE)</f>
        <v>01101101</v>
      </c>
      <c r="X1453" s="428" t="str">
        <f>VLOOKUP(H1453,'Fund Utilization Report'!$A$4:$U$1800,6,FALSE)</f>
        <v>GOP</v>
      </c>
      <c r="Y1453" s="320" t="str">
        <f>VLOOKUP(H1453,'Fund Utilization Report'!$A$4:$U$1800,7,FALSE)</f>
        <v>MOOE</v>
      </c>
      <c r="Z1453" s="425">
        <f>VLOOKUP(H1453,'Fund Utilization Report'!$A$4:$U$1800,8,FALSE)</f>
        <v>5020000000</v>
      </c>
      <c r="AA1453" s="428" t="str">
        <f>VLOOKUP(H1453,'Fund Utilization Report'!$A$4:$U$1800,14,FALSE)</f>
        <v>340100100003000</v>
      </c>
      <c r="AB1453" s="349" t="str">
        <f>VLOOKUP(H1453,'Fund Utilization Report'!$A$4:$U$1800,15,FALSE)</f>
        <v>Accreditation and Issuance of Business Licenses, Permits, registration and authorities</v>
      </c>
      <c r="AC1453" s="39"/>
      <c r="AD1453" s="34"/>
      <c r="AE1453" s="39"/>
      <c r="AF1453" s="51"/>
      <c r="AG1453" s="442"/>
      <c r="AH1453" s="442"/>
      <c r="AI1453" s="443"/>
    </row>
    <row r="1454" spans="1:35" s="32" customFormat="1" ht="27.6">
      <c r="A1454" s="434" t="s">
        <v>942</v>
      </c>
      <c r="B1454" s="457" t="s">
        <v>946</v>
      </c>
      <c r="C1454" s="233">
        <v>44280</v>
      </c>
      <c r="D1454" s="435" t="s">
        <v>1267</v>
      </c>
      <c r="E1454" s="436" t="s">
        <v>1536</v>
      </c>
      <c r="F1454" s="338">
        <v>0.36805555555555558</v>
      </c>
      <c r="G1454" s="338">
        <v>0.36874999999999997</v>
      </c>
      <c r="H1454" s="338" t="s">
        <v>977</v>
      </c>
      <c r="I1454" s="353">
        <v>753</v>
      </c>
      <c r="J1454" s="338" t="str">
        <f>IFERROR(VLOOKUP(I1454,'Chart of accounts'!A:H,2,FALSE),"")</f>
        <v>50202010 00</v>
      </c>
      <c r="K1454" s="338" t="str">
        <f>IFERROR(VLOOKUP(I1454,'Chart of accounts'!A:H,3,FALSE),"")</f>
        <v>Training Expenses</v>
      </c>
      <c r="L1454" s="338" t="str">
        <f>IFERROR(VLOOKUP(I1454,'Chart of accounts'!A:H,4,FALSE),"")</f>
        <v>50202010 00 - Training Expenses (753)</v>
      </c>
      <c r="M1454" s="361" t="s">
        <v>1537</v>
      </c>
      <c r="N1454" s="355" t="s">
        <v>818</v>
      </c>
      <c r="O1454" s="355" t="s">
        <v>1538</v>
      </c>
      <c r="P1454" s="355"/>
      <c r="Q1454" s="363">
        <v>20000</v>
      </c>
      <c r="R1454" s="428">
        <f>P1454-Q1454</f>
        <v>-20000</v>
      </c>
      <c r="S1454" s="428" t="str">
        <f>VLOOKUP(H1454,'Fund Utilization Report'!$A$4:$U$1800,13,FALSE)</f>
        <v>MOOE</v>
      </c>
      <c r="T1454" s="428" t="str">
        <f>VLOOKUP(H1454,'Fund Utilization Report'!$A$4:$U$1800,2,FALSE)</f>
        <v>GAA</v>
      </c>
      <c r="U1454" s="428" t="str">
        <f>VLOOKUP(H1454,'Fund Utilization Report'!$A$4:$U$1800,3,FALSE)</f>
        <v>FY2021, RA11518</v>
      </c>
      <c r="V1454" s="428" t="str">
        <f>VLOOKUP(H1454,'Fund Utilization Report'!$A$4:$U$1800,4,FALSE)</f>
        <v>OO4.1(Acc)</v>
      </c>
      <c r="W1454" s="428" t="str">
        <f>VLOOKUP(H1454,'Fund Utilization Report'!$A$4:$U$1800,5,FALSE)</f>
        <v>01101101</v>
      </c>
      <c r="X1454" s="428" t="str">
        <f>VLOOKUP(H1454,'Fund Utilization Report'!$A$4:$U$1800,6,FALSE)</f>
        <v>GOP</v>
      </c>
      <c r="Y1454" s="320" t="str">
        <f>VLOOKUP(H1454,'Fund Utilization Report'!$A$4:$U$1800,7,FALSE)</f>
        <v>MOOE</v>
      </c>
      <c r="Z1454" s="425">
        <f>VLOOKUP(H1454,'Fund Utilization Report'!$A$4:$U$1800,8,FALSE)</f>
        <v>5020000000</v>
      </c>
      <c r="AA1454" s="428" t="str">
        <f>VLOOKUP(H1454,'Fund Utilization Report'!$A$4:$U$1800,14,FALSE)</f>
        <v>340100100003000</v>
      </c>
      <c r="AB1454" s="349" t="str">
        <f>VLOOKUP(H1454,'Fund Utilization Report'!$A$4:$U$1800,15,FALSE)</f>
        <v>Accreditation and Issuance of Business Licenses, Permits, registration and authorities</v>
      </c>
      <c r="AC1454" s="39"/>
      <c r="AD1454" s="34"/>
      <c r="AE1454" s="39"/>
      <c r="AF1454" s="51"/>
      <c r="AG1454" s="442"/>
      <c r="AH1454" s="442"/>
      <c r="AI1454" s="443"/>
    </row>
    <row r="1455" spans="1:35" s="32" customFormat="1" ht="27.6">
      <c r="A1455" s="434" t="s">
        <v>942</v>
      </c>
      <c r="B1455" s="457" t="s">
        <v>946</v>
      </c>
      <c r="C1455" s="233">
        <v>44280</v>
      </c>
      <c r="D1455" s="435" t="s">
        <v>1267</v>
      </c>
      <c r="E1455" s="436" t="s">
        <v>1536</v>
      </c>
      <c r="F1455" s="338">
        <v>0.36805555555555558</v>
      </c>
      <c r="G1455" s="338">
        <v>0.36874999999999997</v>
      </c>
      <c r="H1455" s="338" t="s">
        <v>977</v>
      </c>
      <c r="I1455" s="353">
        <v>783</v>
      </c>
      <c r="J1455" s="338" t="str">
        <f>IFERROR(VLOOKUP(I1455,'Chart of accounts'!A:H,2,FALSE),"")</f>
        <v>50299030 00</v>
      </c>
      <c r="K1455" s="338" t="str">
        <f>IFERROR(VLOOKUP(I1455,'Chart of accounts'!A:H,3,FALSE),"")</f>
        <v>Representation Expenses</v>
      </c>
      <c r="L1455" s="338" t="str">
        <f>IFERROR(VLOOKUP(I1455,'Chart of accounts'!A:H,4,FALSE),"")</f>
        <v>50299030 00 - Representation Expenses (783)</v>
      </c>
      <c r="M1455" s="361" t="s">
        <v>1537</v>
      </c>
      <c r="N1455" s="355" t="s">
        <v>818</v>
      </c>
      <c r="O1455" s="355" t="s">
        <v>1538</v>
      </c>
      <c r="P1455" s="355"/>
      <c r="Q1455" s="363">
        <f>170000-22500</f>
        <v>147500</v>
      </c>
      <c r="R1455" s="428">
        <f t="shared" ref="R1455:R1467" si="54">P1455-Q1455</f>
        <v>-147500</v>
      </c>
      <c r="S1455" s="428" t="str">
        <f>VLOOKUP(H1455,'Fund Utilization Report'!$A$4:$U$1800,13,FALSE)</f>
        <v>MOOE</v>
      </c>
      <c r="T1455" s="428" t="str">
        <f>VLOOKUP(H1455,'Fund Utilization Report'!$A$4:$U$1800,2,FALSE)</f>
        <v>GAA</v>
      </c>
      <c r="U1455" s="428" t="str">
        <f>VLOOKUP(H1455,'Fund Utilization Report'!$A$4:$U$1800,3,FALSE)</f>
        <v>FY2021, RA11518</v>
      </c>
      <c r="V1455" s="428" t="str">
        <f>VLOOKUP(H1455,'Fund Utilization Report'!$A$4:$U$1800,4,FALSE)</f>
        <v>OO4.1(Acc)</v>
      </c>
      <c r="W1455" s="428" t="str">
        <f>VLOOKUP(H1455,'Fund Utilization Report'!$A$4:$U$1800,5,FALSE)</f>
        <v>01101101</v>
      </c>
      <c r="X1455" s="428" t="str">
        <f>VLOOKUP(H1455,'Fund Utilization Report'!$A$4:$U$1800,6,FALSE)</f>
        <v>GOP</v>
      </c>
      <c r="Y1455" s="320" t="str">
        <f>VLOOKUP(H1455,'Fund Utilization Report'!$A$4:$U$1800,7,FALSE)</f>
        <v>MOOE</v>
      </c>
      <c r="Z1455" s="425">
        <f>VLOOKUP(H1455,'Fund Utilization Report'!$A$4:$U$1800,8,FALSE)</f>
        <v>5020000000</v>
      </c>
      <c r="AA1455" s="428" t="str">
        <f>VLOOKUP(H1455,'Fund Utilization Report'!$A$4:$U$1800,14,FALSE)</f>
        <v>340100100003000</v>
      </c>
      <c r="AB1455" s="349" t="str">
        <f>VLOOKUP(H1455,'Fund Utilization Report'!$A$4:$U$1800,15,FALSE)</f>
        <v>Accreditation and Issuance of Business Licenses, Permits, registration and authorities</v>
      </c>
      <c r="AC1455" s="39"/>
      <c r="AD1455" s="34"/>
      <c r="AE1455" s="39"/>
      <c r="AF1455" s="51"/>
      <c r="AG1455" s="442"/>
      <c r="AH1455" s="442"/>
      <c r="AI1455" s="443"/>
    </row>
    <row r="1456" spans="1:35" s="32" customFormat="1" ht="27.6">
      <c r="A1456" s="434" t="s">
        <v>942</v>
      </c>
      <c r="B1456" s="457" t="s">
        <v>946</v>
      </c>
      <c r="C1456" s="233">
        <v>44280</v>
      </c>
      <c r="D1456" s="435" t="s">
        <v>1267</v>
      </c>
      <c r="E1456" s="436" t="s">
        <v>1536</v>
      </c>
      <c r="F1456" s="338">
        <v>0.36805555555555558</v>
      </c>
      <c r="G1456" s="338">
        <v>0.36874999999999997</v>
      </c>
      <c r="H1456" s="338" t="s">
        <v>979</v>
      </c>
      <c r="I1456" s="353">
        <v>751</v>
      </c>
      <c r="J1456" s="338" t="str">
        <f>IFERROR(VLOOKUP(I1456,'Chart of accounts'!A:H,2,FALSE),"")</f>
        <v>50201010 00</v>
      </c>
      <c r="K1456" s="338" t="str">
        <f>IFERROR(VLOOKUP(I1456,'Chart of accounts'!A:H,3,FALSE),"")</f>
        <v>Traveling Expenses - Local</v>
      </c>
      <c r="L1456" s="338" t="str">
        <f>IFERROR(VLOOKUP(I1456,'Chart of accounts'!A:H,4,FALSE),"")</f>
        <v>50201010 00 - Traveling Expenses - Local (751)</v>
      </c>
      <c r="M1456" s="361" t="s">
        <v>1537</v>
      </c>
      <c r="N1456" s="355" t="s">
        <v>818</v>
      </c>
      <c r="O1456" s="355" t="s">
        <v>1538</v>
      </c>
      <c r="P1456" s="355"/>
      <c r="Q1456" s="363">
        <v>25000</v>
      </c>
      <c r="R1456" s="428">
        <f t="shared" si="54"/>
        <v>-25000</v>
      </c>
      <c r="S1456" s="428" t="str">
        <f>VLOOKUP(H1456,'Fund Utilization Report'!$A$4:$U$1800,13,FALSE)</f>
        <v>MOOE</v>
      </c>
      <c r="T1456" s="428" t="str">
        <f>VLOOKUP(H1456,'Fund Utilization Report'!$A$4:$U$1800,2,FALSE)</f>
        <v>GAA</v>
      </c>
      <c r="U1456" s="428" t="str">
        <f>VLOOKUP(H1456,'Fund Utilization Report'!$A$4:$U$1800,3,FALSE)</f>
        <v>FY2021, RA11518</v>
      </c>
      <c r="V1456" s="428" t="str">
        <f>VLOOKUP(H1456,'Fund Utilization Report'!$A$4:$U$1800,4,FALSE)</f>
        <v>OO 4.2</v>
      </c>
      <c r="W1456" s="428" t="str">
        <f>VLOOKUP(H1456,'Fund Utilization Report'!$A$4:$U$1800,5,FALSE)</f>
        <v>01101101</v>
      </c>
      <c r="X1456" s="428" t="str">
        <f>VLOOKUP(H1456,'Fund Utilization Report'!$A$4:$U$1800,6,FALSE)</f>
        <v>GOP</v>
      </c>
      <c r="Y1456" s="320" t="str">
        <f>VLOOKUP(H1456,'Fund Utilization Report'!$A$4:$U$1800,7,FALSE)</f>
        <v>MOOE</v>
      </c>
      <c r="Z1456" s="425">
        <f>VLOOKUP(H1456,'Fund Utilization Report'!$A$4:$U$1800,8,FALSE)</f>
        <v>5020000000</v>
      </c>
      <c r="AA1456" s="428" t="str">
        <f>VLOOKUP(H1456,'Fund Utilization Report'!$A$4:$U$1800,14,FALSE)</f>
        <v>340200100002000</v>
      </c>
      <c r="AB1456" s="349" t="str">
        <f>VLOOKUP(H1456,'Fund Utilization Report'!$A$4:$U$1800,15,FALSE)</f>
        <v>Implementation of Plans, projects and activities on consumer awareness, education, and advocacy</v>
      </c>
      <c r="AC1456" s="39"/>
      <c r="AD1456" s="34"/>
      <c r="AE1456" s="39"/>
      <c r="AF1456" s="51"/>
      <c r="AG1456" s="442"/>
      <c r="AH1456" s="442"/>
      <c r="AI1456" s="443"/>
    </row>
    <row r="1457" spans="1:35" s="32" customFormat="1" ht="27.6">
      <c r="A1457" s="434" t="s">
        <v>942</v>
      </c>
      <c r="B1457" s="457" t="s">
        <v>946</v>
      </c>
      <c r="C1457" s="233">
        <v>44280</v>
      </c>
      <c r="D1457" s="435" t="s">
        <v>1267</v>
      </c>
      <c r="E1457" s="436" t="s">
        <v>1536</v>
      </c>
      <c r="F1457" s="338">
        <v>0.36805555555555558</v>
      </c>
      <c r="G1457" s="338">
        <v>0.36874999999999997</v>
      </c>
      <c r="H1457" s="338" t="s">
        <v>979</v>
      </c>
      <c r="I1457" s="353">
        <v>753</v>
      </c>
      <c r="J1457" s="338" t="str">
        <f>IFERROR(VLOOKUP(I1457,'Chart of accounts'!A:H,2,FALSE),"")</f>
        <v>50202010 00</v>
      </c>
      <c r="K1457" s="338" t="str">
        <f>IFERROR(VLOOKUP(I1457,'Chart of accounts'!A:H,3,FALSE),"")</f>
        <v>Training Expenses</v>
      </c>
      <c r="L1457" s="338" t="str">
        <f>IFERROR(VLOOKUP(I1457,'Chart of accounts'!A:H,4,FALSE),"")</f>
        <v>50202010 00 - Training Expenses (753)</v>
      </c>
      <c r="M1457" s="361" t="s">
        <v>1537</v>
      </c>
      <c r="N1457" s="355" t="s">
        <v>818</v>
      </c>
      <c r="O1457" s="355" t="s">
        <v>1538</v>
      </c>
      <c r="P1457" s="355"/>
      <c r="Q1457" s="363">
        <v>40000</v>
      </c>
      <c r="R1457" s="428">
        <f t="shared" si="54"/>
        <v>-40000</v>
      </c>
      <c r="S1457" s="428" t="str">
        <f>VLOOKUP(H1457,'Fund Utilization Report'!$A$4:$U$1800,13,FALSE)</f>
        <v>MOOE</v>
      </c>
      <c r="T1457" s="428" t="str">
        <f>VLOOKUP(H1457,'Fund Utilization Report'!$A$4:$U$1800,2,FALSE)</f>
        <v>GAA</v>
      </c>
      <c r="U1457" s="428" t="str">
        <f>VLOOKUP(H1457,'Fund Utilization Report'!$A$4:$U$1800,3,FALSE)</f>
        <v>FY2021, RA11518</v>
      </c>
      <c r="V1457" s="428" t="str">
        <f>VLOOKUP(H1457,'Fund Utilization Report'!$A$4:$U$1800,4,FALSE)</f>
        <v>OO 4.2</v>
      </c>
      <c r="W1457" s="428" t="str">
        <f>VLOOKUP(H1457,'Fund Utilization Report'!$A$4:$U$1800,5,FALSE)</f>
        <v>01101101</v>
      </c>
      <c r="X1457" s="428" t="str">
        <f>VLOOKUP(H1457,'Fund Utilization Report'!$A$4:$U$1800,6,FALSE)</f>
        <v>GOP</v>
      </c>
      <c r="Y1457" s="320" t="str">
        <f>VLOOKUP(H1457,'Fund Utilization Report'!$A$4:$U$1800,7,FALSE)</f>
        <v>MOOE</v>
      </c>
      <c r="Z1457" s="425">
        <f>VLOOKUP(H1457,'Fund Utilization Report'!$A$4:$U$1800,8,FALSE)</f>
        <v>5020000000</v>
      </c>
      <c r="AA1457" s="428" t="str">
        <f>VLOOKUP(H1457,'Fund Utilization Report'!$A$4:$U$1800,14,FALSE)</f>
        <v>340200100002000</v>
      </c>
      <c r="AB1457" s="349" t="str">
        <f>VLOOKUP(H1457,'Fund Utilization Report'!$A$4:$U$1800,15,FALSE)</f>
        <v>Implementation of Plans, projects and activities on consumer awareness, education, and advocacy</v>
      </c>
      <c r="AC1457" s="39"/>
      <c r="AD1457" s="34"/>
      <c r="AE1457" s="39"/>
      <c r="AF1457" s="51"/>
      <c r="AG1457" s="442"/>
      <c r="AH1457" s="442"/>
      <c r="AI1457" s="443"/>
    </row>
    <row r="1458" spans="1:35" s="32" customFormat="1" ht="27.6">
      <c r="A1458" s="434" t="s">
        <v>942</v>
      </c>
      <c r="B1458" s="457" t="s">
        <v>946</v>
      </c>
      <c r="C1458" s="233">
        <v>44280</v>
      </c>
      <c r="D1458" s="435" t="s">
        <v>1267</v>
      </c>
      <c r="E1458" s="436" t="s">
        <v>1536</v>
      </c>
      <c r="F1458" s="338">
        <v>0.36805555555555558</v>
      </c>
      <c r="G1458" s="338">
        <v>0.36874999999999997</v>
      </c>
      <c r="H1458" s="338" t="s">
        <v>979</v>
      </c>
      <c r="I1458" s="353">
        <v>783</v>
      </c>
      <c r="J1458" s="338" t="str">
        <f>IFERROR(VLOOKUP(I1458,'Chart of accounts'!A:H,2,FALSE),"")</f>
        <v>50299030 00</v>
      </c>
      <c r="K1458" s="338" t="str">
        <f>IFERROR(VLOOKUP(I1458,'Chart of accounts'!A:H,3,FALSE),"")</f>
        <v>Representation Expenses</v>
      </c>
      <c r="L1458" s="338" t="str">
        <f>IFERROR(VLOOKUP(I1458,'Chart of accounts'!A:H,4,FALSE),"")</f>
        <v>50299030 00 - Representation Expenses (783)</v>
      </c>
      <c r="M1458" s="361" t="s">
        <v>1537</v>
      </c>
      <c r="N1458" s="355" t="s">
        <v>818</v>
      </c>
      <c r="O1458" s="355" t="s">
        <v>1538</v>
      </c>
      <c r="P1458" s="355"/>
      <c r="Q1458" s="363">
        <v>40000</v>
      </c>
      <c r="R1458" s="428">
        <f t="shared" si="54"/>
        <v>-40000</v>
      </c>
      <c r="S1458" s="428" t="str">
        <f>VLOOKUP(H1458,'Fund Utilization Report'!$A$4:$U$1800,13,FALSE)</f>
        <v>MOOE</v>
      </c>
      <c r="T1458" s="428" t="str">
        <f>VLOOKUP(H1458,'Fund Utilization Report'!$A$4:$U$1800,2,FALSE)</f>
        <v>GAA</v>
      </c>
      <c r="U1458" s="428" t="str">
        <f>VLOOKUP(H1458,'Fund Utilization Report'!$A$4:$U$1800,3,FALSE)</f>
        <v>FY2021, RA11518</v>
      </c>
      <c r="V1458" s="428" t="str">
        <f>VLOOKUP(H1458,'Fund Utilization Report'!$A$4:$U$1800,4,FALSE)</f>
        <v>OO 4.2</v>
      </c>
      <c r="W1458" s="428" t="str">
        <f>VLOOKUP(H1458,'Fund Utilization Report'!$A$4:$U$1800,5,FALSE)</f>
        <v>01101101</v>
      </c>
      <c r="X1458" s="428" t="str">
        <f>VLOOKUP(H1458,'Fund Utilization Report'!$A$4:$U$1800,6,FALSE)</f>
        <v>GOP</v>
      </c>
      <c r="Y1458" s="320" t="str">
        <f>VLOOKUP(H1458,'Fund Utilization Report'!$A$4:$U$1800,7,FALSE)</f>
        <v>MOOE</v>
      </c>
      <c r="Z1458" s="425">
        <f>VLOOKUP(H1458,'Fund Utilization Report'!$A$4:$U$1800,8,FALSE)</f>
        <v>5020000000</v>
      </c>
      <c r="AA1458" s="428" t="str">
        <f>VLOOKUP(H1458,'Fund Utilization Report'!$A$4:$U$1800,14,FALSE)</f>
        <v>340200100002000</v>
      </c>
      <c r="AB1458" s="349" t="str">
        <f>VLOOKUP(H1458,'Fund Utilization Report'!$A$4:$U$1800,15,FALSE)</f>
        <v>Implementation of Plans, projects and activities on consumer awareness, education, and advocacy</v>
      </c>
      <c r="AC1458" s="39"/>
      <c r="AD1458" s="34"/>
      <c r="AE1458" s="39"/>
      <c r="AF1458" s="51"/>
      <c r="AG1458" s="442"/>
      <c r="AH1458" s="442"/>
      <c r="AI1458" s="443"/>
    </row>
    <row r="1459" spans="1:35" s="32" customFormat="1" ht="27.6">
      <c r="A1459" s="434" t="s">
        <v>942</v>
      </c>
      <c r="B1459" s="457" t="s">
        <v>946</v>
      </c>
      <c r="C1459" s="233">
        <v>44280</v>
      </c>
      <c r="D1459" s="435" t="s">
        <v>1267</v>
      </c>
      <c r="E1459" s="436" t="s">
        <v>1541</v>
      </c>
      <c r="F1459" s="338">
        <v>0.36874999999999997</v>
      </c>
      <c r="G1459" s="338">
        <v>0.36944444444444446</v>
      </c>
      <c r="H1459" s="338" t="s">
        <v>974</v>
      </c>
      <c r="I1459" s="353">
        <v>751</v>
      </c>
      <c r="J1459" s="338" t="str">
        <f>IFERROR(VLOOKUP(I1459,'Chart of accounts'!A:H,2,FALSE),"")</f>
        <v>50201010 00</v>
      </c>
      <c r="K1459" s="338" t="str">
        <f>IFERROR(VLOOKUP(I1459,'Chart of accounts'!A:H,3,FALSE),"")</f>
        <v>Traveling Expenses - Local</v>
      </c>
      <c r="L1459" s="338" t="str">
        <f>IFERROR(VLOOKUP(I1459,'Chart of accounts'!A:H,4,FALSE),"")</f>
        <v>50201010 00 - Traveling Expenses - Local (751)</v>
      </c>
      <c r="M1459" s="361" t="s">
        <v>1537</v>
      </c>
      <c r="N1459" s="355" t="s">
        <v>1539</v>
      </c>
      <c r="O1459" s="355" t="s">
        <v>1543</v>
      </c>
      <c r="P1459" s="355"/>
      <c r="Q1459" s="363">
        <v>30000</v>
      </c>
      <c r="R1459" s="428">
        <f t="shared" si="54"/>
        <v>-30000</v>
      </c>
      <c r="S1459" s="428" t="str">
        <f>VLOOKUP(H1459,'Fund Utilization Report'!$A$4:$U$1800,13,FALSE)</f>
        <v>MOOE</v>
      </c>
      <c r="T1459" s="428" t="str">
        <f>VLOOKUP(H1459,'Fund Utilization Report'!$A$4:$U$1800,2,FALSE)</f>
        <v>GAA</v>
      </c>
      <c r="U1459" s="428" t="str">
        <f>VLOOKUP(H1459,'Fund Utilization Report'!$A$4:$U$1800,3,FALSE)</f>
        <v>FY2021, RA11518</v>
      </c>
      <c r="V1459" s="428" t="str">
        <f>VLOOKUP(H1459,'Fund Utilization Report'!$A$4:$U$1800,4,FALSE)</f>
        <v>OO4.1(FTL)</v>
      </c>
      <c r="W1459" s="428" t="str">
        <f>VLOOKUP(H1459,'Fund Utilization Report'!$A$4:$U$1800,5,FALSE)</f>
        <v>01101101</v>
      </c>
      <c r="X1459" s="428" t="str">
        <f>VLOOKUP(H1459,'Fund Utilization Report'!$A$4:$U$1800,6,FALSE)</f>
        <v>GOP</v>
      </c>
      <c r="Y1459" s="320" t="str">
        <f>VLOOKUP(H1459,'Fund Utilization Report'!$A$4:$U$1800,7,FALSE)</f>
        <v>MOOE</v>
      </c>
      <c r="Z1459" s="425">
        <f>VLOOKUP(H1459,'Fund Utilization Report'!$A$4:$U$1800,8,FALSE)</f>
        <v>5020000000</v>
      </c>
      <c r="AA1459" s="428" t="str">
        <f>VLOOKUP(H1459,'Fund Utilization Report'!$A$4:$U$1800,14,FALSE)</f>
        <v>340100100002000</v>
      </c>
      <c r="AB1459" s="349" t="str">
        <f>VLOOKUP(H1459,'Fund Utilization Report'!$A$4:$U$1800,15,FALSE)</f>
        <v>Monitoring and Enforcement of FTL including consumer complaints handling</v>
      </c>
      <c r="AC1459" s="39"/>
      <c r="AD1459" s="34"/>
      <c r="AE1459" s="39"/>
      <c r="AF1459" s="51"/>
      <c r="AG1459" s="442"/>
      <c r="AH1459" s="442"/>
      <c r="AI1459" s="443"/>
    </row>
    <row r="1460" spans="1:35" s="32" customFormat="1" ht="27.6">
      <c r="A1460" s="434" t="s">
        <v>942</v>
      </c>
      <c r="B1460" s="457" t="s">
        <v>946</v>
      </c>
      <c r="C1460" s="233">
        <v>44280</v>
      </c>
      <c r="D1460" s="435" t="s">
        <v>1267</v>
      </c>
      <c r="E1460" s="436" t="s">
        <v>1541</v>
      </c>
      <c r="F1460" s="338">
        <v>0.36874999999999997</v>
      </c>
      <c r="G1460" s="338">
        <v>0.36944444444444446</v>
      </c>
      <c r="H1460" s="338" t="s">
        <v>974</v>
      </c>
      <c r="I1460" s="353">
        <v>753</v>
      </c>
      <c r="J1460" s="338" t="str">
        <f>IFERROR(VLOOKUP(I1460,'Chart of accounts'!A:H,2,FALSE),"")</f>
        <v>50202010 00</v>
      </c>
      <c r="K1460" s="338" t="str">
        <f>IFERROR(VLOOKUP(I1460,'Chart of accounts'!A:H,3,FALSE),"")</f>
        <v>Training Expenses</v>
      </c>
      <c r="L1460" s="338" t="str">
        <f>IFERROR(VLOOKUP(I1460,'Chart of accounts'!A:H,4,FALSE),"")</f>
        <v>50202010 00 - Training Expenses (753)</v>
      </c>
      <c r="M1460" s="361" t="s">
        <v>1537</v>
      </c>
      <c r="N1460" s="355" t="s">
        <v>1539</v>
      </c>
      <c r="O1460" s="355" t="s">
        <v>1543</v>
      </c>
      <c r="P1460" s="355"/>
      <c r="Q1460" s="363">
        <v>20000</v>
      </c>
      <c r="R1460" s="428">
        <f t="shared" si="54"/>
        <v>-20000</v>
      </c>
      <c r="S1460" s="428" t="str">
        <f>VLOOKUP(H1460,'Fund Utilization Report'!$A$4:$U$1800,13,FALSE)</f>
        <v>MOOE</v>
      </c>
      <c r="T1460" s="428" t="str">
        <f>VLOOKUP(H1460,'Fund Utilization Report'!$A$4:$U$1800,2,FALSE)</f>
        <v>GAA</v>
      </c>
      <c r="U1460" s="428" t="str">
        <f>VLOOKUP(H1460,'Fund Utilization Report'!$A$4:$U$1800,3,FALSE)</f>
        <v>FY2021, RA11518</v>
      </c>
      <c r="V1460" s="428" t="str">
        <f>VLOOKUP(H1460,'Fund Utilization Report'!$A$4:$U$1800,4,FALSE)</f>
        <v>OO4.1(FTL)</v>
      </c>
      <c r="W1460" s="428" t="str">
        <f>VLOOKUP(H1460,'Fund Utilization Report'!$A$4:$U$1800,5,FALSE)</f>
        <v>01101101</v>
      </c>
      <c r="X1460" s="428" t="str">
        <f>VLOOKUP(H1460,'Fund Utilization Report'!$A$4:$U$1800,6,FALSE)</f>
        <v>GOP</v>
      </c>
      <c r="Y1460" s="320" t="str">
        <f>VLOOKUP(H1460,'Fund Utilization Report'!$A$4:$U$1800,7,FALSE)</f>
        <v>MOOE</v>
      </c>
      <c r="Z1460" s="425">
        <f>VLOOKUP(H1460,'Fund Utilization Report'!$A$4:$U$1800,8,FALSE)</f>
        <v>5020000000</v>
      </c>
      <c r="AA1460" s="428" t="str">
        <f>VLOOKUP(H1460,'Fund Utilization Report'!$A$4:$U$1800,14,FALSE)</f>
        <v>340100100002000</v>
      </c>
      <c r="AB1460" s="349" t="str">
        <f>VLOOKUP(H1460,'Fund Utilization Report'!$A$4:$U$1800,15,FALSE)</f>
        <v>Monitoring and Enforcement of FTL including consumer complaints handling</v>
      </c>
      <c r="AC1460" s="39"/>
      <c r="AD1460" s="34"/>
      <c r="AE1460" s="39"/>
      <c r="AF1460" s="51"/>
      <c r="AG1460" s="442"/>
      <c r="AH1460" s="442"/>
      <c r="AI1460" s="443"/>
    </row>
    <row r="1461" spans="1:35" s="32" customFormat="1" ht="27.6">
      <c r="A1461" s="434" t="s">
        <v>942</v>
      </c>
      <c r="B1461" s="457" t="s">
        <v>946</v>
      </c>
      <c r="C1461" s="233">
        <v>44280</v>
      </c>
      <c r="D1461" s="435" t="s">
        <v>1267</v>
      </c>
      <c r="E1461" s="436" t="s">
        <v>1541</v>
      </c>
      <c r="F1461" s="338">
        <v>0.36874999999999997</v>
      </c>
      <c r="G1461" s="338">
        <v>0.36944444444444446</v>
      </c>
      <c r="H1461" s="338" t="s">
        <v>974</v>
      </c>
      <c r="I1461" s="353">
        <v>799</v>
      </c>
      <c r="J1461" s="338" t="str">
        <f>IFERROR(VLOOKUP(I1461,'Chart of accounts'!A:H,2,FALSE),"")</f>
        <v>50211990 00</v>
      </c>
      <c r="K1461" s="338" t="str">
        <f>IFERROR(VLOOKUP(I1461,'Chart of accounts'!A:H,3,FALSE),"")</f>
        <v>Other Professional Services</v>
      </c>
      <c r="L1461" s="338" t="str">
        <f>IFERROR(VLOOKUP(I1461,'Chart of accounts'!A:H,4,FALSE),"")</f>
        <v>50211990 00 - Other Professional Services (799)</v>
      </c>
      <c r="M1461" s="361" t="s">
        <v>1537</v>
      </c>
      <c r="N1461" s="355" t="s">
        <v>1539</v>
      </c>
      <c r="O1461" s="355" t="s">
        <v>1543</v>
      </c>
      <c r="P1461" s="355"/>
      <c r="Q1461" s="363">
        <v>10000</v>
      </c>
      <c r="R1461" s="428">
        <f t="shared" si="54"/>
        <v>-10000</v>
      </c>
      <c r="S1461" s="428" t="str">
        <f>VLOOKUP(H1461,'Fund Utilization Report'!$A$4:$U$1800,13,FALSE)</f>
        <v>MOOE</v>
      </c>
      <c r="T1461" s="428" t="str">
        <f>VLOOKUP(H1461,'Fund Utilization Report'!$A$4:$U$1800,2,FALSE)</f>
        <v>GAA</v>
      </c>
      <c r="U1461" s="428" t="str">
        <f>VLOOKUP(H1461,'Fund Utilization Report'!$A$4:$U$1800,3,FALSE)</f>
        <v>FY2021, RA11518</v>
      </c>
      <c r="V1461" s="428" t="str">
        <f>VLOOKUP(H1461,'Fund Utilization Report'!$A$4:$U$1800,4,FALSE)</f>
        <v>OO4.1(FTL)</v>
      </c>
      <c r="W1461" s="428" t="str">
        <f>VLOOKUP(H1461,'Fund Utilization Report'!$A$4:$U$1800,5,FALSE)</f>
        <v>01101101</v>
      </c>
      <c r="X1461" s="428" t="str">
        <f>VLOOKUP(H1461,'Fund Utilization Report'!$A$4:$U$1800,6,FALSE)</f>
        <v>GOP</v>
      </c>
      <c r="Y1461" s="320" t="str">
        <f>VLOOKUP(H1461,'Fund Utilization Report'!$A$4:$U$1800,7,FALSE)</f>
        <v>MOOE</v>
      </c>
      <c r="Z1461" s="425">
        <f>VLOOKUP(H1461,'Fund Utilization Report'!$A$4:$U$1800,8,FALSE)</f>
        <v>5020000000</v>
      </c>
      <c r="AA1461" s="428" t="str">
        <f>VLOOKUP(H1461,'Fund Utilization Report'!$A$4:$U$1800,14,FALSE)</f>
        <v>340100100002000</v>
      </c>
      <c r="AB1461" s="349" t="str">
        <f>VLOOKUP(H1461,'Fund Utilization Report'!$A$4:$U$1800,15,FALSE)</f>
        <v>Monitoring and Enforcement of FTL including consumer complaints handling</v>
      </c>
      <c r="AC1461" s="39"/>
      <c r="AD1461" s="34"/>
      <c r="AE1461" s="39"/>
      <c r="AF1461" s="51"/>
      <c r="AG1461" s="442"/>
      <c r="AH1461" s="442"/>
      <c r="AI1461" s="443"/>
    </row>
    <row r="1462" spans="1:35" s="32" customFormat="1" ht="27.6">
      <c r="A1462" s="434" t="s">
        <v>942</v>
      </c>
      <c r="B1462" s="457" t="s">
        <v>946</v>
      </c>
      <c r="C1462" s="233">
        <v>44280</v>
      </c>
      <c r="D1462" s="435" t="s">
        <v>1267</v>
      </c>
      <c r="E1462" s="436" t="s">
        <v>1541</v>
      </c>
      <c r="F1462" s="338">
        <v>0.36874999999999997</v>
      </c>
      <c r="G1462" s="338">
        <v>0.36944444444444446</v>
      </c>
      <c r="H1462" s="338" t="s">
        <v>977</v>
      </c>
      <c r="I1462" s="353">
        <v>751</v>
      </c>
      <c r="J1462" s="338" t="str">
        <f>IFERROR(VLOOKUP(I1462,'Chart of accounts'!A:H,2,FALSE),"")</f>
        <v>50201010 00</v>
      </c>
      <c r="K1462" s="338" t="str">
        <f>IFERROR(VLOOKUP(I1462,'Chart of accounts'!A:H,3,FALSE),"")</f>
        <v>Traveling Expenses - Local</v>
      </c>
      <c r="L1462" s="338" t="str">
        <f>IFERROR(VLOOKUP(I1462,'Chart of accounts'!A:H,4,FALSE),"")</f>
        <v>50201010 00 - Traveling Expenses - Local (751)</v>
      </c>
      <c r="M1462" s="361" t="s">
        <v>1537</v>
      </c>
      <c r="N1462" s="355" t="s">
        <v>1539</v>
      </c>
      <c r="O1462" s="355" t="s">
        <v>1543</v>
      </c>
      <c r="P1462" s="355"/>
      <c r="Q1462" s="363">
        <v>25000</v>
      </c>
      <c r="R1462" s="428">
        <f t="shared" si="54"/>
        <v>-25000</v>
      </c>
      <c r="S1462" s="428" t="str">
        <f>VLOOKUP(H1462,'Fund Utilization Report'!$A$4:$U$1800,13,FALSE)</f>
        <v>MOOE</v>
      </c>
      <c r="T1462" s="428" t="str">
        <f>VLOOKUP(H1462,'Fund Utilization Report'!$A$4:$U$1800,2,FALSE)</f>
        <v>GAA</v>
      </c>
      <c r="U1462" s="428" t="str">
        <f>VLOOKUP(H1462,'Fund Utilization Report'!$A$4:$U$1800,3,FALSE)</f>
        <v>FY2021, RA11518</v>
      </c>
      <c r="V1462" s="428" t="str">
        <f>VLOOKUP(H1462,'Fund Utilization Report'!$A$4:$U$1800,4,FALSE)</f>
        <v>OO4.1(Acc)</v>
      </c>
      <c r="W1462" s="428" t="str">
        <f>VLOOKUP(H1462,'Fund Utilization Report'!$A$4:$U$1800,5,FALSE)</f>
        <v>01101101</v>
      </c>
      <c r="X1462" s="428" t="str">
        <f>VLOOKUP(H1462,'Fund Utilization Report'!$A$4:$U$1800,6,FALSE)</f>
        <v>GOP</v>
      </c>
      <c r="Y1462" s="320" t="str">
        <f>VLOOKUP(H1462,'Fund Utilization Report'!$A$4:$U$1800,7,FALSE)</f>
        <v>MOOE</v>
      </c>
      <c r="Z1462" s="425">
        <f>VLOOKUP(H1462,'Fund Utilization Report'!$A$4:$U$1800,8,FALSE)</f>
        <v>5020000000</v>
      </c>
      <c r="AA1462" s="428" t="str">
        <f>VLOOKUP(H1462,'Fund Utilization Report'!$A$4:$U$1800,14,FALSE)</f>
        <v>340100100003000</v>
      </c>
      <c r="AB1462" s="349" t="str">
        <f>VLOOKUP(H1462,'Fund Utilization Report'!$A$4:$U$1800,15,FALSE)</f>
        <v>Accreditation and Issuance of Business Licenses, Permits, registration and authorities</v>
      </c>
      <c r="AC1462" s="39"/>
      <c r="AD1462" s="34"/>
      <c r="AE1462" s="39"/>
      <c r="AF1462" s="51"/>
      <c r="AG1462" s="442"/>
      <c r="AH1462" s="442"/>
      <c r="AI1462" s="443"/>
    </row>
    <row r="1463" spans="1:35" s="32" customFormat="1" ht="27.6">
      <c r="A1463" s="434" t="s">
        <v>942</v>
      </c>
      <c r="B1463" s="457" t="s">
        <v>946</v>
      </c>
      <c r="C1463" s="233">
        <v>44280</v>
      </c>
      <c r="D1463" s="435" t="s">
        <v>1267</v>
      </c>
      <c r="E1463" s="436" t="s">
        <v>1541</v>
      </c>
      <c r="F1463" s="338">
        <v>0.36874999999999997</v>
      </c>
      <c r="G1463" s="338">
        <v>0.36944444444444446</v>
      </c>
      <c r="H1463" s="338" t="s">
        <v>977</v>
      </c>
      <c r="I1463" s="353">
        <v>753</v>
      </c>
      <c r="J1463" s="338" t="str">
        <f>IFERROR(VLOOKUP(I1463,'Chart of accounts'!A:H,2,FALSE),"")</f>
        <v>50202010 00</v>
      </c>
      <c r="K1463" s="338" t="str">
        <f>IFERROR(VLOOKUP(I1463,'Chart of accounts'!A:H,3,FALSE),"")</f>
        <v>Training Expenses</v>
      </c>
      <c r="L1463" s="338" t="str">
        <f>IFERROR(VLOOKUP(I1463,'Chart of accounts'!A:H,4,FALSE),"")</f>
        <v>50202010 00 - Training Expenses (753)</v>
      </c>
      <c r="M1463" s="361" t="s">
        <v>1537</v>
      </c>
      <c r="N1463" s="355" t="s">
        <v>1539</v>
      </c>
      <c r="O1463" s="355" t="s">
        <v>1543</v>
      </c>
      <c r="P1463" s="355"/>
      <c r="Q1463" s="363">
        <v>10000</v>
      </c>
      <c r="R1463" s="428">
        <f t="shared" si="54"/>
        <v>-10000</v>
      </c>
      <c r="S1463" s="428" t="str">
        <f>VLOOKUP(H1463,'Fund Utilization Report'!$A$4:$U$1800,13,FALSE)</f>
        <v>MOOE</v>
      </c>
      <c r="T1463" s="428" t="str">
        <f>VLOOKUP(H1463,'Fund Utilization Report'!$A$4:$U$1800,2,FALSE)</f>
        <v>GAA</v>
      </c>
      <c r="U1463" s="428" t="str">
        <f>VLOOKUP(H1463,'Fund Utilization Report'!$A$4:$U$1800,3,FALSE)</f>
        <v>FY2021, RA11518</v>
      </c>
      <c r="V1463" s="428" t="str">
        <f>VLOOKUP(H1463,'Fund Utilization Report'!$A$4:$U$1800,4,FALSE)</f>
        <v>OO4.1(Acc)</v>
      </c>
      <c r="W1463" s="428" t="str">
        <f>VLOOKUP(H1463,'Fund Utilization Report'!$A$4:$U$1800,5,FALSE)</f>
        <v>01101101</v>
      </c>
      <c r="X1463" s="428" t="str">
        <f>VLOOKUP(H1463,'Fund Utilization Report'!$A$4:$U$1800,6,FALSE)</f>
        <v>GOP</v>
      </c>
      <c r="Y1463" s="320" t="str">
        <f>VLOOKUP(H1463,'Fund Utilization Report'!$A$4:$U$1800,7,FALSE)</f>
        <v>MOOE</v>
      </c>
      <c r="Z1463" s="425">
        <f>VLOOKUP(H1463,'Fund Utilization Report'!$A$4:$U$1800,8,FALSE)</f>
        <v>5020000000</v>
      </c>
      <c r="AA1463" s="428" t="str">
        <f>VLOOKUP(H1463,'Fund Utilization Report'!$A$4:$U$1800,14,FALSE)</f>
        <v>340100100003000</v>
      </c>
      <c r="AB1463" s="349" t="str">
        <f>VLOOKUP(H1463,'Fund Utilization Report'!$A$4:$U$1800,15,FALSE)</f>
        <v>Accreditation and Issuance of Business Licenses, Permits, registration and authorities</v>
      </c>
      <c r="AC1463" s="39"/>
      <c r="AD1463" s="34"/>
      <c r="AE1463" s="39"/>
      <c r="AF1463" s="51"/>
      <c r="AG1463" s="442"/>
      <c r="AH1463" s="442"/>
      <c r="AI1463" s="443"/>
    </row>
    <row r="1464" spans="1:35" s="32" customFormat="1" ht="27.6">
      <c r="A1464" s="434" t="s">
        <v>942</v>
      </c>
      <c r="B1464" s="457" t="s">
        <v>946</v>
      </c>
      <c r="C1464" s="233">
        <v>44280</v>
      </c>
      <c r="D1464" s="435" t="s">
        <v>1267</v>
      </c>
      <c r="E1464" s="436" t="s">
        <v>1541</v>
      </c>
      <c r="F1464" s="338">
        <v>0.36874999999999997</v>
      </c>
      <c r="G1464" s="338">
        <v>0.36944444444444446</v>
      </c>
      <c r="H1464" s="338" t="s">
        <v>977</v>
      </c>
      <c r="I1464" s="353">
        <v>783</v>
      </c>
      <c r="J1464" s="338" t="str">
        <f>IFERROR(VLOOKUP(I1464,'Chart of accounts'!A:H,2,FALSE),"")</f>
        <v>50299030 00</v>
      </c>
      <c r="K1464" s="338" t="str">
        <f>IFERROR(VLOOKUP(I1464,'Chart of accounts'!A:H,3,FALSE),"")</f>
        <v>Representation Expenses</v>
      </c>
      <c r="L1464" s="338" t="str">
        <f>IFERROR(VLOOKUP(I1464,'Chart of accounts'!A:H,4,FALSE),"")</f>
        <v>50299030 00 - Representation Expenses (783)</v>
      </c>
      <c r="M1464" s="361" t="s">
        <v>1537</v>
      </c>
      <c r="N1464" s="355" t="s">
        <v>1539</v>
      </c>
      <c r="O1464" s="355" t="s">
        <v>1543</v>
      </c>
      <c r="P1464" s="355"/>
      <c r="Q1464" s="363">
        <f>251200-10000</f>
        <v>241200</v>
      </c>
      <c r="R1464" s="428">
        <f t="shared" si="54"/>
        <v>-241200</v>
      </c>
      <c r="S1464" s="428" t="str">
        <f>VLOOKUP(H1464,'Fund Utilization Report'!$A$4:$U$1800,13,FALSE)</f>
        <v>MOOE</v>
      </c>
      <c r="T1464" s="428" t="str">
        <f>VLOOKUP(H1464,'Fund Utilization Report'!$A$4:$U$1800,2,FALSE)</f>
        <v>GAA</v>
      </c>
      <c r="U1464" s="428" t="str">
        <f>VLOOKUP(H1464,'Fund Utilization Report'!$A$4:$U$1800,3,FALSE)</f>
        <v>FY2021, RA11518</v>
      </c>
      <c r="V1464" s="428" t="str">
        <f>VLOOKUP(H1464,'Fund Utilization Report'!$A$4:$U$1800,4,FALSE)</f>
        <v>OO4.1(Acc)</v>
      </c>
      <c r="W1464" s="428" t="str">
        <f>VLOOKUP(H1464,'Fund Utilization Report'!$A$4:$U$1800,5,FALSE)</f>
        <v>01101101</v>
      </c>
      <c r="X1464" s="428" t="str">
        <f>VLOOKUP(H1464,'Fund Utilization Report'!$A$4:$U$1800,6,FALSE)</f>
        <v>GOP</v>
      </c>
      <c r="Y1464" s="320" t="str">
        <f>VLOOKUP(H1464,'Fund Utilization Report'!$A$4:$U$1800,7,FALSE)</f>
        <v>MOOE</v>
      </c>
      <c r="Z1464" s="425">
        <f>VLOOKUP(H1464,'Fund Utilization Report'!$A$4:$U$1800,8,FALSE)</f>
        <v>5020000000</v>
      </c>
      <c r="AA1464" s="428" t="str">
        <f>VLOOKUP(H1464,'Fund Utilization Report'!$A$4:$U$1800,14,FALSE)</f>
        <v>340100100003000</v>
      </c>
      <c r="AB1464" s="349" t="str">
        <f>VLOOKUP(H1464,'Fund Utilization Report'!$A$4:$U$1800,15,FALSE)</f>
        <v>Accreditation and Issuance of Business Licenses, Permits, registration and authorities</v>
      </c>
      <c r="AC1464" s="39"/>
      <c r="AD1464" s="34"/>
      <c r="AE1464" s="39"/>
      <c r="AF1464" s="51"/>
      <c r="AG1464" s="442"/>
      <c r="AH1464" s="442"/>
      <c r="AI1464" s="443"/>
    </row>
    <row r="1465" spans="1:35" s="32" customFormat="1" ht="27.6">
      <c r="A1465" s="434" t="s">
        <v>942</v>
      </c>
      <c r="B1465" s="457" t="s">
        <v>946</v>
      </c>
      <c r="C1465" s="233">
        <v>44280</v>
      </c>
      <c r="D1465" s="435" t="s">
        <v>1267</v>
      </c>
      <c r="E1465" s="436" t="s">
        <v>1541</v>
      </c>
      <c r="F1465" s="338">
        <v>0.36874999999999997</v>
      </c>
      <c r="G1465" s="338">
        <v>0.36944444444444446</v>
      </c>
      <c r="H1465" s="338" t="s">
        <v>979</v>
      </c>
      <c r="I1465" s="353">
        <v>751</v>
      </c>
      <c r="J1465" s="338" t="str">
        <f>IFERROR(VLOOKUP(I1465,'Chart of accounts'!A:H,2,FALSE),"")</f>
        <v>50201010 00</v>
      </c>
      <c r="K1465" s="338" t="str">
        <f>IFERROR(VLOOKUP(I1465,'Chart of accounts'!A:H,3,FALSE),"")</f>
        <v>Traveling Expenses - Local</v>
      </c>
      <c r="L1465" s="338" t="str">
        <f>IFERROR(VLOOKUP(I1465,'Chart of accounts'!A:H,4,FALSE),"")</f>
        <v>50201010 00 - Traveling Expenses - Local (751)</v>
      </c>
      <c r="M1465" s="361" t="s">
        <v>1537</v>
      </c>
      <c r="N1465" s="355" t="s">
        <v>1539</v>
      </c>
      <c r="O1465" s="355" t="s">
        <v>1543</v>
      </c>
      <c r="P1465" s="355"/>
      <c r="Q1465" s="363">
        <v>30000</v>
      </c>
      <c r="R1465" s="428">
        <f t="shared" si="54"/>
        <v>-30000</v>
      </c>
      <c r="S1465" s="428" t="str">
        <f>VLOOKUP(H1465,'Fund Utilization Report'!$A$4:$U$1800,13,FALSE)</f>
        <v>MOOE</v>
      </c>
      <c r="T1465" s="428" t="str">
        <f>VLOOKUP(H1465,'Fund Utilization Report'!$A$4:$U$1800,2,FALSE)</f>
        <v>GAA</v>
      </c>
      <c r="U1465" s="428" t="str">
        <f>VLOOKUP(H1465,'Fund Utilization Report'!$A$4:$U$1800,3,FALSE)</f>
        <v>FY2021, RA11518</v>
      </c>
      <c r="V1465" s="428" t="str">
        <f>VLOOKUP(H1465,'Fund Utilization Report'!$A$4:$U$1800,4,FALSE)</f>
        <v>OO 4.2</v>
      </c>
      <c r="W1465" s="428" t="str">
        <f>VLOOKUP(H1465,'Fund Utilization Report'!$A$4:$U$1800,5,FALSE)</f>
        <v>01101101</v>
      </c>
      <c r="X1465" s="428" t="str">
        <f>VLOOKUP(H1465,'Fund Utilization Report'!$A$4:$U$1800,6,FALSE)</f>
        <v>GOP</v>
      </c>
      <c r="Y1465" s="320" t="str">
        <f>VLOOKUP(H1465,'Fund Utilization Report'!$A$4:$U$1800,7,FALSE)</f>
        <v>MOOE</v>
      </c>
      <c r="Z1465" s="425">
        <f>VLOOKUP(H1465,'Fund Utilization Report'!$A$4:$U$1800,8,FALSE)</f>
        <v>5020000000</v>
      </c>
      <c r="AA1465" s="428" t="str">
        <f>VLOOKUP(H1465,'Fund Utilization Report'!$A$4:$U$1800,14,FALSE)</f>
        <v>340200100002000</v>
      </c>
      <c r="AB1465" s="349" t="str">
        <f>VLOOKUP(H1465,'Fund Utilization Report'!$A$4:$U$1800,15,FALSE)</f>
        <v>Implementation of Plans, projects and activities on consumer awareness, education, and advocacy</v>
      </c>
      <c r="AC1465" s="39"/>
      <c r="AD1465" s="34"/>
      <c r="AE1465" s="39"/>
      <c r="AF1465" s="51"/>
      <c r="AG1465" s="442"/>
      <c r="AH1465" s="442"/>
      <c r="AI1465" s="443"/>
    </row>
    <row r="1466" spans="1:35" s="32" customFormat="1" ht="27.6">
      <c r="A1466" s="434" t="s">
        <v>942</v>
      </c>
      <c r="B1466" s="457" t="s">
        <v>946</v>
      </c>
      <c r="C1466" s="233">
        <v>44280</v>
      </c>
      <c r="D1466" s="435" t="s">
        <v>1267</v>
      </c>
      <c r="E1466" s="436" t="s">
        <v>1541</v>
      </c>
      <c r="F1466" s="338">
        <v>0.36874999999999997</v>
      </c>
      <c r="G1466" s="338">
        <v>0.36944444444444446</v>
      </c>
      <c r="H1466" s="338" t="s">
        <v>979</v>
      </c>
      <c r="I1466" s="353">
        <v>753</v>
      </c>
      <c r="J1466" s="338" t="str">
        <f>IFERROR(VLOOKUP(I1466,'Chart of accounts'!A:H,2,FALSE),"")</f>
        <v>50202010 00</v>
      </c>
      <c r="K1466" s="338" t="str">
        <f>IFERROR(VLOOKUP(I1466,'Chart of accounts'!A:H,3,FALSE),"")</f>
        <v>Training Expenses</v>
      </c>
      <c r="L1466" s="338" t="str">
        <f>IFERROR(VLOOKUP(I1466,'Chart of accounts'!A:H,4,FALSE),"")</f>
        <v>50202010 00 - Training Expenses (753)</v>
      </c>
      <c r="M1466" s="361" t="s">
        <v>1537</v>
      </c>
      <c r="N1466" s="355" t="s">
        <v>1539</v>
      </c>
      <c r="O1466" s="355" t="s">
        <v>1543</v>
      </c>
      <c r="P1466" s="355"/>
      <c r="Q1466" s="363">
        <v>30000</v>
      </c>
      <c r="R1466" s="428">
        <f t="shared" si="54"/>
        <v>-30000</v>
      </c>
      <c r="S1466" s="428" t="str">
        <f>VLOOKUP(H1466,'Fund Utilization Report'!$A$4:$U$1800,13,FALSE)</f>
        <v>MOOE</v>
      </c>
      <c r="T1466" s="428" t="str">
        <f>VLOOKUP(H1466,'Fund Utilization Report'!$A$4:$U$1800,2,FALSE)</f>
        <v>GAA</v>
      </c>
      <c r="U1466" s="428" t="str">
        <f>VLOOKUP(H1466,'Fund Utilization Report'!$A$4:$U$1800,3,FALSE)</f>
        <v>FY2021, RA11518</v>
      </c>
      <c r="V1466" s="428" t="str">
        <f>VLOOKUP(H1466,'Fund Utilization Report'!$A$4:$U$1800,4,FALSE)</f>
        <v>OO 4.2</v>
      </c>
      <c r="W1466" s="428" t="str">
        <f>VLOOKUP(H1466,'Fund Utilization Report'!$A$4:$U$1800,5,FALSE)</f>
        <v>01101101</v>
      </c>
      <c r="X1466" s="428" t="str">
        <f>VLOOKUP(H1466,'Fund Utilization Report'!$A$4:$U$1800,6,FALSE)</f>
        <v>GOP</v>
      </c>
      <c r="Y1466" s="320" t="str">
        <f>VLOOKUP(H1466,'Fund Utilization Report'!$A$4:$U$1800,7,FALSE)</f>
        <v>MOOE</v>
      </c>
      <c r="Z1466" s="425">
        <f>VLOOKUP(H1466,'Fund Utilization Report'!$A$4:$U$1800,8,FALSE)</f>
        <v>5020000000</v>
      </c>
      <c r="AA1466" s="428" t="str">
        <f>VLOOKUP(H1466,'Fund Utilization Report'!$A$4:$U$1800,14,FALSE)</f>
        <v>340200100002000</v>
      </c>
      <c r="AB1466" s="349" t="str">
        <f>VLOOKUP(H1466,'Fund Utilization Report'!$A$4:$U$1800,15,FALSE)</f>
        <v>Implementation of Plans, projects and activities on consumer awareness, education, and advocacy</v>
      </c>
      <c r="AC1466" s="39"/>
      <c r="AD1466" s="34"/>
      <c r="AE1466" s="39"/>
      <c r="AF1466" s="51"/>
      <c r="AG1466" s="442"/>
      <c r="AH1466" s="442"/>
      <c r="AI1466" s="443"/>
    </row>
    <row r="1467" spans="1:35" s="32" customFormat="1" ht="27.6">
      <c r="A1467" s="434" t="s">
        <v>942</v>
      </c>
      <c r="B1467" s="457" t="s">
        <v>946</v>
      </c>
      <c r="C1467" s="233">
        <v>44280</v>
      </c>
      <c r="D1467" s="435" t="s">
        <v>1267</v>
      </c>
      <c r="E1467" s="436" t="s">
        <v>1541</v>
      </c>
      <c r="F1467" s="338">
        <v>0.36874999999999997</v>
      </c>
      <c r="G1467" s="338">
        <v>0.36944444444444446</v>
      </c>
      <c r="H1467" s="338" t="s">
        <v>979</v>
      </c>
      <c r="I1467" s="353">
        <v>783</v>
      </c>
      <c r="J1467" s="338" t="str">
        <f>IFERROR(VLOOKUP(I1467,'Chart of accounts'!A:H,2,FALSE),"")</f>
        <v>50299030 00</v>
      </c>
      <c r="K1467" s="338" t="str">
        <f>IFERROR(VLOOKUP(I1467,'Chart of accounts'!A:H,3,FALSE),"")</f>
        <v>Representation Expenses</v>
      </c>
      <c r="L1467" s="338" t="str">
        <f>IFERROR(VLOOKUP(I1467,'Chart of accounts'!A:H,4,FALSE),"")</f>
        <v>50299030 00 - Representation Expenses (783)</v>
      </c>
      <c r="M1467" s="361" t="s">
        <v>1537</v>
      </c>
      <c r="N1467" s="355" t="s">
        <v>1539</v>
      </c>
      <c r="O1467" s="355" t="s">
        <v>1543</v>
      </c>
      <c r="P1467" s="355"/>
      <c r="Q1467" s="363">
        <v>70000</v>
      </c>
      <c r="R1467" s="428">
        <f t="shared" si="54"/>
        <v>-70000</v>
      </c>
      <c r="S1467" s="428" t="str">
        <f>VLOOKUP(H1467,'Fund Utilization Report'!$A$4:$U$1800,13,FALSE)</f>
        <v>MOOE</v>
      </c>
      <c r="T1467" s="428" t="str">
        <f>VLOOKUP(H1467,'Fund Utilization Report'!$A$4:$U$1800,2,FALSE)</f>
        <v>GAA</v>
      </c>
      <c r="U1467" s="428" t="str">
        <f>VLOOKUP(H1467,'Fund Utilization Report'!$A$4:$U$1800,3,FALSE)</f>
        <v>FY2021, RA11518</v>
      </c>
      <c r="V1467" s="428" t="str">
        <f>VLOOKUP(H1467,'Fund Utilization Report'!$A$4:$U$1800,4,FALSE)</f>
        <v>OO 4.2</v>
      </c>
      <c r="W1467" s="428" t="str">
        <f>VLOOKUP(H1467,'Fund Utilization Report'!$A$4:$U$1800,5,FALSE)</f>
        <v>01101101</v>
      </c>
      <c r="X1467" s="428" t="str">
        <f>VLOOKUP(H1467,'Fund Utilization Report'!$A$4:$U$1800,6,FALSE)</f>
        <v>GOP</v>
      </c>
      <c r="Y1467" s="320" t="str">
        <f>VLOOKUP(H1467,'Fund Utilization Report'!$A$4:$U$1800,7,FALSE)</f>
        <v>MOOE</v>
      </c>
      <c r="Z1467" s="425">
        <f>VLOOKUP(H1467,'Fund Utilization Report'!$A$4:$U$1800,8,FALSE)</f>
        <v>5020000000</v>
      </c>
      <c r="AA1467" s="428" t="str">
        <f>VLOOKUP(H1467,'Fund Utilization Report'!$A$4:$U$1800,14,FALSE)</f>
        <v>340200100002000</v>
      </c>
      <c r="AB1467" s="349" t="str">
        <f>VLOOKUP(H1467,'Fund Utilization Report'!$A$4:$U$1800,15,FALSE)</f>
        <v>Implementation of Plans, projects and activities on consumer awareness, education, and advocacy</v>
      </c>
      <c r="AC1467" s="39"/>
      <c r="AD1467" s="34"/>
      <c r="AE1467" s="39"/>
      <c r="AF1467" s="51"/>
      <c r="AG1467" s="442"/>
      <c r="AH1467" s="442"/>
      <c r="AI1467" s="443"/>
    </row>
    <row r="1468" spans="1:35" s="32" customFormat="1" ht="27.6">
      <c r="A1468" s="434" t="s">
        <v>942</v>
      </c>
      <c r="B1468" s="457" t="s">
        <v>946</v>
      </c>
      <c r="C1468" s="233">
        <v>44280</v>
      </c>
      <c r="D1468" s="435" t="s">
        <v>1267</v>
      </c>
      <c r="E1468" s="436" t="s">
        <v>1542</v>
      </c>
      <c r="F1468" s="338">
        <v>0.36944444444444446</v>
      </c>
      <c r="G1468" s="338">
        <v>0.37083333333333335</v>
      </c>
      <c r="H1468" s="338" t="s">
        <v>974</v>
      </c>
      <c r="I1468" s="353">
        <v>751</v>
      </c>
      <c r="J1468" s="338" t="str">
        <f>IFERROR(VLOOKUP(I1468,'Chart of accounts'!A:H,2,FALSE),"")</f>
        <v>50201010 00</v>
      </c>
      <c r="K1468" s="338" t="str">
        <f>IFERROR(VLOOKUP(I1468,'Chart of accounts'!A:H,3,FALSE),"")</f>
        <v>Traveling Expenses - Local</v>
      </c>
      <c r="L1468" s="338" t="str">
        <f>IFERROR(VLOOKUP(I1468,'Chart of accounts'!A:H,4,FALSE),"")</f>
        <v>50201010 00 - Traveling Expenses - Local (751)</v>
      </c>
      <c r="M1468" s="361" t="s">
        <v>1537</v>
      </c>
      <c r="N1468" s="355" t="s">
        <v>1540</v>
      </c>
      <c r="O1468" s="355" t="s">
        <v>1543</v>
      </c>
      <c r="P1468" s="355"/>
      <c r="Q1468" s="363">
        <v>10000</v>
      </c>
      <c r="R1468" s="428">
        <f t="shared" ref="R1468:R1481" si="55">P1468-Q1468</f>
        <v>-10000</v>
      </c>
      <c r="S1468" s="428" t="str">
        <f>VLOOKUP(H1468,'Fund Utilization Report'!$A$4:$U$1800,13,FALSE)</f>
        <v>MOOE</v>
      </c>
      <c r="T1468" s="428" t="str">
        <f>VLOOKUP(H1468,'Fund Utilization Report'!$A$4:$U$1800,2,FALSE)</f>
        <v>GAA</v>
      </c>
      <c r="U1468" s="428" t="str">
        <f>VLOOKUP(H1468,'Fund Utilization Report'!$A$4:$U$1800,3,FALSE)</f>
        <v>FY2021, RA11518</v>
      </c>
      <c r="V1468" s="428" t="str">
        <f>VLOOKUP(H1468,'Fund Utilization Report'!$A$4:$U$1800,4,FALSE)</f>
        <v>OO4.1(FTL)</v>
      </c>
      <c r="W1468" s="428" t="str">
        <f>VLOOKUP(H1468,'Fund Utilization Report'!$A$4:$U$1800,5,FALSE)</f>
        <v>01101101</v>
      </c>
      <c r="X1468" s="428" t="str">
        <f>VLOOKUP(H1468,'Fund Utilization Report'!$A$4:$U$1800,6,FALSE)</f>
        <v>GOP</v>
      </c>
      <c r="Y1468" s="320" t="str">
        <f>VLOOKUP(H1468,'Fund Utilization Report'!$A$4:$U$1800,7,FALSE)</f>
        <v>MOOE</v>
      </c>
      <c r="Z1468" s="425">
        <f>VLOOKUP(H1468,'Fund Utilization Report'!$A$4:$U$1800,8,FALSE)</f>
        <v>5020000000</v>
      </c>
      <c r="AA1468" s="428" t="str">
        <f>VLOOKUP(H1468,'Fund Utilization Report'!$A$4:$U$1800,14,FALSE)</f>
        <v>340100100002000</v>
      </c>
      <c r="AB1468" s="349" t="str">
        <f>VLOOKUP(H1468,'Fund Utilization Report'!$A$4:$U$1800,15,FALSE)</f>
        <v>Monitoring and Enforcement of FTL including consumer complaints handling</v>
      </c>
      <c r="AC1468" s="39"/>
      <c r="AD1468" s="34"/>
      <c r="AE1468" s="39"/>
      <c r="AF1468" s="51"/>
      <c r="AG1468" s="442"/>
      <c r="AH1468" s="442"/>
      <c r="AI1468" s="443"/>
    </row>
    <row r="1469" spans="1:35" s="32" customFormat="1" ht="27.6">
      <c r="A1469" s="434" t="s">
        <v>942</v>
      </c>
      <c r="B1469" s="457" t="s">
        <v>946</v>
      </c>
      <c r="C1469" s="233">
        <v>44280</v>
      </c>
      <c r="D1469" s="435" t="s">
        <v>1267</v>
      </c>
      <c r="E1469" s="436" t="s">
        <v>1542</v>
      </c>
      <c r="F1469" s="338">
        <v>0.36944444444444446</v>
      </c>
      <c r="G1469" s="338">
        <v>0.37083333333333335</v>
      </c>
      <c r="H1469" s="338" t="s">
        <v>974</v>
      </c>
      <c r="I1469" s="353">
        <v>753</v>
      </c>
      <c r="J1469" s="338" t="str">
        <f>IFERROR(VLOOKUP(I1469,'Chart of accounts'!A:H,2,FALSE),"")</f>
        <v>50202010 00</v>
      </c>
      <c r="K1469" s="338" t="str">
        <f>IFERROR(VLOOKUP(I1469,'Chart of accounts'!A:H,3,FALSE),"")</f>
        <v>Training Expenses</v>
      </c>
      <c r="L1469" s="338" t="str">
        <f>IFERROR(VLOOKUP(I1469,'Chart of accounts'!A:H,4,FALSE),"")</f>
        <v>50202010 00 - Training Expenses (753)</v>
      </c>
      <c r="M1469" s="361" t="s">
        <v>1537</v>
      </c>
      <c r="N1469" s="355" t="s">
        <v>1540</v>
      </c>
      <c r="O1469" s="355" t="s">
        <v>1543</v>
      </c>
      <c r="P1469" s="355"/>
      <c r="Q1469" s="363">
        <v>5000</v>
      </c>
      <c r="R1469" s="428">
        <f t="shared" si="55"/>
        <v>-5000</v>
      </c>
      <c r="S1469" s="428" t="str">
        <f>VLOOKUP(H1469,'Fund Utilization Report'!$A$4:$U$1800,13,FALSE)</f>
        <v>MOOE</v>
      </c>
      <c r="T1469" s="428" t="str">
        <f>VLOOKUP(H1469,'Fund Utilization Report'!$A$4:$U$1800,2,FALSE)</f>
        <v>GAA</v>
      </c>
      <c r="U1469" s="428" t="str">
        <f>VLOOKUP(H1469,'Fund Utilization Report'!$A$4:$U$1800,3,FALSE)</f>
        <v>FY2021, RA11518</v>
      </c>
      <c r="V1469" s="428" t="str">
        <f>VLOOKUP(H1469,'Fund Utilization Report'!$A$4:$U$1800,4,FALSE)</f>
        <v>OO4.1(FTL)</v>
      </c>
      <c r="W1469" s="428" t="str">
        <f>VLOOKUP(H1469,'Fund Utilization Report'!$A$4:$U$1800,5,FALSE)</f>
        <v>01101101</v>
      </c>
      <c r="X1469" s="428" t="str">
        <f>VLOOKUP(H1469,'Fund Utilization Report'!$A$4:$U$1800,6,FALSE)</f>
        <v>GOP</v>
      </c>
      <c r="Y1469" s="320" t="str">
        <f>VLOOKUP(H1469,'Fund Utilization Report'!$A$4:$U$1800,7,FALSE)</f>
        <v>MOOE</v>
      </c>
      <c r="Z1469" s="425">
        <f>VLOOKUP(H1469,'Fund Utilization Report'!$A$4:$U$1800,8,FALSE)</f>
        <v>5020000000</v>
      </c>
      <c r="AA1469" s="428" t="str">
        <f>VLOOKUP(H1469,'Fund Utilization Report'!$A$4:$U$1800,14,FALSE)</f>
        <v>340100100002000</v>
      </c>
      <c r="AB1469" s="349" t="str">
        <f>VLOOKUP(H1469,'Fund Utilization Report'!$A$4:$U$1800,15,FALSE)</f>
        <v>Monitoring and Enforcement of FTL including consumer complaints handling</v>
      </c>
      <c r="AC1469" s="39"/>
      <c r="AD1469" s="34"/>
      <c r="AE1469" s="39"/>
      <c r="AF1469" s="51"/>
      <c r="AG1469" s="442"/>
      <c r="AH1469" s="442"/>
      <c r="AI1469" s="443"/>
    </row>
    <row r="1470" spans="1:35" s="32" customFormat="1" ht="27.6">
      <c r="A1470" s="434" t="s">
        <v>942</v>
      </c>
      <c r="B1470" s="457" t="s">
        <v>946</v>
      </c>
      <c r="C1470" s="233">
        <v>44280</v>
      </c>
      <c r="D1470" s="435" t="s">
        <v>1267</v>
      </c>
      <c r="E1470" s="436" t="s">
        <v>1542</v>
      </c>
      <c r="F1470" s="338">
        <v>0.36944444444444446</v>
      </c>
      <c r="G1470" s="338">
        <v>0.37083333333333335</v>
      </c>
      <c r="H1470" s="338" t="s">
        <v>974</v>
      </c>
      <c r="I1470" s="353">
        <v>799</v>
      </c>
      <c r="J1470" s="338" t="str">
        <f>IFERROR(VLOOKUP(I1470,'Chart of accounts'!A:H,2,FALSE),"")</f>
        <v>50211990 00</v>
      </c>
      <c r="K1470" s="338" t="str">
        <f>IFERROR(VLOOKUP(I1470,'Chart of accounts'!A:H,3,FALSE),"")</f>
        <v>Other Professional Services</v>
      </c>
      <c r="L1470" s="338" t="str">
        <f>IFERROR(VLOOKUP(I1470,'Chart of accounts'!A:H,4,FALSE),"")</f>
        <v>50211990 00 - Other Professional Services (799)</v>
      </c>
      <c r="M1470" s="361" t="s">
        <v>1537</v>
      </c>
      <c r="N1470" s="355" t="s">
        <v>1540</v>
      </c>
      <c r="O1470" s="355" t="s">
        <v>1543</v>
      </c>
      <c r="P1470" s="355"/>
      <c r="Q1470" s="363">
        <v>5000</v>
      </c>
      <c r="R1470" s="428">
        <f t="shared" si="55"/>
        <v>-5000</v>
      </c>
      <c r="S1470" s="428" t="str">
        <f>VLOOKUP(H1470,'Fund Utilization Report'!$A$4:$U$1800,13,FALSE)</f>
        <v>MOOE</v>
      </c>
      <c r="T1470" s="428" t="str">
        <f>VLOOKUP(H1470,'Fund Utilization Report'!$A$4:$U$1800,2,FALSE)</f>
        <v>GAA</v>
      </c>
      <c r="U1470" s="428" t="str">
        <f>VLOOKUP(H1470,'Fund Utilization Report'!$A$4:$U$1800,3,FALSE)</f>
        <v>FY2021, RA11518</v>
      </c>
      <c r="V1470" s="428" t="str">
        <f>VLOOKUP(H1470,'Fund Utilization Report'!$A$4:$U$1800,4,FALSE)</f>
        <v>OO4.1(FTL)</v>
      </c>
      <c r="W1470" s="428" t="str">
        <f>VLOOKUP(H1470,'Fund Utilization Report'!$A$4:$U$1800,5,FALSE)</f>
        <v>01101101</v>
      </c>
      <c r="X1470" s="428" t="str">
        <f>VLOOKUP(H1470,'Fund Utilization Report'!$A$4:$U$1800,6,FALSE)</f>
        <v>GOP</v>
      </c>
      <c r="Y1470" s="320" t="str">
        <f>VLOOKUP(H1470,'Fund Utilization Report'!$A$4:$U$1800,7,FALSE)</f>
        <v>MOOE</v>
      </c>
      <c r="Z1470" s="425">
        <f>VLOOKUP(H1470,'Fund Utilization Report'!$A$4:$U$1800,8,FALSE)</f>
        <v>5020000000</v>
      </c>
      <c r="AA1470" s="428" t="str">
        <f>VLOOKUP(H1470,'Fund Utilization Report'!$A$4:$U$1800,14,FALSE)</f>
        <v>340100100002000</v>
      </c>
      <c r="AB1470" s="349" t="str">
        <f>VLOOKUP(H1470,'Fund Utilization Report'!$A$4:$U$1800,15,FALSE)</f>
        <v>Monitoring and Enforcement of FTL including consumer complaints handling</v>
      </c>
      <c r="AC1470" s="39"/>
      <c r="AD1470" s="34"/>
      <c r="AE1470" s="39"/>
      <c r="AF1470" s="51"/>
      <c r="AG1470" s="442"/>
      <c r="AH1470" s="442"/>
      <c r="AI1470" s="443"/>
    </row>
    <row r="1471" spans="1:35" s="32" customFormat="1" ht="27.6">
      <c r="A1471" s="434" t="s">
        <v>942</v>
      </c>
      <c r="B1471" s="457" t="s">
        <v>946</v>
      </c>
      <c r="C1471" s="233">
        <v>44280</v>
      </c>
      <c r="D1471" s="435" t="s">
        <v>1267</v>
      </c>
      <c r="E1471" s="436" t="s">
        <v>1542</v>
      </c>
      <c r="F1471" s="338">
        <v>0.36944444444444446</v>
      </c>
      <c r="G1471" s="338">
        <v>0.37083333333333335</v>
      </c>
      <c r="H1471" s="338" t="s">
        <v>977</v>
      </c>
      <c r="I1471" s="353">
        <v>751</v>
      </c>
      <c r="J1471" s="338" t="str">
        <f>IFERROR(VLOOKUP(I1471,'Chart of accounts'!A:H,2,FALSE),"")</f>
        <v>50201010 00</v>
      </c>
      <c r="K1471" s="338" t="str">
        <f>IFERROR(VLOOKUP(I1471,'Chart of accounts'!A:H,3,FALSE),"")</f>
        <v>Traveling Expenses - Local</v>
      </c>
      <c r="L1471" s="338" t="str">
        <f>IFERROR(VLOOKUP(I1471,'Chart of accounts'!A:H,4,FALSE),"")</f>
        <v>50201010 00 - Traveling Expenses - Local (751)</v>
      </c>
      <c r="M1471" s="361" t="s">
        <v>1537</v>
      </c>
      <c r="N1471" s="355" t="s">
        <v>1540</v>
      </c>
      <c r="O1471" s="355" t="s">
        <v>1543</v>
      </c>
      <c r="P1471" s="355"/>
      <c r="Q1471" s="363">
        <v>20000</v>
      </c>
      <c r="R1471" s="428">
        <f t="shared" si="55"/>
        <v>-20000</v>
      </c>
      <c r="S1471" s="428" t="str">
        <f>VLOOKUP(H1471,'Fund Utilization Report'!$A$4:$U$1800,13,FALSE)</f>
        <v>MOOE</v>
      </c>
      <c r="T1471" s="428" t="str">
        <f>VLOOKUP(H1471,'Fund Utilization Report'!$A$4:$U$1800,2,FALSE)</f>
        <v>GAA</v>
      </c>
      <c r="U1471" s="428" t="str">
        <f>VLOOKUP(H1471,'Fund Utilization Report'!$A$4:$U$1800,3,FALSE)</f>
        <v>FY2021, RA11518</v>
      </c>
      <c r="V1471" s="428" t="str">
        <f>VLOOKUP(H1471,'Fund Utilization Report'!$A$4:$U$1800,4,FALSE)</f>
        <v>OO4.1(Acc)</v>
      </c>
      <c r="W1471" s="428" t="str">
        <f>VLOOKUP(H1471,'Fund Utilization Report'!$A$4:$U$1800,5,FALSE)</f>
        <v>01101101</v>
      </c>
      <c r="X1471" s="428" t="str">
        <f>VLOOKUP(H1471,'Fund Utilization Report'!$A$4:$U$1800,6,FALSE)</f>
        <v>GOP</v>
      </c>
      <c r="Y1471" s="320" t="str">
        <f>VLOOKUP(H1471,'Fund Utilization Report'!$A$4:$U$1800,7,FALSE)</f>
        <v>MOOE</v>
      </c>
      <c r="Z1471" s="425">
        <f>VLOOKUP(H1471,'Fund Utilization Report'!$A$4:$U$1800,8,FALSE)</f>
        <v>5020000000</v>
      </c>
      <c r="AA1471" s="428" t="str">
        <f>VLOOKUP(H1471,'Fund Utilization Report'!$A$4:$U$1800,14,FALSE)</f>
        <v>340100100003000</v>
      </c>
      <c r="AB1471" s="349" t="str">
        <f>VLOOKUP(H1471,'Fund Utilization Report'!$A$4:$U$1800,15,FALSE)</f>
        <v>Accreditation and Issuance of Business Licenses, Permits, registration and authorities</v>
      </c>
      <c r="AC1471" s="39"/>
      <c r="AD1471" s="34"/>
      <c r="AE1471" s="39"/>
      <c r="AF1471" s="51"/>
      <c r="AG1471" s="442"/>
      <c r="AH1471" s="442"/>
      <c r="AI1471" s="443"/>
    </row>
    <row r="1472" spans="1:35" s="32" customFormat="1" ht="27.6">
      <c r="A1472" s="434" t="s">
        <v>942</v>
      </c>
      <c r="B1472" s="457" t="s">
        <v>946</v>
      </c>
      <c r="C1472" s="233">
        <v>44280</v>
      </c>
      <c r="D1472" s="435" t="s">
        <v>1267</v>
      </c>
      <c r="E1472" s="436" t="s">
        <v>1542</v>
      </c>
      <c r="F1472" s="338">
        <v>0.36944444444444446</v>
      </c>
      <c r="G1472" s="338">
        <v>0.37083333333333335</v>
      </c>
      <c r="H1472" s="338" t="s">
        <v>977</v>
      </c>
      <c r="I1472" s="353">
        <v>753</v>
      </c>
      <c r="J1472" s="338" t="str">
        <f>IFERROR(VLOOKUP(I1472,'Chart of accounts'!A:H,2,FALSE),"")</f>
        <v>50202010 00</v>
      </c>
      <c r="K1472" s="338" t="str">
        <f>IFERROR(VLOOKUP(I1472,'Chart of accounts'!A:H,3,FALSE),"")</f>
        <v>Training Expenses</v>
      </c>
      <c r="L1472" s="338" t="str">
        <f>IFERROR(VLOOKUP(I1472,'Chart of accounts'!A:H,4,FALSE),"")</f>
        <v>50202010 00 - Training Expenses (753)</v>
      </c>
      <c r="M1472" s="361" t="s">
        <v>1537</v>
      </c>
      <c r="N1472" s="355" t="s">
        <v>1540</v>
      </c>
      <c r="O1472" s="355" t="s">
        <v>1543</v>
      </c>
      <c r="P1472" s="355"/>
      <c r="Q1472" s="363">
        <v>5000</v>
      </c>
      <c r="R1472" s="428">
        <f t="shared" si="55"/>
        <v>-5000</v>
      </c>
      <c r="S1472" s="428" t="str">
        <f>VLOOKUP(H1472,'Fund Utilization Report'!$A$4:$U$1800,13,FALSE)</f>
        <v>MOOE</v>
      </c>
      <c r="T1472" s="428" t="str">
        <f>VLOOKUP(H1472,'Fund Utilization Report'!$A$4:$U$1800,2,FALSE)</f>
        <v>GAA</v>
      </c>
      <c r="U1472" s="428" t="str">
        <f>VLOOKUP(H1472,'Fund Utilization Report'!$A$4:$U$1800,3,FALSE)</f>
        <v>FY2021, RA11518</v>
      </c>
      <c r="V1472" s="428" t="str">
        <f>VLOOKUP(H1472,'Fund Utilization Report'!$A$4:$U$1800,4,FALSE)</f>
        <v>OO4.1(Acc)</v>
      </c>
      <c r="W1472" s="428" t="str">
        <f>VLOOKUP(H1472,'Fund Utilization Report'!$A$4:$U$1800,5,FALSE)</f>
        <v>01101101</v>
      </c>
      <c r="X1472" s="428" t="str">
        <f>VLOOKUP(H1472,'Fund Utilization Report'!$A$4:$U$1800,6,FALSE)</f>
        <v>GOP</v>
      </c>
      <c r="Y1472" s="320" t="str">
        <f>VLOOKUP(H1472,'Fund Utilization Report'!$A$4:$U$1800,7,FALSE)</f>
        <v>MOOE</v>
      </c>
      <c r="Z1472" s="425">
        <f>VLOOKUP(H1472,'Fund Utilization Report'!$A$4:$U$1800,8,FALSE)</f>
        <v>5020000000</v>
      </c>
      <c r="AA1472" s="428" t="str">
        <f>VLOOKUP(H1472,'Fund Utilization Report'!$A$4:$U$1800,14,FALSE)</f>
        <v>340100100003000</v>
      </c>
      <c r="AB1472" s="349" t="str">
        <f>VLOOKUP(H1472,'Fund Utilization Report'!$A$4:$U$1800,15,FALSE)</f>
        <v>Accreditation and Issuance of Business Licenses, Permits, registration and authorities</v>
      </c>
      <c r="AC1472" s="39"/>
      <c r="AD1472" s="34"/>
      <c r="AE1472" s="39"/>
      <c r="AF1472" s="51"/>
      <c r="AG1472" s="442"/>
      <c r="AH1472" s="442"/>
      <c r="AI1472" s="443"/>
    </row>
    <row r="1473" spans="1:35" s="32" customFormat="1" ht="27.6">
      <c r="A1473" s="434" t="s">
        <v>942</v>
      </c>
      <c r="B1473" s="457" t="s">
        <v>946</v>
      </c>
      <c r="C1473" s="233">
        <v>44280</v>
      </c>
      <c r="D1473" s="435" t="s">
        <v>1267</v>
      </c>
      <c r="E1473" s="436" t="s">
        <v>1542</v>
      </c>
      <c r="F1473" s="338">
        <v>0.36944444444444446</v>
      </c>
      <c r="G1473" s="338">
        <v>0.37083333333333335</v>
      </c>
      <c r="H1473" s="338" t="s">
        <v>977</v>
      </c>
      <c r="I1473" s="353">
        <v>783</v>
      </c>
      <c r="J1473" s="338" t="str">
        <f>IFERROR(VLOOKUP(I1473,'Chart of accounts'!A:H,2,FALSE),"")</f>
        <v>50299030 00</v>
      </c>
      <c r="K1473" s="338" t="str">
        <f>IFERROR(VLOOKUP(I1473,'Chart of accounts'!A:H,3,FALSE),"")</f>
        <v>Representation Expenses</v>
      </c>
      <c r="L1473" s="338" t="str">
        <f>IFERROR(VLOOKUP(I1473,'Chart of accounts'!A:H,4,FALSE),"")</f>
        <v>50299030 00 - Representation Expenses (783)</v>
      </c>
      <c r="M1473" s="361" t="s">
        <v>1537</v>
      </c>
      <c r="N1473" s="355" t="s">
        <v>1540</v>
      </c>
      <c r="O1473" s="355" t="s">
        <v>1543</v>
      </c>
      <c r="P1473" s="355"/>
      <c r="Q1473" s="363">
        <v>80000</v>
      </c>
      <c r="R1473" s="428">
        <f t="shared" si="55"/>
        <v>-80000</v>
      </c>
      <c r="S1473" s="428" t="str">
        <f>VLOOKUP(H1473,'Fund Utilization Report'!$A$4:$U$1800,13,FALSE)</f>
        <v>MOOE</v>
      </c>
      <c r="T1473" s="428" t="str">
        <f>VLOOKUP(H1473,'Fund Utilization Report'!$A$4:$U$1800,2,FALSE)</f>
        <v>GAA</v>
      </c>
      <c r="U1473" s="428" t="str">
        <f>VLOOKUP(H1473,'Fund Utilization Report'!$A$4:$U$1800,3,FALSE)</f>
        <v>FY2021, RA11518</v>
      </c>
      <c r="V1473" s="428" t="str">
        <f>VLOOKUP(H1473,'Fund Utilization Report'!$A$4:$U$1800,4,FALSE)</f>
        <v>OO4.1(Acc)</v>
      </c>
      <c r="W1473" s="428" t="str">
        <f>VLOOKUP(H1473,'Fund Utilization Report'!$A$4:$U$1800,5,FALSE)</f>
        <v>01101101</v>
      </c>
      <c r="X1473" s="428" t="str">
        <f>VLOOKUP(H1473,'Fund Utilization Report'!$A$4:$U$1800,6,FALSE)</f>
        <v>GOP</v>
      </c>
      <c r="Y1473" s="320" t="str">
        <f>VLOOKUP(H1473,'Fund Utilization Report'!$A$4:$U$1800,7,FALSE)</f>
        <v>MOOE</v>
      </c>
      <c r="Z1473" s="425">
        <f>VLOOKUP(H1473,'Fund Utilization Report'!$A$4:$U$1800,8,FALSE)</f>
        <v>5020000000</v>
      </c>
      <c r="AA1473" s="428" t="str">
        <f>VLOOKUP(H1473,'Fund Utilization Report'!$A$4:$U$1800,14,FALSE)</f>
        <v>340100100003000</v>
      </c>
      <c r="AB1473" s="349" t="str">
        <f>VLOOKUP(H1473,'Fund Utilization Report'!$A$4:$U$1800,15,FALSE)</f>
        <v>Accreditation and Issuance of Business Licenses, Permits, registration and authorities</v>
      </c>
      <c r="AC1473" s="39"/>
      <c r="AD1473" s="34"/>
      <c r="AE1473" s="39"/>
      <c r="AF1473" s="51"/>
      <c r="AG1473" s="442"/>
      <c r="AH1473" s="442"/>
      <c r="AI1473" s="443"/>
    </row>
    <row r="1474" spans="1:35" s="32" customFormat="1" ht="27.6">
      <c r="A1474" s="434" t="s">
        <v>942</v>
      </c>
      <c r="B1474" s="457" t="s">
        <v>946</v>
      </c>
      <c r="C1474" s="233">
        <v>44280</v>
      </c>
      <c r="D1474" s="435" t="s">
        <v>1267</v>
      </c>
      <c r="E1474" s="436" t="s">
        <v>1542</v>
      </c>
      <c r="F1474" s="338">
        <v>0.36944444444444446</v>
      </c>
      <c r="G1474" s="338">
        <v>0.37083333333333335</v>
      </c>
      <c r="H1474" s="338" t="s">
        <v>979</v>
      </c>
      <c r="I1474" s="353">
        <v>751</v>
      </c>
      <c r="J1474" s="338" t="str">
        <f>IFERROR(VLOOKUP(I1474,'Chart of accounts'!A:H,2,FALSE),"")</f>
        <v>50201010 00</v>
      </c>
      <c r="K1474" s="338" t="str">
        <f>IFERROR(VLOOKUP(I1474,'Chart of accounts'!A:H,3,FALSE),"")</f>
        <v>Traveling Expenses - Local</v>
      </c>
      <c r="L1474" s="338" t="str">
        <f>IFERROR(VLOOKUP(I1474,'Chart of accounts'!A:H,4,FALSE),"")</f>
        <v>50201010 00 - Traveling Expenses - Local (751)</v>
      </c>
      <c r="M1474" s="361" t="s">
        <v>1537</v>
      </c>
      <c r="N1474" s="355" t="s">
        <v>1540</v>
      </c>
      <c r="O1474" s="355" t="s">
        <v>1543</v>
      </c>
      <c r="P1474" s="355"/>
      <c r="Q1474" s="363">
        <v>20000</v>
      </c>
      <c r="R1474" s="428">
        <f t="shared" si="55"/>
        <v>-20000</v>
      </c>
      <c r="S1474" s="428" t="str">
        <f>VLOOKUP(H1474,'Fund Utilization Report'!$A$4:$U$1800,13,FALSE)</f>
        <v>MOOE</v>
      </c>
      <c r="T1474" s="428" t="str">
        <f>VLOOKUP(H1474,'Fund Utilization Report'!$A$4:$U$1800,2,FALSE)</f>
        <v>GAA</v>
      </c>
      <c r="U1474" s="428" t="str">
        <f>VLOOKUP(H1474,'Fund Utilization Report'!$A$4:$U$1800,3,FALSE)</f>
        <v>FY2021, RA11518</v>
      </c>
      <c r="V1474" s="428" t="str">
        <f>VLOOKUP(H1474,'Fund Utilization Report'!$A$4:$U$1800,4,FALSE)</f>
        <v>OO 4.2</v>
      </c>
      <c r="W1474" s="428" t="str">
        <f>VLOOKUP(H1474,'Fund Utilization Report'!$A$4:$U$1800,5,FALSE)</f>
        <v>01101101</v>
      </c>
      <c r="X1474" s="428" t="str">
        <f>VLOOKUP(H1474,'Fund Utilization Report'!$A$4:$U$1800,6,FALSE)</f>
        <v>GOP</v>
      </c>
      <c r="Y1474" s="320" t="str">
        <f>VLOOKUP(H1474,'Fund Utilization Report'!$A$4:$U$1800,7,FALSE)</f>
        <v>MOOE</v>
      </c>
      <c r="Z1474" s="425">
        <f>VLOOKUP(H1474,'Fund Utilization Report'!$A$4:$U$1800,8,FALSE)</f>
        <v>5020000000</v>
      </c>
      <c r="AA1474" s="428" t="str">
        <f>VLOOKUP(H1474,'Fund Utilization Report'!$A$4:$U$1800,14,FALSE)</f>
        <v>340200100002000</v>
      </c>
      <c r="AB1474" s="349" t="str">
        <f>VLOOKUP(H1474,'Fund Utilization Report'!$A$4:$U$1800,15,FALSE)</f>
        <v>Implementation of Plans, projects and activities on consumer awareness, education, and advocacy</v>
      </c>
      <c r="AC1474" s="39"/>
      <c r="AD1474" s="34"/>
      <c r="AE1474" s="39"/>
      <c r="AF1474" s="51"/>
      <c r="AG1474" s="442"/>
      <c r="AH1474" s="442"/>
      <c r="AI1474" s="443"/>
    </row>
    <row r="1475" spans="1:35" s="32" customFormat="1" ht="27.6">
      <c r="A1475" s="434" t="s">
        <v>942</v>
      </c>
      <c r="B1475" s="457" t="s">
        <v>946</v>
      </c>
      <c r="C1475" s="233">
        <v>44280</v>
      </c>
      <c r="D1475" s="435" t="s">
        <v>1267</v>
      </c>
      <c r="E1475" s="436" t="s">
        <v>1542</v>
      </c>
      <c r="F1475" s="338">
        <v>0.36944444444444446</v>
      </c>
      <c r="G1475" s="338">
        <v>0.37083333333333335</v>
      </c>
      <c r="H1475" s="338" t="s">
        <v>979</v>
      </c>
      <c r="I1475" s="353">
        <v>753</v>
      </c>
      <c r="J1475" s="338" t="str">
        <f>IFERROR(VLOOKUP(I1475,'Chart of accounts'!A:H,2,FALSE),"")</f>
        <v>50202010 00</v>
      </c>
      <c r="K1475" s="338" t="str">
        <f>IFERROR(VLOOKUP(I1475,'Chart of accounts'!A:H,3,FALSE),"")</f>
        <v>Training Expenses</v>
      </c>
      <c r="L1475" s="338" t="str">
        <f>IFERROR(VLOOKUP(I1475,'Chart of accounts'!A:H,4,FALSE),"")</f>
        <v>50202010 00 - Training Expenses (753)</v>
      </c>
      <c r="M1475" s="361" t="s">
        <v>1537</v>
      </c>
      <c r="N1475" s="355" t="s">
        <v>1540</v>
      </c>
      <c r="O1475" s="355" t="s">
        <v>1543</v>
      </c>
      <c r="P1475" s="355"/>
      <c r="Q1475" s="363">
        <v>20000</v>
      </c>
      <c r="R1475" s="428">
        <f t="shared" si="55"/>
        <v>-20000</v>
      </c>
      <c r="S1475" s="428" t="str">
        <f>VLOOKUP(H1475,'Fund Utilization Report'!$A$4:$U$1800,13,FALSE)</f>
        <v>MOOE</v>
      </c>
      <c r="T1475" s="428" t="str">
        <f>VLOOKUP(H1475,'Fund Utilization Report'!$A$4:$U$1800,2,FALSE)</f>
        <v>GAA</v>
      </c>
      <c r="U1475" s="428" t="str">
        <f>VLOOKUP(H1475,'Fund Utilization Report'!$A$4:$U$1800,3,FALSE)</f>
        <v>FY2021, RA11518</v>
      </c>
      <c r="V1475" s="428" t="str">
        <f>VLOOKUP(H1475,'Fund Utilization Report'!$A$4:$U$1800,4,FALSE)</f>
        <v>OO 4.2</v>
      </c>
      <c r="W1475" s="428" t="str">
        <f>VLOOKUP(H1475,'Fund Utilization Report'!$A$4:$U$1800,5,FALSE)</f>
        <v>01101101</v>
      </c>
      <c r="X1475" s="428" t="str">
        <f>VLOOKUP(H1475,'Fund Utilization Report'!$A$4:$U$1800,6,FALSE)</f>
        <v>GOP</v>
      </c>
      <c r="Y1475" s="320" t="str">
        <f>VLOOKUP(H1475,'Fund Utilization Report'!$A$4:$U$1800,7,FALSE)</f>
        <v>MOOE</v>
      </c>
      <c r="Z1475" s="425">
        <f>VLOOKUP(H1475,'Fund Utilization Report'!$A$4:$U$1800,8,FALSE)</f>
        <v>5020000000</v>
      </c>
      <c r="AA1475" s="428" t="str">
        <f>VLOOKUP(H1475,'Fund Utilization Report'!$A$4:$U$1800,14,FALSE)</f>
        <v>340200100002000</v>
      </c>
      <c r="AB1475" s="349" t="str">
        <f>VLOOKUP(H1475,'Fund Utilization Report'!$A$4:$U$1800,15,FALSE)</f>
        <v>Implementation of Plans, projects and activities on consumer awareness, education, and advocacy</v>
      </c>
      <c r="AC1475" s="39"/>
      <c r="AD1475" s="34"/>
      <c r="AE1475" s="39"/>
      <c r="AF1475" s="51"/>
      <c r="AG1475" s="442"/>
      <c r="AH1475" s="442"/>
      <c r="AI1475" s="443"/>
    </row>
    <row r="1476" spans="1:35" s="32" customFormat="1" ht="27.6">
      <c r="A1476" s="434" t="s">
        <v>942</v>
      </c>
      <c r="B1476" s="457" t="s">
        <v>946</v>
      </c>
      <c r="C1476" s="233">
        <v>44280</v>
      </c>
      <c r="D1476" s="435" t="s">
        <v>1267</v>
      </c>
      <c r="E1476" s="436" t="s">
        <v>1542</v>
      </c>
      <c r="F1476" s="338">
        <v>0.36944444444444446</v>
      </c>
      <c r="G1476" s="338">
        <v>0.37083333333333335</v>
      </c>
      <c r="H1476" s="338" t="s">
        <v>979</v>
      </c>
      <c r="I1476" s="353">
        <v>783</v>
      </c>
      <c r="J1476" s="338" t="str">
        <f>IFERROR(VLOOKUP(I1476,'Chart of accounts'!A:H,2,FALSE),"")</f>
        <v>50299030 00</v>
      </c>
      <c r="K1476" s="338" t="str">
        <f>IFERROR(VLOOKUP(I1476,'Chart of accounts'!A:H,3,FALSE),"")</f>
        <v>Representation Expenses</v>
      </c>
      <c r="L1476" s="338" t="str">
        <f>IFERROR(VLOOKUP(I1476,'Chart of accounts'!A:H,4,FALSE),"")</f>
        <v>50299030 00 - Representation Expenses (783)</v>
      </c>
      <c r="M1476" s="361" t="s">
        <v>1537</v>
      </c>
      <c r="N1476" s="355" t="s">
        <v>1540</v>
      </c>
      <c r="O1476" s="355" t="s">
        <v>1543</v>
      </c>
      <c r="P1476" s="355"/>
      <c r="Q1476" s="363">
        <v>40000</v>
      </c>
      <c r="R1476" s="428">
        <f t="shared" si="55"/>
        <v>-40000</v>
      </c>
      <c r="S1476" s="428" t="str">
        <f>VLOOKUP(H1476,'Fund Utilization Report'!$A$4:$U$1800,13,FALSE)</f>
        <v>MOOE</v>
      </c>
      <c r="T1476" s="428" t="str">
        <f>VLOOKUP(H1476,'Fund Utilization Report'!$A$4:$U$1800,2,FALSE)</f>
        <v>GAA</v>
      </c>
      <c r="U1476" s="428" t="str">
        <f>VLOOKUP(H1476,'Fund Utilization Report'!$A$4:$U$1800,3,FALSE)</f>
        <v>FY2021, RA11518</v>
      </c>
      <c r="V1476" s="428" t="str">
        <f>VLOOKUP(H1476,'Fund Utilization Report'!$A$4:$U$1800,4,FALSE)</f>
        <v>OO 4.2</v>
      </c>
      <c r="W1476" s="428" t="str">
        <f>VLOOKUP(H1476,'Fund Utilization Report'!$A$4:$U$1800,5,FALSE)</f>
        <v>01101101</v>
      </c>
      <c r="X1476" s="428" t="str">
        <f>VLOOKUP(H1476,'Fund Utilization Report'!$A$4:$U$1800,6,FALSE)</f>
        <v>GOP</v>
      </c>
      <c r="Y1476" s="320" t="str">
        <f>VLOOKUP(H1476,'Fund Utilization Report'!$A$4:$U$1800,7,FALSE)</f>
        <v>MOOE</v>
      </c>
      <c r="Z1476" s="425">
        <f>VLOOKUP(H1476,'Fund Utilization Report'!$A$4:$U$1800,8,FALSE)</f>
        <v>5020000000</v>
      </c>
      <c r="AA1476" s="428" t="str">
        <f>VLOOKUP(H1476,'Fund Utilization Report'!$A$4:$U$1800,14,FALSE)</f>
        <v>340200100002000</v>
      </c>
      <c r="AB1476" s="349" t="str">
        <f>VLOOKUP(H1476,'Fund Utilization Report'!$A$4:$U$1800,15,FALSE)</f>
        <v>Implementation of Plans, projects and activities on consumer awareness, education, and advocacy</v>
      </c>
      <c r="AC1476" s="39"/>
      <c r="AD1476" s="34"/>
      <c r="AE1476" s="39"/>
      <c r="AF1476" s="51"/>
      <c r="AG1476" s="442"/>
      <c r="AH1476" s="442"/>
      <c r="AI1476" s="443"/>
    </row>
    <row r="1477" spans="1:35" s="32" customFormat="1">
      <c r="A1477" s="434" t="s">
        <v>942</v>
      </c>
      <c r="B1477" s="457" t="s">
        <v>946</v>
      </c>
      <c r="C1477" s="233">
        <v>44280</v>
      </c>
      <c r="D1477" s="435" t="s">
        <v>1267</v>
      </c>
      <c r="E1477" s="436" t="s">
        <v>1544</v>
      </c>
      <c r="F1477" s="338">
        <v>0.41180555555555554</v>
      </c>
      <c r="G1477" s="338">
        <v>0.41319444444444442</v>
      </c>
      <c r="H1477" s="338" t="s">
        <v>983</v>
      </c>
      <c r="I1477" s="353">
        <v>751</v>
      </c>
      <c r="J1477" s="338" t="str">
        <f>IFERROR(VLOOKUP(I1477,'Chart of accounts'!A:H,2,FALSE),"")</f>
        <v>50201010 00</v>
      </c>
      <c r="K1477" s="338" t="str">
        <f>IFERROR(VLOOKUP(I1477,'Chart of accounts'!A:H,3,FALSE),"")</f>
        <v>Traveling Expenses - Local</v>
      </c>
      <c r="L1477" s="338" t="str">
        <f>IFERROR(VLOOKUP(I1477,'Chart of accounts'!A:H,4,FALSE),"")</f>
        <v>50201010 00 - Traveling Expenses - Local (751)</v>
      </c>
      <c r="M1477" s="361" t="s">
        <v>5</v>
      </c>
      <c r="N1477" s="355" t="s">
        <v>818</v>
      </c>
      <c r="O1477" s="355" t="s">
        <v>1545</v>
      </c>
      <c r="P1477" s="355"/>
      <c r="Q1477" s="363">
        <v>10000</v>
      </c>
      <c r="R1477" s="428">
        <f t="shared" si="55"/>
        <v>-10000</v>
      </c>
      <c r="S1477" s="428" t="str">
        <f>VLOOKUP(H1477,'Fund Utilization Report'!$A$4:$U$1800,13,FALSE)</f>
        <v>MOOE</v>
      </c>
      <c r="T1477" s="428" t="str">
        <f>VLOOKUP(H1477,'Fund Utilization Report'!$A$4:$U$1800,2,FALSE)</f>
        <v>GAA</v>
      </c>
      <c r="U1477" s="428" t="str">
        <f>VLOOKUP(H1477,'Fund Utilization Report'!$A$4:$U$1800,3,FALSE)</f>
        <v>FY2021, RA11518</v>
      </c>
      <c r="V1477" s="428" t="str">
        <f>VLOOKUP(H1477,'Fund Utilization Report'!$A$4:$U$1800,4,FALSE)</f>
        <v>SSF</v>
      </c>
      <c r="W1477" s="428" t="str">
        <f>VLOOKUP(H1477,'Fund Utilization Report'!$A$4:$U$1800,5,FALSE)</f>
        <v>01101101</v>
      </c>
      <c r="X1477" s="428" t="str">
        <f>VLOOKUP(H1477,'Fund Utilization Report'!$A$4:$U$1800,6,FALSE)</f>
        <v>GOP</v>
      </c>
      <c r="Y1477" s="320" t="str">
        <f>VLOOKUP(H1477,'Fund Utilization Report'!$A$4:$U$1800,7,FALSE)</f>
        <v>MOOE</v>
      </c>
      <c r="Z1477" s="425">
        <f>VLOOKUP(H1477,'Fund Utilization Report'!$A$4:$U$1800,8,FALSE)</f>
        <v>5020000000</v>
      </c>
      <c r="AA1477" s="428" t="str">
        <f>VLOOKUP(H1477,'Fund Utilization Report'!$A$4:$U$1800,14,FALSE)</f>
        <v>330100200003000</v>
      </c>
      <c r="AB1477" s="349" t="str">
        <f>VLOOKUP(H1477,'Fund Utilization Report'!$A$4:$U$1800,15,FALSE)</f>
        <v>Shared Service Facilities Project</v>
      </c>
      <c r="AC1477" s="39"/>
      <c r="AD1477" s="34"/>
      <c r="AE1477" s="39"/>
      <c r="AF1477" s="51"/>
      <c r="AG1477" s="442"/>
      <c r="AH1477" s="442"/>
      <c r="AI1477" s="443"/>
    </row>
    <row r="1478" spans="1:35" s="32" customFormat="1">
      <c r="A1478" s="434" t="s">
        <v>942</v>
      </c>
      <c r="B1478" s="457" t="s">
        <v>946</v>
      </c>
      <c r="C1478" s="233">
        <v>44280</v>
      </c>
      <c r="D1478" s="435" t="s">
        <v>1267</v>
      </c>
      <c r="E1478" s="436" t="s">
        <v>1544</v>
      </c>
      <c r="F1478" s="338">
        <v>0.41180555555555554</v>
      </c>
      <c r="G1478" s="338">
        <v>0.41319444444444442</v>
      </c>
      <c r="H1478" s="338" t="s">
        <v>983</v>
      </c>
      <c r="I1478" s="353">
        <v>753</v>
      </c>
      <c r="J1478" s="338" t="str">
        <f>IFERROR(VLOOKUP(I1478,'Chart of accounts'!A:H,2,FALSE),"")</f>
        <v>50202010 00</v>
      </c>
      <c r="K1478" s="338" t="str">
        <f>IFERROR(VLOOKUP(I1478,'Chart of accounts'!A:H,3,FALSE),"")</f>
        <v>Training Expenses</v>
      </c>
      <c r="L1478" s="338" t="str">
        <f>IFERROR(VLOOKUP(I1478,'Chart of accounts'!A:H,4,FALSE),"")</f>
        <v>50202010 00 - Training Expenses (753)</v>
      </c>
      <c r="M1478" s="361" t="s">
        <v>5</v>
      </c>
      <c r="N1478" s="355" t="s">
        <v>818</v>
      </c>
      <c r="O1478" s="355" t="s">
        <v>1545</v>
      </c>
      <c r="P1478" s="355"/>
      <c r="Q1478" s="363">
        <v>150000</v>
      </c>
      <c r="R1478" s="428">
        <f t="shared" si="55"/>
        <v>-150000</v>
      </c>
      <c r="S1478" s="428" t="str">
        <f>VLOOKUP(H1478,'Fund Utilization Report'!$A$4:$U$1800,13,FALSE)</f>
        <v>MOOE</v>
      </c>
      <c r="T1478" s="428" t="str">
        <f>VLOOKUP(H1478,'Fund Utilization Report'!$A$4:$U$1800,2,FALSE)</f>
        <v>GAA</v>
      </c>
      <c r="U1478" s="428" t="str">
        <f>VLOOKUP(H1478,'Fund Utilization Report'!$A$4:$U$1800,3,FALSE)</f>
        <v>FY2021, RA11518</v>
      </c>
      <c r="V1478" s="428" t="str">
        <f>VLOOKUP(H1478,'Fund Utilization Report'!$A$4:$U$1800,4,FALSE)</f>
        <v>SSF</v>
      </c>
      <c r="W1478" s="428" t="str">
        <f>VLOOKUP(H1478,'Fund Utilization Report'!$A$4:$U$1800,5,FALSE)</f>
        <v>01101101</v>
      </c>
      <c r="X1478" s="428" t="str">
        <f>VLOOKUP(H1478,'Fund Utilization Report'!$A$4:$U$1800,6,FALSE)</f>
        <v>GOP</v>
      </c>
      <c r="Y1478" s="320" t="str">
        <f>VLOOKUP(H1478,'Fund Utilization Report'!$A$4:$U$1800,7,FALSE)</f>
        <v>MOOE</v>
      </c>
      <c r="Z1478" s="425">
        <f>VLOOKUP(H1478,'Fund Utilization Report'!$A$4:$U$1800,8,FALSE)</f>
        <v>5020000000</v>
      </c>
      <c r="AA1478" s="428" t="str">
        <f>VLOOKUP(H1478,'Fund Utilization Report'!$A$4:$U$1800,14,FALSE)</f>
        <v>330100200003000</v>
      </c>
      <c r="AB1478" s="349" t="str">
        <f>VLOOKUP(H1478,'Fund Utilization Report'!$A$4:$U$1800,15,FALSE)</f>
        <v>Shared Service Facilities Project</v>
      </c>
      <c r="AC1478" s="39"/>
      <c r="AD1478" s="34"/>
      <c r="AE1478" s="39"/>
      <c r="AF1478" s="51"/>
      <c r="AG1478" s="442"/>
      <c r="AH1478" s="442"/>
      <c r="AI1478" s="443"/>
    </row>
    <row r="1479" spans="1:35" s="32" customFormat="1">
      <c r="A1479" s="434" t="s">
        <v>942</v>
      </c>
      <c r="B1479" s="457" t="s">
        <v>946</v>
      </c>
      <c r="C1479" s="233">
        <v>44280</v>
      </c>
      <c r="D1479" s="435" t="s">
        <v>1267</v>
      </c>
      <c r="E1479" s="436" t="s">
        <v>1544</v>
      </c>
      <c r="F1479" s="338">
        <v>0.41180555555555554</v>
      </c>
      <c r="G1479" s="338">
        <v>0.41319444444444442</v>
      </c>
      <c r="H1479" s="338" t="s">
        <v>983</v>
      </c>
      <c r="I1479" s="353">
        <v>793</v>
      </c>
      <c r="J1479" s="338" t="str">
        <f>IFERROR(VLOOKUP(I1479,'Chart of accounts'!A:H,2,FALSE),"")</f>
        <v>50211030 00</v>
      </c>
      <c r="K1479" s="338" t="str">
        <f>IFERROR(VLOOKUP(I1479,'Chart of accounts'!A:H,3,FALSE),"")</f>
        <v>Consultancy Services</v>
      </c>
      <c r="L1479" s="338" t="str">
        <f>IFERROR(VLOOKUP(I1479,'Chart of accounts'!A:H,4,FALSE),"")</f>
        <v>50211030 00 - Consultancy Services (793)</v>
      </c>
      <c r="M1479" s="361" t="s">
        <v>5</v>
      </c>
      <c r="N1479" s="355" t="s">
        <v>818</v>
      </c>
      <c r="O1479" s="355" t="s">
        <v>1545</v>
      </c>
      <c r="P1479" s="355"/>
      <c r="Q1479" s="363">
        <v>60000</v>
      </c>
      <c r="R1479" s="428">
        <f t="shared" si="55"/>
        <v>-60000</v>
      </c>
      <c r="S1479" s="428" t="str">
        <f>VLOOKUP(H1479,'Fund Utilization Report'!$A$4:$U$1800,13,FALSE)</f>
        <v>MOOE</v>
      </c>
      <c r="T1479" s="428" t="str">
        <f>VLOOKUP(H1479,'Fund Utilization Report'!$A$4:$U$1800,2,FALSE)</f>
        <v>GAA</v>
      </c>
      <c r="U1479" s="428" t="str">
        <f>VLOOKUP(H1479,'Fund Utilization Report'!$A$4:$U$1800,3,FALSE)</f>
        <v>FY2021, RA11518</v>
      </c>
      <c r="V1479" s="428" t="str">
        <f>VLOOKUP(H1479,'Fund Utilization Report'!$A$4:$U$1800,4,FALSE)</f>
        <v>SSF</v>
      </c>
      <c r="W1479" s="428" t="str">
        <f>VLOOKUP(H1479,'Fund Utilization Report'!$A$4:$U$1800,5,FALSE)</f>
        <v>01101101</v>
      </c>
      <c r="X1479" s="428" t="str">
        <f>VLOOKUP(H1479,'Fund Utilization Report'!$A$4:$U$1800,6,FALSE)</f>
        <v>GOP</v>
      </c>
      <c r="Y1479" s="320" t="str">
        <f>VLOOKUP(H1479,'Fund Utilization Report'!$A$4:$U$1800,7,FALSE)</f>
        <v>MOOE</v>
      </c>
      <c r="Z1479" s="425">
        <f>VLOOKUP(H1479,'Fund Utilization Report'!$A$4:$U$1800,8,FALSE)</f>
        <v>5020000000</v>
      </c>
      <c r="AA1479" s="428" t="str">
        <f>VLOOKUP(H1479,'Fund Utilization Report'!$A$4:$U$1800,14,FALSE)</f>
        <v>330100200003000</v>
      </c>
      <c r="AB1479" s="349" t="str">
        <f>VLOOKUP(H1479,'Fund Utilization Report'!$A$4:$U$1800,15,FALSE)</f>
        <v>Shared Service Facilities Project</v>
      </c>
      <c r="AC1479" s="39"/>
      <c r="AD1479" s="34"/>
      <c r="AE1479" s="39"/>
      <c r="AF1479" s="51"/>
      <c r="AG1479" s="442"/>
      <c r="AH1479" s="442"/>
      <c r="AI1479" s="443"/>
    </row>
    <row r="1480" spans="1:35" s="32" customFormat="1">
      <c r="A1480" s="434" t="s">
        <v>942</v>
      </c>
      <c r="B1480" s="457" t="s">
        <v>946</v>
      </c>
      <c r="C1480" s="233">
        <v>44280</v>
      </c>
      <c r="D1480" s="435" t="s">
        <v>1267</v>
      </c>
      <c r="E1480" s="436" t="s">
        <v>1544</v>
      </c>
      <c r="F1480" s="458">
        <v>0.41180555555555554</v>
      </c>
      <c r="G1480" s="458">
        <v>0.41319444444444442</v>
      </c>
      <c r="H1480" s="458" t="s">
        <v>983</v>
      </c>
      <c r="I1480" s="459">
        <v>783</v>
      </c>
      <c r="J1480" s="458" t="str">
        <f>IFERROR(VLOOKUP(I1480,'Chart of accounts'!A:H,2,FALSE),"")</f>
        <v>50299030 00</v>
      </c>
      <c r="K1480" s="458" t="str">
        <f>IFERROR(VLOOKUP(I1480,'Chart of accounts'!A:H,3,FALSE),"")</f>
        <v>Representation Expenses</v>
      </c>
      <c r="L1480" s="458" t="str">
        <f>IFERROR(VLOOKUP(I1480,'Chart of accounts'!A:H,4,FALSE),"")</f>
        <v>50299030 00 - Representation Expenses (783)</v>
      </c>
      <c r="M1480" s="467" t="s">
        <v>5</v>
      </c>
      <c r="N1480" s="463" t="s">
        <v>818</v>
      </c>
      <c r="O1480" s="463" t="s">
        <v>1545</v>
      </c>
      <c r="P1480" s="463"/>
      <c r="Q1480" s="468">
        <v>15000</v>
      </c>
      <c r="R1480" s="462">
        <f>P1480-Q1480</f>
        <v>-15000</v>
      </c>
      <c r="S1480" s="462" t="str">
        <f>VLOOKUP(H1480,'Fund Utilization Report'!$A$4:$U$1800,13,FALSE)</f>
        <v>MOOE</v>
      </c>
      <c r="T1480" s="462" t="str">
        <f>VLOOKUP(H1480,'Fund Utilization Report'!$A$4:$U$1800,2,FALSE)</f>
        <v>GAA</v>
      </c>
      <c r="U1480" s="462" t="str">
        <f>VLOOKUP(H1480,'Fund Utilization Report'!$A$4:$U$1800,3,FALSE)</f>
        <v>FY2021, RA11518</v>
      </c>
      <c r="V1480" s="462" t="str">
        <f>VLOOKUP(H1480,'Fund Utilization Report'!$A$4:$U$1800,4,FALSE)</f>
        <v>SSF</v>
      </c>
      <c r="W1480" s="462" t="str">
        <f>VLOOKUP(H1480,'Fund Utilization Report'!$A$4:$U$1800,5,FALSE)</f>
        <v>01101101</v>
      </c>
      <c r="X1480" s="462" t="str">
        <f>VLOOKUP(H1480,'Fund Utilization Report'!$A$4:$U$1800,6,FALSE)</f>
        <v>GOP</v>
      </c>
      <c r="Y1480" s="469" t="str">
        <f>VLOOKUP(H1480,'Fund Utilization Report'!$A$4:$U$1800,7,FALSE)</f>
        <v>MOOE</v>
      </c>
      <c r="Z1480" s="470">
        <f>VLOOKUP(H1480,'Fund Utilization Report'!$A$4:$U$1800,8,FALSE)</f>
        <v>5020000000</v>
      </c>
      <c r="AA1480" s="462" t="str">
        <f>VLOOKUP(H1480,'Fund Utilization Report'!$A$4:$U$1800,14,FALSE)</f>
        <v>330100200003000</v>
      </c>
      <c r="AB1480" s="471"/>
      <c r="AC1480" s="39"/>
      <c r="AD1480" s="34"/>
      <c r="AE1480" s="39"/>
      <c r="AF1480" s="51"/>
      <c r="AG1480" s="442"/>
      <c r="AH1480" s="442"/>
      <c r="AI1480" s="443"/>
    </row>
    <row r="1481" spans="1:35" s="32" customFormat="1">
      <c r="A1481" s="434" t="s">
        <v>942</v>
      </c>
      <c r="B1481" s="457" t="s">
        <v>946</v>
      </c>
      <c r="C1481" s="233">
        <v>44280</v>
      </c>
      <c r="D1481" s="435" t="s">
        <v>1267</v>
      </c>
      <c r="E1481" s="436" t="s">
        <v>1544</v>
      </c>
      <c r="F1481" s="338">
        <v>0.41180555555555554</v>
      </c>
      <c r="G1481" s="338">
        <v>0.41319444444444442</v>
      </c>
      <c r="H1481" s="338" t="s">
        <v>983</v>
      </c>
      <c r="I1481" s="353">
        <v>840</v>
      </c>
      <c r="J1481" s="338" t="str">
        <f>IFERROR(VLOOKUP(I1481,'Chart of accounts'!A:H,2,FALSE),"")</f>
        <v>50213050 99</v>
      </c>
      <c r="K1481" s="338" t="str">
        <f>IFERROR(VLOOKUP(I1481,'Chart of accounts'!A:H,3,FALSE),"")</f>
        <v>Other Machinery and Equipment</v>
      </c>
      <c r="L1481" s="338" t="str">
        <f>IFERROR(VLOOKUP(I1481,'Chart of accounts'!A:H,4,FALSE),"")</f>
        <v>50213050 99 - Other Machinery and Equipment (840)</v>
      </c>
      <c r="M1481" s="361" t="s">
        <v>5</v>
      </c>
      <c r="N1481" s="355" t="s">
        <v>818</v>
      </c>
      <c r="O1481" s="355" t="s">
        <v>1545</v>
      </c>
      <c r="P1481" s="355"/>
      <c r="Q1481" s="363">
        <v>200000</v>
      </c>
      <c r="R1481" s="428">
        <f t="shared" si="55"/>
        <v>-200000</v>
      </c>
      <c r="S1481" s="428" t="str">
        <f>VLOOKUP(H1481,'Fund Utilization Report'!$A$4:$U$1800,13,FALSE)</f>
        <v>MOOE</v>
      </c>
      <c r="T1481" s="428" t="str">
        <f>VLOOKUP(H1481,'Fund Utilization Report'!$A$4:$U$1800,2,FALSE)</f>
        <v>GAA</v>
      </c>
      <c r="U1481" s="428" t="str">
        <f>VLOOKUP(H1481,'Fund Utilization Report'!$A$4:$U$1800,3,FALSE)</f>
        <v>FY2021, RA11518</v>
      </c>
      <c r="V1481" s="428" t="str">
        <f>VLOOKUP(H1481,'Fund Utilization Report'!$A$4:$U$1800,4,FALSE)</f>
        <v>SSF</v>
      </c>
      <c r="W1481" s="428" t="str">
        <f>VLOOKUP(H1481,'Fund Utilization Report'!$A$4:$U$1800,5,FALSE)</f>
        <v>01101101</v>
      </c>
      <c r="X1481" s="428" t="str">
        <f>VLOOKUP(H1481,'Fund Utilization Report'!$A$4:$U$1800,6,FALSE)</f>
        <v>GOP</v>
      </c>
      <c r="Y1481" s="320" t="str">
        <f>VLOOKUP(H1481,'Fund Utilization Report'!$A$4:$U$1800,7,FALSE)</f>
        <v>MOOE</v>
      </c>
      <c r="Z1481" s="425">
        <f>VLOOKUP(H1481,'Fund Utilization Report'!$A$4:$U$1800,8,FALSE)</f>
        <v>5020000000</v>
      </c>
      <c r="AA1481" s="428" t="str">
        <f>VLOOKUP(H1481,'Fund Utilization Report'!$A$4:$U$1800,14,FALSE)</f>
        <v>330100200003000</v>
      </c>
      <c r="AB1481" s="349" t="str">
        <f>VLOOKUP(H1481,'Fund Utilization Report'!$A$4:$U$1800,15,FALSE)</f>
        <v>Shared Service Facilities Project</v>
      </c>
      <c r="AC1481" s="39"/>
      <c r="AD1481" s="34"/>
      <c r="AE1481" s="39"/>
      <c r="AF1481" s="51"/>
      <c r="AG1481" s="442"/>
      <c r="AH1481" s="442"/>
      <c r="AI1481" s="443"/>
    </row>
    <row r="1482" spans="1:35" s="32" customFormat="1">
      <c r="A1482" s="434" t="s">
        <v>942</v>
      </c>
      <c r="B1482" s="457" t="s">
        <v>946</v>
      </c>
      <c r="C1482" s="233">
        <v>44280</v>
      </c>
      <c r="D1482" s="435" t="s">
        <v>1267</v>
      </c>
      <c r="E1482" s="436" t="s">
        <v>1544</v>
      </c>
      <c r="F1482" s="338">
        <v>0.41180555555555554</v>
      </c>
      <c r="G1482" s="338">
        <v>0.41319444444444442</v>
      </c>
      <c r="H1482" s="338" t="s">
        <v>983</v>
      </c>
      <c r="I1482" s="353">
        <v>969</v>
      </c>
      <c r="J1482" s="338" t="str">
        <f>IFERROR(VLOOKUP(I1482,'Chart of accounts'!A:H,2,FALSE),"")</f>
        <v>50299990 99</v>
      </c>
      <c r="K1482" s="338" t="str">
        <f>IFERROR(VLOOKUP(I1482,'Chart of accounts'!A:H,3,FALSE),"")</f>
        <v>Other Maintenance and Operating Expenses</v>
      </c>
      <c r="L1482" s="338" t="str">
        <f>IFERROR(VLOOKUP(I1482,'Chart of accounts'!A:H,4,FALSE),"")</f>
        <v>50299990 99 - Other Maintenance and Operating Expenses (969)</v>
      </c>
      <c r="M1482" s="361" t="s">
        <v>5</v>
      </c>
      <c r="N1482" s="355" t="s">
        <v>818</v>
      </c>
      <c r="O1482" s="355" t="s">
        <v>1545</v>
      </c>
      <c r="P1482" s="355"/>
      <c r="Q1482" s="363">
        <v>20476.189999999999</v>
      </c>
      <c r="R1482" s="428">
        <f t="shared" ref="R1482:R1494" si="56">P1482-Q1482</f>
        <v>-20476.189999999999</v>
      </c>
      <c r="S1482" s="428" t="str">
        <f>VLOOKUP(H1482,'Fund Utilization Report'!$A$4:$U$1800,13,FALSE)</f>
        <v>MOOE</v>
      </c>
      <c r="T1482" s="428" t="str">
        <f>VLOOKUP(H1482,'Fund Utilization Report'!$A$4:$U$1800,2,FALSE)</f>
        <v>GAA</v>
      </c>
      <c r="U1482" s="428" t="str">
        <f>VLOOKUP(H1482,'Fund Utilization Report'!$A$4:$U$1800,3,FALSE)</f>
        <v>FY2021, RA11518</v>
      </c>
      <c r="V1482" s="428" t="str">
        <f>VLOOKUP(H1482,'Fund Utilization Report'!$A$4:$U$1800,4,FALSE)</f>
        <v>SSF</v>
      </c>
      <c r="W1482" s="428" t="str">
        <f>VLOOKUP(H1482,'Fund Utilization Report'!$A$4:$U$1800,5,FALSE)</f>
        <v>01101101</v>
      </c>
      <c r="X1482" s="428" t="str">
        <f>VLOOKUP(H1482,'Fund Utilization Report'!$A$4:$U$1800,6,FALSE)</f>
        <v>GOP</v>
      </c>
      <c r="Y1482" s="320" t="str">
        <f>VLOOKUP(H1482,'Fund Utilization Report'!$A$4:$U$1800,7,FALSE)</f>
        <v>MOOE</v>
      </c>
      <c r="Z1482" s="425">
        <f>VLOOKUP(H1482,'Fund Utilization Report'!$A$4:$U$1800,8,FALSE)</f>
        <v>5020000000</v>
      </c>
      <c r="AA1482" s="428" t="str">
        <f>VLOOKUP(H1482,'Fund Utilization Report'!$A$4:$U$1800,14,FALSE)</f>
        <v>330100200003000</v>
      </c>
      <c r="AB1482" s="349" t="str">
        <f>VLOOKUP(H1482,'Fund Utilization Report'!$A$4:$U$1800,15,FALSE)</f>
        <v>Shared Service Facilities Project</v>
      </c>
      <c r="AC1482" s="39"/>
      <c r="AD1482" s="34"/>
      <c r="AE1482" s="39"/>
      <c r="AF1482" s="51"/>
      <c r="AG1482" s="442"/>
      <c r="AH1482" s="442"/>
      <c r="AI1482" s="443"/>
    </row>
    <row r="1483" spans="1:35" s="32" customFormat="1">
      <c r="A1483" s="434" t="s">
        <v>942</v>
      </c>
      <c r="B1483" s="457" t="s">
        <v>946</v>
      </c>
      <c r="C1483" s="233">
        <v>44280</v>
      </c>
      <c r="D1483" s="435" t="s">
        <v>1267</v>
      </c>
      <c r="E1483" s="436" t="s">
        <v>1546</v>
      </c>
      <c r="F1483" s="338">
        <v>0.41319444444444442</v>
      </c>
      <c r="G1483" s="338">
        <v>0.4145833333333333</v>
      </c>
      <c r="H1483" s="338" t="s">
        <v>983</v>
      </c>
      <c r="I1483" s="353">
        <v>751</v>
      </c>
      <c r="J1483" s="338" t="str">
        <f>IFERROR(VLOOKUP(I1483,'Chart of accounts'!A:H,2,FALSE),"")</f>
        <v>50201010 00</v>
      </c>
      <c r="K1483" s="338" t="str">
        <f>IFERROR(VLOOKUP(I1483,'Chart of accounts'!A:H,3,FALSE),"")</f>
        <v>Traveling Expenses - Local</v>
      </c>
      <c r="L1483" s="338" t="str">
        <f>IFERROR(VLOOKUP(I1483,'Chart of accounts'!A:H,4,FALSE),"")</f>
        <v>50201010 00 - Traveling Expenses - Local (751)</v>
      </c>
      <c r="M1483" s="361" t="s">
        <v>5</v>
      </c>
      <c r="N1483" s="355" t="s">
        <v>820</v>
      </c>
      <c r="O1483" s="355" t="s">
        <v>1545</v>
      </c>
      <c r="P1483" s="355"/>
      <c r="Q1483" s="363">
        <v>30000</v>
      </c>
      <c r="R1483" s="428">
        <f t="shared" si="56"/>
        <v>-30000</v>
      </c>
      <c r="S1483" s="428" t="str">
        <f>VLOOKUP(H1483,'Fund Utilization Report'!$A$4:$U$1800,13,FALSE)</f>
        <v>MOOE</v>
      </c>
      <c r="T1483" s="428" t="str">
        <f>VLOOKUP(H1483,'Fund Utilization Report'!$A$4:$U$1800,2,FALSE)</f>
        <v>GAA</v>
      </c>
      <c r="U1483" s="428" t="str">
        <f>VLOOKUP(H1483,'Fund Utilization Report'!$A$4:$U$1800,3,FALSE)</f>
        <v>FY2021, RA11518</v>
      </c>
      <c r="V1483" s="428" t="str">
        <f>VLOOKUP(H1483,'Fund Utilization Report'!$A$4:$U$1800,4,FALSE)</f>
        <v>SSF</v>
      </c>
      <c r="W1483" s="428" t="str">
        <f>VLOOKUP(H1483,'Fund Utilization Report'!$A$4:$U$1800,5,FALSE)</f>
        <v>01101101</v>
      </c>
      <c r="X1483" s="428" t="str">
        <f>VLOOKUP(H1483,'Fund Utilization Report'!$A$4:$U$1800,6,FALSE)</f>
        <v>GOP</v>
      </c>
      <c r="Y1483" s="320" t="str">
        <f>VLOOKUP(H1483,'Fund Utilization Report'!$A$4:$U$1800,7,FALSE)</f>
        <v>MOOE</v>
      </c>
      <c r="Z1483" s="425">
        <f>VLOOKUP(H1483,'Fund Utilization Report'!$A$4:$U$1800,8,FALSE)</f>
        <v>5020000000</v>
      </c>
      <c r="AA1483" s="428" t="str">
        <f>VLOOKUP(H1483,'Fund Utilization Report'!$A$4:$U$1800,14,FALSE)</f>
        <v>330100200003000</v>
      </c>
      <c r="AB1483" s="349" t="str">
        <f>VLOOKUP(H1483,'Fund Utilization Report'!$A$4:$U$1800,15,FALSE)</f>
        <v>Shared Service Facilities Project</v>
      </c>
      <c r="AC1483" s="39"/>
      <c r="AD1483" s="34"/>
      <c r="AE1483" s="39"/>
      <c r="AF1483" s="51"/>
      <c r="AG1483" s="442"/>
      <c r="AH1483" s="442"/>
      <c r="AI1483" s="443"/>
    </row>
    <row r="1484" spans="1:35" s="32" customFormat="1">
      <c r="A1484" s="434" t="s">
        <v>942</v>
      </c>
      <c r="B1484" s="457" t="s">
        <v>946</v>
      </c>
      <c r="C1484" s="233">
        <v>44280</v>
      </c>
      <c r="D1484" s="435" t="s">
        <v>1267</v>
      </c>
      <c r="E1484" s="436" t="s">
        <v>1546</v>
      </c>
      <c r="F1484" s="338">
        <v>0.41319444444444442</v>
      </c>
      <c r="G1484" s="338">
        <v>0.4145833333333333</v>
      </c>
      <c r="H1484" s="338" t="s">
        <v>983</v>
      </c>
      <c r="I1484" s="353">
        <v>753</v>
      </c>
      <c r="J1484" s="338" t="str">
        <f>IFERROR(VLOOKUP(I1484,'Chart of accounts'!A:H,2,FALSE),"")</f>
        <v>50202010 00</v>
      </c>
      <c r="K1484" s="338" t="str">
        <f>IFERROR(VLOOKUP(I1484,'Chart of accounts'!A:H,3,FALSE),"")</f>
        <v>Training Expenses</v>
      </c>
      <c r="L1484" s="338" t="str">
        <f>IFERROR(VLOOKUP(I1484,'Chart of accounts'!A:H,4,FALSE),"")</f>
        <v>50202010 00 - Training Expenses (753)</v>
      </c>
      <c r="M1484" s="361" t="s">
        <v>5</v>
      </c>
      <c r="N1484" s="355" t="s">
        <v>820</v>
      </c>
      <c r="O1484" s="355" t="s">
        <v>1545</v>
      </c>
      <c r="P1484" s="355"/>
      <c r="Q1484" s="363">
        <v>120000</v>
      </c>
      <c r="R1484" s="428">
        <f t="shared" si="56"/>
        <v>-120000</v>
      </c>
      <c r="S1484" s="428" t="str">
        <f>VLOOKUP(H1484,'Fund Utilization Report'!$A$4:$U$1800,13,FALSE)</f>
        <v>MOOE</v>
      </c>
      <c r="T1484" s="428" t="str">
        <f>VLOOKUP(H1484,'Fund Utilization Report'!$A$4:$U$1800,2,FALSE)</f>
        <v>GAA</v>
      </c>
      <c r="U1484" s="428" t="str">
        <f>VLOOKUP(H1484,'Fund Utilization Report'!$A$4:$U$1800,3,FALSE)</f>
        <v>FY2021, RA11518</v>
      </c>
      <c r="V1484" s="428" t="str">
        <f>VLOOKUP(H1484,'Fund Utilization Report'!$A$4:$U$1800,4,FALSE)</f>
        <v>SSF</v>
      </c>
      <c r="W1484" s="428" t="str">
        <f>VLOOKUP(H1484,'Fund Utilization Report'!$A$4:$U$1800,5,FALSE)</f>
        <v>01101101</v>
      </c>
      <c r="X1484" s="428" t="str">
        <f>VLOOKUP(H1484,'Fund Utilization Report'!$A$4:$U$1800,6,FALSE)</f>
        <v>GOP</v>
      </c>
      <c r="Y1484" s="320" t="str">
        <f>VLOOKUP(H1484,'Fund Utilization Report'!$A$4:$U$1800,7,FALSE)</f>
        <v>MOOE</v>
      </c>
      <c r="Z1484" s="425">
        <f>VLOOKUP(H1484,'Fund Utilization Report'!$A$4:$U$1800,8,FALSE)</f>
        <v>5020000000</v>
      </c>
      <c r="AA1484" s="428" t="str">
        <f>VLOOKUP(H1484,'Fund Utilization Report'!$A$4:$U$1800,14,FALSE)</f>
        <v>330100200003000</v>
      </c>
      <c r="AB1484" s="349" t="str">
        <f>VLOOKUP(H1484,'Fund Utilization Report'!$A$4:$U$1800,15,FALSE)</f>
        <v>Shared Service Facilities Project</v>
      </c>
      <c r="AC1484" s="39"/>
      <c r="AD1484" s="34"/>
      <c r="AE1484" s="39"/>
      <c r="AF1484" s="51"/>
      <c r="AG1484" s="442"/>
      <c r="AH1484" s="442"/>
      <c r="AI1484" s="443"/>
    </row>
    <row r="1485" spans="1:35" s="32" customFormat="1">
      <c r="A1485" s="434" t="s">
        <v>942</v>
      </c>
      <c r="B1485" s="457" t="s">
        <v>946</v>
      </c>
      <c r="C1485" s="233">
        <v>44280</v>
      </c>
      <c r="D1485" s="435" t="s">
        <v>1267</v>
      </c>
      <c r="E1485" s="436" t="s">
        <v>1546</v>
      </c>
      <c r="F1485" s="338">
        <v>0.41319444444444442</v>
      </c>
      <c r="G1485" s="338">
        <v>0.4145833333333333</v>
      </c>
      <c r="H1485" s="338" t="s">
        <v>983</v>
      </c>
      <c r="I1485" s="459">
        <v>793</v>
      </c>
      <c r="J1485" s="338" t="str">
        <f>IFERROR(VLOOKUP(I1485,'Chart of accounts'!A:H,2,FALSE),"")</f>
        <v>50211030 00</v>
      </c>
      <c r="K1485" s="338" t="str">
        <f>IFERROR(VLOOKUP(I1485,'Chart of accounts'!A:H,3,FALSE),"")</f>
        <v>Consultancy Services</v>
      </c>
      <c r="L1485" s="338" t="str">
        <f>IFERROR(VLOOKUP(I1485,'Chart of accounts'!A:H,4,FALSE),"")</f>
        <v>50211030 00 - Consultancy Services (793)</v>
      </c>
      <c r="M1485" s="361" t="s">
        <v>5</v>
      </c>
      <c r="N1485" s="355" t="s">
        <v>820</v>
      </c>
      <c r="O1485" s="355" t="s">
        <v>1545</v>
      </c>
      <c r="P1485" s="355"/>
      <c r="Q1485" s="363">
        <v>30000</v>
      </c>
      <c r="R1485" s="428">
        <f t="shared" si="56"/>
        <v>-30000</v>
      </c>
      <c r="S1485" s="428" t="str">
        <f>VLOOKUP(H1485,'Fund Utilization Report'!$A$4:$U$1800,13,FALSE)</f>
        <v>MOOE</v>
      </c>
      <c r="T1485" s="428" t="str">
        <f>VLOOKUP(H1485,'Fund Utilization Report'!$A$4:$U$1800,2,FALSE)</f>
        <v>GAA</v>
      </c>
      <c r="U1485" s="428" t="str">
        <f>VLOOKUP(H1485,'Fund Utilization Report'!$A$4:$U$1800,3,FALSE)</f>
        <v>FY2021, RA11518</v>
      </c>
      <c r="V1485" s="428" t="str">
        <f>VLOOKUP(H1485,'Fund Utilization Report'!$A$4:$U$1800,4,FALSE)</f>
        <v>SSF</v>
      </c>
      <c r="W1485" s="428" t="str">
        <f>VLOOKUP(H1485,'Fund Utilization Report'!$A$4:$U$1800,5,FALSE)</f>
        <v>01101101</v>
      </c>
      <c r="X1485" s="428" t="str">
        <f>VLOOKUP(H1485,'Fund Utilization Report'!$A$4:$U$1800,6,FALSE)</f>
        <v>GOP</v>
      </c>
      <c r="Y1485" s="320" t="str">
        <f>VLOOKUP(H1485,'Fund Utilization Report'!$A$4:$U$1800,7,FALSE)</f>
        <v>MOOE</v>
      </c>
      <c r="Z1485" s="425">
        <f>VLOOKUP(H1485,'Fund Utilization Report'!$A$4:$U$1800,8,FALSE)</f>
        <v>5020000000</v>
      </c>
      <c r="AA1485" s="428" t="str">
        <f>VLOOKUP(H1485,'Fund Utilization Report'!$A$4:$U$1800,14,FALSE)</f>
        <v>330100200003000</v>
      </c>
      <c r="AB1485" s="349" t="str">
        <f>VLOOKUP(H1485,'Fund Utilization Report'!$A$4:$U$1800,15,FALSE)</f>
        <v>Shared Service Facilities Project</v>
      </c>
      <c r="AC1485" s="39"/>
      <c r="AD1485" s="34"/>
      <c r="AE1485" s="39"/>
      <c r="AF1485" s="51"/>
      <c r="AG1485" s="442"/>
      <c r="AH1485" s="442"/>
      <c r="AI1485" s="443"/>
    </row>
    <row r="1486" spans="1:35" s="32" customFormat="1">
      <c r="A1486" s="434" t="s">
        <v>942</v>
      </c>
      <c r="B1486" s="457" t="s">
        <v>946</v>
      </c>
      <c r="C1486" s="233">
        <v>44280</v>
      </c>
      <c r="D1486" s="435" t="s">
        <v>1267</v>
      </c>
      <c r="E1486" s="436" t="s">
        <v>1546</v>
      </c>
      <c r="F1486" s="338">
        <v>0.41319444444444442</v>
      </c>
      <c r="G1486" s="338">
        <v>0.4145833333333333</v>
      </c>
      <c r="H1486" s="338" t="s">
        <v>983</v>
      </c>
      <c r="I1486" s="353">
        <v>840</v>
      </c>
      <c r="J1486" s="338" t="str">
        <f>IFERROR(VLOOKUP(I1486,'Chart of accounts'!A:H,2,FALSE),"")</f>
        <v>50213050 99</v>
      </c>
      <c r="K1486" s="338" t="str">
        <f>IFERROR(VLOOKUP(I1486,'Chart of accounts'!A:H,3,FALSE),"")</f>
        <v>Other Machinery and Equipment</v>
      </c>
      <c r="L1486" s="338" t="str">
        <f>IFERROR(VLOOKUP(I1486,'Chart of accounts'!A:H,4,FALSE),"")</f>
        <v>50213050 99 - Other Machinery and Equipment (840)</v>
      </c>
      <c r="M1486" s="361" t="s">
        <v>5</v>
      </c>
      <c r="N1486" s="355" t="s">
        <v>820</v>
      </c>
      <c r="O1486" s="355" t="s">
        <v>1545</v>
      </c>
      <c r="P1486" s="355"/>
      <c r="Q1486" s="363">
        <v>80000</v>
      </c>
      <c r="R1486" s="428">
        <f t="shared" si="56"/>
        <v>-80000</v>
      </c>
      <c r="S1486" s="428" t="str">
        <f>VLOOKUP(H1486,'Fund Utilization Report'!$A$4:$U$1800,13,FALSE)</f>
        <v>MOOE</v>
      </c>
      <c r="T1486" s="428" t="str">
        <f>VLOOKUP(H1486,'Fund Utilization Report'!$A$4:$U$1800,2,FALSE)</f>
        <v>GAA</v>
      </c>
      <c r="U1486" s="428" t="str">
        <f>VLOOKUP(H1486,'Fund Utilization Report'!$A$4:$U$1800,3,FALSE)</f>
        <v>FY2021, RA11518</v>
      </c>
      <c r="V1486" s="428" t="str">
        <f>VLOOKUP(H1486,'Fund Utilization Report'!$A$4:$U$1800,4,FALSE)</f>
        <v>SSF</v>
      </c>
      <c r="W1486" s="428" t="str">
        <f>VLOOKUP(H1486,'Fund Utilization Report'!$A$4:$U$1800,5,FALSE)</f>
        <v>01101101</v>
      </c>
      <c r="X1486" s="428" t="str">
        <f>VLOOKUP(H1486,'Fund Utilization Report'!$A$4:$U$1800,6,FALSE)</f>
        <v>GOP</v>
      </c>
      <c r="Y1486" s="320" t="str">
        <f>VLOOKUP(H1486,'Fund Utilization Report'!$A$4:$U$1800,7,FALSE)</f>
        <v>MOOE</v>
      </c>
      <c r="Z1486" s="425">
        <f>VLOOKUP(H1486,'Fund Utilization Report'!$A$4:$U$1800,8,FALSE)</f>
        <v>5020000000</v>
      </c>
      <c r="AA1486" s="428" t="str">
        <f>VLOOKUP(H1486,'Fund Utilization Report'!$A$4:$U$1800,14,FALSE)</f>
        <v>330100200003000</v>
      </c>
      <c r="AB1486" s="349" t="str">
        <f>VLOOKUP(H1486,'Fund Utilization Report'!$A$4:$U$1800,15,FALSE)</f>
        <v>Shared Service Facilities Project</v>
      </c>
      <c r="AC1486" s="39"/>
      <c r="AD1486" s="34"/>
      <c r="AE1486" s="39"/>
      <c r="AF1486" s="51"/>
      <c r="AG1486" s="442"/>
      <c r="AH1486" s="442"/>
      <c r="AI1486" s="443"/>
    </row>
    <row r="1487" spans="1:35" s="32" customFormat="1">
      <c r="A1487" s="434" t="s">
        <v>942</v>
      </c>
      <c r="B1487" s="457" t="s">
        <v>946</v>
      </c>
      <c r="C1487" s="233">
        <v>44280</v>
      </c>
      <c r="D1487" s="435" t="s">
        <v>1267</v>
      </c>
      <c r="E1487" s="436" t="s">
        <v>1546</v>
      </c>
      <c r="F1487" s="338">
        <v>0.41319444444444442</v>
      </c>
      <c r="G1487" s="338">
        <v>0.4145833333333333</v>
      </c>
      <c r="H1487" s="338" t="s">
        <v>983</v>
      </c>
      <c r="I1487" s="353">
        <v>969</v>
      </c>
      <c r="J1487" s="338" t="str">
        <f>IFERROR(VLOOKUP(I1487,'Chart of accounts'!A:H,2,FALSE),"")</f>
        <v>50299990 99</v>
      </c>
      <c r="K1487" s="338" t="str">
        <f>IFERROR(VLOOKUP(I1487,'Chart of accounts'!A:H,3,FALSE),"")</f>
        <v>Other Maintenance and Operating Expenses</v>
      </c>
      <c r="L1487" s="338" t="str">
        <f>IFERROR(VLOOKUP(I1487,'Chart of accounts'!A:H,4,FALSE),"")</f>
        <v>50299990 99 - Other Maintenance and Operating Expenses (969)</v>
      </c>
      <c r="M1487" s="361" t="s">
        <v>5</v>
      </c>
      <c r="N1487" s="355" t="s">
        <v>820</v>
      </c>
      <c r="O1487" s="355" t="s">
        <v>1545</v>
      </c>
      <c r="P1487" s="355"/>
      <c r="Q1487" s="363">
        <v>24121.43</v>
      </c>
      <c r="R1487" s="428">
        <f t="shared" si="56"/>
        <v>-24121.43</v>
      </c>
      <c r="S1487" s="428" t="str">
        <f>VLOOKUP(H1487,'Fund Utilization Report'!$A$4:$U$1800,13,FALSE)</f>
        <v>MOOE</v>
      </c>
      <c r="T1487" s="428" t="str">
        <f>VLOOKUP(H1487,'Fund Utilization Report'!$A$4:$U$1800,2,FALSE)</f>
        <v>GAA</v>
      </c>
      <c r="U1487" s="428" t="str">
        <f>VLOOKUP(H1487,'Fund Utilization Report'!$A$4:$U$1800,3,FALSE)</f>
        <v>FY2021, RA11518</v>
      </c>
      <c r="V1487" s="428" t="str">
        <f>VLOOKUP(H1487,'Fund Utilization Report'!$A$4:$U$1800,4,FALSE)</f>
        <v>SSF</v>
      </c>
      <c r="W1487" s="428" t="str">
        <f>VLOOKUP(H1487,'Fund Utilization Report'!$A$4:$U$1800,5,FALSE)</f>
        <v>01101101</v>
      </c>
      <c r="X1487" s="428" t="str">
        <f>VLOOKUP(H1487,'Fund Utilization Report'!$A$4:$U$1800,6,FALSE)</f>
        <v>GOP</v>
      </c>
      <c r="Y1487" s="320" t="str">
        <f>VLOOKUP(H1487,'Fund Utilization Report'!$A$4:$U$1800,7,FALSE)</f>
        <v>MOOE</v>
      </c>
      <c r="Z1487" s="425">
        <f>VLOOKUP(H1487,'Fund Utilization Report'!$A$4:$U$1800,8,FALSE)</f>
        <v>5020000000</v>
      </c>
      <c r="AA1487" s="428" t="str">
        <f>VLOOKUP(H1487,'Fund Utilization Report'!$A$4:$U$1800,14,FALSE)</f>
        <v>330100200003000</v>
      </c>
      <c r="AB1487" s="349" t="str">
        <f>VLOOKUP(H1487,'Fund Utilization Report'!$A$4:$U$1800,15,FALSE)</f>
        <v>Shared Service Facilities Project</v>
      </c>
      <c r="AC1487" s="39"/>
      <c r="AD1487" s="34"/>
      <c r="AE1487" s="39"/>
      <c r="AF1487" s="51"/>
      <c r="AG1487" s="442"/>
      <c r="AH1487" s="442"/>
      <c r="AI1487" s="443"/>
    </row>
    <row r="1488" spans="1:35" s="32" customFormat="1">
      <c r="A1488" s="434" t="s">
        <v>942</v>
      </c>
      <c r="B1488" s="457" t="s">
        <v>946</v>
      </c>
      <c r="C1488" s="233">
        <v>44280</v>
      </c>
      <c r="D1488" s="435" t="s">
        <v>1267</v>
      </c>
      <c r="E1488" s="436" t="s">
        <v>1547</v>
      </c>
      <c r="F1488" s="338">
        <v>0.4145833333333333</v>
      </c>
      <c r="G1488" s="338">
        <v>0.4152777777777778</v>
      </c>
      <c r="H1488" s="338" t="s">
        <v>983</v>
      </c>
      <c r="I1488" s="353">
        <v>751</v>
      </c>
      <c r="J1488" s="338" t="str">
        <f>IFERROR(VLOOKUP(I1488,'Chart of accounts'!A:H,2,FALSE),"")</f>
        <v>50201010 00</v>
      </c>
      <c r="K1488" s="338" t="str">
        <f>IFERROR(VLOOKUP(I1488,'Chart of accounts'!A:H,3,FALSE),"")</f>
        <v>Traveling Expenses - Local</v>
      </c>
      <c r="L1488" s="338" t="str">
        <f>IFERROR(VLOOKUP(I1488,'Chart of accounts'!A:H,4,FALSE),"")</f>
        <v>50201010 00 - Traveling Expenses - Local (751)</v>
      </c>
      <c r="M1488" s="361" t="s">
        <v>5</v>
      </c>
      <c r="N1488" s="355" t="s">
        <v>1539</v>
      </c>
      <c r="O1488" s="355" t="s">
        <v>1545</v>
      </c>
      <c r="P1488" s="355"/>
      <c r="Q1488" s="363">
        <v>50000</v>
      </c>
      <c r="R1488" s="428">
        <f t="shared" si="56"/>
        <v>-50000</v>
      </c>
      <c r="S1488" s="428" t="str">
        <f>VLOOKUP(H1488,'Fund Utilization Report'!$A$4:$U$1800,13,FALSE)</f>
        <v>MOOE</v>
      </c>
      <c r="T1488" s="428" t="str">
        <f>VLOOKUP(H1488,'Fund Utilization Report'!$A$4:$U$1800,2,FALSE)</f>
        <v>GAA</v>
      </c>
      <c r="U1488" s="428" t="str">
        <f>VLOOKUP(H1488,'Fund Utilization Report'!$A$4:$U$1800,3,FALSE)</f>
        <v>FY2021, RA11518</v>
      </c>
      <c r="V1488" s="428" t="str">
        <f>VLOOKUP(H1488,'Fund Utilization Report'!$A$4:$U$1800,4,FALSE)</f>
        <v>SSF</v>
      </c>
      <c r="W1488" s="428" t="str">
        <f>VLOOKUP(H1488,'Fund Utilization Report'!$A$4:$U$1800,5,FALSE)</f>
        <v>01101101</v>
      </c>
      <c r="X1488" s="428" t="str">
        <f>VLOOKUP(H1488,'Fund Utilization Report'!$A$4:$U$1800,6,FALSE)</f>
        <v>GOP</v>
      </c>
      <c r="Y1488" s="320" t="str">
        <f>VLOOKUP(H1488,'Fund Utilization Report'!$A$4:$U$1800,7,FALSE)</f>
        <v>MOOE</v>
      </c>
      <c r="Z1488" s="425">
        <f>VLOOKUP(H1488,'Fund Utilization Report'!$A$4:$U$1800,8,FALSE)</f>
        <v>5020000000</v>
      </c>
      <c r="AA1488" s="428" t="str">
        <f>VLOOKUP(H1488,'Fund Utilization Report'!$A$4:$U$1800,14,FALSE)</f>
        <v>330100200003000</v>
      </c>
      <c r="AB1488" s="349" t="str">
        <f>VLOOKUP(H1488,'Fund Utilization Report'!$A$4:$U$1800,15,FALSE)</f>
        <v>Shared Service Facilities Project</v>
      </c>
      <c r="AC1488" s="39"/>
      <c r="AD1488" s="34"/>
      <c r="AE1488" s="39"/>
      <c r="AF1488" s="51"/>
      <c r="AG1488" s="442"/>
      <c r="AH1488" s="442"/>
      <c r="AI1488" s="443"/>
    </row>
    <row r="1489" spans="1:35" s="32" customFormat="1">
      <c r="A1489" s="434" t="s">
        <v>942</v>
      </c>
      <c r="B1489" s="457" t="s">
        <v>946</v>
      </c>
      <c r="C1489" s="233">
        <v>44280</v>
      </c>
      <c r="D1489" s="435" t="s">
        <v>1267</v>
      </c>
      <c r="E1489" s="436" t="s">
        <v>1547</v>
      </c>
      <c r="F1489" s="338">
        <v>0.4145833333333333</v>
      </c>
      <c r="G1489" s="338">
        <v>0.4152777777777778</v>
      </c>
      <c r="H1489" s="338" t="s">
        <v>983</v>
      </c>
      <c r="I1489" s="353">
        <v>753</v>
      </c>
      <c r="J1489" s="338" t="str">
        <f>IFERROR(VLOOKUP(I1489,'Chart of accounts'!A:H,2,FALSE),"")</f>
        <v>50202010 00</v>
      </c>
      <c r="K1489" s="338" t="str">
        <f>IFERROR(VLOOKUP(I1489,'Chart of accounts'!A:H,3,FALSE),"")</f>
        <v>Training Expenses</v>
      </c>
      <c r="L1489" s="338" t="str">
        <f>IFERROR(VLOOKUP(I1489,'Chart of accounts'!A:H,4,FALSE),"")</f>
        <v>50202010 00 - Training Expenses (753)</v>
      </c>
      <c r="M1489" s="361" t="s">
        <v>5</v>
      </c>
      <c r="N1489" s="355" t="s">
        <v>1539</v>
      </c>
      <c r="O1489" s="355" t="s">
        <v>1545</v>
      </c>
      <c r="P1489" s="355"/>
      <c r="Q1489" s="363">
        <v>50000</v>
      </c>
      <c r="R1489" s="428">
        <f t="shared" si="56"/>
        <v>-50000</v>
      </c>
      <c r="S1489" s="428" t="str">
        <f>VLOOKUP(H1489,'Fund Utilization Report'!$A$4:$U$1800,13,FALSE)</f>
        <v>MOOE</v>
      </c>
      <c r="T1489" s="428" t="str">
        <f>VLOOKUP(H1489,'Fund Utilization Report'!$A$4:$U$1800,2,FALSE)</f>
        <v>GAA</v>
      </c>
      <c r="U1489" s="428" t="str">
        <f>VLOOKUP(H1489,'Fund Utilization Report'!$A$4:$U$1800,3,FALSE)</f>
        <v>FY2021, RA11518</v>
      </c>
      <c r="V1489" s="428" t="str">
        <f>VLOOKUP(H1489,'Fund Utilization Report'!$A$4:$U$1800,4,FALSE)</f>
        <v>SSF</v>
      </c>
      <c r="W1489" s="428" t="str">
        <f>VLOOKUP(H1489,'Fund Utilization Report'!$A$4:$U$1800,5,FALSE)</f>
        <v>01101101</v>
      </c>
      <c r="X1489" s="428" t="str">
        <f>VLOOKUP(H1489,'Fund Utilization Report'!$A$4:$U$1800,6,FALSE)</f>
        <v>GOP</v>
      </c>
      <c r="Y1489" s="320" t="str">
        <f>VLOOKUP(H1489,'Fund Utilization Report'!$A$4:$U$1800,7,FALSE)</f>
        <v>MOOE</v>
      </c>
      <c r="Z1489" s="425">
        <f>VLOOKUP(H1489,'Fund Utilization Report'!$A$4:$U$1800,8,FALSE)</f>
        <v>5020000000</v>
      </c>
      <c r="AA1489" s="428" t="str">
        <f>VLOOKUP(H1489,'Fund Utilization Report'!$A$4:$U$1800,14,FALSE)</f>
        <v>330100200003000</v>
      </c>
      <c r="AB1489" s="349" t="str">
        <f>VLOOKUP(H1489,'Fund Utilization Report'!$A$4:$U$1800,15,FALSE)</f>
        <v>Shared Service Facilities Project</v>
      </c>
      <c r="AC1489" s="39"/>
      <c r="AD1489" s="34"/>
      <c r="AE1489" s="39"/>
      <c r="AF1489" s="51"/>
      <c r="AG1489" s="442"/>
      <c r="AH1489" s="442"/>
      <c r="AI1489" s="443"/>
    </row>
    <row r="1490" spans="1:35" s="32" customFormat="1">
      <c r="A1490" s="434" t="s">
        <v>942</v>
      </c>
      <c r="B1490" s="457" t="s">
        <v>946</v>
      </c>
      <c r="C1490" s="233">
        <v>44280</v>
      </c>
      <c r="D1490" s="435" t="s">
        <v>1267</v>
      </c>
      <c r="E1490" s="436" t="s">
        <v>1547</v>
      </c>
      <c r="F1490" s="338">
        <v>0.4145833333333333</v>
      </c>
      <c r="G1490" s="338">
        <v>0.4152777777777778</v>
      </c>
      <c r="H1490" s="338" t="s">
        <v>983</v>
      </c>
      <c r="I1490" s="459">
        <v>793</v>
      </c>
      <c r="J1490" s="338" t="str">
        <f>IFERROR(VLOOKUP(I1490,'Chart of accounts'!A:H,2,FALSE),"")</f>
        <v>50211030 00</v>
      </c>
      <c r="K1490" s="338" t="str">
        <f>IFERROR(VLOOKUP(I1490,'Chart of accounts'!A:H,3,FALSE),"")</f>
        <v>Consultancy Services</v>
      </c>
      <c r="L1490" s="338" t="str">
        <f>IFERROR(VLOOKUP(I1490,'Chart of accounts'!A:H,4,FALSE),"")</f>
        <v>50211030 00 - Consultancy Services (793)</v>
      </c>
      <c r="M1490" s="361" t="s">
        <v>5</v>
      </c>
      <c r="N1490" s="355" t="s">
        <v>1539</v>
      </c>
      <c r="O1490" s="355" t="s">
        <v>1545</v>
      </c>
      <c r="P1490" s="355"/>
      <c r="Q1490" s="363">
        <v>50000</v>
      </c>
      <c r="R1490" s="428">
        <f t="shared" si="56"/>
        <v>-50000</v>
      </c>
      <c r="S1490" s="428" t="str">
        <f>VLOOKUP(H1490,'Fund Utilization Report'!$A$4:$U$1800,13,FALSE)</f>
        <v>MOOE</v>
      </c>
      <c r="T1490" s="428" t="str">
        <f>VLOOKUP(H1490,'Fund Utilization Report'!$A$4:$U$1800,2,FALSE)</f>
        <v>GAA</v>
      </c>
      <c r="U1490" s="428" t="str">
        <f>VLOOKUP(H1490,'Fund Utilization Report'!$A$4:$U$1800,3,FALSE)</f>
        <v>FY2021, RA11518</v>
      </c>
      <c r="V1490" s="428" t="str">
        <f>VLOOKUP(H1490,'Fund Utilization Report'!$A$4:$U$1800,4,FALSE)</f>
        <v>SSF</v>
      </c>
      <c r="W1490" s="428" t="str">
        <f>VLOOKUP(H1490,'Fund Utilization Report'!$A$4:$U$1800,5,FALSE)</f>
        <v>01101101</v>
      </c>
      <c r="X1490" s="428" t="str">
        <f>VLOOKUP(H1490,'Fund Utilization Report'!$A$4:$U$1800,6,FALSE)</f>
        <v>GOP</v>
      </c>
      <c r="Y1490" s="320" t="str">
        <f>VLOOKUP(H1490,'Fund Utilization Report'!$A$4:$U$1800,7,FALSE)</f>
        <v>MOOE</v>
      </c>
      <c r="Z1490" s="425">
        <f>VLOOKUP(H1490,'Fund Utilization Report'!$A$4:$U$1800,8,FALSE)</f>
        <v>5020000000</v>
      </c>
      <c r="AA1490" s="428" t="str">
        <f>VLOOKUP(H1490,'Fund Utilization Report'!$A$4:$U$1800,14,FALSE)</f>
        <v>330100200003000</v>
      </c>
      <c r="AB1490" s="349" t="str">
        <f>VLOOKUP(H1490,'Fund Utilization Report'!$A$4:$U$1800,15,FALSE)</f>
        <v>Shared Service Facilities Project</v>
      </c>
      <c r="AC1490" s="39"/>
      <c r="AD1490" s="34"/>
      <c r="AE1490" s="39"/>
      <c r="AF1490" s="51"/>
      <c r="AG1490" s="442"/>
      <c r="AH1490" s="442"/>
      <c r="AI1490" s="443"/>
    </row>
    <row r="1491" spans="1:35" s="32" customFormat="1">
      <c r="A1491" s="434" t="s">
        <v>942</v>
      </c>
      <c r="B1491" s="457" t="s">
        <v>946</v>
      </c>
      <c r="C1491" s="233">
        <v>44280</v>
      </c>
      <c r="D1491" s="435" t="s">
        <v>1267</v>
      </c>
      <c r="E1491" s="436" t="s">
        <v>1547</v>
      </c>
      <c r="F1491" s="338">
        <v>0.4145833333333333</v>
      </c>
      <c r="G1491" s="338">
        <v>0.4152777777777778</v>
      </c>
      <c r="H1491" s="338" t="s">
        <v>983</v>
      </c>
      <c r="I1491" s="353">
        <v>840</v>
      </c>
      <c r="J1491" s="338" t="str">
        <f>IFERROR(VLOOKUP(I1491,'Chart of accounts'!A:H,2,FALSE),"")</f>
        <v>50213050 99</v>
      </c>
      <c r="K1491" s="338" t="str">
        <f>IFERROR(VLOOKUP(I1491,'Chart of accounts'!A:H,3,FALSE),"")</f>
        <v>Other Machinery and Equipment</v>
      </c>
      <c r="L1491" s="338" t="str">
        <f>IFERROR(VLOOKUP(I1491,'Chart of accounts'!A:H,4,FALSE),"")</f>
        <v>50213050 99 - Other Machinery and Equipment (840)</v>
      </c>
      <c r="M1491" s="361" t="s">
        <v>5</v>
      </c>
      <c r="N1491" s="355" t="s">
        <v>1539</v>
      </c>
      <c r="O1491" s="355" t="s">
        <v>1545</v>
      </c>
      <c r="P1491" s="355"/>
      <c r="Q1491" s="363">
        <v>67000</v>
      </c>
      <c r="R1491" s="428">
        <f t="shared" si="56"/>
        <v>-67000</v>
      </c>
      <c r="S1491" s="428" t="str">
        <f>VLOOKUP(H1491,'Fund Utilization Report'!$A$4:$U$1800,13,FALSE)</f>
        <v>MOOE</v>
      </c>
      <c r="T1491" s="428" t="str">
        <f>VLOOKUP(H1491,'Fund Utilization Report'!$A$4:$U$1800,2,FALSE)</f>
        <v>GAA</v>
      </c>
      <c r="U1491" s="428" t="str">
        <f>VLOOKUP(H1491,'Fund Utilization Report'!$A$4:$U$1800,3,FALSE)</f>
        <v>FY2021, RA11518</v>
      </c>
      <c r="V1491" s="428" t="str">
        <f>VLOOKUP(H1491,'Fund Utilization Report'!$A$4:$U$1800,4,FALSE)</f>
        <v>SSF</v>
      </c>
      <c r="W1491" s="428" t="str">
        <f>VLOOKUP(H1491,'Fund Utilization Report'!$A$4:$U$1800,5,FALSE)</f>
        <v>01101101</v>
      </c>
      <c r="X1491" s="428" t="str">
        <f>VLOOKUP(H1491,'Fund Utilization Report'!$A$4:$U$1800,6,FALSE)</f>
        <v>GOP</v>
      </c>
      <c r="Y1491" s="320" t="str">
        <f>VLOOKUP(H1491,'Fund Utilization Report'!$A$4:$U$1800,7,FALSE)</f>
        <v>MOOE</v>
      </c>
      <c r="Z1491" s="425">
        <f>VLOOKUP(H1491,'Fund Utilization Report'!$A$4:$U$1800,8,FALSE)</f>
        <v>5020000000</v>
      </c>
      <c r="AA1491" s="428" t="str">
        <f>VLOOKUP(H1491,'Fund Utilization Report'!$A$4:$U$1800,14,FALSE)</f>
        <v>330100200003000</v>
      </c>
      <c r="AB1491" s="349" t="str">
        <f>VLOOKUP(H1491,'Fund Utilization Report'!$A$4:$U$1800,15,FALSE)</f>
        <v>Shared Service Facilities Project</v>
      </c>
      <c r="AC1491" s="39"/>
      <c r="AD1491" s="34"/>
      <c r="AE1491" s="39"/>
      <c r="AF1491" s="51"/>
      <c r="AG1491" s="442"/>
      <c r="AH1491" s="442"/>
      <c r="AI1491" s="443"/>
    </row>
    <row r="1492" spans="1:35" s="32" customFormat="1">
      <c r="A1492" s="434" t="s">
        <v>942</v>
      </c>
      <c r="B1492" s="457" t="s">
        <v>946</v>
      </c>
      <c r="C1492" s="233">
        <v>44280</v>
      </c>
      <c r="D1492" s="435" t="s">
        <v>1267</v>
      </c>
      <c r="E1492" s="436" t="s">
        <v>1547</v>
      </c>
      <c r="F1492" s="338">
        <v>0.4145833333333333</v>
      </c>
      <c r="G1492" s="338">
        <v>0.4152777777777778</v>
      </c>
      <c r="H1492" s="338" t="s">
        <v>983</v>
      </c>
      <c r="I1492" s="353">
        <v>969</v>
      </c>
      <c r="J1492" s="338" t="str">
        <f>IFERROR(VLOOKUP(I1492,'Chart of accounts'!A:H,2,FALSE),"")</f>
        <v>50299990 99</v>
      </c>
      <c r="K1492" s="338" t="str">
        <f>IFERROR(VLOOKUP(I1492,'Chart of accounts'!A:H,3,FALSE),"")</f>
        <v>Other Maintenance and Operating Expenses</v>
      </c>
      <c r="L1492" s="338" t="str">
        <f>IFERROR(VLOOKUP(I1492,'Chart of accounts'!A:H,4,FALSE),"")</f>
        <v>50299990 99 - Other Maintenance and Operating Expenses (969)</v>
      </c>
      <c r="M1492" s="361" t="s">
        <v>5</v>
      </c>
      <c r="N1492" s="355" t="s">
        <v>1539</v>
      </c>
      <c r="O1492" s="355" t="s">
        <v>1545</v>
      </c>
      <c r="P1492" s="355"/>
      <c r="Q1492" s="363">
        <v>24007.14</v>
      </c>
      <c r="R1492" s="428">
        <f t="shared" si="56"/>
        <v>-24007.14</v>
      </c>
      <c r="S1492" s="428" t="str">
        <f>VLOOKUP(H1492,'Fund Utilization Report'!$A$4:$U$1800,13,FALSE)</f>
        <v>MOOE</v>
      </c>
      <c r="T1492" s="428" t="str">
        <f>VLOOKUP(H1492,'Fund Utilization Report'!$A$4:$U$1800,2,FALSE)</f>
        <v>GAA</v>
      </c>
      <c r="U1492" s="428" t="str">
        <f>VLOOKUP(H1492,'Fund Utilization Report'!$A$4:$U$1800,3,FALSE)</f>
        <v>FY2021, RA11518</v>
      </c>
      <c r="V1492" s="428" t="str">
        <f>VLOOKUP(H1492,'Fund Utilization Report'!$A$4:$U$1800,4,FALSE)</f>
        <v>SSF</v>
      </c>
      <c r="W1492" s="428" t="str">
        <f>VLOOKUP(H1492,'Fund Utilization Report'!$A$4:$U$1800,5,FALSE)</f>
        <v>01101101</v>
      </c>
      <c r="X1492" s="428" t="str">
        <f>VLOOKUP(H1492,'Fund Utilization Report'!$A$4:$U$1800,6,FALSE)</f>
        <v>GOP</v>
      </c>
      <c r="Y1492" s="320" t="str">
        <f>VLOOKUP(H1492,'Fund Utilization Report'!$A$4:$U$1800,7,FALSE)</f>
        <v>MOOE</v>
      </c>
      <c r="Z1492" s="425">
        <f>VLOOKUP(H1492,'Fund Utilization Report'!$A$4:$U$1800,8,FALSE)</f>
        <v>5020000000</v>
      </c>
      <c r="AA1492" s="428" t="str">
        <f>VLOOKUP(H1492,'Fund Utilization Report'!$A$4:$U$1800,14,FALSE)</f>
        <v>330100200003000</v>
      </c>
      <c r="AB1492" s="349" t="str">
        <f>VLOOKUP(H1492,'Fund Utilization Report'!$A$4:$U$1800,15,FALSE)</f>
        <v>Shared Service Facilities Project</v>
      </c>
      <c r="AC1492" s="39"/>
      <c r="AD1492" s="34"/>
      <c r="AE1492" s="39"/>
      <c r="AF1492" s="51"/>
      <c r="AG1492" s="442"/>
      <c r="AH1492" s="442"/>
      <c r="AI1492" s="443"/>
    </row>
    <row r="1493" spans="1:35" s="32" customFormat="1">
      <c r="A1493" s="434" t="s">
        <v>942</v>
      </c>
      <c r="B1493" s="457" t="s">
        <v>946</v>
      </c>
      <c r="C1493" s="233">
        <v>44280</v>
      </c>
      <c r="D1493" s="435" t="s">
        <v>1267</v>
      </c>
      <c r="E1493" s="436" t="s">
        <v>1548</v>
      </c>
      <c r="F1493" s="338">
        <v>0.4152777777777778</v>
      </c>
      <c r="G1493" s="338">
        <v>0.41875000000000001</v>
      </c>
      <c r="H1493" s="338" t="s">
        <v>983</v>
      </c>
      <c r="I1493" s="353">
        <v>751</v>
      </c>
      <c r="J1493" s="338" t="str">
        <f>IFERROR(VLOOKUP(I1493,'Chart of accounts'!A:H,2,FALSE),"")</f>
        <v>50201010 00</v>
      </c>
      <c r="K1493" s="338" t="str">
        <f>IFERROR(VLOOKUP(I1493,'Chart of accounts'!A:H,3,FALSE),"")</f>
        <v>Traveling Expenses - Local</v>
      </c>
      <c r="L1493" s="338" t="str">
        <f>IFERROR(VLOOKUP(I1493,'Chart of accounts'!A:H,4,FALSE),"")</f>
        <v>50201010 00 - Traveling Expenses - Local (751)</v>
      </c>
      <c r="M1493" s="361" t="s">
        <v>5</v>
      </c>
      <c r="N1493" s="355" t="s">
        <v>1540</v>
      </c>
      <c r="O1493" s="355" t="s">
        <v>1545</v>
      </c>
      <c r="P1493" s="355"/>
      <c r="Q1493" s="363">
        <v>50000</v>
      </c>
      <c r="R1493" s="428">
        <f t="shared" si="56"/>
        <v>-50000</v>
      </c>
      <c r="S1493" s="428" t="str">
        <f>VLOOKUP(H1493,'Fund Utilization Report'!$A$4:$U$1800,13,FALSE)</f>
        <v>MOOE</v>
      </c>
      <c r="T1493" s="428" t="str">
        <f>VLOOKUP(H1493,'Fund Utilization Report'!$A$4:$U$1800,2,FALSE)</f>
        <v>GAA</v>
      </c>
      <c r="U1493" s="428" t="str">
        <f>VLOOKUP(H1493,'Fund Utilization Report'!$A$4:$U$1800,3,FALSE)</f>
        <v>FY2021, RA11518</v>
      </c>
      <c r="V1493" s="428" t="str">
        <f>VLOOKUP(H1493,'Fund Utilization Report'!$A$4:$U$1800,4,FALSE)</f>
        <v>SSF</v>
      </c>
      <c r="W1493" s="428" t="str">
        <f>VLOOKUP(H1493,'Fund Utilization Report'!$A$4:$U$1800,5,FALSE)</f>
        <v>01101101</v>
      </c>
      <c r="X1493" s="428" t="str">
        <f>VLOOKUP(H1493,'Fund Utilization Report'!$A$4:$U$1800,6,FALSE)</f>
        <v>GOP</v>
      </c>
      <c r="Y1493" s="320" t="str">
        <f>VLOOKUP(H1493,'Fund Utilization Report'!$A$4:$U$1800,7,FALSE)</f>
        <v>MOOE</v>
      </c>
      <c r="Z1493" s="425">
        <f>VLOOKUP(H1493,'Fund Utilization Report'!$A$4:$U$1800,8,FALSE)</f>
        <v>5020000000</v>
      </c>
      <c r="AA1493" s="428" t="str">
        <f>VLOOKUP(H1493,'Fund Utilization Report'!$A$4:$U$1800,14,FALSE)</f>
        <v>330100200003000</v>
      </c>
      <c r="AB1493" s="349" t="str">
        <f>VLOOKUP(H1493,'Fund Utilization Report'!$A$4:$U$1800,15,FALSE)</f>
        <v>Shared Service Facilities Project</v>
      </c>
      <c r="AC1493" s="39"/>
      <c r="AD1493" s="34"/>
      <c r="AE1493" s="39"/>
      <c r="AF1493" s="51"/>
      <c r="AG1493" s="442"/>
      <c r="AH1493" s="442"/>
      <c r="AI1493" s="443"/>
    </row>
    <row r="1494" spans="1:35" s="32" customFormat="1">
      <c r="A1494" s="434" t="s">
        <v>942</v>
      </c>
      <c r="B1494" s="457" t="s">
        <v>946</v>
      </c>
      <c r="C1494" s="233">
        <v>44280</v>
      </c>
      <c r="D1494" s="435" t="s">
        <v>1267</v>
      </c>
      <c r="E1494" s="436" t="s">
        <v>1548</v>
      </c>
      <c r="F1494" s="338">
        <v>0.4152777777777778</v>
      </c>
      <c r="G1494" s="338">
        <v>0.41875000000000001</v>
      </c>
      <c r="H1494" s="338" t="s">
        <v>983</v>
      </c>
      <c r="I1494" s="353">
        <v>753</v>
      </c>
      <c r="J1494" s="338" t="str">
        <f>IFERROR(VLOOKUP(I1494,'Chart of accounts'!A:H,2,FALSE),"")</f>
        <v>50202010 00</v>
      </c>
      <c r="K1494" s="338" t="str">
        <f>IFERROR(VLOOKUP(I1494,'Chart of accounts'!A:H,3,FALSE),"")</f>
        <v>Training Expenses</v>
      </c>
      <c r="L1494" s="338" t="str">
        <f>IFERROR(VLOOKUP(I1494,'Chart of accounts'!A:H,4,FALSE),"")</f>
        <v>50202010 00 - Training Expenses (753)</v>
      </c>
      <c r="M1494" s="361" t="s">
        <v>5</v>
      </c>
      <c r="N1494" s="355" t="s">
        <v>1540</v>
      </c>
      <c r="O1494" s="355" t="s">
        <v>1545</v>
      </c>
      <c r="P1494" s="355"/>
      <c r="Q1494" s="363">
        <v>50000</v>
      </c>
      <c r="R1494" s="428">
        <f t="shared" si="56"/>
        <v>-50000</v>
      </c>
      <c r="S1494" s="428" t="str">
        <f>VLOOKUP(H1494,'Fund Utilization Report'!$A$4:$U$1800,13,FALSE)</f>
        <v>MOOE</v>
      </c>
      <c r="T1494" s="428" t="str">
        <f>VLOOKUP(H1494,'Fund Utilization Report'!$A$4:$U$1800,2,FALSE)</f>
        <v>GAA</v>
      </c>
      <c r="U1494" s="428" t="str">
        <f>VLOOKUP(H1494,'Fund Utilization Report'!$A$4:$U$1800,3,FALSE)</f>
        <v>FY2021, RA11518</v>
      </c>
      <c r="V1494" s="428" t="str">
        <f>VLOOKUP(H1494,'Fund Utilization Report'!$A$4:$U$1800,4,FALSE)</f>
        <v>SSF</v>
      </c>
      <c r="W1494" s="428" t="str">
        <f>VLOOKUP(H1494,'Fund Utilization Report'!$A$4:$U$1800,5,FALSE)</f>
        <v>01101101</v>
      </c>
      <c r="X1494" s="428" t="str">
        <f>VLOOKUP(H1494,'Fund Utilization Report'!$A$4:$U$1800,6,FALSE)</f>
        <v>GOP</v>
      </c>
      <c r="Y1494" s="320" t="str">
        <f>VLOOKUP(H1494,'Fund Utilization Report'!$A$4:$U$1800,7,FALSE)</f>
        <v>MOOE</v>
      </c>
      <c r="Z1494" s="425">
        <f>VLOOKUP(H1494,'Fund Utilization Report'!$A$4:$U$1800,8,FALSE)</f>
        <v>5020000000</v>
      </c>
      <c r="AA1494" s="428" t="str">
        <f>VLOOKUP(H1494,'Fund Utilization Report'!$A$4:$U$1800,14,FALSE)</f>
        <v>330100200003000</v>
      </c>
      <c r="AB1494" s="349" t="str">
        <f>VLOOKUP(H1494,'Fund Utilization Report'!$A$4:$U$1800,15,FALSE)</f>
        <v>Shared Service Facilities Project</v>
      </c>
      <c r="AC1494" s="39"/>
      <c r="AD1494" s="34"/>
      <c r="AE1494" s="39"/>
      <c r="AF1494" s="51"/>
      <c r="AG1494" s="442"/>
      <c r="AH1494" s="442"/>
      <c r="AI1494" s="443"/>
    </row>
    <row r="1495" spans="1:35" s="32" customFormat="1">
      <c r="A1495" s="434" t="s">
        <v>942</v>
      </c>
      <c r="B1495" s="457" t="s">
        <v>946</v>
      </c>
      <c r="C1495" s="233">
        <v>44280</v>
      </c>
      <c r="D1495" s="435" t="s">
        <v>1267</v>
      </c>
      <c r="E1495" s="436" t="s">
        <v>1548</v>
      </c>
      <c r="F1495" s="338">
        <v>0.4152777777777778</v>
      </c>
      <c r="G1495" s="338">
        <v>0.41875000000000001</v>
      </c>
      <c r="H1495" s="338" t="s">
        <v>983</v>
      </c>
      <c r="I1495" s="459">
        <v>793</v>
      </c>
      <c r="J1495" s="338" t="str">
        <f>IFERROR(VLOOKUP(I1495,'Chart of accounts'!A:H,2,FALSE),"")</f>
        <v>50211030 00</v>
      </c>
      <c r="K1495" s="338" t="str">
        <f>IFERROR(VLOOKUP(I1495,'Chart of accounts'!A:H,3,FALSE),"")</f>
        <v>Consultancy Services</v>
      </c>
      <c r="L1495" s="338" t="str">
        <f>IFERROR(VLOOKUP(I1495,'Chart of accounts'!A:H,4,FALSE),"")</f>
        <v>50211030 00 - Consultancy Services (793)</v>
      </c>
      <c r="M1495" s="361" t="s">
        <v>5</v>
      </c>
      <c r="N1495" s="355" t="s">
        <v>1540</v>
      </c>
      <c r="O1495" s="355" t="s">
        <v>1545</v>
      </c>
      <c r="P1495" s="355"/>
      <c r="Q1495" s="363">
        <v>50000</v>
      </c>
      <c r="R1495" s="428">
        <f t="shared" ref="R1495:R1507" si="57">P1495-Q1495</f>
        <v>-50000</v>
      </c>
      <c r="S1495" s="428" t="str">
        <f>VLOOKUP(H1495,'Fund Utilization Report'!$A$4:$U$1800,13,FALSE)</f>
        <v>MOOE</v>
      </c>
      <c r="T1495" s="428" t="str">
        <f>VLOOKUP(H1495,'Fund Utilization Report'!$A$4:$U$1800,2,FALSE)</f>
        <v>GAA</v>
      </c>
      <c r="U1495" s="428" t="str">
        <f>VLOOKUP(H1495,'Fund Utilization Report'!$A$4:$U$1800,3,FALSE)</f>
        <v>FY2021, RA11518</v>
      </c>
      <c r="V1495" s="428" t="str">
        <f>VLOOKUP(H1495,'Fund Utilization Report'!$A$4:$U$1800,4,FALSE)</f>
        <v>SSF</v>
      </c>
      <c r="W1495" s="428" t="str">
        <f>VLOOKUP(H1495,'Fund Utilization Report'!$A$4:$U$1800,5,FALSE)</f>
        <v>01101101</v>
      </c>
      <c r="X1495" s="428" t="str">
        <f>VLOOKUP(H1495,'Fund Utilization Report'!$A$4:$U$1800,6,FALSE)</f>
        <v>GOP</v>
      </c>
      <c r="Y1495" s="320" t="str">
        <f>VLOOKUP(H1495,'Fund Utilization Report'!$A$4:$U$1800,7,FALSE)</f>
        <v>MOOE</v>
      </c>
      <c r="Z1495" s="425">
        <f>VLOOKUP(H1495,'Fund Utilization Report'!$A$4:$U$1800,8,FALSE)</f>
        <v>5020000000</v>
      </c>
      <c r="AA1495" s="428" t="str">
        <f>VLOOKUP(H1495,'Fund Utilization Report'!$A$4:$U$1800,14,FALSE)</f>
        <v>330100200003000</v>
      </c>
      <c r="AB1495" s="349" t="str">
        <f>VLOOKUP(H1495,'Fund Utilization Report'!$A$4:$U$1800,15,FALSE)</f>
        <v>Shared Service Facilities Project</v>
      </c>
      <c r="AC1495" s="39"/>
      <c r="AD1495" s="34"/>
      <c r="AE1495" s="39"/>
      <c r="AF1495" s="51"/>
      <c r="AG1495" s="442"/>
      <c r="AH1495" s="442"/>
      <c r="AI1495" s="443"/>
    </row>
    <row r="1496" spans="1:35" s="32" customFormat="1">
      <c r="A1496" s="434" t="s">
        <v>942</v>
      </c>
      <c r="B1496" s="457" t="s">
        <v>946</v>
      </c>
      <c r="C1496" s="233">
        <v>44280</v>
      </c>
      <c r="D1496" s="435" t="s">
        <v>1267</v>
      </c>
      <c r="E1496" s="436" t="s">
        <v>1548</v>
      </c>
      <c r="F1496" s="338">
        <v>0.4152777777777778</v>
      </c>
      <c r="G1496" s="338">
        <v>0.41875000000000001</v>
      </c>
      <c r="H1496" s="338" t="s">
        <v>983</v>
      </c>
      <c r="I1496" s="353">
        <v>840</v>
      </c>
      <c r="J1496" s="338" t="str">
        <f>IFERROR(VLOOKUP(I1496,'Chart of accounts'!A:H,2,FALSE),"")</f>
        <v>50213050 99</v>
      </c>
      <c r="K1496" s="338" t="str">
        <f>IFERROR(VLOOKUP(I1496,'Chart of accounts'!A:H,3,FALSE),"")</f>
        <v>Other Machinery and Equipment</v>
      </c>
      <c r="L1496" s="338" t="str">
        <f>IFERROR(VLOOKUP(I1496,'Chart of accounts'!A:H,4,FALSE),"")</f>
        <v>50213050 99 - Other Machinery and Equipment (840)</v>
      </c>
      <c r="M1496" s="361" t="s">
        <v>5</v>
      </c>
      <c r="N1496" s="355" t="s">
        <v>1540</v>
      </c>
      <c r="O1496" s="355" t="s">
        <v>1545</v>
      </c>
      <c r="P1496" s="355"/>
      <c r="Q1496" s="363">
        <v>147000</v>
      </c>
      <c r="R1496" s="428">
        <f t="shared" si="57"/>
        <v>-147000</v>
      </c>
      <c r="S1496" s="428" t="str">
        <f>VLOOKUP(H1496,'Fund Utilization Report'!$A$4:$U$1800,13,FALSE)</f>
        <v>MOOE</v>
      </c>
      <c r="T1496" s="428" t="str">
        <f>VLOOKUP(H1496,'Fund Utilization Report'!$A$4:$U$1800,2,FALSE)</f>
        <v>GAA</v>
      </c>
      <c r="U1496" s="428" t="str">
        <f>VLOOKUP(H1496,'Fund Utilization Report'!$A$4:$U$1800,3,FALSE)</f>
        <v>FY2021, RA11518</v>
      </c>
      <c r="V1496" s="428" t="str">
        <f>VLOOKUP(H1496,'Fund Utilization Report'!$A$4:$U$1800,4,FALSE)</f>
        <v>SSF</v>
      </c>
      <c r="W1496" s="428" t="str">
        <f>VLOOKUP(H1496,'Fund Utilization Report'!$A$4:$U$1800,5,FALSE)</f>
        <v>01101101</v>
      </c>
      <c r="X1496" s="428" t="str">
        <f>VLOOKUP(H1496,'Fund Utilization Report'!$A$4:$U$1800,6,FALSE)</f>
        <v>GOP</v>
      </c>
      <c r="Y1496" s="320" t="str">
        <f>VLOOKUP(H1496,'Fund Utilization Report'!$A$4:$U$1800,7,FALSE)</f>
        <v>MOOE</v>
      </c>
      <c r="Z1496" s="425">
        <f>VLOOKUP(H1496,'Fund Utilization Report'!$A$4:$U$1800,8,FALSE)</f>
        <v>5020000000</v>
      </c>
      <c r="AA1496" s="428" t="str">
        <f>VLOOKUP(H1496,'Fund Utilization Report'!$A$4:$U$1800,14,FALSE)</f>
        <v>330100200003000</v>
      </c>
      <c r="AB1496" s="349" t="str">
        <f>VLOOKUP(H1496,'Fund Utilization Report'!$A$4:$U$1800,15,FALSE)</f>
        <v>Shared Service Facilities Project</v>
      </c>
      <c r="AC1496" s="39"/>
      <c r="AD1496" s="34"/>
      <c r="AE1496" s="39"/>
      <c r="AF1496" s="51"/>
      <c r="AG1496" s="442"/>
      <c r="AH1496" s="442"/>
      <c r="AI1496" s="443"/>
    </row>
    <row r="1497" spans="1:35" s="32" customFormat="1">
      <c r="A1497" s="434" t="s">
        <v>942</v>
      </c>
      <c r="B1497" s="457" t="s">
        <v>946</v>
      </c>
      <c r="C1497" s="233">
        <v>44280</v>
      </c>
      <c r="D1497" s="435" t="s">
        <v>1267</v>
      </c>
      <c r="E1497" s="436" t="s">
        <v>1548</v>
      </c>
      <c r="F1497" s="338">
        <v>0.4152777777777778</v>
      </c>
      <c r="G1497" s="338">
        <v>0.41875000000000001</v>
      </c>
      <c r="H1497" s="338" t="s">
        <v>983</v>
      </c>
      <c r="I1497" s="353">
        <v>969</v>
      </c>
      <c r="J1497" s="338" t="str">
        <f>IFERROR(VLOOKUP(I1497,'Chart of accounts'!A:H,2,FALSE),"")</f>
        <v>50299990 99</v>
      </c>
      <c r="K1497" s="338" t="str">
        <f>IFERROR(VLOOKUP(I1497,'Chart of accounts'!A:H,3,FALSE),"")</f>
        <v>Other Maintenance and Operating Expenses</v>
      </c>
      <c r="L1497" s="338" t="str">
        <f>IFERROR(VLOOKUP(I1497,'Chart of accounts'!A:H,4,FALSE),"")</f>
        <v>50299990 99 - Other Maintenance and Operating Expenses (969)</v>
      </c>
      <c r="M1497" s="361" t="s">
        <v>5</v>
      </c>
      <c r="N1497" s="355" t="s">
        <v>1540</v>
      </c>
      <c r="O1497" s="355" t="s">
        <v>1545</v>
      </c>
      <c r="P1497" s="355"/>
      <c r="Q1497" s="363">
        <v>24342.85</v>
      </c>
      <c r="R1497" s="428">
        <f t="shared" si="57"/>
        <v>-24342.85</v>
      </c>
      <c r="S1497" s="428" t="str">
        <f>VLOOKUP(H1497,'Fund Utilization Report'!$A$4:$U$1800,13,FALSE)</f>
        <v>MOOE</v>
      </c>
      <c r="T1497" s="428" t="str">
        <f>VLOOKUP(H1497,'Fund Utilization Report'!$A$4:$U$1800,2,FALSE)</f>
        <v>GAA</v>
      </c>
      <c r="U1497" s="428" t="str">
        <f>VLOOKUP(H1497,'Fund Utilization Report'!$A$4:$U$1800,3,FALSE)</f>
        <v>FY2021, RA11518</v>
      </c>
      <c r="V1497" s="428" t="str">
        <f>VLOOKUP(H1497,'Fund Utilization Report'!$A$4:$U$1800,4,FALSE)</f>
        <v>SSF</v>
      </c>
      <c r="W1497" s="428" t="str">
        <f>VLOOKUP(H1497,'Fund Utilization Report'!$A$4:$U$1800,5,FALSE)</f>
        <v>01101101</v>
      </c>
      <c r="X1497" s="428" t="str">
        <f>VLOOKUP(H1497,'Fund Utilization Report'!$A$4:$U$1800,6,FALSE)</f>
        <v>GOP</v>
      </c>
      <c r="Y1497" s="320" t="str">
        <f>VLOOKUP(H1497,'Fund Utilization Report'!$A$4:$U$1800,7,FALSE)</f>
        <v>MOOE</v>
      </c>
      <c r="Z1497" s="425">
        <f>VLOOKUP(H1497,'Fund Utilization Report'!$A$4:$U$1800,8,FALSE)</f>
        <v>5020000000</v>
      </c>
      <c r="AA1497" s="428" t="str">
        <f>VLOOKUP(H1497,'Fund Utilization Report'!$A$4:$U$1800,14,FALSE)</f>
        <v>330100200003000</v>
      </c>
      <c r="AB1497" s="349" t="str">
        <f>VLOOKUP(H1497,'Fund Utilization Report'!$A$4:$U$1800,15,FALSE)</f>
        <v>Shared Service Facilities Project</v>
      </c>
      <c r="AC1497" s="39"/>
      <c r="AD1497" s="34"/>
      <c r="AE1497" s="39"/>
      <c r="AF1497" s="51"/>
      <c r="AG1497" s="442"/>
      <c r="AH1497" s="442"/>
      <c r="AI1497" s="443"/>
    </row>
    <row r="1498" spans="1:35" s="32" customFormat="1">
      <c r="A1498" s="434" t="s">
        <v>942</v>
      </c>
      <c r="B1498" s="457" t="s">
        <v>946</v>
      </c>
      <c r="C1498" s="233">
        <v>44280</v>
      </c>
      <c r="D1498" s="435" t="s">
        <v>1267</v>
      </c>
      <c r="E1498" s="436" t="s">
        <v>1549</v>
      </c>
      <c r="F1498" s="338">
        <v>0.41875000000000001</v>
      </c>
      <c r="G1498" s="338">
        <v>0.42291666666666666</v>
      </c>
      <c r="H1498" s="458" t="s">
        <v>961</v>
      </c>
      <c r="I1498" s="459">
        <v>796</v>
      </c>
      <c r="J1498" s="338" t="str">
        <f>IFERROR(VLOOKUP(I1498,'Chart of accounts'!A:H,2,FALSE),"")</f>
        <v>50212020 00</v>
      </c>
      <c r="K1498" s="338" t="str">
        <f>IFERROR(VLOOKUP(I1498,'Chart of accounts'!A:H,3,FALSE),"")</f>
        <v>Janitorial Services</v>
      </c>
      <c r="L1498" s="338" t="str">
        <f>IFERROR(VLOOKUP(I1498,'Chart of accounts'!A:H,4,FALSE),"")</f>
        <v>50212020 00 - Janitorial Services (796)</v>
      </c>
      <c r="M1498" s="361" t="s">
        <v>816</v>
      </c>
      <c r="N1498" s="463" t="s">
        <v>1075</v>
      </c>
      <c r="O1498" s="463" t="s">
        <v>1551</v>
      </c>
      <c r="P1498" s="463"/>
      <c r="Q1498" s="468">
        <f>5600+4800</f>
        <v>10400</v>
      </c>
      <c r="R1498" s="428">
        <f t="shared" ref="R1498:R1503" si="58">P1466-Q1466</f>
        <v>-30000</v>
      </c>
      <c r="S1498" s="239" t="str">
        <f>VLOOKUP(H1498,'Fund Utilization Report'!$A$4:$U$1800,13,FALSE)</f>
        <v>MOOE</v>
      </c>
      <c r="T1498" s="239" t="str">
        <f>VLOOKUP(H1498,'Fund Utilization Report'!$A$4:$U$1800,2,FALSE)</f>
        <v>GAA</v>
      </c>
      <c r="U1498" s="239" t="str">
        <f>VLOOKUP(H1498,'Fund Utilization Report'!$A$4:$U$1800,3,FALSE)</f>
        <v>FY2021, RA11518</v>
      </c>
      <c r="V1498" s="239" t="str">
        <f>VLOOKUP(H1498,'Fund Utilization Report'!$A$4:$U$1800,4,FALSE)</f>
        <v>GAS(GMS)</v>
      </c>
      <c r="W1498" s="239" t="str">
        <f>VLOOKUP(H1498,'Fund Utilization Report'!$A$4:$U$1800,5,FALSE)</f>
        <v>01101101</v>
      </c>
      <c r="X1498" s="239" t="str">
        <f>VLOOKUP(H1498,'Fund Utilization Report'!$A$4:$U$1800,6,FALSE)</f>
        <v>GOP</v>
      </c>
      <c r="Y1498" s="440" t="str">
        <f>VLOOKUP(H1498,'Fund Utilization Report'!$A$4:$U$1800,7,FALSE)</f>
        <v>MOOE</v>
      </c>
      <c r="Z1498" s="441">
        <f>VLOOKUP(H1498,'Fund Utilization Report'!$A$4:$U$1800,8,FALSE)</f>
        <v>5020000000</v>
      </c>
      <c r="AA1498" s="239" t="str">
        <f>VLOOKUP(H1498,'Fund Utilization Report'!$A$4:$U$1800,14,FALSE)</f>
        <v>100000100001000</v>
      </c>
      <c r="AB1498" s="242" t="str">
        <f>VLOOKUP(H1498,'Fund Utilization Report'!$A$4:$U$1800,15,FALSE)</f>
        <v>General Administration and Supervision - General Management and Supervision</v>
      </c>
      <c r="AC1498" s="51"/>
      <c r="AD1498" s="435"/>
      <c r="AE1498" s="51"/>
      <c r="AF1498" s="51"/>
      <c r="AG1498" s="442"/>
      <c r="AH1498" s="442"/>
      <c r="AI1498" s="443"/>
    </row>
    <row r="1499" spans="1:35" s="32" customFormat="1">
      <c r="A1499" s="434" t="s">
        <v>942</v>
      </c>
      <c r="B1499" s="457" t="s">
        <v>946</v>
      </c>
      <c r="C1499" s="233">
        <v>44280</v>
      </c>
      <c r="D1499" s="435" t="s">
        <v>1267</v>
      </c>
      <c r="E1499" s="436" t="s">
        <v>1549</v>
      </c>
      <c r="F1499" s="338">
        <v>0.41875000000000001</v>
      </c>
      <c r="G1499" s="338">
        <v>0.42291666666666666</v>
      </c>
      <c r="H1499" s="458" t="s">
        <v>961</v>
      </c>
      <c r="I1499" s="459">
        <v>795</v>
      </c>
      <c r="J1499" s="338" t="str">
        <f>IFERROR(VLOOKUP(I1499,'Chart of accounts'!A:H,2,FALSE),"")</f>
        <v>50212990 00</v>
      </c>
      <c r="K1499" s="338" t="str">
        <f>IFERROR(VLOOKUP(I1499,'Chart of accounts'!A:H,3,FALSE),"")</f>
        <v>Other General Services</v>
      </c>
      <c r="L1499" s="338" t="str">
        <f>IFERROR(VLOOKUP(I1499,'Chart of accounts'!A:H,4,FALSE),"")</f>
        <v>50212990 00 - Other General Services (795)</v>
      </c>
      <c r="M1499" s="361" t="s">
        <v>816</v>
      </c>
      <c r="N1499" s="463" t="s">
        <v>1075</v>
      </c>
      <c r="O1499" s="463" t="s">
        <v>1551</v>
      </c>
      <c r="P1499" s="463"/>
      <c r="Q1499" s="468">
        <v>3720</v>
      </c>
      <c r="R1499" s="428">
        <f t="shared" si="58"/>
        <v>-70000</v>
      </c>
      <c r="S1499" s="239" t="str">
        <f>VLOOKUP(H1499,'Fund Utilization Report'!$A$4:$U$1800,13,FALSE)</f>
        <v>MOOE</v>
      </c>
      <c r="T1499" s="239" t="str">
        <f>VLOOKUP(H1499,'Fund Utilization Report'!$A$4:$U$1800,2,FALSE)</f>
        <v>GAA</v>
      </c>
      <c r="U1499" s="239" t="str">
        <f>VLOOKUP(H1499,'Fund Utilization Report'!$A$4:$U$1800,3,FALSE)</f>
        <v>FY2021, RA11518</v>
      </c>
      <c r="V1499" s="239" t="str">
        <f>VLOOKUP(H1499,'Fund Utilization Report'!$A$4:$U$1800,4,FALSE)</f>
        <v>GAS(GMS)</v>
      </c>
      <c r="W1499" s="239" t="str">
        <f>VLOOKUP(H1499,'Fund Utilization Report'!$A$4:$U$1800,5,FALSE)</f>
        <v>01101101</v>
      </c>
      <c r="X1499" s="239" t="str">
        <f>VLOOKUP(H1499,'Fund Utilization Report'!$A$4:$U$1800,6,FALSE)</f>
        <v>GOP</v>
      </c>
      <c r="Y1499" s="440" t="str">
        <f>VLOOKUP(H1499,'Fund Utilization Report'!$A$4:$U$1800,7,FALSE)</f>
        <v>MOOE</v>
      </c>
      <c r="Z1499" s="441">
        <f>VLOOKUP(H1499,'Fund Utilization Report'!$A$4:$U$1800,8,FALSE)</f>
        <v>5020000000</v>
      </c>
      <c r="AA1499" s="239" t="str">
        <f>VLOOKUP(H1499,'Fund Utilization Report'!$A$4:$U$1800,14,FALSE)</f>
        <v>100000100001000</v>
      </c>
      <c r="AB1499" s="242" t="str">
        <f>VLOOKUP(H1499,'Fund Utilization Report'!$A$4:$U$1800,15,FALSE)</f>
        <v>General Administration and Supervision - General Management and Supervision</v>
      </c>
      <c r="AC1499" s="51"/>
      <c r="AD1499" s="435"/>
      <c r="AE1499" s="51"/>
      <c r="AF1499" s="51"/>
      <c r="AG1499" s="442"/>
      <c r="AH1499" s="442"/>
      <c r="AI1499" s="443"/>
    </row>
    <row r="1500" spans="1:35" s="32" customFormat="1">
      <c r="A1500" s="434" t="s">
        <v>942</v>
      </c>
      <c r="B1500" s="457" t="s">
        <v>946</v>
      </c>
      <c r="C1500" s="233">
        <v>44280</v>
      </c>
      <c r="D1500" s="435" t="s">
        <v>1267</v>
      </c>
      <c r="E1500" s="436" t="s">
        <v>1550</v>
      </c>
      <c r="F1500" s="338">
        <v>0.42291666666666666</v>
      </c>
      <c r="G1500" s="338">
        <v>0.42569444444444443</v>
      </c>
      <c r="H1500" s="458" t="s">
        <v>983</v>
      </c>
      <c r="I1500" s="459">
        <v>799</v>
      </c>
      <c r="J1500" s="338" t="str">
        <f>IFERROR(VLOOKUP(I1500,'Chart of accounts'!A:H,2,FALSE),"")</f>
        <v>50211990 00</v>
      </c>
      <c r="K1500" s="338" t="str">
        <f>IFERROR(VLOOKUP(I1500,'Chart of accounts'!A:H,3,FALSE),"")</f>
        <v>Other Professional Services</v>
      </c>
      <c r="L1500" s="338" t="str">
        <f>IFERROR(VLOOKUP(I1500,'Chart of accounts'!A:H,4,FALSE),"")</f>
        <v>50211990 00 - Other Professional Services (799)</v>
      </c>
      <c r="M1500" s="467" t="s">
        <v>5</v>
      </c>
      <c r="N1500" s="463" t="s">
        <v>1075</v>
      </c>
      <c r="O1500" s="463" t="s">
        <v>1551</v>
      </c>
      <c r="P1500" s="463"/>
      <c r="Q1500" s="468">
        <v>5534</v>
      </c>
      <c r="R1500" s="428">
        <f t="shared" si="58"/>
        <v>-10000</v>
      </c>
      <c r="S1500" s="239" t="str">
        <f>VLOOKUP(H1500,'Fund Utilization Report'!$A$4:$U$1800,13,FALSE)</f>
        <v>MOOE</v>
      </c>
      <c r="T1500" s="239" t="str">
        <f>VLOOKUP(H1500,'Fund Utilization Report'!$A$4:$U$1800,2,FALSE)</f>
        <v>GAA</v>
      </c>
      <c r="U1500" s="239" t="str">
        <f>VLOOKUP(H1500,'Fund Utilization Report'!$A$4:$U$1800,3,FALSE)</f>
        <v>FY2021, RA11518</v>
      </c>
      <c r="V1500" s="239" t="str">
        <f>VLOOKUP(H1500,'Fund Utilization Report'!$A$4:$U$1800,4,FALSE)</f>
        <v>SSF</v>
      </c>
      <c r="W1500" s="239" t="str">
        <f>VLOOKUP(H1500,'Fund Utilization Report'!$A$4:$U$1800,5,FALSE)</f>
        <v>01101101</v>
      </c>
      <c r="X1500" s="239" t="str">
        <f>VLOOKUP(H1500,'Fund Utilization Report'!$A$4:$U$1800,6,FALSE)</f>
        <v>GOP</v>
      </c>
      <c r="Y1500" s="440" t="str">
        <f>VLOOKUP(H1500,'Fund Utilization Report'!$A$4:$U$1800,7,FALSE)</f>
        <v>MOOE</v>
      </c>
      <c r="Z1500" s="441">
        <f>VLOOKUP(H1500,'Fund Utilization Report'!$A$4:$U$1800,8,FALSE)</f>
        <v>5020000000</v>
      </c>
      <c r="AA1500" s="239" t="str">
        <f>VLOOKUP(H1500,'Fund Utilization Report'!$A$4:$U$1800,14,FALSE)</f>
        <v>330100200003000</v>
      </c>
      <c r="AB1500" s="242" t="str">
        <f>VLOOKUP(H1500,'Fund Utilization Report'!$A$4:$U$1800,15,FALSE)</f>
        <v>Shared Service Facilities Project</v>
      </c>
      <c r="AC1500" s="51"/>
      <c r="AD1500" s="435"/>
      <c r="AE1500" s="51"/>
      <c r="AF1500" s="51"/>
      <c r="AG1500" s="442"/>
      <c r="AH1500" s="442"/>
      <c r="AI1500" s="443"/>
    </row>
    <row r="1501" spans="1:35" s="32" customFormat="1">
      <c r="A1501" s="434" t="s">
        <v>942</v>
      </c>
      <c r="B1501" s="457" t="s">
        <v>946</v>
      </c>
      <c r="C1501" s="233">
        <v>44280</v>
      </c>
      <c r="D1501" s="435" t="s">
        <v>1267</v>
      </c>
      <c r="E1501" s="436" t="s">
        <v>1550</v>
      </c>
      <c r="F1501" s="338">
        <v>0.42291666666666666</v>
      </c>
      <c r="G1501" s="338">
        <v>0.42569444444444443</v>
      </c>
      <c r="H1501" s="458" t="s">
        <v>961</v>
      </c>
      <c r="I1501" s="459">
        <v>792</v>
      </c>
      <c r="J1501" s="338" t="str">
        <f>IFERROR(VLOOKUP(I1501,'Chart of accounts'!A:H,2,FALSE),"")</f>
        <v>50211020 00</v>
      </c>
      <c r="K1501" s="338" t="str">
        <f>IFERROR(VLOOKUP(I1501,'Chart of accounts'!A:H,3,FALSE),"")</f>
        <v>Auditing Services</v>
      </c>
      <c r="L1501" s="338" t="str">
        <f>IFERROR(VLOOKUP(I1501,'Chart of accounts'!A:H,4,FALSE),"")</f>
        <v>50211020 00 - Auditing Services (792)</v>
      </c>
      <c r="M1501" s="467" t="s">
        <v>1404</v>
      </c>
      <c r="N1501" s="463" t="s">
        <v>1075</v>
      </c>
      <c r="O1501" s="463" t="s">
        <v>1551</v>
      </c>
      <c r="P1501" s="463"/>
      <c r="Q1501" s="468">
        <v>5534</v>
      </c>
      <c r="R1501" s="428">
        <f t="shared" si="58"/>
        <v>-5000</v>
      </c>
      <c r="S1501" s="239" t="str">
        <f>VLOOKUP(H1501,'Fund Utilization Report'!$A$4:$U$1800,13,FALSE)</f>
        <v>MOOE</v>
      </c>
      <c r="T1501" s="239" t="str">
        <f>VLOOKUP(H1501,'Fund Utilization Report'!$A$4:$U$1800,2,FALSE)</f>
        <v>GAA</v>
      </c>
      <c r="U1501" s="239" t="str">
        <f>VLOOKUP(H1501,'Fund Utilization Report'!$A$4:$U$1800,3,FALSE)</f>
        <v>FY2021, RA11518</v>
      </c>
      <c r="V1501" s="239" t="str">
        <f>VLOOKUP(H1501,'Fund Utilization Report'!$A$4:$U$1800,4,FALSE)</f>
        <v>GAS(GMS)</v>
      </c>
      <c r="W1501" s="239" t="str">
        <f>VLOOKUP(H1501,'Fund Utilization Report'!$A$4:$U$1800,5,FALSE)</f>
        <v>01101101</v>
      </c>
      <c r="X1501" s="239" t="str">
        <f>VLOOKUP(H1501,'Fund Utilization Report'!$A$4:$U$1800,6,FALSE)</f>
        <v>GOP</v>
      </c>
      <c r="Y1501" s="440" t="str">
        <f>VLOOKUP(H1501,'Fund Utilization Report'!$A$4:$U$1800,7,FALSE)</f>
        <v>MOOE</v>
      </c>
      <c r="Z1501" s="441">
        <f>VLOOKUP(H1501,'Fund Utilization Report'!$A$4:$U$1800,8,FALSE)</f>
        <v>5020000000</v>
      </c>
      <c r="AA1501" s="239" t="str">
        <f>VLOOKUP(H1501,'Fund Utilization Report'!$A$4:$U$1800,14,FALSE)</f>
        <v>100000100001000</v>
      </c>
      <c r="AB1501" s="242" t="str">
        <f>VLOOKUP(H1501,'Fund Utilization Report'!$A$4:$U$1800,15,FALSE)</f>
        <v>General Administration and Supervision - General Management and Supervision</v>
      </c>
      <c r="AC1501" s="51"/>
      <c r="AD1501" s="435"/>
      <c r="AE1501" s="51"/>
      <c r="AF1501" s="51"/>
      <c r="AG1501" s="442"/>
      <c r="AH1501" s="442"/>
      <c r="AI1501" s="443"/>
    </row>
    <row r="1502" spans="1:35" s="32" customFormat="1">
      <c r="A1502" s="434" t="s">
        <v>942</v>
      </c>
      <c r="B1502" s="457" t="s">
        <v>946</v>
      </c>
      <c r="C1502" s="233">
        <v>44280</v>
      </c>
      <c r="D1502" s="435" t="s">
        <v>1267</v>
      </c>
      <c r="E1502" s="436" t="s">
        <v>1550</v>
      </c>
      <c r="F1502" s="338">
        <v>0.42291666666666666</v>
      </c>
      <c r="G1502" s="338">
        <v>0.42569444444444443</v>
      </c>
      <c r="H1502" s="458" t="s">
        <v>961</v>
      </c>
      <c r="I1502" s="459">
        <v>799</v>
      </c>
      <c r="J1502" s="338" t="str">
        <f>IFERROR(VLOOKUP(I1502,'Chart of accounts'!A:H,2,FALSE),"")</f>
        <v>50211990 00</v>
      </c>
      <c r="K1502" s="338" t="str">
        <f>IFERROR(VLOOKUP(I1502,'Chart of accounts'!A:H,3,FALSE),"")</f>
        <v>Other Professional Services</v>
      </c>
      <c r="L1502" s="338" t="str">
        <f>IFERROR(VLOOKUP(I1502,'Chart of accounts'!A:H,4,FALSE),"")</f>
        <v>50211990 00 - Other Professional Services (799)</v>
      </c>
      <c r="M1502" s="467" t="s">
        <v>816</v>
      </c>
      <c r="N1502" s="463" t="s">
        <v>1075</v>
      </c>
      <c r="O1502" s="463" t="s">
        <v>1551</v>
      </c>
      <c r="P1502" s="463"/>
      <c r="Q1502" s="468">
        <f>11158+5534</f>
        <v>16692</v>
      </c>
      <c r="R1502" s="428">
        <f t="shared" si="58"/>
        <v>-5000</v>
      </c>
      <c r="S1502" s="239" t="str">
        <f>VLOOKUP(H1502,'Fund Utilization Report'!$A$4:$U$1800,13,FALSE)</f>
        <v>MOOE</v>
      </c>
      <c r="T1502" s="239" t="str">
        <f>VLOOKUP(H1502,'Fund Utilization Report'!$A$4:$U$1800,2,FALSE)</f>
        <v>GAA</v>
      </c>
      <c r="U1502" s="239" t="str">
        <f>VLOOKUP(H1502,'Fund Utilization Report'!$A$4:$U$1800,3,FALSE)</f>
        <v>FY2021, RA11518</v>
      </c>
      <c r="V1502" s="239" t="str">
        <f>VLOOKUP(H1502,'Fund Utilization Report'!$A$4:$U$1800,4,FALSE)</f>
        <v>GAS(GMS)</v>
      </c>
      <c r="W1502" s="239" t="str">
        <f>VLOOKUP(H1502,'Fund Utilization Report'!$A$4:$U$1800,5,FALSE)</f>
        <v>01101101</v>
      </c>
      <c r="X1502" s="239" t="str">
        <f>VLOOKUP(H1502,'Fund Utilization Report'!$A$4:$U$1800,6,FALSE)</f>
        <v>GOP</v>
      </c>
      <c r="Y1502" s="440" t="str">
        <f>VLOOKUP(H1502,'Fund Utilization Report'!$A$4:$U$1800,7,FALSE)</f>
        <v>MOOE</v>
      </c>
      <c r="Z1502" s="441">
        <f>VLOOKUP(H1502,'Fund Utilization Report'!$A$4:$U$1800,8,FALSE)</f>
        <v>5020000000</v>
      </c>
      <c r="AA1502" s="239" t="str">
        <f>VLOOKUP(H1502,'Fund Utilization Report'!$A$4:$U$1800,14,FALSE)</f>
        <v>100000100001000</v>
      </c>
      <c r="AB1502" s="242" t="str">
        <f>VLOOKUP(H1502,'Fund Utilization Report'!$A$4:$U$1800,15,FALSE)</f>
        <v>General Administration and Supervision - General Management and Supervision</v>
      </c>
      <c r="AC1502" s="51"/>
      <c r="AD1502" s="435"/>
      <c r="AE1502" s="51"/>
      <c r="AF1502" s="51"/>
      <c r="AG1502" s="442"/>
      <c r="AH1502" s="442"/>
      <c r="AI1502" s="443"/>
    </row>
    <row r="1503" spans="1:35" s="32" customFormat="1">
      <c r="A1503" s="434" t="s">
        <v>942</v>
      </c>
      <c r="B1503" s="457" t="s">
        <v>946</v>
      </c>
      <c r="C1503" s="233">
        <v>44280</v>
      </c>
      <c r="D1503" s="435" t="s">
        <v>1267</v>
      </c>
      <c r="E1503" s="436" t="s">
        <v>1550</v>
      </c>
      <c r="F1503" s="338">
        <v>0.42291666666666666</v>
      </c>
      <c r="G1503" s="338">
        <v>0.42569444444444443</v>
      </c>
      <c r="H1503" s="458" t="s">
        <v>971</v>
      </c>
      <c r="I1503" s="459">
        <v>799</v>
      </c>
      <c r="J1503" s="338" t="str">
        <f>IFERROR(VLOOKUP(I1503,'Chart of accounts'!A:H,2,FALSE),"")</f>
        <v>50211990 00</v>
      </c>
      <c r="K1503" s="338" t="str">
        <f>IFERROR(VLOOKUP(I1503,'Chart of accounts'!A:H,3,FALSE),"")</f>
        <v>Other Professional Services</v>
      </c>
      <c r="L1503" s="338" t="str">
        <f>IFERROR(VLOOKUP(I1503,'Chart of accounts'!A:H,4,FALSE),"")</f>
        <v>50211990 00 - Other Professional Services (799)</v>
      </c>
      <c r="M1503" s="467" t="s">
        <v>816</v>
      </c>
      <c r="N1503" s="463" t="s">
        <v>1075</v>
      </c>
      <c r="O1503" s="463" t="s">
        <v>1551</v>
      </c>
      <c r="P1503" s="463"/>
      <c r="Q1503" s="468">
        <v>16026.5</v>
      </c>
      <c r="R1503" s="428">
        <f t="shared" si="58"/>
        <v>-20000</v>
      </c>
      <c r="S1503" s="239" t="str">
        <f>VLOOKUP(H1503,'Fund Utilization Report'!$A$4:$U$1800,13,FALSE)</f>
        <v>MOOE</v>
      </c>
      <c r="T1503" s="239" t="str">
        <f>VLOOKUP(H1503,'Fund Utilization Report'!$A$4:$U$1800,2,FALSE)</f>
        <v>GAA</v>
      </c>
      <c r="U1503" s="239" t="str">
        <f>VLOOKUP(H1503,'Fund Utilization Report'!$A$4:$U$1800,3,FALSE)</f>
        <v>FY2021, RA11518</v>
      </c>
      <c r="V1503" s="239" t="str">
        <f>VLOOKUP(H1503,'Fund Utilization Report'!$A$4:$U$1800,4,FALSE)</f>
        <v>OO3</v>
      </c>
      <c r="W1503" s="239" t="str">
        <f>VLOOKUP(H1503,'Fund Utilization Report'!$A$4:$U$1800,5,FALSE)</f>
        <v>01101101</v>
      </c>
      <c r="X1503" s="239" t="str">
        <f>VLOOKUP(H1503,'Fund Utilization Report'!$A$4:$U$1800,6,FALSE)</f>
        <v>GOP</v>
      </c>
      <c r="Y1503" s="440" t="str">
        <f>VLOOKUP(H1503,'Fund Utilization Report'!$A$4:$U$1800,7,FALSE)</f>
        <v>MOOE</v>
      </c>
      <c r="Z1503" s="441">
        <f>VLOOKUP(H1503,'Fund Utilization Report'!$A$4:$U$1800,8,FALSE)</f>
        <v>5020000000</v>
      </c>
      <c r="AA1503" s="239" t="str">
        <f>VLOOKUP(H1503,'Fund Utilization Report'!$A$4:$U$1800,14,FALSE)</f>
        <v>330100100002000</v>
      </c>
      <c r="AB1503" s="242" t="str">
        <f>VLOOKUP(H1503,'Fund Utilization Report'!$A$4:$U$1800,15,FALSE)</f>
        <v>Implementation of the MSME Development Plan and other initiatives to promote the growth of Micro, Small and Medium Enterprises</v>
      </c>
      <c r="AC1503" s="51"/>
      <c r="AD1503" s="435"/>
      <c r="AE1503" s="51"/>
      <c r="AF1503" s="51"/>
      <c r="AG1503" s="442"/>
      <c r="AH1503" s="442"/>
      <c r="AI1503" s="443"/>
    </row>
    <row r="1504" spans="1:35" s="32" customFormat="1">
      <c r="A1504" s="434" t="s">
        <v>942</v>
      </c>
      <c r="B1504" s="457" t="s">
        <v>946</v>
      </c>
      <c r="C1504" s="233">
        <v>44280</v>
      </c>
      <c r="D1504" s="435" t="s">
        <v>1267</v>
      </c>
      <c r="E1504" s="436" t="s">
        <v>1552</v>
      </c>
      <c r="F1504" s="338">
        <v>0.42569444444444443</v>
      </c>
      <c r="G1504" s="338">
        <v>0.42777777777777781</v>
      </c>
      <c r="H1504" s="338" t="s">
        <v>979</v>
      </c>
      <c r="I1504" s="353">
        <v>773</v>
      </c>
      <c r="J1504" s="338" t="str">
        <f>IFERROR(VLOOKUP(I1504,'Chart of accounts'!A:H,2,FALSE),"")</f>
        <v>50205020 01</v>
      </c>
      <c r="K1504" s="338" t="str">
        <f>IFERROR(VLOOKUP(I1504,'Chart of accounts'!A:H,3,FALSE),"")</f>
        <v xml:space="preserve">Telephone Expenses - Mobile </v>
      </c>
      <c r="L1504" s="338" t="str">
        <f>IFERROR(VLOOKUP(I1504,'Chart of accounts'!A:H,4,FALSE),"")</f>
        <v>50205020 01 - Telephone Expenses - Mobile  (773)</v>
      </c>
      <c r="M1504" s="361" t="s">
        <v>815</v>
      </c>
      <c r="N1504" s="355" t="s">
        <v>1102</v>
      </c>
      <c r="O1504" s="355" t="s">
        <v>1553</v>
      </c>
      <c r="P1504" s="355"/>
      <c r="Q1504" s="363">
        <v>1200</v>
      </c>
      <c r="R1504" s="428">
        <f t="shared" si="57"/>
        <v>-1200</v>
      </c>
      <c r="S1504" s="428" t="str">
        <f>VLOOKUP(H1504,'Fund Utilization Report'!$A$4:$U$1800,13,FALSE)</f>
        <v>MOOE</v>
      </c>
      <c r="T1504" s="428" t="str">
        <f>VLOOKUP(H1504,'Fund Utilization Report'!$A$4:$U$1800,2,FALSE)</f>
        <v>GAA</v>
      </c>
      <c r="U1504" s="428" t="str">
        <f>VLOOKUP(H1504,'Fund Utilization Report'!$A$4:$U$1800,3,FALSE)</f>
        <v>FY2021, RA11518</v>
      </c>
      <c r="V1504" s="428" t="str">
        <f>VLOOKUP(H1504,'Fund Utilization Report'!$A$4:$U$1800,4,FALSE)</f>
        <v>OO 4.2</v>
      </c>
      <c r="W1504" s="428" t="str">
        <f>VLOOKUP(H1504,'Fund Utilization Report'!$A$4:$U$1800,5,FALSE)</f>
        <v>01101101</v>
      </c>
      <c r="X1504" s="428" t="str">
        <f>VLOOKUP(H1504,'Fund Utilization Report'!$A$4:$U$1800,6,FALSE)</f>
        <v>GOP</v>
      </c>
      <c r="Y1504" s="320" t="str">
        <f>VLOOKUP(H1504,'Fund Utilization Report'!$A$4:$U$1800,7,FALSE)</f>
        <v>MOOE</v>
      </c>
      <c r="Z1504" s="425">
        <f>VLOOKUP(H1504,'Fund Utilization Report'!$A$4:$U$1800,8,FALSE)</f>
        <v>5020000000</v>
      </c>
      <c r="AA1504" s="428" t="str">
        <f>VLOOKUP(H1504,'Fund Utilization Report'!$A$4:$U$1800,14,FALSE)</f>
        <v>340200100002000</v>
      </c>
      <c r="AB1504" s="349" t="str">
        <f>VLOOKUP(H1504,'Fund Utilization Report'!$A$4:$U$1800,15,FALSE)</f>
        <v>Implementation of Plans, projects and activities on consumer awareness, education, and advocacy</v>
      </c>
      <c r="AC1504" s="39"/>
      <c r="AD1504" s="34"/>
      <c r="AE1504" s="39"/>
      <c r="AF1504" s="51"/>
      <c r="AG1504" s="442"/>
      <c r="AH1504" s="442"/>
      <c r="AI1504" s="443"/>
    </row>
    <row r="1505" spans="1:35" s="32" customFormat="1" ht="29.25" customHeight="1">
      <c r="A1505" s="434" t="s">
        <v>942</v>
      </c>
      <c r="B1505" s="457" t="s">
        <v>946</v>
      </c>
      <c r="C1505" s="233">
        <v>44280</v>
      </c>
      <c r="D1505" s="435" t="s">
        <v>1267</v>
      </c>
      <c r="E1505" s="436" t="s">
        <v>1554</v>
      </c>
      <c r="F1505" s="338">
        <v>0.42777777777777781</v>
      </c>
      <c r="G1505" s="338">
        <v>0.43402777777777773</v>
      </c>
      <c r="H1505" s="458" t="s">
        <v>971</v>
      </c>
      <c r="I1505" s="353">
        <v>751</v>
      </c>
      <c r="J1505" s="338" t="str">
        <f>IFERROR(VLOOKUP(I1505,'Chart of accounts'!A:H,2,FALSE),"")</f>
        <v>50201010 00</v>
      </c>
      <c r="K1505" s="338" t="str">
        <f>IFERROR(VLOOKUP(I1505,'Chart of accounts'!A:H,3,FALSE),"")</f>
        <v>Traveling Expenses - Local</v>
      </c>
      <c r="L1505" s="338" t="str">
        <f>IFERROR(VLOOKUP(I1505,'Chart of accounts'!A:H,4,FALSE),"")</f>
        <v>50201010 00 - Traveling Expenses - Local (751)</v>
      </c>
      <c r="M1505" s="361" t="s">
        <v>1555</v>
      </c>
      <c r="N1505" s="355" t="s">
        <v>818</v>
      </c>
      <c r="O1505" s="355" t="s">
        <v>1556</v>
      </c>
      <c r="P1505" s="355"/>
      <c r="Q1505" s="363">
        <v>180000</v>
      </c>
      <c r="R1505" s="428">
        <f t="shared" si="57"/>
        <v>-180000</v>
      </c>
      <c r="S1505" s="428" t="str">
        <f>VLOOKUP(H1505,'Fund Utilization Report'!$A$4:$U$1800,13,FALSE)</f>
        <v>MOOE</v>
      </c>
      <c r="T1505" s="428" t="str">
        <f>VLOOKUP(H1505,'Fund Utilization Report'!$A$4:$U$1800,2,FALSE)</f>
        <v>GAA</v>
      </c>
      <c r="U1505" s="428" t="str">
        <f>VLOOKUP(H1505,'Fund Utilization Report'!$A$4:$U$1800,3,FALSE)</f>
        <v>FY2021, RA11518</v>
      </c>
      <c r="V1505" s="428" t="str">
        <f>VLOOKUP(H1505,'Fund Utilization Report'!$A$4:$U$1800,4,FALSE)</f>
        <v>OO3</v>
      </c>
      <c r="W1505" s="428" t="str">
        <f>VLOOKUP(H1505,'Fund Utilization Report'!$A$4:$U$1800,5,FALSE)</f>
        <v>01101101</v>
      </c>
      <c r="X1505" s="428" t="str">
        <f>VLOOKUP(H1505,'Fund Utilization Report'!$A$4:$U$1800,6,FALSE)</f>
        <v>GOP</v>
      </c>
      <c r="Y1505" s="320" t="str">
        <f>VLOOKUP(H1505,'Fund Utilization Report'!$A$4:$U$1800,7,FALSE)</f>
        <v>MOOE</v>
      </c>
      <c r="Z1505" s="425">
        <f>VLOOKUP(H1505,'Fund Utilization Report'!$A$4:$U$1800,8,FALSE)</f>
        <v>5020000000</v>
      </c>
      <c r="AA1505" s="428" t="str">
        <f>VLOOKUP(H1505,'Fund Utilization Report'!$A$4:$U$1800,14,FALSE)</f>
        <v>330100100002000</v>
      </c>
      <c r="AB1505" s="349" t="str">
        <f>VLOOKUP(H1505,'Fund Utilization Report'!$A$4:$U$1800,15,FALSE)</f>
        <v>Implementation of the MSME Development Plan and other initiatives to promote the growth of Micro, Small and Medium Enterprises</v>
      </c>
      <c r="AC1505" s="39"/>
      <c r="AD1505" s="34"/>
      <c r="AE1505" s="39"/>
      <c r="AF1505" s="51"/>
      <c r="AG1505" s="442"/>
      <c r="AH1505" s="442"/>
      <c r="AI1505" s="443"/>
    </row>
    <row r="1506" spans="1:35" s="32" customFormat="1" ht="29.25" customHeight="1">
      <c r="A1506" s="434" t="s">
        <v>942</v>
      </c>
      <c r="B1506" s="457" t="s">
        <v>946</v>
      </c>
      <c r="C1506" s="233">
        <v>44280</v>
      </c>
      <c r="D1506" s="435" t="s">
        <v>1267</v>
      </c>
      <c r="E1506" s="436" t="s">
        <v>1554</v>
      </c>
      <c r="F1506" s="338">
        <v>0.42777777777777781</v>
      </c>
      <c r="G1506" s="338">
        <v>0.43402777777777773</v>
      </c>
      <c r="H1506" s="458" t="s">
        <v>971</v>
      </c>
      <c r="I1506" s="353">
        <v>755</v>
      </c>
      <c r="J1506" s="338" t="str">
        <f>IFERROR(VLOOKUP(I1506,'Chart of accounts'!A:H,2,FALSE),"")</f>
        <v>50203010 00</v>
      </c>
      <c r="K1506" s="338" t="str">
        <f>IFERROR(VLOOKUP(I1506,'Chart of accounts'!A:H,3,FALSE),"")</f>
        <v>Office Supplies Expenses</v>
      </c>
      <c r="L1506" s="338" t="str">
        <f>IFERROR(VLOOKUP(I1506,'Chart of accounts'!A:H,4,FALSE),"")</f>
        <v>50203010 00 - Office Supplies Expenses (755)</v>
      </c>
      <c r="M1506" s="361" t="s">
        <v>1555</v>
      </c>
      <c r="N1506" s="355" t="s">
        <v>818</v>
      </c>
      <c r="O1506" s="355" t="s">
        <v>1556</v>
      </c>
      <c r="P1506" s="355"/>
      <c r="Q1506" s="363">
        <v>20000</v>
      </c>
      <c r="R1506" s="428">
        <f t="shared" si="57"/>
        <v>-20000</v>
      </c>
      <c r="S1506" s="428" t="str">
        <f>VLOOKUP(H1506,'Fund Utilization Report'!$A$4:$U$1800,13,FALSE)</f>
        <v>MOOE</v>
      </c>
      <c r="T1506" s="428" t="str">
        <f>VLOOKUP(H1506,'Fund Utilization Report'!$A$4:$U$1800,2,FALSE)</f>
        <v>GAA</v>
      </c>
      <c r="U1506" s="428" t="str">
        <f>VLOOKUP(H1506,'Fund Utilization Report'!$A$4:$U$1800,3,FALSE)</f>
        <v>FY2021, RA11518</v>
      </c>
      <c r="V1506" s="428" t="str">
        <f>VLOOKUP(H1506,'Fund Utilization Report'!$A$4:$U$1800,4,FALSE)</f>
        <v>OO3</v>
      </c>
      <c r="W1506" s="428" t="str">
        <f>VLOOKUP(H1506,'Fund Utilization Report'!$A$4:$U$1800,5,FALSE)</f>
        <v>01101101</v>
      </c>
      <c r="X1506" s="428" t="str">
        <f>VLOOKUP(H1506,'Fund Utilization Report'!$A$4:$U$1800,6,FALSE)</f>
        <v>GOP</v>
      </c>
      <c r="Y1506" s="320" t="str">
        <f>VLOOKUP(H1506,'Fund Utilization Report'!$A$4:$U$1800,7,FALSE)</f>
        <v>MOOE</v>
      </c>
      <c r="Z1506" s="425">
        <f>VLOOKUP(H1506,'Fund Utilization Report'!$A$4:$U$1800,8,FALSE)</f>
        <v>5020000000</v>
      </c>
      <c r="AA1506" s="428" t="str">
        <f>VLOOKUP(H1506,'Fund Utilization Report'!$A$4:$U$1800,14,FALSE)</f>
        <v>330100100002000</v>
      </c>
      <c r="AB1506" s="349" t="str">
        <f>VLOOKUP(H1506,'Fund Utilization Report'!$A$4:$U$1800,15,FALSE)</f>
        <v>Implementation of the MSME Development Plan and other initiatives to promote the growth of Micro, Small and Medium Enterprises</v>
      </c>
      <c r="AC1506" s="39"/>
      <c r="AD1506" s="34"/>
      <c r="AE1506" s="39"/>
      <c r="AF1506" s="51"/>
      <c r="AG1506" s="442"/>
      <c r="AH1506" s="442"/>
      <c r="AI1506" s="443"/>
    </row>
    <row r="1507" spans="1:35" s="32" customFormat="1" ht="29.25" customHeight="1">
      <c r="A1507" s="434" t="s">
        <v>942</v>
      </c>
      <c r="B1507" s="457" t="s">
        <v>946</v>
      </c>
      <c r="C1507" s="233">
        <v>44280</v>
      </c>
      <c r="D1507" s="435" t="s">
        <v>1267</v>
      </c>
      <c r="E1507" s="436" t="s">
        <v>1554</v>
      </c>
      <c r="F1507" s="338">
        <v>0.42777777777777781</v>
      </c>
      <c r="G1507" s="338">
        <v>0.43402777777777773</v>
      </c>
      <c r="H1507" s="458" t="s">
        <v>971</v>
      </c>
      <c r="I1507" s="353">
        <v>771</v>
      </c>
      <c r="J1507" s="338" t="str">
        <f>IFERROR(VLOOKUP(I1507,'Chart of accounts'!A:H,2,FALSE),"")</f>
        <v>50205010 00</v>
      </c>
      <c r="K1507" s="338" t="str">
        <f>IFERROR(VLOOKUP(I1507,'Chart of accounts'!A:H,3,FALSE),"")</f>
        <v>Postage and Courier Services</v>
      </c>
      <c r="L1507" s="338" t="str">
        <f>IFERROR(VLOOKUP(I1507,'Chart of accounts'!A:H,4,FALSE),"")</f>
        <v>50205010 00 - Postage and Courier Services (771)</v>
      </c>
      <c r="M1507" s="361" t="s">
        <v>1555</v>
      </c>
      <c r="N1507" s="355" t="s">
        <v>818</v>
      </c>
      <c r="O1507" s="355" t="s">
        <v>1556</v>
      </c>
      <c r="P1507" s="355"/>
      <c r="Q1507" s="363">
        <v>6000</v>
      </c>
      <c r="R1507" s="428">
        <f t="shared" si="57"/>
        <v>-6000</v>
      </c>
      <c r="S1507" s="428" t="str">
        <f>VLOOKUP(H1507,'Fund Utilization Report'!$A$4:$U$1800,13,FALSE)</f>
        <v>MOOE</v>
      </c>
      <c r="T1507" s="428" t="str">
        <f>VLOOKUP(H1507,'Fund Utilization Report'!$A$4:$U$1800,2,FALSE)</f>
        <v>GAA</v>
      </c>
      <c r="U1507" s="428" t="str">
        <f>VLOOKUP(H1507,'Fund Utilization Report'!$A$4:$U$1800,3,FALSE)</f>
        <v>FY2021, RA11518</v>
      </c>
      <c r="V1507" s="428" t="str">
        <f>VLOOKUP(H1507,'Fund Utilization Report'!$A$4:$U$1800,4,FALSE)</f>
        <v>OO3</v>
      </c>
      <c r="W1507" s="428" t="str">
        <f>VLOOKUP(H1507,'Fund Utilization Report'!$A$4:$U$1800,5,FALSE)</f>
        <v>01101101</v>
      </c>
      <c r="X1507" s="428" t="str">
        <f>VLOOKUP(H1507,'Fund Utilization Report'!$A$4:$U$1800,6,FALSE)</f>
        <v>GOP</v>
      </c>
      <c r="Y1507" s="320" t="str">
        <f>VLOOKUP(H1507,'Fund Utilization Report'!$A$4:$U$1800,7,FALSE)</f>
        <v>MOOE</v>
      </c>
      <c r="Z1507" s="425">
        <f>VLOOKUP(H1507,'Fund Utilization Report'!$A$4:$U$1800,8,FALSE)</f>
        <v>5020000000</v>
      </c>
      <c r="AA1507" s="428" t="str">
        <f>VLOOKUP(H1507,'Fund Utilization Report'!$A$4:$U$1800,14,FALSE)</f>
        <v>330100100002000</v>
      </c>
      <c r="AB1507" s="349" t="str">
        <f>VLOOKUP(H1507,'Fund Utilization Report'!$A$4:$U$1800,15,FALSE)</f>
        <v>Implementation of the MSME Development Plan and other initiatives to promote the growth of Micro, Small and Medium Enterprises</v>
      </c>
      <c r="AC1507" s="39"/>
      <c r="AD1507" s="34"/>
      <c r="AE1507" s="39"/>
      <c r="AF1507" s="51"/>
      <c r="AG1507" s="442"/>
      <c r="AH1507" s="442"/>
      <c r="AI1507" s="443"/>
    </row>
    <row r="1508" spans="1:35" s="32" customFormat="1" ht="29.25" customHeight="1">
      <c r="A1508" s="434" t="s">
        <v>942</v>
      </c>
      <c r="B1508" s="457" t="s">
        <v>946</v>
      </c>
      <c r="C1508" s="233">
        <v>44280</v>
      </c>
      <c r="D1508" s="435" t="s">
        <v>1267</v>
      </c>
      <c r="E1508" s="436" t="s">
        <v>1554</v>
      </c>
      <c r="F1508" s="338">
        <v>0.42777777777777781</v>
      </c>
      <c r="G1508" s="338">
        <v>0.43402777777777773</v>
      </c>
      <c r="H1508" s="458" t="s">
        <v>971</v>
      </c>
      <c r="I1508" s="353">
        <v>773</v>
      </c>
      <c r="J1508" s="338" t="str">
        <f>IFERROR(VLOOKUP(I1508,'Chart of accounts'!A:H,2,FALSE),"")</f>
        <v>50205020 01</v>
      </c>
      <c r="K1508" s="338" t="str">
        <f>IFERROR(VLOOKUP(I1508,'Chart of accounts'!A:H,3,FALSE),"")</f>
        <v xml:space="preserve">Telephone Expenses - Mobile </v>
      </c>
      <c r="L1508" s="338" t="str">
        <f>IFERROR(VLOOKUP(I1508,'Chart of accounts'!A:H,4,FALSE),"")</f>
        <v>50205020 01 - Telephone Expenses - Mobile  (773)</v>
      </c>
      <c r="M1508" s="361" t="s">
        <v>1555</v>
      </c>
      <c r="N1508" s="355" t="s">
        <v>818</v>
      </c>
      <c r="O1508" s="355" t="s">
        <v>1556</v>
      </c>
      <c r="P1508" s="355"/>
      <c r="Q1508" s="363">
        <v>10000</v>
      </c>
      <c r="R1508" s="428">
        <f t="shared" ref="R1508:R1520" si="59">P1508-Q1508</f>
        <v>-10000</v>
      </c>
      <c r="S1508" s="428" t="str">
        <f>VLOOKUP(H1508,'Fund Utilization Report'!$A$4:$U$1800,13,FALSE)</f>
        <v>MOOE</v>
      </c>
      <c r="T1508" s="428" t="str">
        <f>VLOOKUP(H1508,'Fund Utilization Report'!$A$4:$U$1800,2,FALSE)</f>
        <v>GAA</v>
      </c>
      <c r="U1508" s="428" t="str">
        <f>VLOOKUP(H1508,'Fund Utilization Report'!$A$4:$U$1800,3,FALSE)</f>
        <v>FY2021, RA11518</v>
      </c>
      <c r="V1508" s="428" t="str">
        <f>VLOOKUP(H1508,'Fund Utilization Report'!$A$4:$U$1800,4,FALSE)</f>
        <v>OO3</v>
      </c>
      <c r="W1508" s="428" t="str">
        <f>VLOOKUP(H1508,'Fund Utilization Report'!$A$4:$U$1800,5,FALSE)</f>
        <v>01101101</v>
      </c>
      <c r="X1508" s="428" t="str">
        <f>VLOOKUP(H1508,'Fund Utilization Report'!$A$4:$U$1800,6,FALSE)</f>
        <v>GOP</v>
      </c>
      <c r="Y1508" s="320" t="str">
        <f>VLOOKUP(H1508,'Fund Utilization Report'!$A$4:$U$1800,7,FALSE)</f>
        <v>MOOE</v>
      </c>
      <c r="Z1508" s="425">
        <f>VLOOKUP(H1508,'Fund Utilization Report'!$A$4:$U$1800,8,FALSE)</f>
        <v>5020000000</v>
      </c>
      <c r="AA1508" s="428" t="str">
        <f>VLOOKUP(H1508,'Fund Utilization Report'!$A$4:$U$1800,14,FALSE)</f>
        <v>330100100002000</v>
      </c>
      <c r="AB1508" s="349" t="str">
        <f>VLOOKUP(H1508,'Fund Utilization Report'!$A$4:$U$1800,15,FALSE)</f>
        <v>Implementation of the MSME Development Plan and other initiatives to promote the growth of Micro, Small and Medium Enterprises</v>
      </c>
      <c r="AC1508" s="39"/>
      <c r="AD1508" s="34"/>
      <c r="AE1508" s="39"/>
      <c r="AF1508" s="51"/>
      <c r="AG1508" s="442"/>
      <c r="AH1508" s="442"/>
      <c r="AI1508" s="443"/>
    </row>
    <row r="1509" spans="1:35" s="32" customFormat="1" ht="29.25" customHeight="1">
      <c r="A1509" s="434" t="s">
        <v>942</v>
      </c>
      <c r="B1509" s="457" t="s">
        <v>946</v>
      </c>
      <c r="C1509" s="233">
        <v>44280</v>
      </c>
      <c r="D1509" s="435" t="s">
        <v>1267</v>
      </c>
      <c r="E1509" s="436" t="s">
        <v>1554</v>
      </c>
      <c r="F1509" s="338">
        <v>0.42777777777777781</v>
      </c>
      <c r="G1509" s="338">
        <v>0.43402777777777773</v>
      </c>
      <c r="H1509" s="458" t="s">
        <v>971</v>
      </c>
      <c r="I1509" s="353">
        <v>799</v>
      </c>
      <c r="J1509" s="338" t="str">
        <f>IFERROR(VLOOKUP(I1509,'Chart of accounts'!A:H,2,FALSE),"")</f>
        <v>50211990 00</v>
      </c>
      <c r="K1509" s="338" t="str">
        <f>IFERROR(VLOOKUP(I1509,'Chart of accounts'!A:H,3,FALSE),"")</f>
        <v>Other Professional Services</v>
      </c>
      <c r="L1509" s="338" t="str">
        <f>IFERROR(VLOOKUP(I1509,'Chart of accounts'!A:H,4,FALSE),"")</f>
        <v>50211990 00 - Other Professional Services (799)</v>
      </c>
      <c r="M1509" s="361" t="s">
        <v>1555</v>
      </c>
      <c r="N1509" s="355" t="s">
        <v>818</v>
      </c>
      <c r="O1509" s="355" t="s">
        <v>1556</v>
      </c>
      <c r="P1509" s="355"/>
      <c r="Q1509" s="363">
        <v>120000</v>
      </c>
      <c r="R1509" s="428">
        <f t="shared" si="59"/>
        <v>-120000</v>
      </c>
      <c r="S1509" s="428" t="str">
        <f>VLOOKUP(H1509,'Fund Utilization Report'!$A$4:$U$1800,13,FALSE)</f>
        <v>MOOE</v>
      </c>
      <c r="T1509" s="428" t="str">
        <f>VLOOKUP(H1509,'Fund Utilization Report'!$A$4:$U$1800,2,FALSE)</f>
        <v>GAA</v>
      </c>
      <c r="U1509" s="428" t="str">
        <f>VLOOKUP(H1509,'Fund Utilization Report'!$A$4:$U$1800,3,FALSE)</f>
        <v>FY2021, RA11518</v>
      </c>
      <c r="V1509" s="428" t="str">
        <f>VLOOKUP(H1509,'Fund Utilization Report'!$A$4:$U$1800,4,FALSE)</f>
        <v>OO3</v>
      </c>
      <c r="W1509" s="428" t="str">
        <f>VLOOKUP(H1509,'Fund Utilization Report'!$A$4:$U$1800,5,FALSE)</f>
        <v>01101101</v>
      </c>
      <c r="X1509" s="428" t="str">
        <f>VLOOKUP(H1509,'Fund Utilization Report'!$A$4:$U$1800,6,FALSE)</f>
        <v>GOP</v>
      </c>
      <c r="Y1509" s="320" t="str">
        <f>VLOOKUP(H1509,'Fund Utilization Report'!$A$4:$U$1800,7,FALSE)</f>
        <v>MOOE</v>
      </c>
      <c r="Z1509" s="425">
        <f>VLOOKUP(H1509,'Fund Utilization Report'!$A$4:$U$1800,8,FALSE)</f>
        <v>5020000000</v>
      </c>
      <c r="AA1509" s="428" t="str">
        <f>VLOOKUP(H1509,'Fund Utilization Report'!$A$4:$U$1800,14,FALSE)</f>
        <v>330100100002000</v>
      </c>
      <c r="AB1509" s="349" t="str">
        <f>VLOOKUP(H1509,'Fund Utilization Report'!$A$4:$U$1800,15,FALSE)</f>
        <v>Implementation of the MSME Development Plan and other initiatives to promote the growth of Micro, Small and Medium Enterprises</v>
      </c>
      <c r="AC1509" s="39"/>
      <c r="AD1509" s="34"/>
      <c r="AE1509" s="39"/>
      <c r="AF1509" s="51"/>
      <c r="AG1509" s="442"/>
      <c r="AH1509" s="442"/>
      <c r="AI1509" s="443"/>
    </row>
    <row r="1510" spans="1:35" s="32" customFormat="1" ht="29.25" customHeight="1">
      <c r="A1510" s="434" t="s">
        <v>942</v>
      </c>
      <c r="B1510" s="457" t="s">
        <v>946</v>
      </c>
      <c r="C1510" s="233">
        <v>44280</v>
      </c>
      <c r="D1510" s="435" t="s">
        <v>1267</v>
      </c>
      <c r="E1510" s="436" t="s">
        <v>1554</v>
      </c>
      <c r="F1510" s="338">
        <v>0.42777777777777781</v>
      </c>
      <c r="G1510" s="338">
        <v>0.43402777777777773</v>
      </c>
      <c r="H1510" s="458" t="s">
        <v>971</v>
      </c>
      <c r="I1510" s="353">
        <v>783</v>
      </c>
      <c r="J1510" s="338" t="str">
        <f>IFERROR(VLOOKUP(I1510,'Chart of accounts'!A:H,2,FALSE),"")</f>
        <v>50299030 00</v>
      </c>
      <c r="K1510" s="338" t="str">
        <f>IFERROR(VLOOKUP(I1510,'Chart of accounts'!A:H,3,FALSE),"")</f>
        <v>Representation Expenses</v>
      </c>
      <c r="L1510" s="338" t="str">
        <f>IFERROR(VLOOKUP(I1510,'Chart of accounts'!A:H,4,FALSE),"")</f>
        <v>50299030 00 - Representation Expenses (783)</v>
      </c>
      <c r="M1510" s="361" t="s">
        <v>1555</v>
      </c>
      <c r="N1510" s="355" t="s">
        <v>818</v>
      </c>
      <c r="O1510" s="355" t="s">
        <v>1556</v>
      </c>
      <c r="P1510" s="355"/>
      <c r="Q1510" s="363">
        <v>140000</v>
      </c>
      <c r="R1510" s="428">
        <f t="shared" si="59"/>
        <v>-140000</v>
      </c>
      <c r="S1510" s="428" t="str">
        <f>VLOOKUP(H1510,'Fund Utilization Report'!$A$4:$U$1800,13,FALSE)</f>
        <v>MOOE</v>
      </c>
      <c r="T1510" s="428" t="str">
        <f>VLOOKUP(H1510,'Fund Utilization Report'!$A$4:$U$1800,2,FALSE)</f>
        <v>GAA</v>
      </c>
      <c r="U1510" s="428" t="str">
        <f>VLOOKUP(H1510,'Fund Utilization Report'!$A$4:$U$1800,3,FALSE)</f>
        <v>FY2021, RA11518</v>
      </c>
      <c r="V1510" s="428" t="str">
        <f>VLOOKUP(H1510,'Fund Utilization Report'!$A$4:$U$1800,4,FALSE)</f>
        <v>OO3</v>
      </c>
      <c r="W1510" s="428" t="str">
        <f>VLOOKUP(H1510,'Fund Utilization Report'!$A$4:$U$1800,5,FALSE)</f>
        <v>01101101</v>
      </c>
      <c r="X1510" s="428" t="str">
        <f>VLOOKUP(H1510,'Fund Utilization Report'!$A$4:$U$1800,6,FALSE)</f>
        <v>GOP</v>
      </c>
      <c r="Y1510" s="320" t="str">
        <f>VLOOKUP(H1510,'Fund Utilization Report'!$A$4:$U$1800,7,FALSE)</f>
        <v>MOOE</v>
      </c>
      <c r="Z1510" s="425">
        <f>VLOOKUP(H1510,'Fund Utilization Report'!$A$4:$U$1800,8,FALSE)</f>
        <v>5020000000</v>
      </c>
      <c r="AA1510" s="428" t="str">
        <f>VLOOKUP(H1510,'Fund Utilization Report'!$A$4:$U$1800,14,FALSE)</f>
        <v>330100100002000</v>
      </c>
      <c r="AB1510" s="349" t="str">
        <f>VLOOKUP(H1510,'Fund Utilization Report'!$A$4:$U$1800,15,FALSE)</f>
        <v>Implementation of the MSME Development Plan and other initiatives to promote the growth of Micro, Small and Medium Enterprises</v>
      </c>
      <c r="AC1510" s="39"/>
      <c r="AD1510" s="34"/>
      <c r="AE1510" s="39"/>
      <c r="AF1510" s="51"/>
      <c r="AG1510" s="442"/>
      <c r="AH1510" s="442"/>
      <c r="AI1510" s="443"/>
    </row>
    <row r="1511" spans="1:35" s="32" customFormat="1" ht="29.25" customHeight="1">
      <c r="A1511" s="434" t="s">
        <v>942</v>
      </c>
      <c r="B1511" s="457" t="s">
        <v>946</v>
      </c>
      <c r="C1511" s="233">
        <v>44280</v>
      </c>
      <c r="D1511" s="435" t="s">
        <v>1267</v>
      </c>
      <c r="E1511" s="436" t="s">
        <v>1554</v>
      </c>
      <c r="F1511" s="338">
        <v>0.42777777777777781</v>
      </c>
      <c r="G1511" s="338">
        <v>0.43402777777777773</v>
      </c>
      <c r="H1511" s="458" t="s">
        <v>971</v>
      </c>
      <c r="I1511" s="353">
        <v>795</v>
      </c>
      <c r="J1511" s="338" t="str">
        <f>IFERROR(VLOOKUP(I1511,'Chart of accounts'!A:H,2,FALSE),"")</f>
        <v>50212990 00</v>
      </c>
      <c r="K1511" s="338" t="str">
        <f>IFERROR(VLOOKUP(I1511,'Chart of accounts'!A:H,3,FALSE),"")</f>
        <v>Other General Services</v>
      </c>
      <c r="L1511" s="338" t="str">
        <f>IFERROR(VLOOKUP(I1511,'Chart of accounts'!A:H,4,FALSE),"")</f>
        <v>50212990 00 - Other General Services (795)</v>
      </c>
      <c r="M1511" s="361" t="s">
        <v>1555</v>
      </c>
      <c r="N1511" s="355" t="s">
        <v>818</v>
      </c>
      <c r="O1511" s="355" t="s">
        <v>1556</v>
      </c>
      <c r="P1511" s="355"/>
      <c r="Q1511" s="363">
        <v>40000</v>
      </c>
      <c r="R1511" s="428">
        <f t="shared" si="59"/>
        <v>-40000</v>
      </c>
      <c r="S1511" s="428" t="str">
        <f>VLOOKUP(H1511,'Fund Utilization Report'!$A$4:$U$1800,13,FALSE)</f>
        <v>MOOE</v>
      </c>
      <c r="T1511" s="428" t="str">
        <f>VLOOKUP(H1511,'Fund Utilization Report'!$A$4:$U$1800,2,FALSE)</f>
        <v>GAA</v>
      </c>
      <c r="U1511" s="428" t="str">
        <f>VLOOKUP(H1511,'Fund Utilization Report'!$A$4:$U$1800,3,FALSE)</f>
        <v>FY2021, RA11518</v>
      </c>
      <c r="V1511" s="428" t="str">
        <f>VLOOKUP(H1511,'Fund Utilization Report'!$A$4:$U$1800,4,FALSE)</f>
        <v>OO3</v>
      </c>
      <c r="W1511" s="428" t="str">
        <f>VLOOKUP(H1511,'Fund Utilization Report'!$A$4:$U$1800,5,FALSE)</f>
        <v>01101101</v>
      </c>
      <c r="X1511" s="428" t="str">
        <f>VLOOKUP(H1511,'Fund Utilization Report'!$A$4:$U$1800,6,FALSE)</f>
        <v>GOP</v>
      </c>
      <c r="Y1511" s="320" t="str">
        <f>VLOOKUP(H1511,'Fund Utilization Report'!$A$4:$U$1800,7,FALSE)</f>
        <v>MOOE</v>
      </c>
      <c r="Z1511" s="425">
        <f>VLOOKUP(H1511,'Fund Utilization Report'!$A$4:$U$1800,8,FALSE)</f>
        <v>5020000000</v>
      </c>
      <c r="AA1511" s="428" t="str">
        <f>VLOOKUP(H1511,'Fund Utilization Report'!$A$4:$U$1800,14,FALSE)</f>
        <v>330100100002000</v>
      </c>
      <c r="AB1511" s="349" t="str">
        <f>VLOOKUP(H1511,'Fund Utilization Report'!$A$4:$U$1800,15,FALSE)</f>
        <v>Implementation of the MSME Development Plan and other initiatives to promote the growth of Micro, Small and Medium Enterprises</v>
      </c>
      <c r="AC1511" s="39"/>
      <c r="AD1511" s="34"/>
      <c r="AE1511" s="39"/>
      <c r="AF1511" s="51"/>
      <c r="AG1511" s="442"/>
      <c r="AH1511" s="442"/>
      <c r="AI1511" s="443"/>
    </row>
    <row r="1512" spans="1:35" s="32" customFormat="1" ht="29.25" customHeight="1">
      <c r="A1512" s="434" t="s">
        <v>942</v>
      </c>
      <c r="B1512" s="457" t="s">
        <v>946</v>
      </c>
      <c r="C1512" s="233">
        <v>44280</v>
      </c>
      <c r="D1512" s="435" t="s">
        <v>1267</v>
      </c>
      <c r="E1512" s="436" t="s">
        <v>1554</v>
      </c>
      <c r="F1512" s="338">
        <v>0.42777777777777781</v>
      </c>
      <c r="G1512" s="338">
        <v>0.43402777777777773</v>
      </c>
      <c r="H1512" s="458" t="s">
        <v>971</v>
      </c>
      <c r="I1512" s="353">
        <v>796</v>
      </c>
      <c r="J1512" s="338" t="str">
        <f>IFERROR(VLOOKUP(I1512,'Chart of accounts'!A:H,2,FALSE),"")</f>
        <v>50212020 00</v>
      </c>
      <c r="K1512" s="338" t="str">
        <f>IFERROR(VLOOKUP(I1512,'Chart of accounts'!A:H,3,FALSE),"")</f>
        <v>Janitorial Services</v>
      </c>
      <c r="L1512" s="338" t="str">
        <f>IFERROR(VLOOKUP(I1512,'Chart of accounts'!A:H,4,FALSE),"")</f>
        <v>50212020 00 - Janitorial Services (796)</v>
      </c>
      <c r="M1512" s="361" t="s">
        <v>1555</v>
      </c>
      <c r="N1512" s="355" t="s">
        <v>818</v>
      </c>
      <c r="O1512" s="355" t="s">
        <v>1556</v>
      </c>
      <c r="P1512" s="355"/>
      <c r="Q1512" s="363">
        <v>34000</v>
      </c>
      <c r="R1512" s="428">
        <f t="shared" si="59"/>
        <v>-34000</v>
      </c>
      <c r="S1512" s="428" t="str">
        <f>VLOOKUP(H1512,'Fund Utilization Report'!$A$4:$U$1800,13,FALSE)</f>
        <v>MOOE</v>
      </c>
      <c r="T1512" s="428" t="str">
        <f>VLOOKUP(H1512,'Fund Utilization Report'!$A$4:$U$1800,2,FALSE)</f>
        <v>GAA</v>
      </c>
      <c r="U1512" s="428" t="str">
        <f>VLOOKUP(H1512,'Fund Utilization Report'!$A$4:$U$1800,3,FALSE)</f>
        <v>FY2021, RA11518</v>
      </c>
      <c r="V1512" s="428" t="str">
        <f>VLOOKUP(H1512,'Fund Utilization Report'!$A$4:$U$1800,4,FALSE)</f>
        <v>OO3</v>
      </c>
      <c r="W1512" s="428" t="str">
        <f>VLOOKUP(H1512,'Fund Utilization Report'!$A$4:$U$1800,5,FALSE)</f>
        <v>01101101</v>
      </c>
      <c r="X1512" s="428" t="str">
        <f>VLOOKUP(H1512,'Fund Utilization Report'!$A$4:$U$1800,6,FALSE)</f>
        <v>GOP</v>
      </c>
      <c r="Y1512" s="320" t="str">
        <f>VLOOKUP(H1512,'Fund Utilization Report'!$A$4:$U$1800,7,FALSE)</f>
        <v>MOOE</v>
      </c>
      <c r="Z1512" s="425">
        <f>VLOOKUP(H1512,'Fund Utilization Report'!$A$4:$U$1800,8,FALSE)</f>
        <v>5020000000</v>
      </c>
      <c r="AA1512" s="428" t="str">
        <f>VLOOKUP(H1512,'Fund Utilization Report'!$A$4:$U$1800,14,FALSE)</f>
        <v>330100100002000</v>
      </c>
      <c r="AB1512" s="349" t="str">
        <f>VLOOKUP(H1512,'Fund Utilization Report'!$A$4:$U$1800,15,FALSE)</f>
        <v>Implementation of the MSME Development Plan and other initiatives to promote the growth of Micro, Small and Medium Enterprises</v>
      </c>
      <c r="AC1512" s="39"/>
      <c r="AD1512" s="34"/>
      <c r="AE1512" s="39"/>
      <c r="AF1512" s="51"/>
      <c r="AG1512" s="442"/>
      <c r="AH1512" s="442"/>
      <c r="AI1512" s="443"/>
    </row>
    <row r="1513" spans="1:35" s="32" customFormat="1" ht="29.25" customHeight="1">
      <c r="A1513" s="434" t="s">
        <v>942</v>
      </c>
      <c r="B1513" s="457" t="s">
        <v>946</v>
      </c>
      <c r="C1513" s="233">
        <v>44280</v>
      </c>
      <c r="D1513" s="435" t="s">
        <v>1267</v>
      </c>
      <c r="E1513" s="436" t="s">
        <v>1557</v>
      </c>
      <c r="F1513" s="338">
        <v>0.43402777777777773</v>
      </c>
      <c r="G1513" s="338">
        <v>0.45</v>
      </c>
      <c r="H1513" s="458" t="s">
        <v>971</v>
      </c>
      <c r="I1513" s="353">
        <v>751</v>
      </c>
      <c r="J1513" s="338" t="str">
        <f>IFERROR(VLOOKUP(I1513,'Chart of accounts'!A:H,2,FALSE),"")</f>
        <v>50201010 00</v>
      </c>
      <c r="K1513" s="338" t="str">
        <f>IFERROR(VLOOKUP(I1513,'Chart of accounts'!A:H,3,FALSE),"")</f>
        <v>Traveling Expenses - Local</v>
      </c>
      <c r="L1513" s="338" t="str">
        <f>IFERROR(VLOOKUP(I1513,'Chart of accounts'!A:H,4,FALSE),"")</f>
        <v>50201010 00 - Traveling Expenses - Local (751)</v>
      </c>
      <c r="M1513" s="361" t="s">
        <v>1555</v>
      </c>
      <c r="N1513" s="355" t="s">
        <v>820</v>
      </c>
      <c r="O1513" s="355" t="s">
        <v>1556</v>
      </c>
      <c r="P1513" s="355"/>
      <c r="Q1513" s="363">
        <v>190000</v>
      </c>
      <c r="R1513" s="428">
        <f t="shared" si="59"/>
        <v>-190000</v>
      </c>
      <c r="S1513" s="428" t="str">
        <f>VLOOKUP(H1513,'Fund Utilization Report'!$A$4:$U$1800,13,FALSE)</f>
        <v>MOOE</v>
      </c>
      <c r="T1513" s="428" t="str">
        <f>VLOOKUP(H1513,'Fund Utilization Report'!$A$4:$U$1800,2,FALSE)</f>
        <v>GAA</v>
      </c>
      <c r="U1513" s="428" t="str">
        <f>VLOOKUP(H1513,'Fund Utilization Report'!$A$4:$U$1800,3,FALSE)</f>
        <v>FY2021, RA11518</v>
      </c>
      <c r="V1513" s="428" t="str">
        <f>VLOOKUP(H1513,'Fund Utilization Report'!$A$4:$U$1800,4,FALSE)</f>
        <v>OO3</v>
      </c>
      <c r="W1513" s="428" t="str">
        <f>VLOOKUP(H1513,'Fund Utilization Report'!$A$4:$U$1800,5,FALSE)</f>
        <v>01101101</v>
      </c>
      <c r="X1513" s="428" t="str">
        <f>VLOOKUP(H1513,'Fund Utilization Report'!$A$4:$U$1800,6,FALSE)</f>
        <v>GOP</v>
      </c>
      <c r="Y1513" s="320" t="str">
        <f>VLOOKUP(H1513,'Fund Utilization Report'!$A$4:$U$1800,7,FALSE)</f>
        <v>MOOE</v>
      </c>
      <c r="Z1513" s="425">
        <f>VLOOKUP(H1513,'Fund Utilization Report'!$A$4:$U$1800,8,FALSE)</f>
        <v>5020000000</v>
      </c>
      <c r="AA1513" s="428" t="str">
        <f>VLOOKUP(H1513,'Fund Utilization Report'!$A$4:$U$1800,14,FALSE)</f>
        <v>330100100002000</v>
      </c>
      <c r="AB1513" s="349" t="str">
        <f>VLOOKUP(H1513,'Fund Utilization Report'!$A$4:$U$1800,15,FALSE)</f>
        <v>Implementation of the MSME Development Plan and other initiatives to promote the growth of Micro, Small and Medium Enterprises</v>
      </c>
      <c r="AC1513" s="39"/>
      <c r="AD1513" s="34"/>
      <c r="AE1513" s="39"/>
      <c r="AF1513" s="51"/>
      <c r="AG1513" s="442"/>
      <c r="AH1513" s="442"/>
      <c r="AI1513" s="443"/>
    </row>
    <row r="1514" spans="1:35" s="32" customFormat="1" ht="29.25" customHeight="1">
      <c r="A1514" s="434" t="s">
        <v>942</v>
      </c>
      <c r="B1514" s="457" t="s">
        <v>946</v>
      </c>
      <c r="C1514" s="233">
        <v>44280</v>
      </c>
      <c r="D1514" s="435" t="s">
        <v>1267</v>
      </c>
      <c r="E1514" s="436" t="s">
        <v>1557</v>
      </c>
      <c r="F1514" s="338">
        <v>0.43402777777777773</v>
      </c>
      <c r="G1514" s="338">
        <v>0.45</v>
      </c>
      <c r="H1514" s="458" t="s">
        <v>971</v>
      </c>
      <c r="I1514" s="353">
        <v>755</v>
      </c>
      <c r="J1514" s="338" t="str">
        <f>IFERROR(VLOOKUP(I1514,'Chart of accounts'!A:H,2,FALSE),"")</f>
        <v>50203010 00</v>
      </c>
      <c r="K1514" s="338" t="str">
        <f>IFERROR(VLOOKUP(I1514,'Chart of accounts'!A:H,3,FALSE),"")</f>
        <v>Office Supplies Expenses</v>
      </c>
      <c r="L1514" s="338" t="str">
        <f>IFERROR(VLOOKUP(I1514,'Chart of accounts'!A:H,4,FALSE),"")</f>
        <v>50203010 00 - Office Supplies Expenses (755)</v>
      </c>
      <c r="M1514" s="361" t="s">
        <v>1555</v>
      </c>
      <c r="N1514" s="355" t="s">
        <v>820</v>
      </c>
      <c r="O1514" s="355" t="s">
        <v>1556</v>
      </c>
      <c r="P1514" s="355"/>
      <c r="Q1514" s="363">
        <v>20000</v>
      </c>
      <c r="R1514" s="428">
        <f t="shared" si="59"/>
        <v>-20000</v>
      </c>
      <c r="S1514" s="428" t="str">
        <f>VLOOKUP(H1514,'Fund Utilization Report'!$A$4:$U$1800,13,FALSE)</f>
        <v>MOOE</v>
      </c>
      <c r="T1514" s="428" t="str">
        <f>VLOOKUP(H1514,'Fund Utilization Report'!$A$4:$U$1800,2,FALSE)</f>
        <v>GAA</v>
      </c>
      <c r="U1514" s="428" t="str">
        <f>VLOOKUP(H1514,'Fund Utilization Report'!$A$4:$U$1800,3,FALSE)</f>
        <v>FY2021, RA11518</v>
      </c>
      <c r="V1514" s="428" t="str">
        <f>VLOOKUP(H1514,'Fund Utilization Report'!$A$4:$U$1800,4,FALSE)</f>
        <v>OO3</v>
      </c>
      <c r="W1514" s="428" t="str">
        <f>VLOOKUP(H1514,'Fund Utilization Report'!$A$4:$U$1800,5,FALSE)</f>
        <v>01101101</v>
      </c>
      <c r="X1514" s="428" t="str">
        <f>VLOOKUP(H1514,'Fund Utilization Report'!$A$4:$U$1800,6,FALSE)</f>
        <v>GOP</v>
      </c>
      <c r="Y1514" s="320" t="str">
        <f>VLOOKUP(H1514,'Fund Utilization Report'!$A$4:$U$1800,7,FALSE)</f>
        <v>MOOE</v>
      </c>
      <c r="Z1514" s="425">
        <f>VLOOKUP(H1514,'Fund Utilization Report'!$A$4:$U$1800,8,FALSE)</f>
        <v>5020000000</v>
      </c>
      <c r="AA1514" s="428" t="str">
        <f>VLOOKUP(H1514,'Fund Utilization Report'!$A$4:$U$1800,14,FALSE)</f>
        <v>330100100002000</v>
      </c>
      <c r="AB1514" s="349" t="str">
        <f>VLOOKUP(H1514,'Fund Utilization Report'!$A$4:$U$1800,15,FALSE)</f>
        <v>Implementation of the MSME Development Plan and other initiatives to promote the growth of Micro, Small and Medium Enterprises</v>
      </c>
      <c r="AC1514" s="39"/>
      <c r="AD1514" s="34"/>
      <c r="AE1514" s="39"/>
      <c r="AF1514" s="51"/>
      <c r="AG1514" s="442"/>
      <c r="AH1514" s="442"/>
      <c r="AI1514" s="443"/>
    </row>
    <row r="1515" spans="1:35" s="32" customFormat="1" ht="29.25" customHeight="1">
      <c r="A1515" s="434" t="s">
        <v>942</v>
      </c>
      <c r="B1515" s="457" t="s">
        <v>946</v>
      </c>
      <c r="C1515" s="233">
        <v>44280</v>
      </c>
      <c r="D1515" s="435" t="s">
        <v>1267</v>
      </c>
      <c r="E1515" s="436" t="s">
        <v>1557</v>
      </c>
      <c r="F1515" s="338">
        <v>0.43402777777777773</v>
      </c>
      <c r="G1515" s="338">
        <v>0.45</v>
      </c>
      <c r="H1515" s="458" t="s">
        <v>971</v>
      </c>
      <c r="I1515" s="353">
        <v>771</v>
      </c>
      <c r="J1515" s="338" t="str">
        <f>IFERROR(VLOOKUP(I1515,'Chart of accounts'!A:H,2,FALSE),"")</f>
        <v>50205010 00</v>
      </c>
      <c r="K1515" s="338" t="str">
        <f>IFERROR(VLOOKUP(I1515,'Chart of accounts'!A:H,3,FALSE),"")</f>
        <v>Postage and Courier Services</v>
      </c>
      <c r="L1515" s="338" t="str">
        <f>IFERROR(VLOOKUP(I1515,'Chart of accounts'!A:H,4,FALSE),"")</f>
        <v>50205010 00 - Postage and Courier Services (771)</v>
      </c>
      <c r="M1515" s="361" t="s">
        <v>1555</v>
      </c>
      <c r="N1515" s="355" t="s">
        <v>820</v>
      </c>
      <c r="O1515" s="355" t="s">
        <v>1556</v>
      </c>
      <c r="P1515" s="355"/>
      <c r="Q1515" s="363">
        <v>6000</v>
      </c>
      <c r="R1515" s="428">
        <f t="shared" si="59"/>
        <v>-6000</v>
      </c>
      <c r="S1515" s="428" t="str">
        <f>VLOOKUP(H1515,'Fund Utilization Report'!$A$4:$U$1800,13,FALSE)</f>
        <v>MOOE</v>
      </c>
      <c r="T1515" s="428" t="str">
        <f>VLOOKUP(H1515,'Fund Utilization Report'!$A$4:$U$1800,2,FALSE)</f>
        <v>GAA</v>
      </c>
      <c r="U1515" s="428" t="str">
        <f>VLOOKUP(H1515,'Fund Utilization Report'!$A$4:$U$1800,3,FALSE)</f>
        <v>FY2021, RA11518</v>
      </c>
      <c r="V1515" s="428" t="str">
        <f>VLOOKUP(H1515,'Fund Utilization Report'!$A$4:$U$1800,4,FALSE)</f>
        <v>OO3</v>
      </c>
      <c r="W1515" s="428" t="str">
        <f>VLOOKUP(H1515,'Fund Utilization Report'!$A$4:$U$1800,5,FALSE)</f>
        <v>01101101</v>
      </c>
      <c r="X1515" s="428" t="str">
        <f>VLOOKUP(H1515,'Fund Utilization Report'!$A$4:$U$1800,6,FALSE)</f>
        <v>GOP</v>
      </c>
      <c r="Y1515" s="320" t="str">
        <f>VLOOKUP(H1515,'Fund Utilization Report'!$A$4:$U$1800,7,FALSE)</f>
        <v>MOOE</v>
      </c>
      <c r="Z1515" s="425">
        <f>VLOOKUP(H1515,'Fund Utilization Report'!$A$4:$U$1800,8,FALSE)</f>
        <v>5020000000</v>
      </c>
      <c r="AA1515" s="428" t="str">
        <f>VLOOKUP(H1515,'Fund Utilization Report'!$A$4:$U$1800,14,FALSE)</f>
        <v>330100100002000</v>
      </c>
      <c r="AB1515" s="349" t="str">
        <f>VLOOKUP(H1515,'Fund Utilization Report'!$A$4:$U$1800,15,FALSE)</f>
        <v>Implementation of the MSME Development Plan and other initiatives to promote the growth of Micro, Small and Medium Enterprises</v>
      </c>
      <c r="AC1515" s="39"/>
      <c r="AD1515" s="34"/>
      <c r="AE1515" s="39"/>
      <c r="AF1515" s="51"/>
      <c r="AG1515" s="442"/>
      <c r="AH1515" s="442"/>
      <c r="AI1515" s="443"/>
    </row>
    <row r="1516" spans="1:35" s="32" customFormat="1" ht="29.25" customHeight="1">
      <c r="A1516" s="434" t="s">
        <v>942</v>
      </c>
      <c r="B1516" s="457" t="s">
        <v>946</v>
      </c>
      <c r="C1516" s="233">
        <v>44280</v>
      </c>
      <c r="D1516" s="435" t="s">
        <v>1267</v>
      </c>
      <c r="E1516" s="436" t="s">
        <v>1557</v>
      </c>
      <c r="F1516" s="338">
        <v>0.43402777777777773</v>
      </c>
      <c r="G1516" s="338">
        <v>0.45</v>
      </c>
      <c r="H1516" s="458" t="s">
        <v>971</v>
      </c>
      <c r="I1516" s="353">
        <v>773</v>
      </c>
      <c r="J1516" s="338" t="str">
        <f>IFERROR(VLOOKUP(I1516,'Chart of accounts'!A:H,2,FALSE),"")</f>
        <v>50205020 01</v>
      </c>
      <c r="K1516" s="338" t="str">
        <f>IFERROR(VLOOKUP(I1516,'Chart of accounts'!A:H,3,FALSE),"")</f>
        <v xml:space="preserve">Telephone Expenses - Mobile </v>
      </c>
      <c r="L1516" s="338" t="str">
        <f>IFERROR(VLOOKUP(I1516,'Chart of accounts'!A:H,4,FALSE),"")</f>
        <v>50205020 01 - Telephone Expenses - Mobile  (773)</v>
      </c>
      <c r="M1516" s="361" t="s">
        <v>1555</v>
      </c>
      <c r="N1516" s="355" t="s">
        <v>820</v>
      </c>
      <c r="O1516" s="355" t="s">
        <v>1556</v>
      </c>
      <c r="P1516" s="355"/>
      <c r="Q1516" s="363">
        <v>10000</v>
      </c>
      <c r="R1516" s="428">
        <f t="shared" si="59"/>
        <v>-10000</v>
      </c>
      <c r="S1516" s="428" t="str">
        <f>VLOOKUP(H1516,'Fund Utilization Report'!$A$4:$U$1800,13,FALSE)</f>
        <v>MOOE</v>
      </c>
      <c r="T1516" s="428" t="str">
        <f>VLOOKUP(H1516,'Fund Utilization Report'!$A$4:$U$1800,2,FALSE)</f>
        <v>GAA</v>
      </c>
      <c r="U1516" s="428" t="str">
        <f>VLOOKUP(H1516,'Fund Utilization Report'!$A$4:$U$1800,3,FALSE)</f>
        <v>FY2021, RA11518</v>
      </c>
      <c r="V1516" s="428" t="str">
        <f>VLOOKUP(H1516,'Fund Utilization Report'!$A$4:$U$1800,4,FALSE)</f>
        <v>OO3</v>
      </c>
      <c r="W1516" s="428" t="str">
        <f>VLOOKUP(H1516,'Fund Utilization Report'!$A$4:$U$1800,5,FALSE)</f>
        <v>01101101</v>
      </c>
      <c r="X1516" s="428" t="str">
        <f>VLOOKUP(H1516,'Fund Utilization Report'!$A$4:$U$1800,6,FALSE)</f>
        <v>GOP</v>
      </c>
      <c r="Y1516" s="320" t="str">
        <f>VLOOKUP(H1516,'Fund Utilization Report'!$A$4:$U$1800,7,FALSE)</f>
        <v>MOOE</v>
      </c>
      <c r="Z1516" s="425">
        <f>VLOOKUP(H1516,'Fund Utilization Report'!$A$4:$U$1800,8,FALSE)</f>
        <v>5020000000</v>
      </c>
      <c r="AA1516" s="428" t="str">
        <f>VLOOKUP(H1516,'Fund Utilization Report'!$A$4:$U$1800,14,FALSE)</f>
        <v>330100100002000</v>
      </c>
      <c r="AB1516" s="349" t="str">
        <f>VLOOKUP(H1516,'Fund Utilization Report'!$A$4:$U$1800,15,FALSE)</f>
        <v>Implementation of the MSME Development Plan and other initiatives to promote the growth of Micro, Small and Medium Enterprises</v>
      </c>
      <c r="AC1516" s="39"/>
      <c r="AD1516" s="34"/>
      <c r="AE1516" s="39"/>
      <c r="AF1516" s="51"/>
      <c r="AG1516" s="442"/>
      <c r="AH1516" s="442"/>
      <c r="AI1516" s="443"/>
    </row>
    <row r="1517" spans="1:35" s="32" customFormat="1" ht="29.25" customHeight="1">
      <c r="A1517" s="434" t="s">
        <v>942</v>
      </c>
      <c r="B1517" s="457" t="s">
        <v>946</v>
      </c>
      <c r="C1517" s="233">
        <v>44280</v>
      </c>
      <c r="D1517" s="435" t="s">
        <v>1267</v>
      </c>
      <c r="E1517" s="436" t="s">
        <v>1557</v>
      </c>
      <c r="F1517" s="338">
        <v>0.43402777777777773</v>
      </c>
      <c r="G1517" s="338">
        <v>0.45</v>
      </c>
      <c r="H1517" s="458" t="s">
        <v>971</v>
      </c>
      <c r="I1517" s="353">
        <v>799</v>
      </c>
      <c r="J1517" s="338" t="str">
        <f>IFERROR(VLOOKUP(I1517,'Chart of accounts'!A:H,2,FALSE),"")</f>
        <v>50211990 00</v>
      </c>
      <c r="K1517" s="338" t="str">
        <f>IFERROR(VLOOKUP(I1517,'Chart of accounts'!A:H,3,FALSE),"")</f>
        <v>Other Professional Services</v>
      </c>
      <c r="L1517" s="338" t="str">
        <f>IFERROR(VLOOKUP(I1517,'Chart of accounts'!A:H,4,FALSE),"")</f>
        <v>50211990 00 - Other Professional Services (799)</v>
      </c>
      <c r="M1517" s="361" t="s">
        <v>1555</v>
      </c>
      <c r="N1517" s="355" t="s">
        <v>820</v>
      </c>
      <c r="O1517" s="355" t="s">
        <v>1556</v>
      </c>
      <c r="P1517" s="355"/>
      <c r="Q1517" s="363">
        <v>120000</v>
      </c>
      <c r="R1517" s="428">
        <f t="shared" si="59"/>
        <v>-120000</v>
      </c>
      <c r="S1517" s="428" t="str">
        <f>VLOOKUP(H1517,'Fund Utilization Report'!$A$4:$U$1800,13,FALSE)</f>
        <v>MOOE</v>
      </c>
      <c r="T1517" s="428" t="str">
        <f>VLOOKUP(H1517,'Fund Utilization Report'!$A$4:$U$1800,2,FALSE)</f>
        <v>GAA</v>
      </c>
      <c r="U1517" s="428" t="str">
        <f>VLOOKUP(H1517,'Fund Utilization Report'!$A$4:$U$1800,3,FALSE)</f>
        <v>FY2021, RA11518</v>
      </c>
      <c r="V1517" s="428" t="str">
        <f>VLOOKUP(H1517,'Fund Utilization Report'!$A$4:$U$1800,4,FALSE)</f>
        <v>OO3</v>
      </c>
      <c r="W1517" s="428" t="str">
        <f>VLOOKUP(H1517,'Fund Utilization Report'!$A$4:$U$1800,5,FALSE)</f>
        <v>01101101</v>
      </c>
      <c r="X1517" s="428" t="str">
        <f>VLOOKUP(H1517,'Fund Utilization Report'!$A$4:$U$1800,6,FALSE)</f>
        <v>GOP</v>
      </c>
      <c r="Y1517" s="320" t="str">
        <f>VLOOKUP(H1517,'Fund Utilization Report'!$A$4:$U$1800,7,FALSE)</f>
        <v>MOOE</v>
      </c>
      <c r="Z1517" s="425">
        <f>VLOOKUP(H1517,'Fund Utilization Report'!$A$4:$U$1800,8,FALSE)</f>
        <v>5020000000</v>
      </c>
      <c r="AA1517" s="428" t="str">
        <f>VLOOKUP(H1517,'Fund Utilization Report'!$A$4:$U$1800,14,FALSE)</f>
        <v>330100100002000</v>
      </c>
      <c r="AB1517" s="349" t="str">
        <f>VLOOKUP(H1517,'Fund Utilization Report'!$A$4:$U$1800,15,FALSE)</f>
        <v>Implementation of the MSME Development Plan and other initiatives to promote the growth of Micro, Small and Medium Enterprises</v>
      </c>
      <c r="AC1517" s="39"/>
      <c r="AD1517" s="34"/>
      <c r="AE1517" s="39"/>
      <c r="AF1517" s="51"/>
      <c r="AG1517" s="442"/>
      <c r="AH1517" s="442"/>
      <c r="AI1517" s="443"/>
    </row>
    <row r="1518" spans="1:35" s="32" customFormat="1" ht="29.25" customHeight="1">
      <c r="A1518" s="434" t="s">
        <v>942</v>
      </c>
      <c r="B1518" s="457" t="s">
        <v>946</v>
      </c>
      <c r="C1518" s="233">
        <v>44280</v>
      </c>
      <c r="D1518" s="435" t="s">
        <v>1267</v>
      </c>
      <c r="E1518" s="436" t="s">
        <v>1557</v>
      </c>
      <c r="F1518" s="338">
        <v>0.43402777777777773</v>
      </c>
      <c r="G1518" s="338">
        <v>0.45</v>
      </c>
      <c r="H1518" s="458" t="s">
        <v>971</v>
      </c>
      <c r="I1518" s="353">
        <v>783</v>
      </c>
      <c r="J1518" s="338" t="str">
        <f>IFERROR(VLOOKUP(I1518,'Chart of accounts'!A:H,2,FALSE),"")</f>
        <v>50299030 00</v>
      </c>
      <c r="K1518" s="338" t="str">
        <f>IFERROR(VLOOKUP(I1518,'Chart of accounts'!A:H,3,FALSE),"")</f>
        <v>Representation Expenses</v>
      </c>
      <c r="L1518" s="338" t="str">
        <f>IFERROR(VLOOKUP(I1518,'Chart of accounts'!A:H,4,FALSE),"")</f>
        <v>50299030 00 - Representation Expenses (783)</v>
      </c>
      <c r="M1518" s="361" t="s">
        <v>1555</v>
      </c>
      <c r="N1518" s="355" t="s">
        <v>820</v>
      </c>
      <c r="O1518" s="355" t="s">
        <v>1556</v>
      </c>
      <c r="P1518" s="355"/>
      <c r="Q1518" s="363">
        <v>140000</v>
      </c>
      <c r="R1518" s="428">
        <f t="shared" si="59"/>
        <v>-140000</v>
      </c>
      <c r="S1518" s="428" t="str">
        <f>VLOOKUP(H1518,'Fund Utilization Report'!$A$4:$U$1800,13,FALSE)</f>
        <v>MOOE</v>
      </c>
      <c r="T1518" s="428" t="str">
        <f>VLOOKUP(H1518,'Fund Utilization Report'!$A$4:$U$1800,2,FALSE)</f>
        <v>GAA</v>
      </c>
      <c r="U1518" s="428" t="str">
        <f>VLOOKUP(H1518,'Fund Utilization Report'!$A$4:$U$1800,3,FALSE)</f>
        <v>FY2021, RA11518</v>
      </c>
      <c r="V1518" s="428" t="str">
        <f>VLOOKUP(H1518,'Fund Utilization Report'!$A$4:$U$1800,4,FALSE)</f>
        <v>OO3</v>
      </c>
      <c r="W1518" s="428" t="str">
        <f>VLOOKUP(H1518,'Fund Utilization Report'!$A$4:$U$1800,5,FALSE)</f>
        <v>01101101</v>
      </c>
      <c r="X1518" s="428" t="str">
        <f>VLOOKUP(H1518,'Fund Utilization Report'!$A$4:$U$1800,6,FALSE)</f>
        <v>GOP</v>
      </c>
      <c r="Y1518" s="320" t="str">
        <f>VLOOKUP(H1518,'Fund Utilization Report'!$A$4:$U$1800,7,FALSE)</f>
        <v>MOOE</v>
      </c>
      <c r="Z1518" s="425">
        <f>VLOOKUP(H1518,'Fund Utilization Report'!$A$4:$U$1800,8,FALSE)</f>
        <v>5020000000</v>
      </c>
      <c r="AA1518" s="428" t="str">
        <f>VLOOKUP(H1518,'Fund Utilization Report'!$A$4:$U$1800,14,FALSE)</f>
        <v>330100100002000</v>
      </c>
      <c r="AB1518" s="349" t="str">
        <f>VLOOKUP(H1518,'Fund Utilization Report'!$A$4:$U$1800,15,FALSE)</f>
        <v>Implementation of the MSME Development Plan and other initiatives to promote the growth of Micro, Small and Medium Enterprises</v>
      </c>
      <c r="AC1518" s="39"/>
      <c r="AD1518" s="34"/>
      <c r="AE1518" s="39"/>
      <c r="AF1518" s="51"/>
      <c r="AG1518" s="442"/>
      <c r="AH1518" s="442"/>
      <c r="AI1518" s="443"/>
    </row>
    <row r="1519" spans="1:35" s="32" customFormat="1" ht="29.25" customHeight="1">
      <c r="A1519" s="434" t="s">
        <v>942</v>
      </c>
      <c r="B1519" s="457" t="s">
        <v>946</v>
      </c>
      <c r="C1519" s="233">
        <v>44280</v>
      </c>
      <c r="D1519" s="435" t="s">
        <v>1267</v>
      </c>
      <c r="E1519" s="436" t="s">
        <v>1557</v>
      </c>
      <c r="F1519" s="338">
        <v>0.43402777777777773</v>
      </c>
      <c r="G1519" s="338">
        <v>0.45</v>
      </c>
      <c r="H1519" s="458" t="s">
        <v>971</v>
      </c>
      <c r="I1519" s="353">
        <v>795</v>
      </c>
      <c r="J1519" s="338" t="str">
        <f>IFERROR(VLOOKUP(I1519,'Chart of accounts'!A:H,2,FALSE),"")</f>
        <v>50212990 00</v>
      </c>
      <c r="K1519" s="338" t="str">
        <f>IFERROR(VLOOKUP(I1519,'Chart of accounts'!A:H,3,FALSE),"")</f>
        <v>Other General Services</v>
      </c>
      <c r="L1519" s="338" t="str">
        <f>IFERROR(VLOOKUP(I1519,'Chart of accounts'!A:H,4,FALSE),"")</f>
        <v>50212990 00 - Other General Services (795)</v>
      </c>
      <c r="M1519" s="361" t="s">
        <v>1555</v>
      </c>
      <c r="N1519" s="355" t="s">
        <v>820</v>
      </c>
      <c r="O1519" s="355" t="s">
        <v>1556</v>
      </c>
      <c r="P1519" s="355"/>
      <c r="Q1519" s="363">
        <v>60000</v>
      </c>
      <c r="R1519" s="428">
        <f t="shared" si="59"/>
        <v>-60000</v>
      </c>
      <c r="S1519" s="428" t="str">
        <f>VLOOKUP(H1519,'Fund Utilization Report'!$A$4:$U$1800,13,FALSE)</f>
        <v>MOOE</v>
      </c>
      <c r="T1519" s="428" t="str">
        <f>VLOOKUP(H1519,'Fund Utilization Report'!$A$4:$U$1800,2,FALSE)</f>
        <v>GAA</v>
      </c>
      <c r="U1519" s="428" t="str">
        <f>VLOOKUP(H1519,'Fund Utilization Report'!$A$4:$U$1800,3,FALSE)</f>
        <v>FY2021, RA11518</v>
      </c>
      <c r="V1519" s="428" t="str">
        <f>VLOOKUP(H1519,'Fund Utilization Report'!$A$4:$U$1800,4,FALSE)</f>
        <v>OO3</v>
      </c>
      <c r="W1519" s="428" t="str">
        <f>VLOOKUP(H1519,'Fund Utilization Report'!$A$4:$U$1800,5,FALSE)</f>
        <v>01101101</v>
      </c>
      <c r="X1519" s="428" t="str">
        <f>VLOOKUP(H1519,'Fund Utilization Report'!$A$4:$U$1800,6,FALSE)</f>
        <v>GOP</v>
      </c>
      <c r="Y1519" s="320" t="str">
        <f>VLOOKUP(H1519,'Fund Utilization Report'!$A$4:$U$1800,7,FALSE)</f>
        <v>MOOE</v>
      </c>
      <c r="Z1519" s="425">
        <f>VLOOKUP(H1519,'Fund Utilization Report'!$A$4:$U$1800,8,FALSE)</f>
        <v>5020000000</v>
      </c>
      <c r="AA1519" s="428" t="str">
        <f>VLOOKUP(H1519,'Fund Utilization Report'!$A$4:$U$1800,14,FALSE)</f>
        <v>330100100002000</v>
      </c>
      <c r="AB1519" s="349" t="str">
        <f>VLOOKUP(H1519,'Fund Utilization Report'!$A$4:$U$1800,15,FALSE)</f>
        <v>Implementation of the MSME Development Plan and other initiatives to promote the growth of Micro, Small and Medium Enterprises</v>
      </c>
      <c r="AC1519" s="39"/>
      <c r="AD1519" s="34"/>
      <c r="AE1519" s="39"/>
      <c r="AF1519" s="51"/>
      <c r="AG1519" s="442"/>
      <c r="AH1519" s="442"/>
      <c r="AI1519" s="443"/>
    </row>
    <row r="1520" spans="1:35" s="32" customFormat="1" ht="29.25" customHeight="1">
      <c r="A1520" s="434" t="s">
        <v>942</v>
      </c>
      <c r="B1520" s="457" t="s">
        <v>946</v>
      </c>
      <c r="C1520" s="233">
        <v>44280</v>
      </c>
      <c r="D1520" s="435" t="s">
        <v>1267</v>
      </c>
      <c r="E1520" s="436" t="s">
        <v>1557</v>
      </c>
      <c r="F1520" s="338">
        <v>0.43402777777777773</v>
      </c>
      <c r="G1520" s="338">
        <v>0.45</v>
      </c>
      <c r="H1520" s="458" t="s">
        <v>971</v>
      </c>
      <c r="I1520" s="353">
        <v>796</v>
      </c>
      <c r="J1520" s="338" t="str">
        <f>IFERROR(VLOOKUP(I1520,'Chart of accounts'!A:H,2,FALSE),"")</f>
        <v>50212020 00</v>
      </c>
      <c r="K1520" s="338" t="str">
        <f>IFERROR(VLOOKUP(I1520,'Chart of accounts'!A:H,3,FALSE),"")</f>
        <v>Janitorial Services</v>
      </c>
      <c r="L1520" s="338" t="str">
        <f>IFERROR(VLOOKUP(I1520,'Chart of accounts'!A:H,4,FALSE),"")</f>
        <v>50212020 00 - Janitorial Services (796)</v>
      </c>
      <c r="M1520" s="361" t="s">
        <v>1555</v>
      </c>
      <c r="N1520" s="355" t="s">
        <v>820</v>
      </c>
      <c r="O1520" s="355" t="s">
        <v>1556</v>
      </c>
      <c r="P1520" s="355"/>
      <c r="Q1520" s="363">
        <v>4000</v>
      </c>
      <c r="R1520" s="428">
        <f t="shared" si="59"/>
        <v>-4000</v>
      </c>
      <c r="S1520" s="428" t="str">
        <f>VLOOKUP(H1520,'Fund Utilization Report'!$A$4:$U$1800,13,FALSE)</f>
        <v>MOOE</v>
      </c>
      <c r="T1520" s="428" t="str">
        <f>VLOOKUP(H1520,'Fund Utilization Report'!$A$4:$U$1800,2,FALSE)</f>
        <v>GAA</v>
      </c>
      <c r="U1520" s="428" t="str">
        <f>VLOOKUP(H1520,'Fund Utilization Report'!$A$4:$U$1800,3,FALSE)</f>
        <v>FY2021, RA11518</v>
      </c>
      <c r="V1520" s="428" t="str">
        <f>VLOOKUP(H1520,'Fund Utilization Report'!$A$4:$U$1800,4,FALSE)</f>
        <v>OO3</v>
      </c>
      <c r="W1520" s="428" t="str">
        <f>VLOOKUP(H1520,'Fund Utilization Report'!$A$4:$U$1800,5,FALSE)</f>
        <v>01101101</v>
      </c>
      <c r="X1520" s="428" t="str">
        <f>VLOOKUP(H1520,'Fund Utilization Report'!$A$4:$U$1800,6,FALSE)</f>
        <v>GOP</v>
      </c>
      <c r="Y1520" s="320" t="str">
        <f>VLOOKUP(H1520,'Fund Utilization Report'!$A$4:$U$1800,7,FALSE)</f>
        <v>MOOE</v>
      </c>
      <c r="Z1520" s="425">
        <f>VLOOKUP(H1520,'Fund Utilization Report'!$A$4:$U$1800,8,FALSE)</f>
        <v>5020000000</v>
      </c>
      <c r="AA1520" s="428" t="str">
        <f>VLOOKUP(H1520,'Fund Utilization Report'!$A$4:$U$1800,14,FALSE)</f>
        <v>330100100002000</v>
      </c>
      <c r="AB1520" s="349" t="str">
        <f>VLOOKUP(H1520,'Fund Utilization Report'!$A$4:$U$1800,15,FALSE)</f>
        <v>Implementation of the MSME Development Plan and other initiatives to promote the growth of Micro, Small and Medium Enterprises</v>
      </c>
      <c r="AC1520" s="39"/>
      <c r="AD1520" s="34"/>
      <c r="AE1520" s="39"/>
      <c r="AF1520" s="51"/>
      <c r="AG1520" s="442"/>
      <c r="AH1520" s="442"/>
      <c r="AI1520" s="443"/>
    </row>
    <row r="1521" spans="1:35" s="32" customFormat="1" ht="29.25" customHeight="1">
      <c r="A1521" s="434" t="s">
        <v>942</v>
      </c>
      <c r="B1521" s="457" t="s">
        <v>946</v>
      </c>
      <c r="C1521" s="233">
        <v>44280</v>
      </c>
      <c r="D1521" s="435" t="s">
        <v>1267</v>
      </c>
      <c r="E1521" s="436" t="s">
        <v>1558</v>
      </c>
      <c r="F1521" s="338">
        <v>0.45</v>
      </c>
      <c r="G1521" s="338">
        <v>0.4513888888888889</v>
      </c>
      <c r="H1521" s="458" t="s">
        <v>971</v>
      </c>
      <c r="I1521" s="353">
        <v>751</v>
      </c>
      <c r="J1521" s="338" t="str">
        <f>IFERROR(VLOOKUP(I1521,'Chart of accounts'!A:H,2,FALSE),"")</f>
        <v>50201010 00</v>
      </c>
      <c r="K1521" s="338" t="str">
        <f>IFERROR(VLOOKUP(I1521,'Chart of accounts'!A:H,3,FALSE),"")</f>
        <v>Traveling Expenses - Local</v>
      </c>
      <c r="L1521" s="338" t="str">
        <f>IFERROR(VLOOKUP(I1521,'Chart of accounts'!A:H,4,FALSE),"")</f>
        <v>50201010 00 - Traveling Expenses - Local (751)</v>
      </c>
      <c r="M1521" s="361" t="s">
        <v>1555</v>
      </c>
      <c r="N1521" s="355" t="s">
        <v>1539</v>
      </c>
      <c r="O1521" s="355" t="s">
        <v>1556</v>
      </c>
      <c r="P1521" s="355"/>
      <c r="Q1521" s="363">
        <v>200000</v>
      </c>
      <c r="R1521" s="428">
        <f>P1521-Q1521</f>
        <v>-200000</v>
      </c>
      <c r="S1521" s="428" t="str">
        <f>VLOOKUP(H1521,'Fund Utilization Report'!$A$4:$U$1800,13,FALSE)</f>
        <v>MOOE</v>
      </c>
      <c r="T1521" s="428" t="str">
        <f>VLOOKUP(H1521,'Fund Utilization Report'!$A$4:$U$1800,2,FALSE)</f>
        <v>GAA</v>
      </c>
      <c r="U1521" s="428" t="str">
        <f>VLOOKUP(H1521,'Fund Utilization Report'!$A$4:$U$1800,3,FALSE)</f>
        <v>FY2021, RA11518</v>
      </c>
      <c r="V1521" s="428" t="str">
        <f>VLOOKUP(H1521,'Fund Utilization Report'!$A$4:$U$1800,4,FALSE)</f>
        <v>OO3</v>
      </c>
      <c r="W1521" s="428" t="str">
        <f>VLOOKUP(H1521,'Fund Utilization Report'!$A$4:$U$1800,5,FALSE)</f>
        <v>01101101</v>
      </c>
      <c r="X1521" s="428" t="str">
        <f>VLOOKUP(H1521,'Fund Utilization Report'!$A$4:$U$1800,6,FALSE)</f>
        <v>GOP</v>
      </c>
      <c r="Y1521" s="320" t="str">
        <f>VLOOKUP(H1521,'Fund Utilization Report'!$A$4:$U$1800,7,FALSE)</f>
        <v>MOOE</v>
      </c>
      <c r="Z1521" s="425">
        <f>VLOOKUP(H1521,'Fund Utilization Report'!$A$4:$U$1800,8,FALSE)</f>
        <v>5020000000</v>
      </c>
      <c r="AA1521" s="428" t="str">
        <f>VLOOKUP(H1521,'Fund Utilization Report'!$A$4:$U$1800,14,FALSE)</f>
        <v>330100100002000</v>
      </c>
      <c r="AB1521" s="349" t="str">
        <f>VLOOKUP(H1521,'Fund Utilization Report'!$A$4:$U$1800,15,FALSE)</f>
        <v>Implementation of the MSME Development Plan and other initiatives to promote the growth of Micro, Small and Medium Enterprises</v>
      </c>
      <c r="AC1521" s="39"/>
      <c r="AD1521" s="34"/>
      <c r="AE1521" s="39"/>
      <c r="AF1521" s="51"/>
      <c r="AG1521" s="442"/>
      <c r="AH1521" s="442"/>
      <c r="AI1521" s="443"/>
    </row>
    <row r="1522" spans="1:35" s="32" customFormat="1" ht="29.25" customHeight="1">
      <c r="A1522" s="434" t="s">
        <v>942</v>
      </c>
      <c r="B1522" s="457" t="s">
        <v>946</v>
      </c>
      <c r="C1522" s="233">
        <v>44280</v>
      </c>
      <c r="D1522" s="435" t="s">
        <v>1267</v>
      </c>
      <c r="E1522" s="436" t="s">
        <v>1558</v>
      </c>
      <c r="F1522" s="338">
        <v>0.45</v>
      </c>
      <c r="G1522" s="338">
        <v>0.4513888888888889</v>
      </c>
      <c r="H1522" s="458" t="s">
        <v>971</v>
      </c>
      <c r="I1522" s="353">
        <v>755</v>
      </c>
      <c r="J1522" s="338" t="str">
        <f>IFERROR(VLOOKUP(I1522,'Chart of accounts'!A:H,2,FALSE),"")</f>
        <v>50203010 00</v>
      </c>
      <c r="K1522" s="338" t="str">
        <f>IFERROR(VLOOKUP(I1522,'Chart of accounts'!A:H,3,FALSE),"")</f>
        <v>Office Supplies Expenses</v>
      </c>
      <c r="L1522" s="338" t="str">
        <f>IFERROR(VLOOKUP(I1522,'Chart of accounts'!A:H,4,FALSE),"")</f>
        <v>50203010 00 - Office Supplies Expenses (755)</v>
      </c>
      <c r="M1522" s="361" t="s">
        <v>1555</v>
      </c>
      <c r="N1522" s="355" t="s">
        <v>1539</v>
      </c>
      <c r="O1522" s="355" t="s">
        <v>1556</v>
      </c>
      <c r="P1522" s="355"/>
      <c r="Q1522" s="363">
        <v>20000</v>
      </c>
      <c r="R1522" s="428">
        <f>P1522-Q1522</f>
        <v>-20000</v>
      </c>
      <c r="S1522" s="428" t="str">
        <f>VLOOKUP(H1522,'Fund Utilization Report'!$A$4:$U$1800,13,FALSE)</f>
        <v>MOOE</v>
      </c>
      <c r="T1522" s="428" t="str">
        <f>VLOOKUP(H1522,'Fund Utilization Report'!$A$4:$U$1800,2,FALSE)</f>
        <v>GAA</v>
      </c>
      <c r="U1522" s="428" t="str">
        <f>VLOOKUP(H1522,'Fund Utilization Report'!$A$4:$U$1800,3,FALSE)</f>
        <v>FY2021, RA11518</v>
      </c>
      <c r="V1522" s="428" t="str">
        <f>VLOOKUP(H1522,'Fund Utilization Report'!$A$4:$U$1800,4,FALSE)</f>
        <v>OO3</v>
      </c>
      <c r="W1522" s="428" t="str">
        <f>VLOOKUP(H1522,'Fund Utilization Report'!$A$4:$U$1800,5,FALSE)</f>
        <v>01101101</v>
      </c>
      <c r="X1522" s="428" t="str">
        <f>VLOOKUP(H1522,'Fund Utilization Report'!$A$4:$U$1800,6,FALSE)</f>
        <v>GOP</v>
      </c>
      <c r="Y1522" s="320" t="str">
        <f>VLOOKUP(H1522,'Fund Utilization Report'!$A$4:$U$1800,7,FALSE)</f>
        <v>MOOE</v>
      </c>
      <c r="Z1522" s="425">
        <f>VLOOKUP(H1522,'Fund Utilization Report'!$A$4:$U$1800,8,FALSE)</f>
        <v>5020000000</v>
      </c>
      <c r="AA1522" s="428" t="str">
        <f>VLOOKUP(H1522,'Fund Utilization Report'!$A$4:$U$1800,14,FALSE)</f>
        <v>330100100002000</v>
      </c>
      <c r="AB1522" s="349" t="str">
        <f>VLOOKUP(H1522,'Fund Utilization Report'!$A$4:$U$1800,15,FALSE)</f>
        <v>Implementation of the MSME Development Plan and other initiatives to promote the growth of Micro, Small and Medium Enterprises</v>
      </c>
      <c r="AC1522" s="39"/>
      <c r="AD1522" s="34"/>
      <c r="AE1522" s="39"/>
      <c r="AF1522" s="51"/>
      <c r="AG1522" s="442"/>
      <c r="AH1522" s="442"/>
      <c r="AI1522" s="443"/>
    </row>
    <row r="1523" spans="1:35" s="32" customFormat="1" ht="29.25" customHeight="1">
      <c r="A1523" s="434" t="s">
        <v>942</v>
      </c>
      <c r="B1523" s="457" t="s">
        <v>946</v>
      </c>
      <c r="C1523" s="233">
        <v>44280</v>
      </c>
      <c r="D1523" s="435" t="s">
        <v>1267</v>
      </c>
      <c r="E1523" s="436" t="s">
        <v>1558</v>
      </c>
      <c r="F1523" s="338">
        <v>0.45</v>
      </c>
      <c r="G1523" s="338">
        <v>0.4513888888888889</v>
      </c>
      <c r="H1523" s="458" t="s">
        <v>971</v>
      </c>
      <c r="I1523" s="353">
        <v>771</v>
      </c>
      <c r="J1523" s="338" t="str">
        <f>IFERROR(VLOOKUP(I1523,'Chart of accounts'!A:H,2,FALSE),"")</f>
        <v>50205010 00</v>
      </c>
      <c r="K1523" s="338" t="str">
        <f>IFERROR(VLOOKUP(I1523,'Chart of accounts'!A:H,3,FALSE),"")</f>
        <v>Postage and Courier Services</v>
      </c>
      <c r="L1523" s="338" t="str">
        <f>IFERROR(VLOOKUP(I1523,'Chart of accounts'!A:H,4,FALSE),"")</f>
        <v>50205010 00 - Postage and Courier Services (771)</v>
      </c>
      <c r="M1523" s="361" t="s">
        <v>1555</v>
      </c>
      <c r="N1523" s="355" t="s">
        <v>1539</v>
      </c>
      <c r="O1523" s="355" t="s">
        <v>1556</v>
      </c>
      <c r="P1523" s="355"/>
      <c r="Q1523" s="363">
        <v>6000</v>
      </c>
      <c r="R1523" s="428">
        <f t="shared" ref="R1523:R1533" si="60">P1523-Q1523</f>
        <v>-6000</v>
      </c>
      <c r="S1523" s="428" t="str">
        <f>VLOOKUP(H1523,'Fund Utilization Report'!$A$4:$U$1800,13,FALSE)</f>
        <v>MOOE</v>
      </c>
      <c r="T1523" s="428" t="str">
        <f>VLOOKUP(H1523,'Fund Utilization Report'!$A$4:$U$1800,2,FALSE)</f>
        <v>GAA</v>
      </c>
      <c r="U1523" s="428" t="str">
        <f>VLOOKUP(H1523,'Fund Utilization Report'!$A$4:$U$1800,3,FALSE)</f>
        <v>FY2021, RA11518</v>
      </c>
      <c r="V1523" s="428" t="str">
        <f>VLOOKUP(H1523,'Fund Utilization Report'!$A$4:$U$1800,4,FALSE)</f>
        <v>OO3</v>
      </c>
      <c r="W1523" s="428" t="str">
        <f>VLOOKUP(H1523,'Fund Utilization Report'!$A$4:$U$1800,5,FALSE)</f>
        <v>01101101</v>
      </c>
      <c r="X1523" s="428" t="str">
        <f>VLOOKUP(H1523,'Fund Utilization Report'!$A$4:$U$1800,6,FALSE)</f>
        <v>GOP</v>
      </c>
      <c r="Y1523" s="320" t="str">
        <f>VLOOKUP(H1523,'Fund Utilization Report'!$A$4:$U$1800,7,FALSE)</f>
        <v>MOOE</v>
      </c>
      <c r="Z1523" s="425">
        <f>VLOOKUP(H1523,'Fund Utilization Report'!$A$4:$U$1800,8,FALSE)</f>
        <v>5020000000</v>
      </c>
      <c r="AA1523" s="428" t="str">
        <f>VLOOKUP(H1523,'Fund Utilization Report'!$A$4:$U$1800,14,FALSE)</f>
        <v>330100100002000</v>
      </c>
      <c r="AB1523" s="349" t="str">
        <f>VLOOKUP(H1523,'Fund Utilization Report'!$A$4:$U$1800,15,FALSE)</f>
        <v>Implementation of the MSME Development Plan and other initiatives to promote the growth of Micro, Small and Medium Enterprises</v>
      </c>
      <c r="AC1523" s="39"/>
      <c r="AD1523" s="34"/>
      <c r="AE1523" s="39"/>
      <c r="AF1523" s="51"/>
      <c r="AG1523" s="442"/>
      <c r="AH1523" s="442"/>
      <c r="AI1523" s="443"/>
    </row>
    <row r="1524" spans="1:35" s="32" customFormat="1" ht="29.25" customHeight="1">
      <c r="A1524" s="434" t="s">
        <v>942</v>
      </c>
      <c r="B1524" s="457" t="s">
        <v>946</v>
      </c>
      <c r="C1524" s="233">
        <v>44280</v>
      </c>
      <c r="D1524" s="435" t="s">
        <v>1267</v>
      </c>
      <c r="E1524" s="436" t="s">
        <v>1558</v>
      </c>
      <c r="F1524" s="338">
        <v>0.45</v>
      </c>
      <c r="G1524" s="338">
        <v>0.4513888888888889</v>
      </c>
      <c r="H1524" s="458" t="s">
        <v>971</v>
      </c>
      <c r="I1524" s="353">
        <v>773</v>
      </c>
      <c r="J1524" s="338" t="str">
        <f>IFERROR(VLOOKUP(I1524,'Chart of accounts'!A:H,2,FALSE),"")</f>
        <v>50205020 01</v>
      </c>
      <c r="K1524" s="338" t="str">
        <f>IFERROR(VLOOKUP(I1524,'Chart of accounts'!A:H,3,FALSE),"")</f>
        <v xml:space="preserve">Telephone Expenses - Mobile </v>
      </c>
      <c r="L1524" s="338" t="str">
        <f>IFERROR(VLOOKUP(I1524,'Chart of accounts'!A:H,4,FALSE),"")</f>
        <v>50205020 01 - Telephone Expenses - Mobile  (773)</v>
      </c>
      <c r="M1524" s="361" t="s">
        <v>1555</v>
      </c>
      <c r="N1524" s="355" t="s">
        <v>1539</v>
      </c>
      <c r="O1524" s="355" t="s">
        <v>1556</v>
      </c>
      <c r="P1524" s="355"/>
      <c r="Q1524" s="363">
        <v>10000</v>
      </c>
      <c r="R1524" s="428">
        <f t="shared" si="60"/>
        <v>-10000</v>
      </c>
      <c r="S1524" s="428" t="str">
        <f>VLOOKUP(H1524,'Fund Utilization Report'!$A$4:$U$1800,13,FALSE)</f>
        <v>MOOE</v>
      </c>
      <c r="T1524" s="428" t="str">
        <f>VLOOKUP(H1524,'Fund Utilization Report'!$A$4:$U$1800,2,FALSE)</f>
        <v>GAA</v>
      </c>
      <c r="U1524" s="428" t="str">
        <f>VLOOKUP(H1524,'Fund Utilization Report'!$A$4:$U$1800,3,FALSE)</f>
        <v>FY2021, RA11518</v>
      </c>
      <c r="V1524" s="428" t="str">
        <f>VLOOKUP(H1524,'Fund Utilization Report'!$A$4:$U$1800,4,FALSE)</f>
        <v>OO3</v>
      </c>
      <c r="W1524" s="428" t="str">
        <f>VLOOKUP(H1524,'Fund Utilization Report'!$A$4:$U$1800,5,FALSE)</f>
        <v>01101101</v>
      </c>
      <c r="X1524" s="428" t="str">
        <f>VLOOKUP(H1524,'Fund Utilization Report'!$A$4:$U$1800,6,FALSE)</f>
        <v>GOP</v>
      </c>
      <c r="Y1524" s="320" t="str">
        <f>VLOOKUP(H1524,'Fund Utilization Report'!$A$4:$U$1800,7,FALSE)</f>
        <v>MOOE</v>
      </c>
      <c r="Z1524" s="425">
        <f>VLOOKUP(H1524,'Fund Utilization Report'!$A$4:$U$1800,8,FALSE)</f>
        <v>5020000000</v>
      </c>
      <c r="AA1524" s="428" t="str">
        <f>VLOOKUP(H1524,'Fund Utilization Report'!$A$4:$U$1800,14,FALSE)</f>
        <v>330100100002000</v>
      </c>
      <c r="AB1524" s="349" t="str">
        <f>VLOOKUP(H1524,'Fund Utilization Report'!$A$4:$U$1800,15,FALSE)</f>
        <v>Implementation of the MSME Development Plan and other initiatives to promote the growth of Micro, Small and Medium Enterprises</v>
      </c>
      <c r="AC1524" s="39"/>
      <c r="AD1524" s="34"/>
      <c r="AE1524" s="39"/>
      <c r="AF1524" s="51"/>
      <c r="AG1524" s="442"/>
      <c r="AH1524" s="442"/>
      <c r="AI1524" s="443"/>
    </row>
    <row r="1525" spans="1:35" s="32" customFormat="1" ht="29.25" customHeight="1">
      <c r="A1525" s="434" t="s">
        <v>942</v>
      </c>
      <c r="B1525" s="457" t="s">
        <v>946</v>
      </c>
      <c r="C1525" s="233">
        <v>44280</v>
      </c>
      <c r="D1525" s="435" t="s">
        <v>1267</v>
      </c>
      <c r="E1525" s="436" t="s">
        <v>1558</v>
      </c>
      <c r="F1525" s="338">
        <v>0.45</v>
      </c>
      <c r="G1525" s="338">
        <v>0.4513888888888889</v>
      </c>
      <c r="H1525" s="458" t="s">
        <v>971</v>
      </c>
      <c r="I1525" s="353">
        <v>799</v>
      </c>
      <c r="J1525" s="338" t="str">
        <f>IFERROR(VLOOKUP(I1525,'Chart of accounts'!A:H,2,FALSE),"")</f>
        <v>50211990 00</v>
      </c>
      <c r="K1525" s="338" t="str">
        <f>IFERROR(VLOOKUP(I1525,'Chart of accounts'!A:H,3,FALSE),"")</f>
        <v>Other Professional Services</v>
      </c>
      <c r="L1525" s="338" t="str">
        <f>IFERROR(VLOOKUP(I1525,'Chart of accounts'!A:H,4,FALSE),"")</f>
        <v>50211990 00 - Other Professional Services (799)</v>
      </c>
      <c r="M1525" s="361" t="s">
        <v>1555</v>
      </c>
      <c r="N1525" s="355" t="s">
        <v>1539</v>
      </c>
      <c r="O1525" s="355" t="s">
        <v>1556</v>
      </c>
      <c r="P1525" s="355"/>
      <c r="Q1525" s="363">
        <v>120000</v>
      </c>
      <c r="R1525" s="428">
        <f t="shared" si="60"/>
        <v>-120000</v>
      </c>
      <c r="S1525" s="428" t="str">
        <f>VLOOKUP(H1525,'Fund Utilization Report'!$A$4:$U$1800,13,FALSE)</f>
        <v>MOOE</v>
      </c>
      <c r="T1525" s="428" t="str">
        <f>VLOOKUP(H1525,'Fund Utilization Report'!$A$4:$U$1800,2,FALSE)</f>
        <v>GAA</v>
      </c>
      <c r="U1525" s="428" t="str">
        <f>VLOOKUP(H1525,'Fund Utilization Report'!$A$4:$U$1800,3,FALSE)</f>
        <v>FY2021, RA11518</v>
      </c>
      <c r="V1525" s="428" t="str">
        <f>VLOOKUP(H1525,'Fund Utilization Report'!$A$4:$U$1800,4,FALSE)</f>
        <v>OO3</v>
      </c>
      <c r="W1525" s="428" t="str">
        <f>VLOOKUP(H1525,'Fund Utilization Report'!$A$4:$U$1800,5,FALSE)</f>
        <v>01101101</v>
      </c>
      <c r="X1525" s="428" t="str">
        <f>VLOOKUP(H1525,'Fund Utilization Report'!$A$4:$U$1800,6,FALSE)</f>
        <v>GOP</v>
      </c>
      <c r="Y1525" s="320" t="str">
        <f>VLOOKUP(H1525,'Fund Utilization Report'!$A$4:$U$1800,7,FALSE)</f>
        <v>MOOE</v>
      </c>
      <c r="Z1525" s="425">
        <f>VLOOKUP(H1525,'Fund Utilization Report'!$A$4:$U$1800,8,FALSE)</f>
        <v>5020000000</v>
      </c>
      <c r="AA1525" s="428" t="str">
        <f>VLOOKUP(H1525,'Fund Utilization Report'!$A$4:$U$1800,14,FALSE)</f>
        <v>330100100002000</v>
      </c>
      <c r="AB1525" s="349" t="str">
        <f>VLOOKUP(H1525,'Fund Utilization Report'!$A$4:$U$1800,15,FALSE)</f>
        <v>Implementation of the MSME Development Plan and other initiatives to promote the growth of Micro, Small and Medium Enterprises</v>
      </c>
      <c r="AC1525" s="39"/>
      <c r="AD1525" s="34"/>
      <c r="AE1525" s="39"/>
      <c r="AF1525" s="51"/>
      <c r="AG1525" s="442"/>
      <c r="AH1525" s="442"/>
      <c r="AI1525" s="443"/>
    </row>
    <row r="1526" spans="1:35" s="32" customFormat="1" ht="29.25" customHeight="1">
      <c r="A1526" s="434" t="s">
        <v>942</v>
      </c>
      <c r="B1526" s="457" t="s">
        <v>946</v>
      </c>
      <c r="C1526" s="233">
        <v>44280</v>
      </c>
      <c r="D1526" s="435" t="s">
        <v>1267</v>
      </c>
      <c r="E1526" s="436" t="s">
        <v>1558</v>
      </c>
      <c r="F1526" s="338">
        <v>0.45</v>
      </c>
      <c r="G1526" s="338">
        <v>0.4513888888888889</v>
      </c>
      <c r="H1526" s="458" t="s">
        <v>971</v>
      </c>
      <c r="I1526" s="353">
        <v>783</v>
      </c>
      <c r="J1526" s="338" t="str">
        <f>IFERROR(VLOOKUP(I1526,'Chart of accounts'!A:H,2,FALSE),"")</f>
        <v>50299030 00</v>
      </c>
      <c r="K1526" s="338" t="str">
        <f>IFERROR(VLOOKUP(I1526,'Chart of accounts'!A:H,3,FALSE),"")</f>
        <v>Representation Expenses</v>
      </c>
      <c r="L1526" s="338" t="str">
        <f>IFERROR(VLOOKUP(I1526,'Chart of accounts'!A:H,4,FALSE),"")</f>
        <v>50299030 00 - Representation Expenses (783)</v>
      </c>
      <c r="M1526" s="361" t="s">
        <v>1555</v>
      </c>
      <c r="N1526" s="355" t="s">
        <v>1539</v>
      </c>
      <c r="O1526" s="355" t="s">
        <v>1556</v>
      </c>
      <c r="P1526" s="355"/>
      <c r="Q1526" s="363">
        <v>140000</v>
      </c>
      <c r="R1526" s="428">
        <f t="shared" si="60"/>
        <v>-140000</v>
      </c>
      <c r="S1526" s="428" t="str">
        <f>VLOOKUP(H1526,'Fund Utilization Report'!$A$4:$U$1800,13,FALSE)</f>
        <v>MOOE</v>
      </c>
      <c r="T1526" s="428" t="str">
        <f>VLOOKUP(H1526,'Fund Utilization Report'!$A$4:$U$1800,2,FALSE)</f>
        <v>GAA</v>
      </c>
      <c r="U1526" s="428" t="str">
        <f>VLOOKUP(H1526,'Fund Utilization Report'!$A$4:$U$1800,3,FALSE)</f>
        <v>FY2021, RA11518</v>
      </c>
      <c r="V1526" s="428" t="str">
        <f>VLOOKUP(H1526,'Fund Utilization Report'!$A$4:$U$1800,4,FALSE)</f>
        <v>OO3</v>
      </c>
      <c r="W1526" s="428" t="str">
        <f>VLOOKUP(H1526,'Fund Utilization Report'!$A$4:$U$1800,5,FALSE)</f>
        <v>01101101</v>
      </c>
      <c r="X1526" s="428" t="str">
        <f>VLOOKUP(H1526,'Fund Utilization Report'!$A$4:$U$1800,6,FALSE)</f>
        <v>GOP</v>
      </c>
      <c r="Y1526" s="320" t="str">
        <f>VLOOKUP(H1526,'Fund Utilization Report'!$A$4:$U$1800,7,FALSE)</f>
        <v>MOOE</v>
      </c>
      <c r="Z1526" s="425">
        <f>VLOOKUP(H1526,'Fund Utilization Report'!$A$4:$U$1800,8,FALSE)</f>
        <v>5020000000</v>
      </c>
      <c r="AA1526" s="428" t="str">
        <f>VLOOKUP(H1526,'Fund Utilization Report'!$A$4:$U$1800,14,FALSE)</f>
        <v>330100100002000</v>
      </c>
      <c r="AB1526" s="349" t="str">
        <f>VLOOKUP(H1526,'Fund Utilization Report'!$A$4:$U$1800,15,FALSE)</f>
        <v>Implementation of the MSME Development Plan and other initiatives to promote the growth of Micro, Small and Medium Enterprises</v>
      </c>
      <c r="AC1526" s="39"/>
      <c r="AD1526" s="34"/>
      <c r="AE1526" s="39"/>
      <c r="AF1526" s="51"/>
      <c r="AG1526" s="442"/>
      <c r="AH1526" s="442"/>
      <c r="AI1526" s="443"/>
    </row>
    <row r="1527" spans="1:35" s="32" customFormat="1" ht="29.25" customHeight="1">
      <c r="A1527" s="434" t="s">
        <v>942</v>
      </c>
      <c r="B1527" s="457" t="s">
        <v>946</v>
      </c>
      <c r="C1527" s="233">
        <v>44280</v>
      </c>
      <c r="D1527" s="435" t="s">
        <v>1267</v>
      </c>
      <c r="E1527" s="436" t="s">
        <v>1558</v>
      </c>
      <c r="F1527" s="338">
        <v>0.45</v>
      </c>
      <c r="G1527" s="338">
        <v>0.4513888888888889</v>
      </c>
      <c r="H1527" s="458" t="s">
        <v>971</v>
      </c>
      <c r="I1527" s="353">
        <v>795</v>
      </c>
      <c r="J1527" s="338" t="str">
        <f>IFERROR(VLOOKUP(I1527,'Chart of accounts'!A:H,2,FALSE),"")</f>
        <v>50212990 00</v>
      </c>
      <c r="K1527" s="338" t="str">
        <f>IFERROR(VLOOKUP(I1527,'Chart of accounts'!A:H,3,FALSE),"")</f>
        <v>Other General Services</v>
      </c>
      <c r="L1527" s="338" t="str">
        <f>IFERROR(VLOOKUP(I1527,'Chart of accounts'!A:H,4,FALSE),"")</f>
        <v>50212990 00 - Other General Services (795)</v>
      </c>
      <c r="M1527" s="361" t="s">
        <v>1555</v>
      </c>
      <c r="N1527" s="355" t="s">
        <v>1539</v>
      </c>
      <c r="O1527" s="355" t="s">
        <v>1556</v>
      </c>
      <c r="P1527" s="355"/>
      <c r="Q1527" s="363">
        <v>40000</v>
      </c>
      <c r="R1527" s="428">
        <f t="shared" si="60"/>
        <v>-40000</v>
      </c>
      <c r="S1527" s="428" t="str">
        <f>VLOOKUP(H1527,'Fund Utilization Report'!$A$4:$U$1800,13,FALSE)</f>
        <v>MOOE</v>
      </c>
      <c r="T1527" s="428" t="str">
        <f>VLOOKUP(H1527,'Fund Utilization Report'!$A$4:$U$1800,2,FALSE)</f>
        <v>GAA</v>
      </c>
      <c r="U1527" s="428" t="str">
        <f>VLOOKUP(H1527,'Fund Utilization Report'!$A$4:$U$1800,3,FALSE)</f>
        <v>FY2021, RA11518</v>
      </c>
      <c r="V1527" s="428" t="str">
        <f>VLOOKUP(H1527,'Fund Utilization Report'!$A$4:$U$1800,4,FALSE)</f>
        <v>OO3</v>
      </c>
      <c r="W1527" s="428" t="str">
        <f>VLOOKUP(H1527,'Fund Utilization Report'!$A$4:$U$1800,5,FALSE)</f>
        <v>01101101</v>
      </c>
      <c r="X1527" s="428" t="str">
        <f>VLOOKUP(H1527,'Fund Utilization Report'!$A$4:$U$1800,6,FALSE)</f>
        <v>GOP</v>
      </c>
      <c r="Y1527" s="320" t="str">
        <f>VLOOKUP(H1527,'Fund Utilization Report'!$A$4:$U$1800,7,FALSE)</f>
        <v>MOOE</v>
      </c>
      <c r="Z1527" s="425">
        <f>VLOOKUP(H1527,'Fund Utilization Report'!$A$4:$U$1800,8,FALSE)</f>
        <v>5020000000</v>
      </c>
      <c r="AA1527" s="428" t="str">
        <f>VLOOKUP(H1527,'Fund Utilization Report'!$A$4:$U$1800,14,FALSE)</f>
        <v>330100100002000</v>
      </c>
      <c r="AB1527" s="349" t="str">
        <f>VLOOKUP(H1527,'Fund Utilization Report'!$A$4:$U$1800,15,FALSE)</f>
        <v>Implementation of the MSME Development Plan and other initiatives to promote the growth of Micro, Small and Medium Enterprises</v>
      </c>
      <c r="AC1527" s="39"/>
      <c r="AD1527" s="34"/>
      <c r="AE1527" s="39"/>
      <c r="AF1527" s="51"/>
      <c r="AG1527" s="442"/>
      <c r="AH1527" s="442"/>
      <c r="AI1527" s="443"/>
    </row>
    <row r="1528" spans="1:35" s="32" customFormat="1" ht="29.25" customHeight="1">
      <c r="A1528" s="434" t="s">
        <v>942</v>
      </c>
      <c r="B1528" s="457" t="s">
        <v>946</v>
      </c>
      <c r="C1528" s="233">
        <v>44280</v>
      </c>
      <c r="D1528" s="435" t="s">
        <v>1267</v>
      </c>
      <c r="E1528" s="436" t="s">
        <v>1558</v>
      </c>
      <c r="F1528" s="338">
        <v>0.45</v>
      </c>
      <c r="G1528" s="338">
        <v>0.4513888888888889</v>
      </c>
      <c r="H1528" s="458" t="s">
        <v>971</v>
      </c>
      <c r="I1528" s="353">
        <v>796</v>
      </c>
      <c r="J1528" s="338" t="str">
        <f>IFERROR(VLOOKUP(I1528,'Chart of accounts'!A:H,2,FALSE),"")</f>
        <v>50212020 00</v>
      </c>
      <c r="K1528" s="338" t="str">
        <f>IFERROR(VLOOKUP(I1528,'Chart of accounts'!A:H,3,FALSE),"")</f>
        <v>Janitorial Services</v>
      </c>
      <c r="L1528" s="338" t="str">
        <f>IFERROR(VLOOKUP(I1528,'Chart of accounts'!A:H,4,FALSE),"")</f>
        <v>50212020 00 - Janitorial Services (796)</v>
      </c>
      <c r="M1528" s="361" t="s">
        <v>1555</v>
      </c>
      <c r="N1528" s="355" t="s">
        <v>1539</v>
      </c>
      <c r="O1528" s="355" t="s">
        <v>1556</v>
      </c>
      <c r="P1528" s="355"/>
      <c r="Q1528" s="363">
        <v>64000</v>
      </c>
      <c r="R1528" s="428">
        <f t="shared" si="60"/>
        <v>-64000</v>
      </c>
      <c r="S1528" s="428" t="str">
        <f>VLOOKUP(H1528,'Fund Utilization Report'!$A$4:$U$1800,13,FALSE)</f>
        <v>MOOE</v>
      </c>
      <c r="T1528" s="428" t="str">
        <f>VLOOKUP(H1528,'Fund Utilization Report'!$A$4:$U$1800,2,FALSE)</f>
        <v>GAA</v>
      </c>
      <c r="U1528" s="428" t="str">
        <f>VLOOKUP(H1528,'Fund Utilization Report'!$A$4:$U$1800,3,FALSE)</f>
        <v>FY2021, RA11518</v>
      </c>
      <c r="V1528" s="428" t="str">
        <f>VLOOKUP(H1528,'Fund Utilization Report'!$A$4:$U$1800,4,FALSE)</f>
        <v>OO3</v>
      </c>
      <c r="W1528" s="428" t="str">
        <f>VLOOKUP(H1528,'Fund Utilization Report'!$A$4:$U$1800,5,FALSE)</f>
        <v>01101101</v>
      </c>
      <c r="X1528" s="428" t="str">
        <f>VLOOKUP(H1528,'Fund Utilization Report'!$A$4:$U$1800,6,FALSE)</f>
        <v>GOP</v>
      </c>
      <c r="Y1528" s="320" t="str">
        <f>VLOOKUP(H1528,'Fund Utilization Report'!$A$4:$U$1800,7,FALSE)</f>
        <v>MOOE</v>
      </c>
      <c r="Z1528" s="425">
        <f>VLOOKUP(H1528,'Fund Utilization Report'!$A$4:$U$1800,8,FALSE)</f>
        <v>5020000000</v>
      </c>
      <c r="AA1528" s="428" t="str">
        <f>VLOOKUP(H1528,'Fund Utilization Report'!$A$4:$U$1800,14,FALSE)</f>
        <v>330100100002000</v>
      </c>
      <c r="AB1528" s="349" t="str">
        <f>VLOOKUP(H1528,'Fund Utilization Report'!$A$4:$U$1800,15,FALSE)</f>
        <v>Implementation of the MSME Development Plan and other initiatives to promote the growth of Micro, Small and Medium Enterprises</v>
      </c>
      <c r="AC1528" s="39"/>
      <c r="AD1528" s="34"/>
      <c r="AE1528" s="39"/>
      <c r="AF1528" s="51"/>
      <c r="AG1528" s="442"/>
      <c r="AH1528" s="442"/>
      <c r="AI1528" s="443"/>
    </row>
    <row r="1529" spans="1:35" s="32" customFormat="1" ht="29.25" customHeight="1">
      <c r="A1529" s="434" t="s">
        <v>942</v>
      </c>
      <c r="B1529" s="457" t="s">
        <v>946</v>
      </c>
      <c r="C1529" s="233">
        <v>44280</v>
      </c>
      <c r="D1529" s="435" t="s">
        <v>1267</v>
      </c>
      <c r="E1529" s="436" t="s">
        <v>1559</v>
      </c>
      <c r="F1529" s="338">
        <v>0.4513888888888889</v>
      </c>
      <c r="G1529" s="338">
        <v>0.45555555555555555</v>
      </c>
      <c r="H1529" s="458" t="s">
        <v>971</v>
      </c>
      <c r="I1529" s="353">
        <v>751</v>
      </c>
      <c r="J1529" s="338" t="str">
        <f>IFERROR(VLOOKUP(I1529,'Chart of accounts'!A:H,2,FALSE),"")</f>
        <v>50201010 00</v>
      </c>
      <c r="K1529" s="338" t="str">
        <f>IFERROR(VLOOKUP(I1529,'Chart of accounts'!A:H,3,FALSE),"")</f>
        <v>Traveling Expenses - Local</v>
      </c>
      <c r="L1529" s="338" t="str">
        <f>IFERROR(VLOOKUP(I1529,'Chart of accounts'!A:H,4,FALSE),"")</f>
        <v>50201010 00 - Traveling Expenses - Local (751)</v>
      </c>
      <c r="M1529" s="361" t="s">
        <v>1555</v>
      </c>
      <c r="N1529" s="355" t="s">
        <v>822</v>
      </c>
      <c r="O1529" s="355" t="s">
        <v>1556</v>
      </c>
      <c r="P1529" s="355"/>
      <c r="Q1529" s="363">
        <v>190000</v>
      </c>
      <c r="R1529" s="428">
        <f t="shared" si="60"/>
        <v>-190000</v>
      </c>
      <c r="S1529" s="428" t="str">
        <f>VLOOKUP(H1529,'Fund Utilization Report'!$A$4:$U$1800,13,FALSE)</f>
        <v>MOOE</v>
      </c>
      <c r="T1529" s="428" t="str">
        <f>VLOOKUP(H1529,'Fund Utilization Report'!$A$4:$U$1800,2,FALSE)</f>
        <v>GAA</v>
      </c>
      <c r="U1529" s="428" t="str">
        <f>VLOOKUP(H1529,'Fund Utilization Report'!$A$4:$U$1800,3,FALSE)</f>
        <v>FY2021, RA11518</v>
      </c>
      <c r="V1529" s="428" t="str">
        <f>VLOOKUP(H1529,'Fund Utilization Report'!$A$4:$U$1800,4,FALSE)</f>
        <v>OO3</v>
      </c>
      <c r="W1529" s="428" t="str">
        <f>VLOOKUP(H1529,'Fund Utilization Report'!$A$4:$U$1800,5,FALSE)</f>
        <v>01101101</v>
      </c>
      <c r="X1529" s="428" t="str">
        <f>VLOOKUP(H1529,'Fund Utilization Report'!$A$4:$U$1800,6,FALSE)</f>
        <v>GOP</v>
      </c>
      <c r="Y1529" s="320" t="str">
        <f>VLOOKUP(H1529,'Fund Utilization Report'!$A$4:$U$1800,7,FALSE)</f>
        <v>MOOE</v>
      </c>
      <c r="Z1529" s="425">
        <f>VLOOKUP(H1529,'Fund Utilization Report'!$A$4:$U$1800,8,FALSE)</f>
        <v>5020000000</v>
      </c>
      <c r="AA1529" s="428" t="str">
        <f>VLOOKUP(H1529,'Fund Utilization Report'!$A$4:$U$1800,14,FALSE)</f>
        <v>330100100002000</v>
      </c>
      <c r="AB1529" s="349" t="str">
        <f>VLOOKUP(H1529,'Fund Utilization Report'!$A$4:$U$1800,15,FALSE)</f>
        <v>Implementation of the MSME Development Plan and other initiatives to promote the growth of Micro, Small and Medium Enterprises</v>
      </c>
      <c r="AC1529" s="39"/>
      <c r="AD1529" s="34"/>
      <c r="AE1529" s="39"/>
      <c r="AF1529" s="51"/>
      <c r="AG1529" s="442"/>
      <c r="AH1529" s="442"/>
      <c r="AI1529" s="443"/>
    </row>
    <row r="1530" spans="1:35" s="32" customFormat="1" ht="29.25" customHeight="1">
      <c r="A1530" s="434" t="s">
        <v>942</v>
      </c>
      <c r="B1530" s="457" t="s">
        <v>946</v>
      </c>
      <c r="C1530" s="233">
        <v>44280</v>
      </c>
      <c r="D1530" s="435" t="s">
        <v>1267</v>
      </c>
      <c r="E1530" s="436" t="s">
        <v>1559</v>
      </c>
      <c r="F1530" s="338">
        <v>0.4513888888888889</v>
      </c>
      <c r="G1530" s="338">
        <v>0.45555555555555555</v>
      </c>
      <c r="H1530" s="458" t="s">
        <v>971</v>
      </c>
      <c r="I1530" s="353">
        <v>755</v>
      </c>
      <c r="J1530" s="338" t="str">
        <f>IFERROR(VLOOKUP(I1530,'Chart of accounts'!A:H,2,FALSE),"")</f>
        <v>50203010 00</v>
      </c>
      <c r="K1530" s="338" t="str">
        <f>IFERROR(VLOOKUP(I1530,'Chart of accounts'!A:H,3,FALSE),"")</f>
        <v>Office Supplies Expenses</v>
      </c>
      <c r="L1530" s="338" t="str">
        <f>IFERROR(VLOOKUP(I1530,'Chart of accounts'!A:H,4,FALSE),"")</f>
        <v>50203010 00 - Office Supplies Expenses (755)</v>
      </c>
      <c r="M1530" s="361" t="s">
        <v>1555</v>
      </c>
      <c r="N1530" s="355" t="s">
        <v>822</v>
      </c>
      <c r="O1530" s="355" t="s">
        <v>1556</v>
      </c>
      <c r="P1530" s="355"/>
      <c r="Q1530" s="363">
        <v>20000</v>
      </c>
      <c r="R1530" s="428">
        <f t="shared" si="60"/>
        <v>-20000</v>
      </c>
      <c r="S1530" s="428" t="str">
        <f>VLOOKUP(H1530,'Fund Utilization Report'!$A$4:$U$1800,13,FALSE)</f>
        <v>MOOE</v>
      </c>
      <c r="T1530" s="428" t="str">
        <f>VLOOKUP(H1530,'Fund Utilization Report'!$A$4:$U$1800,2,FALSE)</f>
        <v>GAA</v>
      </c>
      <c r="U1530" s="428" t="str">
        <f>VLOOKUP(H1530,'Fund Utilization Report'!$A$4:$U$1800,3,FALSE)</f>
        <v>FY2021, RA11518</v>
      </c>
      <c r="V1530" s="428" t="str">
        <f>VLOOKUP(H1530,'Fund Utilization Report'!$A$4:$U$1800,4,FALSE)</f>
        <v>OO3</v>
      </c>
      <c r="W1530" s="428" t="str">
        <f>VLOOKUP(H1530,'Fund Utilization Report'!$A$4:$U$1800,5,FALSE)</f>
        <v>01101101</v>
      </c>
      <c r="X1530" s="428" t="str">
        <f>VLOOKUP(H1530,'Fund Utilization Report'!$A$4:$U$1800,6,FALSE)</f>
        <v>GOP</v>
      </c>
      <c r="Y1530" s="320" t="str">
        <f>VLOOKUP(H1530,'Fund Utilization Report'!$A$4:$U$1800,7,FALSE)</f>
        <v>MOOE</v>
      </c>
      <c r="Z1530" s="425">
        <f>VLOOKUP(H1530,'Fund Utilization Report'!$A$4:$U$1800,8,FALSE)</f>
        <v>5020000000</v>
      </c>
      <c r="AA1530" s="428" t="str">
        <f>VLOOKUP(H1530,'Fund Utilization Report'!$A$4:$U$1800,14,FALSE)</f>
        <v>330100100002000</v>
      </c>
      <c r="AB1530" s="349" t="str">
        <f>VLOOKUP(H1530,'Fund Utilization Report'!$A$4:$U$1800,15,FALSE)</f>
        <v>Implementation of the MSME Development Plan and other initiatives to promote the growth of Micro, Small and Medium Enterprises</v>
      </c>
      <c r="AC1530" s="39"/>
      <c r="AD1530" s="34"/>
      <c r="AE1530" s="39"/>
      <c r="AF1530" s="51"/>
      <c r="AG1530" s="442"/>
      <c r="AH1530" s="442"/>
      <c r="AI1530" s="443"/>
    </row>
    <row r="1531" spans="1:35" s="32" customFormat="1" ht="29.25" customHeight="1">
      <c r="A1531" s="434" t="s">
        <v>942</v>
      </c>
      <c r="B1531" s="457" t="s">
        <v>946</v>
      </c>
      <c r="C1531" s="233">
        <v>44280</v>
      </c>
      <c r="D1531" s="435" t="s">
        <v>1267</v>
      </c>
      <c r="E1531" s="436" t="s">
        <v>1559</v>
      </c>
      <c r="F1531" s="338">
        <v>0.4513888888888889</v>
      </c>
      <c r="G1531" s="338">
        <v>0.45555555555555555</v>
      </c>
      <c r="H1531" s="458" t="s">
        <v>971</v>
      </c>
      <c r="I1531" s="353">
        <v>771</v>
      </c>
      <c r="J1531" s="338" t="str">
        <f>IFERROR(VLOOKUP(I1531,'Chart of accounts'!A:H,2,FALSE),"")</f>
        <v>50205010 00</v>
      </c>
      <c r="K1531" s="338" t="str">
        <f>IFERROR(VLOOKUP(I1531,'Chart of accounts'!A:H,3,FALSE),"")</f>
        <v>Postage and Courier Services</v>
      </c>
      <c r="L1531" s="338" t="str">
        <f>IFERROR(VLOOKUP(I1531,'Chart of accounts'!A:H,4,FALSE),"")</f>
        <v>50205010 00 - Postage and Courier Services (771)</v>
      </c>
      <c r="M1531" s="361" t="s">
        <v>1555</v>
      </c>
      <c r="N1531" s="355" t="s">
        <v>822</v>
      </c>
      <c r="O1531" s="355" t="s">
        <v>1556</v>
      </c>
      <c r="P1531" s="355"/>
      <c r="Q1531" s="363">
        <v>6000</v>
      </c>
      <c r="R1531" s="428">
        <f t="shared" si="60"/>
        <v>-6000</v>
      </c>
      <c r="S1531" s="428" t="str">
        <f>VLOOKUP(H1531,'Fund Utilization Report'!$A$4:$U$1800,13,FALSE)</f>
        <v>MOOE</v>
      </c>
      <c r="T1531" s="428" t="str">
        <f>VLOOKUP(H1531,'Fund Utilization Report'!$A$4:$U$1800,2,FALSE)</f>
        <v>GAA</v>
      </c>
      <c r="U1531" s="428" t="str">
        <f>VLOOKUP(H1531,'Fund Utilization Report'!$A$4:$U$1800,3,FALSE)</f>
        <v>FY2021, RA11518</v>
      </c>
      <c r="V1531" s="428" t="str">
        <f>VLOOKUP(H1531,'Fund Utilization Report'!$A$4:$U$1800,4,FALSE)</f>
        <v>OO3</v>
      </c>
      <c r="W1531" s="428" t="str">
        <f>VLOOKUP(H1531,'Fund Utilization Report'!$A$4:$U$1800,5,FALSE)</f>
        <v>01101101</v>
      </c>
      <c r="X1531" s="428" t="str">
        <f>VLOOKUP(H1531,'Fund Utilization Report'!$A$4:$U$1800,6,FALSE)</f>
        <v>GOP</v>
      </c>
      <c r="Y1531" s="320" t="str">
        <f>VLOOKUP(H1531,'Fund Utilization Report'!$A$4:$U$1800,7,FALSE)</f>
        <v>MOOE</v>
      </c>
      <c r="Z1531" s="425">
        <f>VLOOKUP(H1531,'Fund Utilization Report'!$A$4:$U$1800,8,FALSE)</f>
        <v>5020000000</v>
      </c>
      <c r="AA1531" s="428" t="str">
        <f>VLOOKUP(H1531,'Fund Utilization Report'!$A$4:$U$1800,14,FALSE)</f>
        <v>330100100002000</v>
      </c>
      <c r="AB1531" s="349" t="str">
        <f>VLOOKUP(H1531,'Fund Utilization Report'!$A$4:$U$1800,15,FALSE)</f>
        <v>Implementation of the MSME Development Plan and other initiatives to promote the growth of Micro, Small and Medium Enterprises</v>
      </c>
      <c r="AC1531" s="39"/>
      <c r="AD1531" s="34"/>
      <c r="AE1531" s="39"/>
      <c r="AF1531" s="51"/>
      <c r="AG1531" s="442"/>
      <c r="AH1531" s="442"/>
      <c r="AI1531" s="443"/>
    </row>
    <row r="1532" spans="1:35" s="32" customFormat="1" ht="29.25" customHeight="1">
      <c r="A1532" s="434" t="s">
        <v>942</v>
      </c>
      <c r="B1532" s="457" t="s">
        <v>946</v>
      </c>
      <c r="C1532" s="233">
        <v>44280</v>
      </c>
      <c r="D1532" s="435" t="s">
        <v>1267</v>
      </c>
      <c r="E1532" s="436" t="s">
        <v>1559</v>
      </c>
      <c r="F1532" s="338">
        <v>0.4513888888888889</v>
      </c>
      <c r="G1532" s="338">
        <v>0.45555555555555555</v>
      </c>
      <c r="H1532" s="458" t="s">
        <v>971</v>
      </c>
      <c r="I1532" s="353">
        <v>773</v>
      </c>
      <c r="J1532" s="338" t="str">
        <f>IFERROR(VLOOKUP(I1532,'Chart of accounts'!A:H,2,FALSE),"")</f>
        <v>50205020 01</v>
      </c>
      <c r="K1532" s="338" t="str">
        <f>IFERROR(VLOOKUP(I1532,'Chart of accounts'!A:H,3,FALSE),"")</f>
        <v xml:space="preserve">Telephone Expenses - Mobile </v>
      </c>
      <c r="L1532" s="338" t="str">
        <f>IFERROR(VLOOKUP(I1532,'Chart of accounts'!A:H,4,FALSE),"")</f>
        <v>50205020 01 - Telephone Expenses - Mobile  (773)</v>
      </c>
      <c r="M1532" s="361" t="s">
        <v>1555</v>
      </c>
      <c r="N1532" s="355" t="s">
        <v>822</v>
      </c>
      <c r="O1532" s="355" t="s">
        <v>1556</v>
      </c>
      <c r="P1532" s="355"/>
      <c r="Q1532" s="363">
        <v>10000</v>
      </c>
      <c r="R1532" s="428">
        <f t="shared" si="60"/>
        <v>-10000</v>
      </c>
      <c r="S1532" s="428" t="str">
        <f>VLOOKUP(H1532,'Fund Utilization Report'!$A$4:$U$1800,13,FALSE)</f>
        <v>MOOE</v>
      </c>
      <c r="T1532" s="428" t="str">
        <f>VLOOKUP(H1532,'Fund Utilization Report'!$A$4:$U$1800,2,FALSE)</f>
        <v>GAA</v>
      </c>
      <c r="U1532" s="428" t="str">
        <f>VLOOKUP(H1532,'Fund Utilization Report'!$A$4:$U$1800,3,FALSE)</f>
        <v>FY2021, RA11518</v>
      </c>
      <c r="V1532" s="428" t="str">
        <f>VLOOKUP(H1532,'Fund Utilization Report'!$A$4:$U$1800,4,FALSE)</f>
        <v>OO3</v>
      </c>
      <c r="W1532" s="428" t="str">
        <f>VLOOKUP(H1532,'Fund Utilization Report'!$A$4:$U$1800,5,FALSE)</f>
        <v>01101101</v>
      </c>
      <c r="X1532" s="428" t="str">
        <f>VLOOKUP(H1532,'Fund Utilization Report'!$A$4:$U$1800,6,FALSE)</f>
        <v>GOP</v>
      </c>
      <c r="Y1532" s="320" t="str">
        <f>VLOOKUP(H1532,'Fund Utilization Report'!$A$4:$U$1800,7,FALSE)</f>
        <v>MOOE</v>
      </c>
      <c r="Z1532" s="425">
        <f>VLOOKUP(H1532,'Fund Utilization Report'!$A$4:$U$1800,8,FALSE)</f>
        <v>5020000000</v>
      </c>
      <c r="AA1532" s="428" t="str">
        <f>VLOOKUP(H1532,'Fund Utilization Report'!$A$4:$U$1800,14,FALSE)</f>
        <v>330100100002000</v>
      </c>
      <c r="AB1532" s="349" t="str">
        <f>VLOOKUP(H1532,'Fund Utilization Report'!$A$4:$U$1800,15,FALSE)</f>
        <v>Implementation of the MSME Development Plan and other initiatives to promote the growth of Micro, Small and Medium Enterprises</v>
      </c>
      <c r="AC1532" s="39"/>
      <c r="AD1532" s="34"/>
      <c r="AE1532" s="39"/>
      <c r="AF1532" s="51"/>
      <c r="AG1532" s="442"/>
      <c r="AH1532" s="442"/>
      <c r="AI1532" s="443"/>
    </row>
    <row r="1533" spans="1:35" s="32" customFormat="1" ht="29.25" customHeight="1">
      <c r="A1533" s="434" t="s">
        <v>942</v>
      </c>
      <c r="B1533" s="457" t="s">
        <v>946</v>
      </c>
      <c r="C1533" s="233">
        <v>44280</v>
      </c>
      <c r="D1533" s="435" t="s">
        <v>1267</v>
      </c>
      <c r="E1533" s="436" t="s">
        <v>1559</v>
      </c>
      <c r="F1533" s="338">
        <v>0.4513888888888889</v>
      </c>
      <c r="G1533" s="338">
        <v>0.45555555555555555</v>
      </c>
      <c r="H1533" s="458" t="s">
        <v>971</v>
      </c>
      <c r="I1533" s="353">
        <v>799</v>
      </c>
      <c r="J1533" s="338" t="str">
        <f>IFERROR(VLOOKUP(I1533,'Chart of accounts'!A:H,2,FALSE),"")</f>
        <v>50211990 00</v>
      </c>
      <c r="K1533" s="338" t="str">
        <f>IFERROR(VLOOKUP(I1533,'Chart of accounts'!A:H,3,FALSE),"")</f>
        <v>Other Professional Services</v>
      </c>
      <c r="L1533" s="338" t="str">
        <f>IFERROR(VLOOKUP(I1533,'Chart of accounts'!A:H,4,FALSE),"")</f>
        <v>50211990 00 - Other Professional Services (799)</v>
      </c>
      <c r="M1533" s="361" t="s">
        <v>1555</v>
      </c>
      <c r="N1533" s="355" t="s">
        <v>822</v>
      </c>
      <c r="O1533" s="355" t="s">
        <v>1556</v>
      </c>
      <c r="P1533" s="355"/>
      <c r="Q1533" s="363">
        <v>120000</v>
      </c>
      <c r="R1533" s="428">
        <f t="shared" si="60"/>
        <v>-120000</v>
      </c>
      <c r="S1533" s="428" t="str">
        <f>VLOOKUP(H1533,'Fund Utilization Report'!$A$4:$U$1800,13,FALSE)</f>
        <v>MOOE</v>
      </c>
      <c r="T1533" s="428" t="str">
        <f>VLOOKUP(H1533,'Fund Utilization Report'!$A$4:$U$1800,2,FALSE)</f>
        <v>GAA</v>
      </c>
      <c r="U1533" s="428" t="str">
        <f>VLOOKUP(H1533,'Fund Utilization Report'!$A$4:$U$1800,3,FALSE)</f>
        <v>FY2021, RA11518</v>
      </c>
      <c r="V1533" s="428" t="str">
        <f>VLOOKUP(H1533,'Fund Utilization Report'!$A$4:$U$1800,4,FALSE)</f>
        <v>OO3</v>
      </c>
      <c r="W1533" s="428" t="str">
        <f>VLOOKUP(H1533,'Fund Utilization Report'!$A$4:$U$1800,5,FALSE)</f>
        <v>01101101</v>
      </c>
      <c r="X1533" s="428" t="str">
        <f>VLOOKUP(H1533,'Fund Utilization Report'!$A$4:$U$1800,6,FALSE)</f>
        <v>GOP</v>
      </c>
      <c r="Y1533" s="320" t="str">
        <f>VLOOKUP(H1533,'Fund Utilization Report'!$A$4:$U$1800,7,FALSE)</f>
        <v>MOOE</v>
      </c>
      <c r="Z1533" s="425">
        <f>VLOOKUP(H1533,'Fund Utilization Report'!$A$4:$U$1800,8,FALSE)</f>
        <v>5020000000</v>
      </c>
      <c r="AA1533" s="428" t="str">
        <f>VLOOKUP(H1533,'Fund Utilization Report'!$A$4:$U$1800,14,FALSE)</f>
        <v>330100100002000</v>
      </c>
      <c r="AB1533" s="349" t="str">
        <f>VLOOKUP(H1533,'Fund Utilization Report'!$A$4:$U$1800,15,FALSE)</f>
        <v>Implementation of the MSME Development Plan and other initiatives to promote the growth of Micro, Small and Medium Enterprises</v>
      </c>
      <c r="AC1533" s="39"/>
      <c r="AD1533" s="34"/>
      <c r="AE1533" s="39"/>
      <c r="AF1533" s="51"/>
      <c r="AG1533" s="442"/>
      <c r="AH1533" s="442"/>
      <c r="AI1533" s="443"/>
    </row>
    <row r="1534" spans="1:35" s="32" customFormat="1" ht="29.25" customHeight="1">
      <c r="A1534" s="434" t="s">
        <v>942</v>
      </c>
      <c r="B1534" s="457" t="s">
        <v>946</v>
      </c>
      <c r="C1534" s="233">
        <v>44280</v>
      </c>
      <c r="D1534" s="435" t="s">
        <v>1267</v>
      </c>
      <c r="E1534" s="436" t="s">
        <v>1559</v>
      </c>
      <c r="F1534" s="338">
        <v>0.4513888888888889</v>
      </c>
      <c r="G1534" s="338">
        <v>0.45555555555555555</v>
      </c>
      <c r="H1534" s="458" t="s">
        <v>971</v>
      </c>
      <c r="I1534" s="353">
        <v>783</v>
      </c>
      <c r="J1534" s="338" t="str">
        <f>IFERROR(VLOOKUP(I1534,'Chart of accounts'!A:H,2,FALSE),"")</f>
        <v>50299030 00</v>
      </c>
      <c r="K1534" s="338" t="str">
        <f>IFERROR(VLOOKUP(I1534,'Chart of accounts'!A:H,3,FALSE),"")</f>
        <v>Representation Expenses</v>
      </c>
      <c r="L1534" s="338" t="str">
        <f>IFERROR(VLOOKUP(I1534,'Chart of accounts'!A:H,4,FALSE),"")</f>
        <v>50299030 00 - Representation Expenses (783)</v>
      </c>
      <c r="M1534" s="361" t="s">
        <v>1555</v>
      </c>
      <c r="N1534" s="355" t="s">
        <v>822</v>
      </c>
      <c r="O1534" s="355" t="s">
        <v>1556</v>
      </c>
      <c r="P1534" s="355"/>
      <c r="Q1534" s="363">
        <v>140000</v>
      </c>
      <c r="R1534" s="428">
        <f t="shared" ref="R1534:R1544" si="61">P1534-Q1534</f>
        <v>-140000</v>
      </c>
      <c r="S1534" s="428" t="str">
        <f>VLOOKUP(H1534,'Fund Utilization Report'!$A$4:$U$1800,13,FALSE)</f>
        <v>MOOE</v>
      </c>
      <c r="T1534" s="428" t="str">
        <f>VLOOKUP(H1534,'Fund Utilization Report'!$A$4:$U$1800,2,FALSE)</f>
        <v>GAA</v>
      </c>
      <c r="U1534" s="428" t="str">
        <f>VLOOKUP(H1534,'Fund Utilization Report'!$A$4:$U$1800,3,FALSE)</f>
        <v>FY2021, RA11518</v>
      </c>
      <c r="V1534" s="428" t="str">
        <f>VLOOKUP(H1534,'Fund Utilization Report'!$A$4:$U$1800,4,FALSE)</f>
        <v>OO3</v>
      </c>
      <c r="W1534" s="428" t="str">
        <f>VLOOKUP(H1534,'Fund Utilization Report'!$A$4:$U$1800,5,FALSE)</f>
        <v>01101101</v>
      </c>
      <c r="X1534" s="428" t="str">
        <f>VLOOKUP(H1534,'Fund Utilization Report'!$A$4:$U$1800,6,FALSE)</f>
        <v>GOP</v>
      </c>
      <c r="Y1534" s="320" t="str">
        <f>VLOOKUP(H1534,'Fund Utilization Report'!$A$4:$U$1800,7,FALSE)</f>
        <v>MOOE</v>
      </c>
      <c r="Z1534" s="425">
        <f>VLOOKUP(H1534,'Fund Utilization Report'!$A$4:$U$1800,8,FALSE)</f>
        <v>5020000000</v>
      </c>
      <c r="AA1534" s="428" t="str">
        <f>VLOOKUP(H1534,'Fund Utilization Report'!$A$4:$U$1800,14,FALSE)</f>
        <v>330100100002000</v>
      </c>
      <c r="AB1534" s="349" t="str">
        <f>VLOOKUP(H1534,'Fund Utilization Report'!$A$4:$U$1800,15,FALSE)</f>
        <v>Implementation of the MSME Development Plan and other initiatives to promote the growth of Micro, Small and Medium Enterprises</v>
      </c>
      <c r="AC1534" s="39"/>
      <c r="AD1534" s="34"/>
      <c r="AE1534" s="39"/>
      <c r="AF1534" s="51"/>
      <c r="AG1534" s="442"/>
      <c r="AH1534" s="442"/>
      <c r="AI1534" s="443"/>
    </row>
    <row r="1535" spans="1:35" s="32" customFormat="1" ht="29.25" customHeight="1">
      <c r="A1535" s="434" t="s">
        <v>942</v>
      </c>
      <c r="B1535" s="457" t="s">
        <v>946</v>
      </c>
      <c r="C1535" s="233">
        <v>44280</v>
      </c>
      <c r="D1535" s="435" t="s">
        <v>1267</v>
      </c>
      <c r="E1535" s="436" t="s">
        <v>1559</v>
      </c>
      <c r="F1535" s="338">
        <v>0.4513888888888889</v>
      </c>
      <c r="G1535" s="338">
        <v>0.45555555555555555</v>
      </c>
      <c r="H1535" s="458" t="s">
        <v>971</v>
      </c>
      <c r="I1535" s="353">
        <v>795</v>
      </c>
      <c r="J1535" s="338" t="str">
        <f>IFERROR(VLOOKUP(I1535,'Chart of accounts'!A:H,2,FALSE),"")</f>
        <v>50212990 00</v>
      </c>
      <c r="K1535" s="338" t="str">
        <f>IFERROR(VLOOKUP(I1535,'Chart of accounts'!A:H,3,FALSE),"")</f>
        <v>Other General Services</v>
      </c>
      <c r="L1535" s="338" t="str">
        <f>IFERROR(VLOOKUP(I1535,'Chart of accounts'!A:H,4,FALSE),"")</f>
        <v>50212990 00 - Other General Services (795)</v>
      </c>
      <c r="M1535" s="361" t="s">
        <v>1555</v>
      </c>
      <c r="N1535" s="355" t="s">
        <v>822</v>
      </c>
      <c r="O1535" s="355" t="s">
        <v>1556</v>
      </c>
      <c r="P1535" s="355"/>
      <c r="Q1535" s="363">
        <v>40000</v>
      </c>
      <c r="R1535" s="428">
        <f t="shared" si="61"/>
        <v>-40000</v>
      </c>
      <c r="S1535" s="428" t="str">
        <f>VLOOKUP(H1535,'Fund Utilization Report'!$A$4:$U$1800,13,FALSE)</f>
        <v>MOOE</v>
      </c>
      <c r="T1535" s="428" t="str">
        <f>VLOOKUP(H1535,'Fund Utilization Report'!$A$4:$U$1800,2,FALSE)</f>
        <v>GAA</v>
      </c>
      <c r="U1535" s="428" t="str">
        <f>VLOOKUP(H1535,'Fund Utilization Report'!$A$4:$U$1800,3,FALSE)</f>
        <v>FY2021, RA11518</v>
      </c>
      <c r="V1535" s="428" t="str">
        <f>VLOOKUP(H1535,'Fund Utilization Report'!$A$4:$U$1800,4,FALSE)</f>
        <v>OO3</v>
      </c>
      <c r="W1535" s="428" t="str">
        <f>VLOOKUP(H1535,'Fund Utilization Report'!$A$4:$U$1800,5,FALSE)</f>
        <v>01101101</v>
      </c>
      <c r="X1535" s="428" t="str">
        <f>VLOOKUP(H1535,'Fund Utilization Report'!$A$4:$U$1800,6,FALSE)</f>
        <v>GOP</v>
      </c>
      <c r="Y1535" s="320" t="str">
        <f>VLOOKUP(H1535,'Fund Utilization Report'!$A$4:$U$1800,7,FALSE)</f>
        <v>MOOE</v>
      </c>
      <c r="Z1535" s="425">
        <f>VLOOKUP(H1535,'Fund Utilization Report'!$A$4:$U$1800,8,FALSE)</f>
        <v>5020000000</v>
      </c>
      <c r="AA1535" s="428" t="str">
        <f>VLOOKUP(H1535,'Fund Utilization Report'!$A$4:$U$1800,14,FALSE)</f>
        <v>330100100002000</v>
      </c>
      <c r="AB1535" s="349" t="str">
        <f>VLOOKUP(H1535,'Fund Utilization Report'!$A$4:$U$1800,15,FALSE)</f>
        <v>Implementation of the MSME Development Plan and other initiatives to promote the growth of Micro, Small and Medium Enterprises</v>
      </c>
      <c r="AC1535" s="39"/>
      <c r="AD1535" s="34"/>
      <c r="AE1535" s="39"/>
      <c r="AF1535" s="51"/>
      <c r="AG1535" s="442"/>
      <c r="AH1535" s="442"/>
      <c r="AI1535" s="443"/>
    </row>
    <row r="1536" spans="1:35" s="32" customFormat="1" ht="29.25" customHeight="1">
      <c r="A1536" s="434" t="s">
        <v>942</v>
      </c>
      <c r="B1536" s="457" t="s">
        <v>946</v>
      </c>
      <c r="C1536" s="233">
        <v>44280</v>
      </c>
      <c r="D1536" s="435" t="s">
        <v>1267</v>
      </c>
      <c r="E1536" s="436" t="s">
        <v>1559</v>
      </c>
      <c r="F1536" s="338">
        <v>0.4513888888888889</v>
      </c>
      <c r="G1536" s="338">
        <v>0.45555555555555555</v>
      </c>
      <c r="H1536" s="458" t="s">
        <v>971</v>
      </c>
      <c r="I1536" s="353">
        <v>796</v>
      </c>
      <c r="J1536" s="338" t="str">
        <f>IFERROR(VLOOKUP(I1536,'Chart of accounts'!A:H,2,FALSE),"")</f>
        <v>50212020 00</v>
      </c>
      <c r="K1536" s="338" t="str">
        <f>IFERROR(VLOOKUP(I1536,'Chart of accounts'!A:H,3,FALSE),"")</f>
        <v>Janitorial Services</v>
      </c>
      <c r="L1536" s="338" t="str">
        <f>IFERROR(VLOOKUP(I1536,'Chart of accounts'!A:H,4,FALSE),"")</f>
        <v>50212020 00 - Janitorial Services (796)</v>
      </c>
      <c r="M1536" s="361" t="s">
        <v>1555</v>
      </c>
      <c r="N1536" s="355" t="s">
        <v>822</v>
      </c>
      <c r="O1536" s="355" t="s">
        <v>1556</v>
      </c>
      <c r="P1536" s="355"/>
      <c r="Q1536" s="363">
        <v>24000</v>
      </c>
      <c r="R1536" s="428">
        <f t="shared" si="61"/>
        <v>-24000</v>
      </c>
      <c r="S1536" s="428" t="str">
        <f>VLOOKUP(H1536,'Fund Utilization Report'!$A$4:$U$1800,13,FALSE)</f>
        <v>MOOE</v>
      </c>
      <c r="T1536" s="428" t="str">
        <f>VLOOKUP(H1536,'Fund Utilization Report'!$A$4:$U$1800,2,FALSE)</f>
        <v>GAA</v>
      </c>
      <c r="U1536" s="428" t="str">
        <f>VLOOKUP(H1536,'Fund Utilization Report'!$A$4:$U$1800,3,FALSE)</f>
        <v>FY2021, RA11518</v>
      </c>
      <c r="V1536" s="428" t="str">
        <f>VLOOKUP(H1536,'Fund Utilization Report'!$A$4:$U$1800,4,FALSE)</f>
        <v>OO3</v>
      </c>
      <c r="W1536" s="428" t="str">
        <f>VLOOKUP(H1536,'Fund Utilization Report'!$A$4:$U$1800,5,FALSE)</f>
        <v>01101101</v>
      </c>
      <c r="X1536" s="428" t="str">
        <f>VLOOKUP(H1536,'Fund Utilization Report'!$A$4:$U$1800,6,FALSE)</f>
        <v>GOP</v>
      </c>
      <c r="Y1536" s="320" t="str">
        <f>VLOOKUP(H1536,'Fund Utilization Report'!$A$4:$U$1800,7,FALSE)</f>
        <v>MOOE</v>
      </c>
      <c r="Z1536" s="425">
        <f>VLOOKUP(H1536,'Fund Utilization Report'!$A$4:$U$1800,8,FALSE)</f>
        <v>5020000000</v>
      </c>
      <c r="AA1536" s="428" t="str">
        <f>VLOOKUP(H1536,'Fund Utilization Report'!$A$4:$U$1800,14,FALSE)</f>
        <v>330100100002000</v>
      </c>
      <c r="AB1536" s="349" t="str">
        <f>VLOOKUP(H1536,'Fund Utilization Report'!$A$4:$U$1800,15,FALSE)</f>
        <v>Implementation of the MSME Development Plan and other initiatives to promote the growth of Micro, Small and Medium Enterprises</v>
      </c>
      <c r="AC1536" s="39"/>
      <c r="AD1536" s="34"/>
      <c r="AE1536" s="39"/>
      <c r="AF1536" s="51"/>
      <c r="AG1536" s="442"/>
      <c r="AH1536" s="442"/>
      <c r="AI1536" s="443"/>
    </row>
    <row r="1537" spans="1:35" s="32" customFormat="1" ht="29.25" customHeight="1">
      <c r="A1537" s="434" t="s">
        <v>942</v>
      </c>
      <c r="B1537" s="457" t="s">
        <v>946</v>
      </c>
      <c r="C1537" s="233">
        <v>44280</v>
      </c>
      <c r="D1537" s="435" t="s">
        <v>1267</v>
      </c>
      <c r="E1537" s="436" t="s">
        <v>1560</v>
      </c>
      <c r="F1537" s="338">
        <v>0.45555555555555555</v>
      </c>
      <c r="G1537" s="338">
        <v>0.45694444444444443</v>
      </c>
      <c r="H1537" s="458" t="s">
        <v>971</v>
      </c>
      <c r="I1537" s="353">
        <v>751</v>
      </c>
      <c r="J1537" s="338" t="str">
        <f>IFERROR(VLOOKUP(I1537,'Chart of accounts'!A:H,2,FALSE),"")</f>
        <v>50201010 00</v>
      </c>
      <c r="K1537" s="338" t="str">
        <f>IFERROR(VLOOKUP(I1537,'Chart of accounts'!A:H,3,FALSE),"")</f>
        <v>Traveling Expenses - Local</v>
      </c>
      <c r="L1537" s="338" t="str">
        <f>IFERROR(VLOOKUP(I1537,'Chart of accounts'!A:H,4,FALSE),"")</f>
        <v>50201010 00 - Traveling Expenses - Local (751)</v>
      </c>
      <c r="M1537" s="361" t="s">
        <v>1555</v>
      </c>
      <c r="N1537" s="355" t="s">
        <v>1540</v>
      </c>
      <c r="O1537" s="355" t="s">
        <v>1556</v>
      </c>
      <c r="P1537" s="355"/>
      <c r="Q1537" s="363">
        <v>180000</v>
      </c>
      <c r="R1537" s="428">
        <f t="shared" si="61"/>
        <v>-180000</v>
      </c>
      <c r="S1537" s="428" t="str">
        <f>VLOOKUP(H1537,'Fund Utilization Report'!$A$4:$U$1800,13,FALSE)</f>
        <v>MOOE</v>
      </c>
      <c r="T1537" s="428" t="str">
        <f>VLOOKUP(H1537,'Fund Utilization Report'!$A$4:$U$1800,2,FALSE)</f>
        <v>GAA</v>
      </c>
      <c r="U1537" s="428" t="str">
        <f>VLOOKUP(H1537,'Fund Utilization Report'!$A$4:$U$1800,3,FALSE)</f>
        <v>FY2021, RA11518</v>
      </c>
      <c r="V1537" s="428" t="str">
        <f>VLOOKUP(H1537,'Fund Utilization Report'!$A$4:$U$1800,4,FALSE)</f>
        <v>OO3</v>
      </c>
      <c r="W1537" s="428" t="str">
        <f>VLOOKUP(H1537,'Fund Utilization Report'!$A$4:$U$1800,5,FALSE)</f>
        <v>01101101</v>
      </c>
      <c r="X1537" s="428" t="str">
        <f>VLOOKUP(H1537,'Fund Utilization Report'!$A$4:$U$1800,6,FALSE)</f>
        <v>GOP</v>
      </c>
      <c r="Y1537" s="320" t="str">
        <f>VLOOKUP(H1537,'Fund Utilization Report'!$A$4:$U$1800,7,FALSE)</f>
        <v>MOOE</v>
      </c>
      <c r="Z1537" s="425">
        <f>VLOOKUP(H1537,'Fund Utilization Report'!$A$4:$U$1800,8,FALSE)</f>
        <v>5020000000</v>
      </c>
      <c r="AA1537" s="428" t="str">
        <f>VLOOKUP(H1537,'Fund Utilization Report'!$A$4:$U$1800,14,FALSE)</f>
        <v>330100100002000</v>
      </c>
      <c r="AB1537" s="349" t="str">
        <f>VLOOKUP(H1537,'Fund Utilization Report'!$A$4:$U$1800,15,FALSE)</f>
        <v>Implementation of the MSME Development Plan and other initiatives to promote the growth of Micro, Small and Medium Enterprises</v>
      </c>
      <c r="AC1537" s="39"/>
      <c r="AD1537" s="34"/>
      <c r="AE1537" s="39"/>
      <c r="AF1537" s="51"/>
      <c r="AG1537" s="442"/>
      <c r="AH1537" s="442"/>
      <c r="AI1537" s="443"/>
    </row>
    <row r="1538" spans="1:35" s="32" customFormat="1" ht="29.25" customHeight="1">
      <c r="A1538" s="434" t="s">
        <v>942</v>
      </c>
      <c r="B1538" s="457" t="s">
        <v>946</v>
      </c>
      <c r="C1538" s="233">
        <v>44280</v>
      </c>
      <c r="D1538" s="435" t="s">
        <v>1267</v>
      </c>
      <c r="E1538" s="436" t="s">
        <v>1560</v>
      </c>
      <c r="F1538" s="338">
        <v>0.45555555555555555</v>
      </c>
      <c r="G1538" s="338">
        <v>0.45694444444444443</v>
      </c>
      <c r="H1538" s="458" t="s">
        <v>971</v>
      </c>
      <c r="I1538" s="353">
        <v>755</v>
      </c>
      <c r="J1538" s="338" t="str">
        <f>IFERROR(VLOOKUP(I1538,'Chart of accounts'!A:H,2,FALSE),"")</f>
        <v>50203010 00</v>
      </c>
      <c r="K1538" s="338" t="str">
        <f>IFERROR(VLOOKUP(I1538,'Chart of accounts'!A:H,3,FALSE),"")</f>
        <v>Office Supplies Expenses</v>
      </c>
      <c r="L1538" s="338" t="str">
        <f>IFERROR(VLOOKUP(I1538,'Chart of accounts'!A:H,4,FALSE),"")</f>
        <v>50203010 00 - Office Supplies Expenses (755)</v>
      </c>
      <c r="M1538" s="361" t="s">
        <v>1555</v>
      </c>
      <c r="N1538" s="355" t="s">
        <v>1540</v>
      </c>
      <c r="O1538" s="355" t="s">
        <v>1556</v>
      </c>
      <c r="P1538" s="355"/>
      <c r="Q1538" s="363">
        <v>20000</v>
      </c>
      <c r="R1538" s="428">
        <f t="shared" si="61"/>
        <v>-20000</v>
      </c>
      <c r="S1538" s="428" t="str">
        <f>VLOOKUP(H1538,'Fund Utilization Report'!$A$4:$U$1800,13,FALSE)</f>
        <v>MOOE</v>
      </c>
      <c r="T1538" s="428" t="str">
        <f>VLOOKUP(H1538,'Fund Utilization Report'!$A$4:$U$1800,2,FALSE)</f>
        <v>GAA</v>
      </c>
      <c r="U1538" s="428" t="str">
        <f>VLOOKUP(H1538,'Fund Utilization Report'!$A$4:$U$1800,3,FALSE)</f>
        <v>FY2021, RA11518</v>
      </c>
      <c r="V1538" s="428" t="str">
        <f>VLOOKUP(H1538,'Fund Utilization Report'!$A$4:$U$1800,4,FALSE)</f>
        <v>OO3</v>
      </c>
      <c r="W1538" s="428" t="str">
        <f>VLOOKUP(H1538,'Fund Utilization Report'!$A$4:$U$1800,5,FALSE)</f>
        <v>01101101</v>
      </c>
      <c r="X1538" s="428" t="str">
        <f>VLOOKUP(H1538,'Fund Utilization Report'!$A$4:$U$1800,6,FALSE)</f>
        <v>GOP</v>
      </c>
      <c r="Y1538" s="320" t="str">
        <f>VLOOKUP(H1538,'Fund Utilization Report'!$A$4:$U$1800,7,FALSE)</f>
        <v>MOOE</v>
      </c>
      <c r="Z1538" s="425">
        <f>VLOOKUP(H1538,'Fund Utilization Report'!$A$4:$U$1800,8,FALSE)</f>
        <v>5020000000</v>
      </c>
      <c r="AA1538" s="428" t="str">
        <f>VLOOKUP(H1538,'Fund Utilization Report'!$A$4:$U$1800,14,FALSE)</f>
        <v>330100100002000</v>
      </c>
      <c r="AB1538" s="349" t="str">
        <f>VLOOKUP(H1538,'Fund Utilization Report'!$A$4:$U$1800,15,FALSE)</f>
        <v>Implementation of the MSME Development Plan and other initiatives to promote the growth of Micro, Small and Medium Enterprises</v>
      </c>
      <c r="AC1538" s="39"/>
      <c r="AD1538" s="34"/>
      <c r="AE1538" s="39"/>
      <c r="AF1538" s="51"/>
      <c r="AG1538" s="442"/>
      <c r="AH1538" s="442"/>
      <c r="AI1538" s="443"/>
    </row>
    <row r="1539" spans="1:35" s="32" customFormat="1" ht="29.25" customHeight="1">
      <c r="A1539" s="434" t="s">
        <v>942</v>
      </c>
      <c r="B1539" s="457" t="s">
        <v>946</v>
      </c>
      <c r="C1539" s="233">
        <v>44280</v>
      </c>
      <c r="D1539" s="435" t="s">
        <v>1267</v>
      </c>
      <c r="E1539" s="436" t="s">
        <v>1560</v>
      </c>
      <c r="F1539" s="338">
        <v>0.45555555555555555</v>
      </c>
      <c r="G1539" s="338">
        <v>0.45694444444444443</v>
      </c>
      <c r="H1539" s="458" t="s">
        <v>971</v>
      </c>
      <c r="I1539" s="353">
        <v>771</v>
      </c>
      <c r="J1539" s="338" t="str">
        <f>IFERROR(VLOOKUP(I1539,'Chart of accounts'!A:H,2,FALSE),"")</f>
        <v>50205010 00</v>
      </c>
      <c r="K1539" s="338" t="str">
        <f>IFERROR(VLOOKUP(I1539,'Chart of accounts'!A:H,3,FALSE),"")</f>
        <v>Postage and Courier Services</v>
      </c>
      <c r="L1539" s="338" t="str">
        <f>IFERROR(VLOOKUP(I1539,'Chart of accounts'!A:H,4,FALSE),"")</f>
        <v>50205010 00 - Postage and Courier Services (771)</v>
      </c>
      <c r="M1539" s="361" t="s">
        <v>1555</v>
      </c>
      <c r="N1539" s="355" t="s">
        <v>1540</v>
      </c>
      <c r="O1539" s="355" t="s">
        <v>1556</v>
      </c>
      <c r="P1539" s="355"/>
      <c r="Q1539" s="363">
        <v>6000</v>
      </c>
      <c r="R1539" s="428">
        <f t="shared" si="61"/>
        <v>-6000</v>
      </c>
      <c r="S1539" s="428" t="str">
        <f>VLOOKUP(H1539,'Fund Utilization Report'!$A$4:$U$1800,13,FALSE)</f>
        <v>MOOE</v>
      </c>
      <c r="T1539" s="428" t="str">
        <f>VLOOKUP(H1539,'Fund Utilization Report'!$A$4:$U$1800,2,FALSE)</f>
        <v>GAA</v>
      </c>
      <c r="U1539" s="428" t="str">
        <f>VLOOKUP(H1539,'Fund Utilization Report'!$A$4:$U$1800,3,FALSE)</f>
        <v>FY2021, RA11518</v>
      </c>
      <c r="V1539" s="428" t="str">
        <f>VLOOKUP(H1539,'Fund Utilization Report'!$A$4:$U$1800,4,FALSE)</f>
        <v>OO3</v>
      </c>
      <c r="W1539" s="428" t="str">
        <f>VLOOKUP(H1539,'Fund Utilization Report'!$A$4:$U$1800,5,FALSE)</f>
        <v>01101101</v>
      </c>
      <c r="X1539" s="428" t="str">
        <f>VLOOKUP(H1539,'Fund Utilization Report'!$A$4:$U$1800,6,FALSE)</f>
        <v>GOP</v>
      </c>
      <c r="Y1539" s="320" t="str">
        <f>VLOOKUP(H1539,'Fund Utilization Report'!$A$4:$U$1800,7,FALSE)</f>
        <v>MOOE</v>
      </c>
      <c r="Z1539" s="425">
        <f>VLOOKUP(H1539,'Fund Utilization Report'!$A$4:$U$1800,8,FALSE)</f>
        <v>5020000000</v>
      </c>
      <c r="AA1539" s="428" t="str">
        <f>VLOOKUP(H1539,'Fund Utilization Report'!$A$4:$U$1800,14,FALSE)</f>
        <v>330100100002000</v>
      </c>
      <c r="AB1539" s="349" t="str">
        <f>VLOOKUP(H1539,'Fund Utilization Report'!$A$4:$U$1800,15,FALSE)</f>
        <v>Implementation of the MSME Development Plan and other initiatives to promote the growth of Micro, Small and Medium Enterprises</v>
      </c>
      <c r="AC1539" s="39"/>
      <c r="AD1539" s="34"/>
      <c r="AE1539" s="39"/>
      <c r="AF1539" s="51"/>
      <c r="AG1539" s="442"/>
      <c r="AH1539" s="442"/>
      <c r="AI1539" s="443"/>
    </row>
    <row r="1540" spans="1:35" s="32" customFormat="1" ht="29.25" customHeight="1">
      <c r="A1540" s="434" t="s">
        <v>942</v>
      </c>
      <c r="B1540" s="457" t="s">
        <v>946</v>
      </c>
      <c r="C1540" s="233">
        <v>44280</v>
      </c>
      <c r="D1540" s="435" t="s">
        <v>1267</v>
      </c>
      <c r="E1540" s="436" t="s">
        <v>1560</v>
      </c>
      <c r="F1540" s="338">
        <v>0.45555555555555555</v>
      </c>
      <c r="G1540" s="338">
        <v>0.45694444444444443</v>
      </c>
      <c r="H1540" s="458" t="s">
        <v>971</v>
      </c>
      <c r="I1540" s="353">
        <v>773</v>
      </c>
      <c r="J1540" s="338" t="str">
        <f>IFERROR(VLOOKUP(I1540,'Chart of accounts'!A:H,2,FALSE),"")</f>
        <v>50205020 01</v>
      </c>
      <c r="K1540" s="338" t="str">
        <f>IFERROR(VLOOKUP(I1540,'Chart of accounts'!A:H,3,FALSE),"")</f>
        <v xml:space="preserve">Telephone Expenses - Mobile </v>
      </c>
      <c r="L1540" s="338" t="str">
        <f>IFERROR(VLOOKUP(I1540,'Chart of accounts'!A:H,4,FALSE),"")</f>
        <v>50205020 01 - Telephone Expenses - Mobile  (773)</v>
      </c>
      <c r="M1540" s="361" t="s">
        <v>1555</v>
      </c>
      <c r="N1540" s="355" t="s">
        <v>1540</v>
      </c>
      <c r="O1540" s="355" t="s">
        <v>1556</v>
      </c>
      <c r="P1540" s="355"/>
      <c r="Q1540" s="363">
        <v>10000</v>
      </c>
      <c r="R1540" s="428">
        <f t="shared" si="61"/>
        <v>-10000</v>
      </c>
      <c r="S1540" s="428" t="str">
        <f>VLOOKUP(H1540,'Fund Utilization Report'!$A$4:$U$1800,13,FALSE)</f>
        <v>MOOE</v>
      </c>
      <c r="T1540" s="428" t="str">
        <f>VLOOKUP(H1540,'Fund Utilization Report'!$A$4:$U$1800,2,FALSE)</f>
        <v>GAA</v>
      </c>
      <c r="U1540" s="428" t="str">
        <f>VLOOKUP(H1540,'Fund Utilization Report'!$A$4:$U$1800,3,FALSE)</f>
        <v>FY2021, RA11518</v>
      </c>
      <c r="V1540" s="428" t="str">
        <f>VLOOKUP(H1540,'Fund Utilization Report'!$A$4:$U$1800,4,FALSE)</f>
        <v>OO3</v>
      </c>
      <c r="W1540" s="428" t="str">
        <f>VLOOKUP(H1540,'Fund Utilization Report'!$A$4:$U$1800,5,FALSE)</f>
        <v>01101101</v>
      </c>
      <c r="X1540" s="428" t="str">
        <f>VLOOKUP(H1540,'Fund Utilization Report'!$A$4:$U$1800,6,FALSE)</f>
        <v>GOP</v>
      </c>
      <c r="Y1540" s="320" t="str">
        <f>VLOOKUP(H1540,'Fund Utilization Report'!$A$4:$U$1800,7,FALSE)</f>
        <v>MOOE</v>
      </c>
      <c r="Z1540" s="425">
        <f>VLOOKUP(H1540,'Fund Utilization Report'!$A$4:$U$1800,8,FALSE)</f>
        <v>5020000000</v>
      </c>
      <c r="AA1540" s="428" t="str">
        <f>VLOOKUP(H1540,'Fund Utilization Report'!$A$4:$U$1800,14,FALSE)</f>
        <v>330100100002000</v>
      </c>
      <c r="AB1540" s="349" t="str">
        <f>VLOOKUP(H1540,'Fund Utilization Report'!$A$4:$U$1800,15,FALSE)</f>
        <v>Implementation of the MSME Development Plan and other initiatives to promote the growth of Micro, Small and Medium Enterprises</v>
      </c>
      <c r="AC1540" s="39"/>
      <c r="AD1540" s="34"/>
      <c r="AE1540" s="39"/>
      <c r="AF1540" s="51"/>
      <c r="AG1540" s="442"/>
      <c r="AH1540" s="442"/>
      <c r="AI1540" s="443"/>
    </row>
    <row r="1541" spans="1:35" s="32" customFormat="1" ht="29.25" customHeight="1">
      <c r="A1541" s="434" t="s">
        <v>942</v>
      </c>
      <c r="B1541" s="457" t="s">
        <v>946</v>
      </c>
      <c r="C1541" s="233">
        <v>44280</v>
      </c>
      <c r="D1541" s="435" t="s">
        <v>1267</v>
      </c>
      <c r="E1541" s="436" t="s">
        <v>1560</v>
      </c>
      <c r="F1541" s="338">
        <v>0.45555555555555555</v>
      </c>
      <c r="G1541" s="338">
        <v>0.45694444444444443</v>
      </c>
      <c r="H1541" s="458" t="s">
        <v>971</v>
      </c>
      <c r="I1541" s="353">
        <v>799</v>
      </c>
      <c r="J1541" s="338" t="str">
        <f>IFERROR(VLOOKUP(I1541,'Chart of accounts'!A:H,2,FALSE),"")</f>
        <v>50211990 00</v>
      </c>
      <c r="K1541" s="338" t="str">
        <f>IFERROR(VLOOKUP(I1541,'Chart of accounts'!A:H,3,FALSE),"")</f>
        <v>Other Professional Services</v>
      </c>
      <c r="L1541" s="338" t="str">
        <f>IFERROR(VLOOKUP(I1541,'Chart of accounts'!A:H,4,FALSE),"")</f>
        <v>50211990 00 - Other Professional Services (799)</v>
      </c>
      <c r="M1541" s="361" t="s">
        <v>1555</v>
      </c>
      <c r="N1541" s="355" t="s">
        <v>1540</v>
      </c>
      <c r="O1541" s="355" t="s">
        <v>1556</v>
      </c>
      <c r="P1541" s="355"/>
      <c r="Q1541" s="363">
        <v>120000</v>
      </c>
      <c r="R1541" s="428">
        <f t="shared" si="61"/>
        <v>-120000</v>
      </c>
      <c r="S1541" s="428" t="str">
        <f>VLOOKUP(H1541,'Fund Utilization Report'!$A$4:$U$1800,13,FALSE)</f>
        <v>MOOE</v>
      </c>
      <c r="T1541" s="428" t="str">
        <f>VLOOKUP(H1541,'Fund Utilization Report'!$A$4:$U$1800,2,FALSE)</f>
        <v>GAA</v>
      </c>
      <c r="U1541" s="428" t="str">
        <f>VLOOKUP(H1541,'Fund Utilization Report'!$A$4:$U$1800,3,FALSE)</f>
        <v>FY2021, RA11518</v>
      </c>
      <c r="V1541" s="428" t="str">
        <f>VLOOKUP(H1541,'Fund Utilization Report'!$A$4:$U$1800,4,FALSE)</f>
        <v>OO3</v>
      </c>
      <c r="W1541" s="428" t="str">
        <f>VLOOKUP(H1541,'Fund Utilization Report'!$A$4:$U$1800,5,FALSE)</f>
        <v>01101101</v>
      </c>
      <c r="X1541" s="428" t="str">
        <f>VLOOKUP(H1541,'Fund Utilization Report'!$A$4:$U$1800,6,FALSE)</f>
        <v>GOP</v>
      </c>
      <c r="Y1541" s="320" t="str">
        <f>VLOOKUP(H1541,'Fund Utilization Report'!$A$4:$U$1800,7,FALSE)</f>
        <v>MOOE</v>
      </c>
      <c r="Z1541" s="425">
        <f>VLOOKUP(H1541,'Fund Utilization Report'!$A$4:$U$1800,8,FALSE)</f>
        <v>5020000000</v>
      </c>
      <c r="AA1541" s="428" t="str">
        <f>VLOOKUP(H1541,'Fund Utilization Report'!$A$4:$U$1800,14,FALSE)</f>
        <v>330100100002000</v>
      </c>
      <c r="AB1541" s="349" t="str">
        <f>VLOOKUP(H1541,'Fund Utilization Report'!$A$4:$U$1800,15,FALSE)</f>
        <v>Implementation of the MSME Development Plan and other initiatives to promote the growth of Micro, Small and Medium Enterprises</v>
      </c>
      <c r="AC1541" s="39"/>
      <c r="AD1541" s="34"/>
      <c r="AE1541" s="39"/>
      <c r="AF1541" s="51"/>
      <c r="AG1541" s="442"/>
      <c r="AH1541" s="442"/>
      <c r="AI1541" s="443"/>
    </row>
    <row r="1542" spans="1:35" s="32" customFormat="1" ht="29.25" customHeight="1">
      <c r="A1542" s="434" t="s">
        <v>942</v>
      </c>
      <c r="B1542" s="457" t="s">
        <v>946</v>
      </c>
      <c r="C1542" s="233">
        <v>44280</v>
      </c>
      <c r="D1542" s="435" t="s">
        <v>1267</v>
      </c>
      <c r="E1542" s="436" t="s">
        <v>1560</v>
      </c>
      <c r="F1542" s="338">
        <v>0.45555555555555555</v>
      </c>
      <c r="G1542" s="338">
        <v>0.45694444444444443</v>
      </c>
      <c r="H1542" s="458" t="s">
        <v>971</v>
      </c>
      <c r="I1542" s="353">
        <v>783</v>
      </c>
      <c r="J1542" s="338" t="str">
        <f>IFERROR(VLOOKUP(I1542,'Chart of accounts'!A:H,2,FALSE),"")</f>
        <v>50299030 00</v>
      </c>
      <c r="K1542" s="338" t="str">
        <f>IFERROR(VLOOKUP(I1542,'Chart of accounts'!A:H,3,FALSE),"")</f>
        <v>Representation Expenses</v>
      </c>
      <c r="L1542" s="338" t="str">
        <f>IFERROR(VLOOKUP(I1542,'Chart of accounts'!A:H,4,FALSE),"")</f>
        <v>50299030 00 - Representation Expenses (783)</v>
      </c>
      <c r="M1542" s="361" t="s">
        <v>1555</v>
      </c>
      <c r="N1542" s="355" t="s">
        <v>1540</v>
      </c>
      <c r="O1542" s="355" t="s">
        <v>1556</v>
      </c>
      <c r="P1542" s="355"/>
      <c r="Q1542" s="363">
        <v>140000</v>
      </c>
      <c r="R1542" s="428">
        <f t="shared" si="61"/>
        <v>-140000</v>
      </c>
      <c r="S1542" s="428" t="str">
        <f>VLOOKUP(H1542,'Fund Utilization Report'!$A$4:$U$1800,13,FALSE)</f>
        <v>MOOE</v>
      </c>
      <c r="T1542" s="428" t="str">
        <f>VLOOKUP(H1542,'Fund Utilization Report'!$A$4:$U$1800,2,FALSE)</f>
        <v>GAA</v>
      </c>
      <c r="U1542" s="428" t="str">
        <f>VLOOKUP(H1542,'Fund Utilization Report'!$A$4:$U$1800,3,FALSE)</f>
        <v>FY2021, RA11518</v>
      </c>
      <c r="V1542" s="428" t="str">
        <f>VLOOKUP(H1542,'Fund Utilization Report'!$A$4:$U$1800,4,FALSE)</f>
        <v>OO3</v>
      </c>
      <c r="W1542" s="428" t="str">
        <f>VLOOKUP(H1542,'Fund Utilization Report'!$A$4:$U$1800,5,FALSE)</f>
        <v>01101101</v>
      </c>
      <c r="X1542" s="428" t="str">
        <f>VLOOKUP(H1542,'Fund Utilization Report'!$A$4:$U$1800,6,FALSE)</f>
        <v>GOP</v>
      </c>
      <c r="Y1542" s="320" t="str">
        <f>VLOOKUP(H1542,'Fund Utilization Report'!$A$4:$U$1800,7,FALSE)</f>
        <v>MOOE</v>
      </c>
      <c r="Z1542" s="425">
        <f>VLOOKUP(H1542,'Fund Utilization Report'!$A$4:$U$1800,8,FALSE)</f>
        <v>5020000000</v>
      </c>
      <c r="AA1542" s="428" t="str">
        <f>VLOOKUP(H1542,'Fund Utilization Report'!$A$4:$U$1800,14,FALSE)</f>
        <v>330100100002000</v>
      </c>
      <c r="AB1542" s="349" t="str">
        <f>VLOOKUP(H1542,'Fund Utilization Report'!$A$4:$U$1800,15,FALSE)</f>
        <v>Implementation of the MSME Development Plan and other initiatives to promote the growth of Micro, Small and Medium Enterprises</v>
      </c>
      <c r="AC1542" s="39"/>
      <c r="AD1542" s="34"/>
      <c r="AE1542" s="39"/>
      <c r="AF1542" s="51"/>
      <c r="AG1542" s="442"/>
      <c r="AH1542" s="442"/>
      <c r="AI1542" s="443"/>
    </row>
    <row r="1543" spans="1:35" s="32" customFormat="1" ht="29.25" customHeight="1">
      <c r="A1543" s="434" t="s">
        <v>942</v>
      </c>
      <c r="B1543" s="457" t="s">
        <v>946</v>
      </c>
      <c r="C1543" s="233">
        <v>44280</v>
      </c>
      <c r="D1543" s="435" t="s">
        <v>1267</v>
      </c>
      <c r="E1543" s="436" t="s">
        <v>1560</v>
      </c>
      <c r="F1543" s="338">
        <v>0.45555555555555555</v>
      </c>
      <c r="G1543" s="338">
        <v>0.45694444444444443</v>
      </c>
      <c r="H1543" s="458" t="s">
        <v>971</v>
      </c>
      <c r="I1543" s="353">
        <v>795</v>
      </c>
      <c r="J1543" s="338" t="str">
        <f>IFERROR(VLOOKUP(I1543,'Chart of accounts'!A:H,2,FALSE),"")</f>
        <v>50212990 00</v>
      </c>
      <c r="K1543" s="338" t="str">
        <f>IFERROR(VLOOKUP(I1543,'Chart of accounts'!A:H,3,FALSE),"")</f>
        <v>Other General Services</v>
      </c>
      <c r="L1543" s="338" t="str">
        <f>IFERROR(VLOOKUP(I1543,'Chart of accounts'!A:H,4,FALSE),"")</f>
        <v>50212990 00 - Other General Services (795)</v>
      </c>
      <c r="M1543" s="361" t="s">
        <v>1555</v>
      </c>
      <c r="N1543" s="355" t="s">
        <v>1540</v>
      </c>
      <c r="O1543" s="355" t="s">
        <v>1556</v>
      </c>
      <c r="P1543" s="355"/>
      <c r="Q1543" s="363">
        <v>40000</v>
      </c>
      <c r="R1543" s="428">
        <f t="shared" si="61"/>
        <v>-40000</v>
      </c>
      <c r="S1543" s="428" t="str">
        <f>VLOOKUP(H1543,'Fund Utilization Report'!$A$4:$U$1800,13,FALSE)</f>
        <v>MOOE</v>
      </c>
      <c r="T1543" s="428" t="str">
        <f>VLOOKUP(H1543,'Fund Utilization Report'!$A$4:$U$1800,2,FALSE)</f>
        <v>GAA</v>
      </c>
      <c r="U1543" s="428" t="str">
        <f>VLOOKUP(H1543,'Fund Utilization Report'!$A$4:$U$1800,3,FALSE)</f>
        <v>FY2021, RA11518</v>
      </c>
      <c r="V1543" s="428" t="str">
        <f>VLOOKUP(H1543,'Fund Utilization Report'!$A$4:$U$1800,4,FALSE)</f>
        <v>OO3</v>
      </c>
      <c r="W1543" s="428" t="str">
        <f>VLOOKUP(H1543,'Fund Utilization Report'!$A$4:$U$1800,5,FALSE)</f>
        <v>01101101</v>
      </c>
      <c r="X1543" s="428" t="str">
        <f>VLOOKUP(H1543,'Fund Utilization Report'!$A$4:$U$1800,6,FALSE)</f>
        <v>GOP</v>
      </c>
      <c r="Y1543" s="320" t="str">
        <f>VLOOKUP(H1543,'Fund Utilization Report'!$A$4:$U$1800,7,FALSE)</f>
        <v>MOOE</v>
      </c>
      <c r="Z1543" s="425">
        <f>VLOOKUP(H1543,'Fund Utilization Report'!$A$4:$U$1800,8,FALSE)</f>
        <v>5020000000</v>
      </c>
      <c r="AA1543" s="428" t="str">
        <f>VLOOKUP(H1543,'Fund Utilization Report'!$A$4:$U$1800,14,FALSE)</f>
        <v>330100100002000</v>
      </c>
      <c r="AB1543" s="349" t="str">
        <f>VLOOKUP(H1543,'Fund Utilization Report'!$A$4:$U$1800,15,FALSE)</f>
        <v>Implementation of the MSME Development Plan and other initiatives to promote the growth of Micro, Small and Medium Enterprises</v>
      </c>
      <c r="AC1543" s="39"/>
      <c r="AD1543" s="34"/>
      <c r="AE1543" s="39"/>
      <c r="AF1543" s="51"/>
      <c r="AG1543" s="442"/>
      <c r="AH1543" s="442"/>
      <c r="AI1543" s="443"/>
    </row>
    <row r="1544" spans="1:35" s="32" customFormat="1" ht="29.25" customHeight="1">
      <c r="A1544" s="434" t="s">
        <v>942</v>
      </c>
      <c r="B1544" s="457" t="s">
        <v>946</v>
      </c>
      <c r="C1544" s="233">
        <v>44280</v>
      </c>
      <c r="D1544" s="435" t="s">
        <v>1267</v>
      </c>
      <c r="E1544" s="436" t="s">
        <v>1560</v>
      </c>
      <c r="F1544" s="338">
        <v>0.45555555555555555</v>
      </c>
      <c r="G1544" s="338">
        <v>0.45694444444444443</v>
      </c>
      <c r="H1544" s="458" t="s">
        <v>971</v>
      </c>
      <c r="I1544" s="353">
        <v>796</v>
      </c>
      <c r="J1544" s="338" t="str">
        <f>IFERROR(VLOOKUP(I1544,'Chart of accounts'!A:H,2,FALSE),"")</f>
        <v>50212020 00</v>
      </c>
      <c r="K1544" s="338" t="str">
        <f>IFERROR(VLOOKUP(I1544,'Chart of accounts'!A:H,3,FALSE),"")</f>
        <v>Janitorial Services</v>
      </c>
      <c r="L1544" s="338" t="str">
        <f>IFERROR(VLOOKUP(I1544,'Chart of accounts'!A:H,4,FALSE),"")</f>
        <v>50212020 00 - Janitorial Services (796)</v>
      </c>
      <c r="M1544" s="361" t="s">
        <v>1555</v>
      </c>
      <c r="N1544" s="355" t="s">
        <v>1540</v>
      </c>
      <c r="O1544" s="355" t="s">
        <v>1556</v>
      </c>
      <c r="P1544" s="355"/>
      <c r="Q1544" s="363">
        <v>34000</v>
      </c>
      <c r="R1544" s="428">
        <f t="shared" si="61"/>
        <v>-34000</v>
      </c>
      <c r="S1544" s="428" t="str">
        <f>VLOOKUP(H1544,'Fund Utilization Report'!$A$4:$U$1800,13,FALSE)</f>
        <v>MOOE</v>
      </c>
      <c r="T1544" s="428" t="str">
        <f>VLOOKUP(H1544,'Fund Utilization Report'!$A$4:$U$1800,2,FALSE)</f>
        <v>GAA</v>
      </c>
      <c r="U1544" s="428" t="str">
        <f>VLOOKUP(H1544,'Fund Utilization Report'!$A$4:$U$1800,3,FALSE)</f>
        <v>FY2021, RA11518</v>
      </c>
      <c r="V1544" s="428" t="str">
        <f>VLOOKUP(H1544,'Fund Utilization Report'!$A$4:$U$1800,4,FALSE)</f>
        <v>OO3</v>
      </c>
      <c r="W1544" s="428" t="str">
        <f>VLOOKUP(H1544,'Fund Utilization Report'!$A$4:$U$1800,5,FALSE)</f>
        <v>01101101</v>
      </c>
      <c r="X1544" s="428" t="str">
        <f>VLOOKUP(H1544,'Fund Utilization Report'!$A$4:$U$1800,6,FALSE)</f>
        <v>GOP</v>
      </c>
      <c r="Y1544" s="320" t="str">
        <f>VLOOKUP(H1544,'Fund Utilization Report'!$A$4:$U$1800,7,FALSE)</f>
        <v>MOOE</v>
      </c>
      <c r="Z1544" s="425">
        <f>VLOOKUP(H1544,'Fund Utilization Report'!$A$4:$U$1800,8,FALSE)</f>
        <v>5020000000</v>
      </c>
      <c r="AA1544" s="428" t="str">
        <f>VLOOKUP(H1544,'Fund Utilization Report'!$A$4:$U$1800,14,FALSE)</f>
        <v>330100100002000</v>
      </c>
      <c r="AB1544" s="349" t="str">
        <f>VLOOKUP(H1544,'Fund Utilization Report'!$A$4:$U$1800,15,FALSE)</f>
        <v>Implementation of the MSME Development Plan and other initiatives to promote the growth of Micro, Small and Medium Enterprises</v>
      </c>
      <c r="AC1544" s="39"/>
      <c r="AD1544" s="34"/>
      <c r="AE1544" s="39"/>
      <c r="AF1544" s="51"/>
      <c r="AG1544" s="442"/>
      <c r="AH1544" s="442"/>
      <c r="AI1544" s="443"/>
    </row>
    <row r="1545" spans="1:35" s="32" customFormat="1" ht="41.4">
      <c r="A1545" s="434" t="s">
        <v>942</v>
      </c>
      <c r="B1545" s="457" t="s">
        <v>946</v>
      </c>
      <c r="C1545" s="233">
        <v>44280</v>
      </c>
      <c r="D1545" s="435" t="s">
        <v>1267</v>
      </c>
      <c r="E1545" s="436" t="s">
        <v>1561</v>
      </c>
      <c r="F1545" s="338">
        <v>0.45694444444444443</v>
      </c>
      <c r="G1545" s="338">
        <v>0.45902777777777781</v>
      </c>
      <c r="H1545" s="338" t="s">
        <v>987</v>
      </c>
      <c r="I1545" s="353">
        <v>753</v>
      </c>
      <c r="J1545" s="338" t="str">
        <f>IFERROR(VLOOKUP(I1545,'Chart of accounts'!A:H,2,FALSE),"")</f>
        <v>50202010 00</v>
      </c>
      <c r="K1545" s="338" t="str">
        <f>IFERROR(VLOOKUP(I1545,'Chart of accounts'!A:H,3,FALSE),"")</f>
        <v>Training Expenses</v>
      </c>
      <c r="L1545" s="338" t="str">
        <f>IFERROR(VLOOKUP(I1545,'Chart of accounts'!A:H,4,FALSE),"")</f>
        <v>50202010 00 - Training Expenses (753)</v>
      </c>
      <c r="M1545" s="361" t="s">
        <v>923</v>
      </c>
      <c r="N1545" s="355" t="s">
        <v>1562</v>
      </c>
      <c r="O1545" s="355" t="s">
        <v>1563</v>
      </c>
      <c r="P1545" s="355"/>
      <c r="Q1545" s="363">
        <v>20000</v>
      </c>
      <c r="R1545" s="428">
        <f t="shared" ref="R1545:R1555" si="62">P1545-Q1545</f>
        <v>-20000</v>
      </c>
      <c r="S1545" s="428" t="str">
        <f>VLOOKUP(H1545,'Fund Utilization Report'!$A$4:$U$1800,13,FALSE)</f>
        <v>MOOE</v>
      </c>
      <c r="T1545" s="428" t="str">
        <f>VLOOKUP(H1545,'Fund Utilization Report'!$A$4:$U$1800,2,FALSE)</f>
        <v>SAA37</v>
      </c>
      <c r="U1545" s="428" t="str">
        <f>VLOOKUP(H1545,'Fund Utilization Report'!$A$4:$U$1800,3,FALSE)</f>
        <v>2021-01-0037</v>
      </c>
      <c r="V1545" s="428" t="str">
        <f>VLOOKUP(H1545,'Fund Utilization Report'!$A$4:$U$1800,4,FALSE)</f>
        <v>CARP</v>
      </c>
      <c r="W1545" s="428" t="str">
        <f>VLOOKUP(H1545,'Fund Utilization Report'!$A$4:$U$1800,5,FALSE)</f>
        <v>01101101</v>
      </c>
      <c r="X1545" s="428" t="str">
        <f>VLOOKUP(H1545,'Fund Utilization Report'!$A$4:$U$1800,6,FALSE)</f>
        <v>GOP</v>
      </c>
      <c r="Y1545" s="320">
        <f>VLOOKUP(H1545,'Fund Utilization Report'!$A$4:$U$1800,7,FALSE)</f>
        <v>753</v>
      </c>
      <c r="Z1545" s="425" t="str">
        <f>VLOOKUP(H1545,'Fund Utilization Report'!$A$4:$U$1800,8,FALSE)</f>
        <v>50202010 00</v>
      </c>
      <c r="AA1545" s="428" t="str">
        <f>VLOOKUP(H1545,'Fund Utilization Report'!$A$4:$U$1800,14,FALSE)</f>
        <v>330100100003000</v>
      </c>
      <c r="AB1545" s="349" t="str">
        <f>VLOOKUP(H1545,'Fund Utilization Report'!$A$4:$U$1800,15,FALSE)</f>
        <v>MSME Development Program : Program Beneficiaries Development Component of the Comprehensive Agrarian Reform Program</v>
      </c>
      <c r="AC1545" s="39"/>
      <c r="AD1545" s="34"/>
      <c r="AE1545" s="39"/>
      <c r="AF1545" s="51"/>
      <c r="AG1545" s="442"/>
      <c r="AH1545" s="442"/>
      <c r="AI1545" s="443"/>
    </row>
    <row r="1546" spans="1:35" s="411" customFormat="1" ht="27.6">
      <c r="A1546" s="405" t="s">
        <v>942</v>
      </c>
      <c r="B1546" s="488" t="s">
        <v>946</v>
      </c>
      <c r="C1546" s="402">
        <v>44280</v>
      </c>
      <c r="D1546" s="403" t="s">
        <v>1267</v>
      </c>
      <c r="E1546" s="404" t="s">
        <v>1564</v>
      </c>
      <c r="F1546" s="405">
        <v>0.41944444444444445</v>
      </c>
      <c r="G1546" s="405">
        <v>0.4201388888888889</v>
      </c>
      <c r="H1546" s="405" t="s">
        <v>985</v>
      </c>
      <c r="I1546" s="416">
        <v>753</v>
      </c>
      <c r="J1546" s="405" t="str">
        <f>IFERROR(VLOOKUP(I1546,'Chart of accounts'!A:H,2,FALSE),"")</f>
        <v>50202010 00</v>
      </c>
      <c r="K1546" s="405" t="str">
        <f>IFERROR(VLOOKUP(I1546,'Chart of accounts'!A:H,3,FALSE),"")</f>
        <v>Training Expenses</v>
      </c>
      <c r="L1546" s="405" t="str">
        <f>IFERROR(VLOOKUP(I1546,'Chart of accounts'!A:H,4,FALSE),"")</f>
        <v>50202010 00 - Training Expenses (753)</v>
      </c>
      <c r="M1546" s="408" t="s">
        <v>7</v>
      </c>
      <c r="N1546" s="409" t="s">
        <v>1565</v>
      </c>
      <c r="O1546" s="409" t="s">
        <v>1566</v>
      </c>
      <c r="P1546" s="409"/>
      <c r="Q1546" s="491">
        <f>15930-15930</f>
        <v>0</v>
      </c>
      <c r="R1546" s="428">
        <f t="shared" si="62"/>
        <v>0</v>
      </c>
      <c r="S1546" s="63" t="str">
        <f>VLOOKUP(H1546,'Fund Utilization Report'!$A$4:$U$1800,13,FALSE)</f>
        <v>MOOE</v>
      </c>
      <c r="T1546" s="63" t="str">
        <f>VLOOKUP(H1546,'Fund Utilization Report'!$A$4:$U$1800,2,FALSE)</f>
        <v>GAA</v>
      </c>
      <c r="U1546" s="63" t="str">
        <f>VLOOKUP(H1546,'Fund Utilization Report'!$A$4:$U$1800,3,FALSE)</f>
        <v>FY2021, RA11518</v>
      </c>
      <c r="V1546" s="63" t="str">
        <f>VLOOKUP(H1546,'Fund Utilization Report'!$A$4:$U$1800,4,FALSE)</f>
        <v>LSP-PBG</v>
      </c>
      <c r="W1546" s="63" t="str">
        <f>VLOOKUP(H1546,'Fund Utilization Report'!$A$4:$U$1800,5,FALSE)</f>
        <v>01101101</v>
      </c>
      <c r="X1546" s="63" t="str">
        <f>VLOOKUP(H1546,'Fund Utilization Report'!$A$4:$U$1800,6,FALSE)</f>
        <v>GOP</v>
      </c>
      <c r="Y1546" s="417" t="str">
        <f>VLOOKUP(H1546,'Fund Utilization Report'!$A$4:$U$1800,7,FALSE)</f>
        <v>MOOE</v>
      </c>
      <c r="Z1546" s="418">
        <f>VLOOKUP(H1546,'Fund Utilization Report'!$A$4:$U$1800,8,FALSE)</f>
        <v>5020000000</v>
      </c>
      <c r="AA1546" s="63" t="str">
        <f>VLOOKUP(H1546,'Fund Utilization Report'!$A$4:$U$1800,14,FALSE)</f>
        <v>330100200004000</v>
      </c>
      <c r="AB1546" s="419" t="str">
        <f>VLOOKUP(H1546,'Fund Utilization Report'!$A$4:$U$1800,15,FALSE)</f>
        <v>MSME Development Program : Livelihood Seeding Program and Pangkabuhayan sa Pagbangon at Ginhawa</v>
      </c>
      <c r="AC1546" s="406"/>
      <c r="AD1546" s="403"/>
      <c r="AE1546" s="406"/>
      <c r="AF1546" s="406"/>
      <c r="AG1546" s="407"/>
      <c r="AH1546" s="407"/>
    </row>
    <row r="1547" spans="1:35" s="32" customFormat="1">
      <c r="A1547" s="434" t="s">
        <v>942</v>
      </c>
      <c r="B1547" s="457" t="s">
        <v>946</v>
      </c>
      <c r="C1547" s="233">
        <v>44280</v>
      </c>
      <c r="D1547" s="435" t="s">
        <v>1267</v>
      </c>
      <c r="E1547" s="436" t="s">
        <v>1567</v>
      </c>
      <c r="F1547" s="338">
        <v>0.4201388888888889</v>
      </c>
      <c r="G1547" s="338">
        <v>0.42222222222222222</v>
      </c>
      <c r="H1547" s="338" t="s">
        <v>965</v>
      </c>
      <c r="I1547" s="353">
        <v>767</v>
      </c>
      <c r="J1547" s="338" t="str">
        <f>IFERROR(VLOOKUP(I1547,'Chart of accounts'!A:H,2,FALSE),"")</f>
        <v>50204020 00</v>
      </c>
      <c r="K1547" s="338" t="str">
        <f>IFERROR(VLOOKUP(I1547,'Chart of accounts'!A:H,3,FALSE),"")</f>
        <v>Electricity Expense</v>
      </c>
      <c r="L1547" s="338" t="str">
        <f>IFERROR(VLOOKUP(I1547,'Chart of accounts'!A:H,4,FALSE),"")</f>
        <v>50204020 00 - Electricity Expense (767)</v>
      </c>
      <c r="M1547" s="361">
        <v>1</v>
      </c>
      <c r="N1547" s="355" t="s">
        <v>1315</v>
      </c>
      <c r="O1547" s="355" t="s">
        <v>1568</v>
      </c>
      <c r="P1547" s="355"/>
      <c r="Q1547" s="363">
        <v>101505.45</v>
      </c>
      <c r="R1547" s="428">
        <f t="shared" si="62"/>
        <v>-101505.45</v>
      </c>
      <c r="S1547" s="428" t="str">
        <f>VLOOKUP(H1547,'Fund Utilization Report'!$A$4:$U$1800,13,FALSE)</f>
        <v>MOOE</v>
      </c>
      <c r="T1547" s="428" t="str">
        <f>VLOOKUP(H1547,'Fund Utilization Report'!$A$4:$U$1800,2,FALSE)</f>
        <v>GAA</v>
      </c>
      <c r="U1547" s="428" t="str">
        <f>VLOOKUP(H1547,'Fund Utilization Report'!$A$4:$U$1800,3,FALSE)</f>
        <v>FY2021, RA11518</v>
      </c>
      <c r="V1547" s="428" t="str">
        <f>VLOOKUP(H1547,'Fund Utilization Report'!$A$4:$U$1800,4,FALSE)</f>
        <v>OO1</v>
      </c>
      <c r="W1547" s="428" t="str">
        <f>VLOOKUP(H1547,'Fund Utilization Report'!$A$4:$U$1800,5,FALSE)</f>
        <v>01101101</v>
      </c>
      <c r="X1547" s="428" t="str">
        <f>VLOOKUP(H1547,'Fund Utilization Report'!$A$4:$U$1800,6,FALSE)</f>
        <v>GOP</v>
      </c>
      <c r="Y1547" s="320" t="str">
        <f>VLOOKUP(H1547,'Fund Utilization Report'!$A$4:$U$1800,7,FALSE)</f>
        <v>MOOE</v>
      </c>
      <c r="Z1547" s="425">
        <f>VLOOKUP(H1547,'Fund Utilization Report'!$A$4:$U$1800,8,FALSE)</f>
        <v>5020000000</v>
      </c>
      <c r="AA1547" s="428" t="str">
        <f>VLOOKUP(H1547,'Fund Utilization Report'!$A$4:$U$1800,14,FALSE)</f>
        <v>310100100002000</v>
      </c>
      <c r="AB1547" s="349" t="str">
        <f>VLOOKUP(H1547,'Fund Utilization Report'!$A$4:$U$1800,15,FALSE)</f>
        <v>Development,Facilitation, and promotion of exports and investment, domestic and foreign</v>
      </c>
      <c r="AC1547" s="39"/>
      <c r="AD1547" s="34"/>
      <c r="AE1547" s="39"/>
      <c r="AF1547" s="51"/>
      <c r="AG1547" s="442"/>
      <c r="AH1547" s="442"/>
      <c r="AI1547" s="443"/>
    </row>
    <row r="1548" spans="1:35" s="32" customFormat="1">
      <c r="A1548" s="434" t="s">
        <v>942</v>
      </c>
      <c r="B1548" s="457" t="s">
        <v>946</v>
      </c>
      <c r="C1548" s="233">
        <v>44280</v>
      </c>
      <c r="D1548" s="435" t="s">
        <v>1267</v>
      </c>
      <c r="E1548" s="436" t="s">
        <v>1569</v>
      </c>
      <c r="F1548" s="338">
        <v>0.42222222222222222</v>
      </c>
      <c r="G1548" s="338">
        <v>0.42291666666666666</v>
      </c>
      <c r="H1548" s="338" t="s">
        <v>971</v>
      </c>
      <c r="I1548" s="353">
        <v>795</v>
      </c>
      <c r="J1548" s="338" t="str">
        <f>IFERROR(VLOOKUP(I1548,'Chart of accounts'!A:H,2,FALSE),"")</f>
        <v>50212990 00</v>
      </c>
      <c r="K1548" s="338" t="str">
        <f>IFERROR(VLOOKUP(I1548,'Chart of accounts'!A:H,3,FALSE),"")</f>
        <v>Other General Services</v>
      </c>
      <c r="L1548" s="338" t="str">
        <f>IFERROR(VLOOKUP(I1548,'Chart of accounts'!A:H,4,FALSE),"")</f>
        <v>50212990 00 - Other General Services (795)</v>
      </c>
      <c r="M1548" s="361" t="s">
        <v>812</v>
      </c>
      <c r="N1548" s="355" t="s">
        <v>1075</v>
      </c>
      <c r="O1548" s="355" t="s">
        <v>1570</v>
      </c>
      <c r="P1548" s="355"/>
      <c r="Q1548" s="363">
        <v>13034</v>
      </c>
      <c r="R1548" s="428">
        <f t="shared" si="62"/>
        <v>-13034</v>
      </c>
      <c r="S1548" s="428" t="str">
        <f>VLOOKUP(H1548,'Fund Utilization Report'!$A$4:$U$1800,13,FALSE)</f>
        <v>MOOE</v>
      </c>
      <c r="T1548" s="428" t="str">
        <f>VLOOKUP(H1548,'Fund Utilization Report'!$A$4:$U$1800,2,FALSE)</f>
        <v>GAA</v>
      </c>
      <c r="U1548" s="428" t="str">
        <f>VLOOKUP(H1548,'Fund Utilization Report'!$A$4:$U$1800,3,FALSE)</f>
        <v>FY2021, RA11518</v>
      </c>
      <c r="V1548" s="428" t="str">
        <f>VLOOKUP(H1548,'Fund Utilization Report'!$A$4:$U$1800,4,FALSE)</f>
        <v>OO3</v>
      </c>
      <c r="W1548" s="428" t="str">
        <f>VLOOKUP(H1548,'Fund Utilization Report'!$A$4:$U$1800,5,FALSE)</f>
        <v>01101101</v>
      </c>
      <c r="X1548" s="428" t="str">
        <f>VLOOKUP(H1548,'Fund Utilization Report'!$A$4:$U$1800,6,FALSE)</f>
        <v>GOP</v>
      </c>
      <c r="Y1548" s="320" t="str">
        <f>VLOOKUP(H1548,'Fund Utilization Report'!$A$4:$U$1800,7,FALSE)</f>
        <v>MOOE</v>
      </c>
      <c r="Z1548" s="425">
        <f>VLOOKUP(H1548,'Fund Utilization Report'!$A$4:$U$1800,8,FALSE)</f>
        <v>5020000000</v>
      </c>
      <c r="AA1548" s="428" t="str">
        <f>VLOOKUP(H1548,'Fund Utilization Report'!$A$4:$U$1800,14,FALSE)</f>
        <v>330100100002000</v>
      </c>
      <c r="AB1548" s="349" t="str">
        <f>VLOOKUP(H1548,'Fund Utilization Report'!$A$4:$U$1800,15,FALSE)</f>
        <v>Implementation of the MSME Development Plan and other initiatives to promote the growth of Micro, Small and Medium Enterprises</v>
      </c>
      <c r="AC1548" s="39"/>
      <c r="AD1548" s="34"/>
      <c r="AE1548" s="39"/>
      <c r="AF1548" s="51"/>
      <c r="AG1548" s="442"/>
      <c r="AH1548" s="442"/>
      <c r="AI1548" s="443"/>
    </row>
    <row r="1549" spans="1:35" s="32" customFormat="1">
      <c r="A1549" s="434" t="s">
        <v>942</v>
      </c>
      <c r="B1549" s="457" t="s">
        <v>946</v>
      </c>
      <c r="C1549" s="233">
        <v>44280</v>
      </c>
      <c r="D1549" s="435" t="s">
        <v>1267</v>
      </c>
      <c r="E1549" s="436" t="s">
        <v>1571</v>
      </c>
      <c r="F1549" s="338">
        <v>0.42291666666666666</v>
      </c>
      <c r="G1549" s="338">
        <v>0.42430555555555555</v>
      </c>
      <c r="H1549" s="338" t="s">
        <v>961</v>
      </c>
      <c r="I1549" s="353">
        <v>755</v>
      </c>
      <c r="J1549" s="338" t="str">
        <f>IFERROR(VLOOKUP(I1549,'Chart of accounts'!A:H,2,FALSE),"")</f>
        <v>50203010 00</v>
      </c>
      <c r="K1549" s="338" t="str">
        <f>IFERROR(VLOOKUP(I1549,'Chart of accounts'!A:H,3,FALSE),"")</f>
        <v>Office Supplies Expenses</v>
      </c>
      <c r="L1549" s="338" t="str">
        <f>IFERROR(VLOOKUP(I1549,'Chart of accounts'!A:H,4,FALSE),"")</f>
        <v>50203010 00 - Office Supplies Expenses (755)</v>
      </c>
      <c r="M1549" s="361" t="s">
        <v>812</v>
      </c>
      <c r="N1549" s="355" t="s">
        <v>1572</v>
      </c>
      <c r="O1549" s="355" t="s">
        <v>1573</v>
      </c>
      <c r="P1549" s="355"/>
      <c r="Q1549" s="363">
        <v>6850</v>
      </c>
      <c r="R1549" s="428">
        <f t="shared" si="62"/>
        <v>-6850</v>
      </c>
      <c r="S1549" s="428" t="str">
        <f>VLOOKUP(H1549,'Fund Utilization Report'!$A$4:$U$1800,13,FALSE)</f>
        <v>MOOE</v>
      </c>
      <c r="T1549" s="428" t="str">
        <f>VLOOKUP(H1549,'Fund Utilization Report'!$A$4:$U$1800,2,FALSE)</f>
        <v>GAA</v>
      </c>
      <c r="U1549" s="428" t="str">
        <f>VLOOKUP(H1549,'Fund Utilization Report'!$A$4:$U$1800,3,FALSE)</f>
        <v>FY2021, RA11518</v>
      </c>
      <c r="V1549" s="428" t="str">
        <f>VLOOKUP(H1549,'Fund Utilization Report'!$A$4:$U$1800,4,FALSE)</f>
        <v>GAS(GMS)</v>
      </c>
      <c r="W1549" s="428" t="str">
        <f>VLOOKUP(H1549,'Fund Utilization Report'!$A$4:$U$1800,5,FALSE)</f>
        <v>01101101</v>
      </c>
      <c r="X1549" s="428" t="str">
        <f>VLOOKUP(H1549,'Fund Utilization Report'!$A$4:$U$1800,6,FALSE)</f>
        <v>GOP</v>
      </c>
      <c r="Y1549" s="320" t="str">
        <f>VLOOKUP(H1549,'Fund Utilization Report'!$A$4:$U$1800,7,FALSE)</f>
        <v>MOOE</v>
      </c>
      <c r="Z1549" s="425">
        <f>VLOOKUP(H1549,'Fund Utilization Report'!$A$4:$U$1800,8,FALSE)</f>
        <v>5020000000</v>
      </c>
      <c r="AA1549" s="428" t="str">
        <f>VLOOKUP(H1549,'Fund Utilization Report'!$A$4:$U$1800,14,FALSE)</f>
        <v>100000100001000</v>
      </c>
      <c r="AB1549" s="349" t="str">
        <f>VLOOKUP(H1549,'Fund Utilization Report'!$A$4:$U$1800,15,FALSE)</f>
        <v>General Administration and Supervision - General Management and Supervision</v>
      </c>
      <c r="AC1549" s="39"/>
      <c r="AD1549" s="34"/>
      <c r="AE1549" s="39"/>
      <c r="AF1549" s="51"/>
      <c r="AG1549" s="442"/>
      <c r="AH1549" s="442"/>
      <c r="AI1549" s="443"/>
    </row>
    <row r="1550" spans="1:35" s="32" customFormat="1" ht="27.6">
      <c r="A1550" s="434" t="s">
        <v>942</v>
      </c>
      <c r="B1550" s="457" t="s">
        <v>946</v>
      </c>
      <c r="C1550" s="233">
        <v>44280</v>
      </c>
      <c r="D1550" s="435" t="s">
        <v>1267</v>
      </c>
      <c r="E1550" s="436" t="s">
        <v>1574</v>
      </c>
      <c r="F1550" s="338">
        <v>0.42430555555555555</v>
      </c>
      <c r="G1550" s="338">
        <v>0.42499999999999999</v>
      </c>
      <c r="H1550" s="338" t="s">
        <v>961</v>
      </c>
      <c r="I1550" s="353">
        <v>773</v>
      </c>
      <c r="J1550" s="338" t="str">
        <f>IFERROR(VLOOKUP(I1550,'Chart of accounts'!A:H,2,FALSE),"")</f>
        <v>50205020 01</v>
      </c>
      <c r="K1550" s="338" t="str">
        <f>IFERROR(VLOOKUP(I1550,'Chart of accounts'!A:H,3,FALSE),"")</f>
        <v xml:space="preserve">Telephone Expenses - Mobile </v>
      </c>
      <c r="L1550" s="338" t="str">
        <f>IFERROR(VLOOKUP(I1550,'Chart of accounts'!A:H,4,FALSE),"")</f>
        <v>50205020 01 - Telephone Expenses - Mobile  (773)</v>
      </c>
      <c r="M1550" s="361" t="s">
        <v>812</v>
      </c>
      <c r="N1550" s="355" t="s">
        <v>1102</v>
      </c>
      <c r="O1550" s="355" t="s">
        <v>1575</v>
      </c>
      <c r="P1550" s="355"/>
      <c r="Q1550" s="363">
        <v>2500</v>
      </c>
      <c r="R1550" s="428">
        <f t="shared" si="62"/>
        <v>-2500</v>
      </c>
      <c r="S1550" s="428" t="str">
        <f>VLOOKUP(H1550,'Fund Utilization Report'!$A$4:$U$1800,13,FALSE)</f>
        <v>MOOE</v>
      </c>
      <c r="T1550" s="428" t="str">
        <f>VLOOKUP(H1550,'Fund Utilization Report'!$A$4:$U$1800,2,FALSE)</f>
        <v>GAA</v>
      </c>
      <c r="U1550" s="428" t="str">
        <f>VLOOKUP(H1550,'Fund Utilization Report'!$A$4:$U$1800,3,FALSE)</f>
        <v>FY2021, RA11518</v>
      </c>
      <c r="V1550" s="428" t="str">
        <f>VLOOKUP(H1550,'Fund Utilization Report'!$A$4:$U$1800,4,FALSE)</f>
        <v>GAS(GMS)</v>
      </c>
      <c r="W1550" s="428" t="str">
        <f>VLOOKUP(H1550,'Fund Utilization Report'!$A$4:$U$1800,5,FALSE)</f>
        <v>01101101</v>
      </c>
      <c r="X1550" s="428" t="str">
        <f>VLOOKUP(H1550,'Fund Utilization Report'!$A$4:$U$1800,6,FALSE)</f>
        <v>GOP</v>
      </c>
      <c r="Y1550" s="320" t="str">
        <f>VLOOKUP(H1550,'Fund Utilization Report'!$A$4:$U$1800,7,FALSE)</f>
        <v>MOOE</v>
      </c>
      <c r="Z1550" s="425">
        <f>VLOOKUP(H1550,'Fund Utilization Report'!$A$4:$U$1800,8,FALSE)</f>
        <v>5020000000</v>
      </c>
      <c r="AA1550" s="428" t="str">
        <f>VLOOKUP(H1550,'Fund Utilization Report'!$A$4:$U$1800,14,FALSE)</f>
        <v>100000100001000</v>
      </c>
      <c r="AB1550" s="349" t="str">
        <f>VLOOKUP(H1550,'Fund Utilization Report'!$A$4:$U$1800,15,FALSE)</f>
        <v>General Administration and Supervision - General Management and Supervision</v>
      </c>
      <c r="AC1550" s="39"/>
      <c r="AD1550" s="34"/>
      <c r="AE1550" s="39"/>
      <c r="AF1550" s="51"/>
      <c r="AG1550" s="442"/>
      <c r="AH1550" s="442"/>
      <c r="AI1550" s="443"/>
    </row>
    <row r="1551" spans="1:35" s="32" customFormat="1">
      <c r="A1551" s="434" t="s">
        <v>942</v>
      </c>
      <c r="B1551" s="457" t="s">
        <v>946</v>
      </c>
      <c r="C1551" s="233">
        <v>44280</v>
      </c>
      <c r="D1551" s="435" t="s">
        <v>1267</v>
      </c>
      <c r="E1551" s="436" t="s">
        <v>1576</v>
      </c>
      <c r="F1551" s="338">
        <v>0.42499999999999999</v>
      </c>
      <c r="G1551" s="338">
        <v>0.42638888888888887</v>
      </c>
      <c r="H1551" s="338" t="s">
        <v>971</v>
      </c>
      <c r="I1551" s="353">
        <v>755</v>
      </c>
      <c r="J1551" s="338" t="str">
        <f>IFERROR(VLOOKUP(I1551,'Chart of accounts'!A:H,2,FALSE),"")</f>
        <v>50203010 00</v>
      </c>
      <c r="K1551" s="338" t="str">
        <f>IFERROR(VLOOKUP(I1551,'Chart of accounts'!A:H,3,FALSE),"")</f>
        <v>Office Supplies Expenses</v>
      </c>
      <c r="L1551" s="338" t="str">
        <f>IFERROR(VLOOKUP(I1551,'Chart of accounts'!A:H,4,FALSE),"")</f>
        <v>50203010 00 - Office Supplies Expenses (755)</v>
      </c>
      <c r="M1551" s="361" t="s">
        <v>813</v>
      </c>
      <c r="N1551" s="355" t="s">
        <v>1577</v>
      </c>
      <c r="O1551" s="355" t="s">
        <v>1578</v>
      </c>
      <c r="P1551" s="355"/>
      <c r="Q1551" s="363">
        <v>2511.36</v>
      </c>
      <c r="R1551" s="428">
        <f t="shared" si="62"/>
        <v>-2511.36</v>
      </c>
      <c r="S1551" s="428" t="str">
        <f>VLOOKUP(H1551,'Fund Utilization Report'!$A$4:$U$1800,13,FALSE)</f>
        <v>MOOE</v>
      </c>
      <c r="T1551" s="428" t="str">
        <f>VLOOKUP(H1551,'Fund Utilization Report'!$A$4:$U$1800,2,FALSE)</f>
        <v>GAA</v>
      </c>
      <c r="U1551" s="428" t="str">
        <f>VLOOKUP(H1551,'Fund Utilization Report'!$A$4:$U$1800,3,FALSE)</f>
        <v>FY2021, RA11518</v>
      </c>
      <c r="V1551" s="428" t="str">
        <f>VLOOKUP(H1551,'Fund Utilization Report'!$A$4:$U$1800,4,FALSE)</f>
        <v>OO3</v>
      </c>
      <c r="W1551" s="428" t="str">
        <f>VLOOKUP(H1551,'Fund Utilization Report'!$A$4:$U$1800,5,FALSE)</f>
        <v>01101101</v>
      </c>
      <c r="X1551" s="428" t="str">
        <f>VLOOKUP(H1551,'Fund Utilization Report'!$A$4:$U$1800,6,FALSE)</f>
        <v>GOP</v>
      </c>
      <c r="Y1551" s="320" t="str">
        <f>VLOOKUP(H1551,'Fund Utilization Report'!$A$4:$U$1800,7,FALSE)</f>
        <v>MOOE</v>
      </c>
      <c r="Z1551" s="425">
        <f>VLOOKUP(H1551,'Fund Utilization Report'!$A$4:$U$1800,8,FALSE)</f>
        <v>5020000000</v>
      </c>
      <c r="AA1551" s="428" t="str">
        <f>VLOOKUP(H1551,'Fund Utilization Report'!$A$4:$U$1800,14,FALSE)</f>
        <v>330100100002000</v>
      </c>
      <c r="AB1551" s="349" t="str">
        <f>VLOOKUP(H1551,'Fund Utilization Report'!$A$4:$U$1800,15,FALSE)</f>
        <v>Implementation of the MSME Development Plan and other initiatives to promote the growth of Micro, Small and Medium Enterprises</v>
      </c>
      <c r="AC1551" s="39"/>
      <c r="AD1551" s="34"/>
      <c r="AE1551" s="39"/>
      <c r="AF1551" s="51"/>
      <c r="AG1551" s="442"/>
      <c r="AH1551" s="442"/>
      <c r="AI1551" s="443"/>
    </row>
    <row r="1552" spans="1:35" s="32" customFormat="1">
      <c r="A1552" s="434" t="s">
        <v>942</v>
      </c>
      <c r="B1552" s="457" t="s">
        <v>946</v>
      </c>
      <c r="C1552" s="233">
        <v>44280</v>
      </c>
      <c r="D1552" s="435" t="s">
        <v>1267</v>
      </c>
      <c r="E1552" s="436" t="s">
        <v>1579</v>
      </c>
      <c r="F1552" s="338">
        <v>0.42638888888888887</v>
      </c>
      <c r="G1552" s="338">
        <v>0.42777777777777781</v>
      </c>
      <c r="H1552" s="338" t="s">
        <v>983</v>
      </c>
      <c r="I1552" s="353">
        <v>799</v>
      </c>
      <c r="J1552" s="338" t="str">
        <f>IFERROR(VLOOKUP(I1552,'Chart of accounts'!A:H,2,FALSE),"")</f>
        <v>50211990 00</v>
      </c>
      <c r="K1552" s="338" t="str">
        <f>IFERROR(VLOOKUP(I1552,'Chart of accounts'!A:H,3,FALSE),"")</f>
        <v>Other Professional Services</v>
      </c>
      <c r="L1552" s="338" t="str">
        <f>IFERROR(VLOOKUP(I1552,'Chart of accounts'!A:H,4,FALSE),"")</f>
        <v>50211990 00 - Other Professional Services (799)</v>
      </c>
      <c r="M1552" s="361" t="s">
        <v>5</v>
      </c>
      <c r="N1552" s="355" t="s">
        <v>1235</v>
      </c>
      <c r="O1552" s="355" t="s">
        <v>1570</v>
      </c>
      <c r="P1552" s="355"/>
      <c r="Q1552" s="363">
        <v>10000</v>
      </c>
      <c r="R1552" s="428">
        <f t="shared" si="62"/>
        <v>-10000</v>
      </c>
      <c r="S1552" s="428" t="str">
        <f>VLOOKUP(H1552,'Fund Utilization Report'!$A$4:$U$1800,13,FALSE)</f>
        <v>MOOE</v>
      </c>
      <c r="T1552" s="428" t="str">
        <f>VLOOKUP(H1552,'Fund Utilization Report'!$A$4:$U$1800,2,FALSE)</f>
        <v>GAA</v>
      </c>
      <c r="U1552" s="428" t="str">
        <f>VLOOKUP(H1552,'Fund Utilization Report'!$A$4:$U$1800,3,FALSE)</f>
        <v>FY2021, RA11518</v>
      </c>
      <c r="V1552" s="428" t="str">
        <f>VLOOKUP(H1552,'Fund Utilization Report'!$A$4:$U$1800,4,FALSE)</f>
        <v>SSF</v>
      </c>
      <c r="W1552" s="428" t="str">
        <f>VLOOKUP(H1552,'Fund Utilization Report'!$A$4:$U$1800,5,FALSE)</f>
        <v>01101101</v>
      </c>
      <c r="X1552" s="428" t="str">
        <f>VLOOKUP(H1552,'Fund Utilization Report'!$A$4:$U$1800,6,FALSE)</f>
        <v>GOP</v>
      </c>
      <c r="Y1552" s="320" t="str">
        <f>VLOOKUP(H1552,'Fund Utilization Report'!$A$4:$U$1800,7,FALSE)</f>
        <v>MOOE</v>
      </c>
      <c r="Z1552" s="425">
        <f>VLOOKUP(H1552,'Fund Utilization Report'!$A$4:$U$1800,8,FALSE)</f>
        <v>5020000000</v>
      </c>
      <c r="AA1552" s="428" t="str">
        <f>VLOOKUP(H1552,'Fund Utilization Report'!$A$4:$U$1800,14,FALSE)</f>
        <v>330100200003000</v>
      </c>
      <c r="AB1552" s="349" t="str">
        <f>VLOOKUP(H1552,'Fund Utilization Report'!$A$4:$U$1800,15,FALSE)</f>
        <v>Shared Service Facilities Project</v>
      </c>
      <c r="AC1552" s="39"/>
      <c r="AD1552" s="34"/>
      <c r="AE1552" s="39"/>
      <c r="AF1552" s="51"/>
      <c r="AG1552" s="442"/>
      <c r="AH1552" s="442"/>
      <c r="AI1552" s="443"/>
    </row>
    <row r="1553" spans="1:35" s="32" customFormat="1">
      <c r="A1553" s="434" t="s">
        <v>942</v>
      </c>
      <c r="B1553" s="457" t="s">
        <v>946</v>
      </c>
      <c r="C1553" s="233">
        <v>44280</v>
      </c>
      <c r="D1553" s="435" t="s">
        <v>1267</v>
      </c>
      <c r="E1553" s="436" t="s">
        <v>1580</v>
      </c>
      <c r="F1553" s="338">
        <v>0.42777777777777781</v>
      </c>
      <c r="G1553" s="338">
        <v>0.4284722222222222</v>
      </c>
      <c r="H1553" s="338" t="s">
        <v>961</v>
      </c>
      <c r="I1553" s="353">
        <v>782</v>
      </c>
      <c r="J1553" s="338" t="str">
        <f>IFERROR(VLOOKUP(I1553,'Chart of accounts'!A:H,2,FALSE),"")</f>
        <v>50299050 01</v>
      </c>
      <c r="K1553" s="338" t="str">
        <f>IFERROR(VLOOKUP(I1553,'Chart of accounts'!A:H,3,FALSE),"")</f>
        <v>Rent - Buildings and Structures</v>
      </c>
      <c r="L1553" s="338" t="str">
        <f>IFERROR(VLOOKUP(I1553,'Chart of accounts'!A:H,4,FALSE),"")</f>
        <v>50299050 01 - Rent - Buildings and Structures (782)</v>
      </c>
      <c r="M1553" s="361">
        <v>1</v>
      </c>
      <c r="N1553" s="355" t="s">
        <v>779</v>
      </c>
      <c r="O1553" s="355" t="s">
        <v>1581</v>
      </c>
      <c r="P1553" s="355"/>
      <c r="Q1553" s="363">
        <v>170501.47</v>
      </c>
      <c r="R1553" s="428">
        <f t="shared" si="62"/>
        <v>-170501.47</v>
      </c>
      <c r="S1553" s="428" t="str">
        <f>VLOOKUP(H1553,'Fund Utilization Report'!$A$4:$U$1800,13,FALSE)</f>
        <v>MOOE</v>
      </c>
      <c r="T1553" s="428" t="str">
        <f>VLOOKUP(H1553,'Fund Utilization Report'!$A$4:$U$1800,2,FALSE)</f>
        <v>GAA</v>
      </c>
      <c r="U1553" s="428" t="str">
        <f>VLOOKUP(H1553,'Fund Utilization Report'!$A$4:$U$1800,3,FALSE)</f>
        <v>FY2021, RA11518</v>
      </c>
      <c r="V1553" s="428" t="str">
        <f>VLOOKUP(H1553,'Fund Utilization Report'!$A$4:$U$1800,4,FALSE)</f>
        <v>GAS(GMS)</v>
      </c>
      <c r="W1553" s="428" t="str">
        <f>VLOOKUP(H1553,'Fund Utilization Report'!$A$4:$U$1800,5,FALSE)</f>
        <v>01101101</v>
      </c>
      <c r="X1553" s="428" t="str">
        <f>VLOOKUP(H1553,'Fund Utilization Report'!$A$4:$U$1800,6,FALSE)</f>
        <v>GOP</v>
      </c>
      <c r="Y1553" s="320" t="str">
        <f>VLOOKUP(H1553,'Fund Utilization Report'!$A$4:$U$1800,7,FALSE)</f>
        <v>MOOE</v>
      </c>
      <c r="Z1553" s="425">
        <f>VLOOKUP(H1553,'Fund Utilization Report'!$A$4:$U$1800,8,FALSE)</f>
        <v>5020000000</v>
      </c>
      <c r="AA1553" s="428" t="str">
        <f>VLOOKUP(H1553,'Fund Utilization Report'!$A$4:$U$1800,14,FALSE)</f>
        <v>100000100001000</v>
      </c>
      <c r="AB1553" s="349" t="str">
        <f>VLOOKUP(H1553,'Fund Utilization Report'!$A$4:$U$1800,15,FALSE)</f>
        <v>General Administration and Supervision - General Management and Supervision</v>
      </c>
      <c r="AC1553" s="39"/>
      <c r="AD1553" s="34"/>
      <c r="AE1553" s="39"/>
      <c r="AF1553" s="51"/>
      <c r="AG1553" s="442"/>
      <c r="AH1553" s="442"/>
      <c r="AI1553" s="443"/>
    </row>
    <row r="1554" spans="1:35" s="32" customFormat="1">
      <c r="A1554" s="434" t="s">
        <v>942</v>
      </c>
      <c r="B1554" s="457" t="s">
        <v>946</v>
      </c>
      <c r="C1554" s="233">
        <v>44280</v>
      </c>
      <c r="D1554" s="435" t="s">
        <v>1267</v>
      </c>
      <c r="E1554" s="436" t="s">
        <v>1582</v>
      </c>
      <c r="F1554" s="338">
        <v>0.4284722222222222</v>
      </c>
      <c r="G1554" s="338">
        <v>0.4291666666666667</v>
      </c>
      <c r="H1554" s="338" t="s">
        <v>961</v>
      </c>
      <c r="I1554" s="353">
        <v>766</v>
      </c>
      <c r="J1554" s="338" t="str">
        <f>IFERROR(VLOOKUP(I1554,'Chart of accounts'!A:H,2,FALSE),"")</f>
        <v>50204010 00</v>
      </c>
      <c r="K1554" s="338" t="str">
        <f>IFERROR(VLOOKUP(I1554,'Chart of accounts'!A:H,3,FALSE),"")</f>
        <v>Water Expenses</v>
      </c>
      <c r="L1554" s="338" t="str">
        <f>IFERROR(VLOOKUP(I1554,'Chart of accounts'!A:H,4,FALSE),"")</f>
        <v>50204010 00 - Water Expenses (766)</v>
      </c>
      <c r="M1554" s="361">
        <v>1</v>
      </c>
      <c r="N1554" s="355" t="s">
        <v>839</v>
      </c>
      <c r="O1554" s="355" t="s">
        <v>1583</v>
      </c>
      <c r="P1554" s="355"/>
      <c r="Q1554" s="363">
        <v>7712.46</v>
      </c>
      <c r="R1554" s="428">
        <f t="shared" si="62"/>
        <v>-7712.46</v>
      </c>
      <c r="S1554" s="428" t="str">
        <f>VLOOKUP(H1554,'Fund Utilization Report'!$A$4:$U$1800,13,FALSE)</f>
        <v>MOOE</v>
      </c>
      <c r="T1554" s="428" t="str">
        <f>VLOOKUP(H1554,'Fund Utilization Report'!$A$4:$U$1800,2,FALSE)</f>
        <v>GAA</v>
      </c>
      <c r="U1554" s="428" t="str">
        <f>VLOOKUP(H1554,'Fund Utilization Report'!$A$4:$U$1800,3,FALSE)</f>
        <v>FY2021, RA11518</v>
      </c>
      <c r="V1554" s="428" t="str">
        <f>VLOOKUP(H1554,'Fund Utilization Report'!$A$4:$U$1800,4,FALSE)</f>
        <v>GAS(GMS)</v>
      </c>
      <c r="W1554" s="428" t="str">
        <f>VLOOKUP(H1554,'Fund Utilization Report'!$A$4:$U$1800,5,FALSE)</f>
        <v>01101101</v>
      </c>
      <c r="X1554" s="428" t="str">
        <f>VLOOKUP(H1554,'Fund Utilization Report'!$A$4:$U$1800,6,FALSE)</f>
        <v>GOP</v>
      </c>
      <c r="Y1554" s="320" t="str">
        <f>VLOOKUP(H1554,'Fund Utilization Report'!$A$4:$U$1800,7,FALSE)</f>
        <v>MOOE</v>
      </c>
      <c r="Z1554" s="425">
        <f>VLOOKUP(H1554,'Fund Utilization Report'!$A$4:$U$1800,8,FALSE)</f>
        <v>5020000000</v>
      </c>
      <c r="AA1554" s="428" t="str">
        <f>VLOOKUP(H1554,'Fund Utilization Report'!$A$4:$U$1800,14,FALSE)</f>
        <v>100000100001000</v>
      </c>
      <c r="AB1554" s="349" t="str">
        <f>VLOOKUP(H1554,'Fund Utilization Report'!$A$4:$U$1800,15,FALSE)</f>
        <v>General Administration and Supervision - General Management and Supervision</v>
      </c>
      <c r="AC1554" s="39"/>
      <c r="AD1554" s="34"/>
      <c r="AE1554" s="39"/>
      <c r="AF1554" s="51"/>
      <c r="AG1554" s="442"/>
      <c r="AH1554" s="442"/>
      <c r="AI1554" s="443"/>
    </row>
    <row r="1555" spans="1:35" s="32" customFormat="1">
      <c r="A1555" s="434" t="s">
        <v>942</v>
      </c>
      <c r="B1555" s="457" t="s">
        <v>946</v>
      </c>
      <c r="C1555" s="233">
        <v>44280</v>
      </c>
      <c r="D1555" s="435" t="s">
        <v>1267</v>
      </c>
      <c r="E1555" s="436" t="s">
        <v>1584</v>
      </c>
      <c r="F1555" s="338">
        <v>0.4291666666666667</v>
      </c>
      <c r="G1555" s="338">
        <v>0.43055555555555558</v>
      </c>
      <c r="H1555" s="338" t="s">
        <v>965</v>
      </c>
      <c r="I1555" s="353">
        <v>767</v>
      </c>
      <c r="J1555" s="338" t="str">
        <f>IFERROR(VLOOKUP(I1555,'Chart of accounts'!A:H,2,FALSE),"")</f>
        <v>50204020 00</v>
      </c>
      <c r="K1555" s="338" t="str">
        <f>IFERROR(VLOOKUP(I1555,'Chart of accounts'!A:H,3,FALSE),"")</f>
        <v>Electricity Expense</v>
      </c>
      <c r="L1555" s="338" t="str">
        <f>IFERROR(VLOOKUP(I1555,'Chart of accounts'!A:H,4,FALSE),"")</f>
        <v>50204020 00 - Electricity Expense (767)</v>
      </c>
      <c r="M1555" s="361">
        <v>1</v>
      </c>
      <c r="N1555" s="355" t="s">
        <v>1315</v>
      </c>
      <c r="O1555" s="355" t="s">
        <v>1585</v>
      </c>
      <c r="P1555" s="355"/>
      <c r="Q1555" s="363">
        <v>9559.2900000000009</v>
      </c>
      <c r="R1555" s="428">
        <f t="shared" si="62"/>
        <v>-9559.2900000000009</v>
      </c>
      <c r="S1555" s="428" t="str">
        <f>VLOOKUP(H1555,'Fund Utilization Report'!$A$4:$U$1800,13,FALSE)</f>
        <v>MOOE</v>
      </c>
      <c r="T1555" s="428" t="str">
        <f>VLOOKUP(H1555,'Fund Utilization Report'!$A$4:$U$1800,2,FALSE)</f>
        <v>GAA</v>
      </c>
      <c r="U1555" s="428" t="str">
        <f>VLOOKUP(H1555,'Fund Utilization Report'!$A$4:$U$1800,3,FALSE)</f>
        <v>FY2021, RA11518</v>
      </c>
      <c r="V1555" s="428" t="str">
        <f>VLOOKUP(H1555,'Fund Utilization Report'!$A$4:$U$1800,4,FALSE)</f>
        <v>OO1</v>
      </c>
      <c r="W1555" s="428" t="str">
        <f>VLOOKUP(H1555,'Fund Utilization Report'!$A$4:$U$1800,5,FALSE)</f>
        <v>01101101</v>
      </c>
      <c r="X1555" s="428" t="str">
        <f>VLOOKUP(H1555,'Fund Utilization Report'!$A$4:$U$1800,6,FALSE)</f>
        <v>GOP</v>
      </c>
      <c r="Y1555" s="320" t="str">
        <f>VLOOKUP(H1555,'Fund Utilization Report'!$A$4:$U$1800,7,FALSE)</f>
        <v>MOOE</v>
      </c>
      <c r="Z1555" s="425">
        <f>VLOOKUP(H1555,'Fund Utilization Report'!$A$4:$U$1800,8,FALSE)</f>
        <v>5020000000</v>
      </c>
      <c r="AA1555" s="428" t="str">
        <f>VLOOKUP(H1555,'Fund Utilization Report'!$A$4:$U$1800,14,FALSE)</f>
        <v>310100100002000</v>
      </c>
      <c r="AB1555" s="349" t="str">
        <f>VLOOKUP(H1555,'Fund Utilization Report'!$A$4:$U$1800,15,FALSE)</f>
        <v>Development,Facilitation, and promotion of exports and investment, domestic and foreign</v>
      </c>
      <c r="AC1555" s="39"/>
      <c r="AD1555" s="34"/>
      <c r="AE1555" s="39"/>
      <c r="AF1555" s="51"/>
      <c r="AG1555" s="442"/>
      <c r="AH1555" s="442"/>
      <c r="AI1555" s="443"/>
    </row>
    <row r="1556" spans="1:35" s="32" customFormat="1">
      <c r="A1556" s="434" t="s">
        <v>942</v>
      </c>
      <c r="B1556" s="457" t="s">
        <v>946</v>
      </c>
      <c r="C1556" s="233">
        <v>44280</v>
      </c>
      <c r="D1556" s="435" t="s">
        <v>1267</v>
      </c>
      <c r="E1556" s="436" t="s">
        <v>1586</v>
      </c>
      <c r="F1556" s="338">
        <v>0.43055555555555558</v>
      </c>
      <c r="G1556" s="338">
        <v>0.43194444444444446</v>
      </c>
      <c r="H1556" s="338" t="s">
        <v>961</v>
      </c>
      <c r="I1556" s="353">
        <v>783</v>
      </c>
      <c r="J1556" s="338" t="str">
        <f>IFERROR(VLOOKUP(I1556,'Chart of accounts'!A:H,2,FALSE),"")</f>
        <v>50299030 00</v>
      </c>
      <c r="K1556" s="338" t="str">
        <f>IFERROR(VLOOKUP(I1556,'Chart of accounts'!A:H,3,FALSE),"")</f>
        <v>Representation Expenses</v>
      </c>
      <c r="L1556" s="338" t="str">
        <f>IFERROR(VLOOKUP(I1556,'Chart of accounts'!A:H,4,FALSE),"")</f>
        <v>50299030 00 - Representation Expenses (783)</v>
      </c>
      <c r="M1556" s="361" t="s">
        <v>1366</v>
      </c>
      <c r="N1556" s="355" t="s">
        <v>818</v>
      </c>
      <c r="O1556" s="355" t="s">
        <v>1587</v>
      </c>
      <c r="P1556" s="355"/>
      <c r="Q1556" s="363">
        <v>51050</v>
      </c>
      <c r="R1556" s="428">
        <f t="shared" ref="R1556:R1568" si="63">P1556-Q1556</f>
        <v>-51050</v>
      </c>
      <c r="S1556" s="428" t="str">
        <f>VLOOKUP(H1556,'Fund Utilization Report'!$A$4:$U$1800,13,FALSE)</f>
        <v>MOOE</v>
      </c>
      <c r="T1556" s="428" t="str">
        <f>VLOOKUP(H1556,'Fund Utilization Report'!$A$4:$U$1800,2,FALSE)</f>
        <v>GAA</v>
      </c>
      <c r="U1556" s="428" t="str">
        <f>VLOOKUP(H1556,'Fund Utilization Report'!$A$4:$U$1800,3,FALSE)</f>
        <v>FY2021, RA11518</v>
      </c>
      <c r="V1556" s="428" t="str">
        <f>VLOOKUP(H1556,'Fund Utilization Report'!$A$4:$U$1800,4,FALSE)</f>
        <v>GAS(GMS)</v>
      </c>
      <c r="W1556" s="428" t="str">
        <f>VLOOKUP(H1556,'Fund Utilization Report'!$A$4:$U$1800,5,FALSE)</f>
        <v>01101101</v>
      </c>
      <c r="X1556" s="428" t="str">
        <f>VLOOKUP(H1556,'Fund Utilization Report'!$A$4:$U$1800,6,FALSE)</f>
        <v>GOP</v>
      </c>
      <c r="Y1556" s="320" t="str">
        <f>VLOOKUP(H1556,'Fund Utilization Report'!$A$4:$U$1800,7,FALSE)</f>
        <v>MOOE</v>
      </c>
      <c r="Z1556" s="425">
        <f>VLOOKUP(H1556,'Fund Utilization Report'!$A$4:$U$1800,8,FALSE)</f>
        <v>5020000000</v>
      </c>
      <c r="AA1556" s="428" t="str">
        <f>VLOOKUP(H1556,'Fund Utilization Report'!$A$4:$U$1800,14,FALSE)</f>
        <v>100000100001000</v>
      </c>
      <c r="AB1556" s="349" t="str">
        <f>VLOOKUP(H1556,'Fund Utilization Report'!$A$4:$U$1800,15,FALSE)</f>
        <v>General Administration and Supervision - General Management and Supervision</v>
      </c>
      <c r="AC1556" s="39"/>
      <c r="AD1556" s="34"/>
      <c r="AE1556" s="39"/>
      <c r="AF1556" s="51"/>
      <c r="AG1556" s="442"/>
      <c r="AH1556" s="442"/>
      <c r="AI1556" s="443"/>
    </row>
    <row r="1557" spans="1:35" s="32" customFormat="1">
      <c r="A1557" s="434" t="s">
        <v>942</v>
      </c>
      <c r="B1557" s="457" t="s">
        <v>946</v>
      </c>
      <c r="C1557" s="233">
        <v>44280</v>
      </c>
      <c r="D1557" s="435" t="s">
        <v>1267</v>
      </c>
      <c r="E1557" s="436" t="s">
        <v>1588</v>
      </c>
      <c r="F1557" s="338">
        <v>0.43194444444444446</v>
      </c>
      <c r="G1557" s="338">
        <v>0.43333333333333335</v>
      </c>
      <c r="H1557" s="338" t="s">
        <v>961</v>
      </c>
      <c r="I1557" s="353">
        <v>783</v>
      </c>
      <c r="J1557" s="338" t="str">
        <f>IFERROR(VLOOKUP(I1557,'Chart of accounts'!A:H,2,FALSE),"")</f>
        <v>50299030 00</v>
      </c>
      <c r="K1557" s="338" t="str">
        <f>IFERROR(VLOOKUP(I1557,'Chart of accounts'!A:H,3,FALSE),"")</f>
        <v>Representation Expenses</v>
      </c>
      <c r="L1557" s="338" t="str">
        <f>IFERROR(VLOOKUP(I1557,'Chart of accounts'!A:H,4,FALSE),"")</f>
        <v>50299030 00 - Representation Expenses (783)</v>
      </c>
      <c r="M1557" s="361" t="s">
        <v>1366</v>
      </c>
      <c r="N1557" s="355" t="s">
        <v>820</v>
      </c>
      <c r="O1557" s="355" t="s">
        <v>1587</v>
      </c>
      <c r="P1557" s="355"/>
      <c r="Q1557" s="363">
        <v>100000</v>
      </c>
      <c r="R1557" s="428">
        <f t="shared" si="63"/>
        <v>-100000</v>
      </c>
      <c r="S1557" s="428" t="str">
        <f>VLOOKUP(H1557,'Fund Utilization Report'!$A$4:$U$1800,13,FALSE)</f>
        <v>MOOE</v>
      </c>
      <c r="T1557" s="428" t="str">
        <f>VLOOKUP(H1557,'Fund Utilization Report'!$A$4:$U$1800,2,FALSE)</f>
        <v>GAA</v>
      </c>
      <c r="U1557" s="428" t="str">
        <f>VLOOKUP(H1557,'Fund Utilization Report'!$A$4:$U$1800,3,FALSE)</f>
        <v>FY2021, RA11518</v>
      </c>
      <c r="V1557" s="428" t="str">
        <f>VLOOKUP(H1557,'Fund Utilization Report'!$A$4:$U$1800,4,FALSE)</f>
        <v>GAS(GMS)</v>
      </c>
      <c r="W1557" s="428" t="str">
        <f>VLOOKUP(H1557,'Fund Utilization Report'!$A$4:$U$1800,5,FALSE)</f>
        <v>01101101</v>
      </c>
      <c r="X1557" s="428" t="str">
        <f>VLOOKUP(H1557,'Fund Utilization Report'!$A$4:$U$1800,6,FALSE)</f>
        <v>GOP</v>
      </c>
      <c r="Y1557" s="320" t="str">
        <f>VLOOKUP(H1557,'Fund Utilization Report'!$A$4:$U$1800,7,FALSE)</f>
        <v>MOOE</v>
      </c>
      <c r="Z1557" s="425">
        <f>VLOOKUP(H1557,'Fund Utilization Report'!$A$4:$U$1800,8,FALSE)</f>
        <v>5020000000</v>
      </c>
      <c r="AA1557" s="428" t="str">
        <f>VLOOKUP(H1557,'Fund Utilization Report'!$A$4:$U$1800,14,FALSE)</f>
        <v>100000100001000</v>
      </c>
      <c r="AB1557" s="349" t="str">
        <f>VLOOKUP(H1557,'Fund Utilization Report'!$A$4:$U$1800,15,FALSE)</f>
        <v>General Administration and Supervision - General Management and Supervision</v>
      </c>
      <c r="AC1557" s="39"/>
      <c r="AD1557" s="34"/>
      <c r="AE1557" s="39"/>
      <c r="AF1557" s="51"/>
      <c r="AG1557" s="442"/>
      <c r="AH1557" s="442"/>
      <c r="AI1557" s="443"/>
    </row>
    <row r="1558" spans="1:35" s="32" customFormat="1">
      <c r="A1558" s="434" t="s">
        <v>942</v>
      </c>
      <c r="B1558" s="457" t="s">
        <v>946</v>
      </c>
      <c r="C1558" s="233">
        <v>44280</v>
      </c>
      <c r="D1558" s="435" t="s">
        <v>1267</v>
      </c>
      <c r="E1558" s="436" t="s">
        <v>1589</v>
      </c>
      <c r="F1558" s="338">
        <v>0.43333333333333335</v>
      </c>
      <c r="G1558" s="338">
        <v>0.43402777777777773</v>
      </c>
      <c r="H1558" s="338" t="s">
        <v>961</v>
      </c>
      <c r="I1558" s="353">
        <v>783</v>
      </c>
      <c r="J1558" s="338" t="str">
        <f>IFERROR(VLOOKUP(I1558,'Chart of accounts'!A:H,2,FALSE),"")</f>
        <v>50299030 00</v>
      </c>
      <c r="K1558" s="338" t="str">
        <f>IFERROR(VLOOKUP(I1558,'Chart of accounts'!A:H,3,FALSE),"")</f>
        <v>Representation Expenses</v>
      </c>
      <c r="L1558" s="338" t="str">
        <f>IFERROR(VLOOKUP(I1558,'Chart of accounts'!A:H,4,FALSE),"")</f>
        <v>50299030 00 - Representation Expenses (783)</v>
      </c>
      <c r="M1558" s="361" t="s">
        <v>1366</v>
      </c>
      <c r="N1558" s="355" t="s">
        <v>1539</v>
      </c>
      <c r="O1558" s="355" t="s">
        <v>1587</v>
      </c>
      <c r="P1558" s="355"/>
      <c r="Q1558" s="363">
        <v>99030</v>
      </c>
      <c r="R1558" s="428">
        <f t="shared" si="63"/>
        <v>-99030</v>
      </c>
      <c r="S1558" s="428" t="str">
        <f>VLOOKUP(H1558,'Fund Utilization Report'!$A$4:$U$1800,13,FALSE)</f>
        <v>MOOE</v>
      </c>
      <c r="T1558" s="428" t="str">
        <f>VLOOKUP(H1558,'Fund Utilization Report'!$A$4:$U$1800,2,FALSE)</f>
        <v>GAA</v>
      </c>
      <c r="U1558" s="428" t="str">
        <f>VLOOKUP(H1558,'Fund Utilization Report'!$A$4:$U$1800,3,FALSE)</f>
        <v>FY2021, RA11518</v>
      </c>
      <c r="V1558" s="428" t="str">
        <f>VLOOKUP(H1558,'Fund Utilization Report'!$A$4:$U$1800,4,FALSE)</f>
        <v>GAS(GMS)</v>
      </c>
      <c r="W1558" s="428" t="str">
        <f>VLOOKUP(H1558,'Fund Utilization Report'!$A$4:$U$1800,5,FALSE)</f>
        <v>01101101</v>
      </c>
      <c r="X1558" s="428" t="str">
        <f>VLOOKUP(H1558,'Fund Utilization Report'!$A$4:$U$1800,6,FALSE)</f>
        <v>GOP</v>
      </c>
      <c r="Y1558" s="320" t="str">
        <f>VLOOKUP(H1558,'Fund Utilization Report'!$A$4:$U$1800,7,FALSE)</f>
        <v>MOOE</v>
      </c>
      <c r="Z1558" s="425">
        <f>VLOOKUP(H1558,'Fund Utilization Report'!$A$4:$U$1800,8,FALSE)</f>
        <v>5020000000</v>
      </c>
      <c r="AA1558" s="428" t="str">
        <f>VLOOKUP(H1558,'Fund Utilization Report'!$A$4:$U$1800,14,FALSE)</f>
        <v>100000100001000</v>
      </c>
      <c r="AB1558" s="349" t="str">
        <f>VLOOKUP(H1558,'Fund Utilization Report'!$A$4:$U$1800,15,FALSE)</f>
        <v>General Administration and Supervision - General Management and Supervision</v>
      </c>
      <c r="AC1558" s="39"/>
      <c r="AD1558" s="34"/>
      <c r="AE1558" s="39"/>
      <c r="AF1558" s="51"/>
      <c r="AG1558" s="442"/>
      <c r="AH1558" s="442"/>
      <c r="AI1558" s="443"/>
    </row>
    <row r="1559" spans="1:35" s="32" customFormat="1">
      <c r="A1559" s="434" t="s">
        <v>942</v>
      </c>
      <c r="B1559" s="457" t="s">
        <v>946</v>
      </c>
      <c r="C1559" s="233">
        <v>44280</v>
      </c>
      <c r="D1559" s="435" t="s">
        <v>1267</v>
      </c>
      <c r="E1559" s="436" t="s">
        <v>1591</v>
      </c>
      <c r="F1559" s="338">
        <v>0.43402777777777773</v>
      </c>
      <c r="G1559" s="338">
        <v>0.43472222222222223</v>
      </c>
      <c r="H1559" s="338" t="s">
        <v>961</v>
      </c>
      <c r="I1559" s="353">
        <v>783</v>
      </c>
      <c r="J1559" s="338" t="str">
        <f>IFERROR(VLOOKUP(I1559,'Chart of accounts'!A:H,2,FALSE),"")</f>
        <v>50299030 00</v>
      </c>
      <c r="K1559" s="338" t="str">
        <f>IFERROR(VLOOKUP(I1559,'Chart of accounts'!A:H,3,FALSE),"")</f>
        <v>Representation Expenses</v>
      </c>
      <c r="L1559" s="338" t="str">
        <f>IFERROR(VLOOKUP(I1559,'Chart of accounts'!A:H,4,FALSE),"")</f>
        <v>50299030 00 - Representation Expenses (783)</v>
      </c>
      <c r="M1559" s="361" t="s">
        <v>1366</v>
      </c>
      <c r="N1559" s="355" t="s">
        <v>1540</v>
      </c>
      <c r="O1559" s="355" t="s">
        <v>1590</v>
      </c>
      <c r="P1559" s="355"/>
      <c r="Q1559" s="363">
        <v>10250</v>
      </c>
      <c r="R1559" s="428">
        <f t="shared" si="63"/>
        <v>-10250</v>
      </c>
      <c r="S1559" s="428" t="str">
        <f>VLOOKUP(H1559,'Fund Utilization Report'!$A$4:$U$1800,13,FALSE)</f>
        <v>MOOE</v>
      </c>
      <c r="T1559" s="428" t="str">
        <f>VLOOKUP(H1559,'Fund Utilization Report'!$A$4:$U$1800,2,FALSE)</f>
        <v>GAA</v>
      </c>
      <c r="U1559" s="428" t="str">
        <f>VLOOKUP(H1559,'Fund Utilization Report'!$A$4:$U$1800,3,FALSE)</f>
        <v>FY2021, RA11518</v>
      </c>
      <c r="V1559" s="428" t="str">
        <f>VLOOKUP(H1559,'Fund Utilization Report'!$A$4:$U$1800,4,FALSE)</f>
        <v>GAS(GMS)</v>
      </c>
      <c r="W1559" s="428" t="str">
        <f>VLOOKUP(H1559,'Fund Utilization Report'!$A$4:$U$1800,5,FALSE)</f>
        <v>01101101</v>
      </c>
      <c r="X1559" s="428" t="str">
        <f>VLOOKUP(H1559,'Fund Utilization Report'!$A$4:$U$1800,6,FALSE)</f>
        <v>GOP</v>
      </c>
      <c r="Y1559" s="320" t="str">
        <f>VLOOKUP(H1559,'Fund Utilization Report'!$A$4:$U$1800,7,FALSE)</f>
        <v>MOOE</v>
      </c>
      <c r="Z1559" s="425">
        <f>VLOOKUP(H1559,'Fund Utilization Report'!$A$4:$U$1800,8,FALSE)</f>
        <v>5020000000</v>
      </c>
      <c r="AA1559" s="428" t="str">
        <f>VLOOKUP(H1559,'Fund Utilization Report'!$A$4:$U$1800,14,FALSE)</f>
        <v>100000100001000</v>
      </c>
      <c r="AB1559" s="349" t="str">
        <f>VLOOKUP(H1559,'Fund Utilization Report'!$A$4:$U$1800,15,FALSE)</f>
        <v>General Administration and Supervision - General Management and Supervision</v>
      </c>
      <c r="AC1559" s="39"/>
      <c r="AD1559" s="34"/>
      <c r="AE1559" s="39"/>
      <c r="AF1559" s="51"/>
      <c r="AG1559" s="442"/>
      <c r="AH1559" s="442"/>
      <c r="AI1559" s="443"/>
    </row>
    <row r="1560" spans="1:35" s="32" customFormat="1" ht="27.6">
      <c r="A1560" s="434" t="s">
        <v>942</v>
      </c>
      <c r="B1560" s="457" t="s">
        <v>946</v>
      </c>
      <c r="C1560" s="233">
        <v>44280</v>
      </c>
      <c r="D1560" s="435" t="s">
        <v>1267</v>
      </c>
      <c r="E1560" s="436" t="s">
        <v>1592</v>
      </c>
      <c r="F1560" s="338">
        <v>0.46458333333333335</v>
      </c>
      <c r="G1560" s="338">
        <v>0.46527777777777773</v>
      </c>
      <c r="H1560" s="338" t="s">
        <v>961</v>
      </c>
      <c r="I1560" s="353">
        <v>969</v>
      </c>
      <c r="J1560" s="338" t="str">
        <f>IFERROR(VLOOKUP(I1560,'Chart of accounts'!A:H,2,FALSE),"")</f>
        <v>50299990 99</v>
      </c>
      <c r="K1560" s="338" t="str">
        <f>IFERROR(VLOOKUP(I1560,'Chart of accounts'!A:H,3,FALSE),"")</f>
        <v>Other Maintenance and Operating Expenses</v>
      </c>
      <c r="L1560" s="338" t="str">
        <f>IFERROR(VLOOKUP(I1560,'Chart of accounts'!A:H,4,FALSE),"")</f>
        <v>50299990 99 - Other Maintenance and Operating Expenses (969)</v>
      </c>
      <c r="M1560" s="361">
        <v>1</v>
      </c>
      <c r="N1560" s="355" t="s">
        <v>1030</v>
      </c>
      <c r="O1560" s="355" t="s">
        <v>1593</v>
      </c>
      <c r="P1560" s="355"/>
      <c r="Q1560" s="363">
        <f>11174.25+206</f>
        <v>11380.25</v>
      </c>
      <c r="R1560" s="428">
        <f t="shared" si="63"/>
        <v>-11380.25</v>
      </c>
      <c r="S1560" s="428" t="str">
        <f>VLOOKUP(H1560,'Fund Utilization Report'!$A$4:$U$1800,13,FALSE)</f>
        <v>MOOE</v>
      </c>
      <c r="T1560" s="428" t="str">
        <f>VLOOKUP(H1560,'Fund Utilization Report'!$A$4:$U$1800,2,FALSE)</f>
        <v>GAA</v>
      </c>
      <c r="U1560" s="428" t="str">
        <f>VLOOKUP(H1560,'Fund Utilization Report'!$A$4:$U$1800,3,FALSE)</f>
        <v>FY2021, RA11518</v>
      </c>
      <c r="V1560" s="428" t="str">
        <f>VLOOKUP(H1560,'Fund Utilization Report'!$A$4:$U$1800,4,FALSE)</f>
        <v>GAS(GMS)</v>
      </c>
      <c r="W1560" s="428" t="str">
        <f>VLOOKUP(H1560,'Fund Utilization Report'!$A$4:$U$1800,5,FALSE)</f>
        <v>01101101</v>
      </c>
      <c r="X1560" s="428" t="str">
        <f>VLOOKUP(H1560,'Fund Utilization Report'!$A$4:$U$1800,6,FALSE)</f>
        <v>GOP</v>
      </c>
      <c r="Y1560" s="320" t="str">
        <f>VLOOKUP(H1560,'Fund Utilization Report'!$A$4:$U$1800,7,FALSE)</f>
        <v>MOOE</v>
      </c>
      <c r="Z1560" s="425">
        <f>VLOOKUP(H1560,'Fund Utilization Report'!$A$4:$U$1800,8,FALSE)</f>
        <v>5020000000</v>
      </c>
      <c r="AA1560" s="428" t="str">
        <f>VLOOKUP(H1560,'Fund Utilization Report'!$A$4:$U$1800,14,FALSE)</f>
        <v>100000100001000</v>
      </c>
      <c r="AB1560" s="349" t="str">
        <f>VLOOKUP(H1560,'Fund Utilization Report'!$A$4:$U$1800,15,FALSE)</f>
        <v>General Administration and Supervision - General Management and Supervision</v>
      </c>
      <c r="AC1560" s="39"/>
      <c r="AD1560" s="34"/>
      <c r="AE1560" s="39"/>
      <c r="AF1560" s="51"/>
      <c r="AG1560" s="442"/>
      <c r="AH1560" s="442"/>
      <c r="AI1560" s="443"/>
    </row>
    <row r="1561" spans="1:35" s="32" customFormat="1" ht="27.6">
      <c r="A1561" s="434" t="s">
        <v>942</v>
      </c>
      <c r="B1561" s="457" t="s">
        <v>946</v>
      </c>
      <c r="C1561" s="233">
        <v>44280</v>
      </c>
      <c r="D1561" s="435" t="s">
        <v>1267</v>
      </c>
      <c r="E1561" s="436" t="s">
        <v>1592</v>
      </c>
      <c r="F1561" s="338">
        <v>0.46458333333333335</v>
      </c>
      <c r="G1561" s="338">
        <v>0.46527777777777773</v>
      </c>
      <c r="H1561" s="338" t="s">
        <v>974</v>
      </c>
      <c r="I1561" s="353">
        <v>783</v>
      </c>
      <c r="J1561" s="338" t="str">
        <f>IFERROR(VLOOKUP(I1561,'Chart of accounts'!A:H,2,FALSE),"")</f>
        <v>50299030 00</v>
      </c>
      <c r="K1561" s="338" t="str">
        <f>IFERROR(VLOOKUP(I1561,'Chart of accounts'!A:H,3,FALSE),"")</f>
        <v>Representation Expenses</v>
      </c>
      <c r="L1561" s="338" t="str">
        <f>IFERROR(VLOOKUP(I1561,'Chart of accounts'!A:H,4,FALSE),"")</f>
        <v>50299030 00 - Representation Expenses (783)</v>
      </c>
      <c r="M1561" s="361">
        <v>1</v>
      </c>
      <c r="N1561" s="355" t="s">
        <v>1030</v>
      </c>
      <c r="O1561" s="355" t="s">
        <v>1593</v>
      </c>
      <c r="P1561" s="355"/>
      <c r="Q1561" s="363">
        <v>75</v>
      </c>
      <c r="R1561" s="428">
        <f t="shared" si="63"/>
        <v>-75</v>
      </c>
      <c r="S1561" s="428" t="str">
        <f>VLOOKUP(H1561,'Fund Utilization Report'!$A$4:$U$1800,13,FALSE)</f>
        <v>MOOE</v>
      </c>
      <c r="T1561" s="428" t="str">
        <f>VLOOKUP(H1561,'Fund Utilization Report'!$A$4:$U$1800,2,FALSE)</f>
        <v>GAA</v>
      </c>
      <c r="U1561" s="428" t="str">
        <f>VLOOKUP(H1561,'Fund Utilization Report'!$A$4:$U$1800,3,FALSE)</f>
        <v>FY2021, RA11518</v>
      </c>
      <c r="V1561" s="428" t="str">
        <f>VLOOKUP(H1561,'Fund Utilization Report'!$A$4:$U$1800,4,FALSE)</f>
        <v>OO4.1(FTL)</v>
      </c>
      <c r="W1561" s="428" t="str">
        <f>VLOOKUP(H1561,'Fund Utilization Report'!$A$4:$U$1800,5,FALSE)</f>
        <v>01101101</v>
      </c>
      <c r="X1561" s="428" t="str">
        <f>VLOOKUP(H1561,'Fund Utilization Report'!$A$4:$U$1800,6,FALSE)</f>
        <v>GOP</v>
      </c>
      <c r="Y1561" s="320" t="str">
        <f>VLOOKUP(H1561,'Fund Utilization Report'!$A$4:$U$1800,7,FALSE)</f>
        <v>MOOE</v>
      </c>
      <c r="Z1561" s="425">
        <f>VLOOKUP(H1561,'Fund Utilization Report'!$A$4:$U$1800,8,FALSE)</f>
        <v>5020000000</v>
      </c>
      <c r="AA1561" s="428" t="str">
        <f>VLOOKUP(H1561,'Fund Utilization Report'!$A$4:$U$1800,14,FALSE)</f>
        <v>340100100002000</v>
      </c>
      <c r="AB1561" s="349" t="str">
        <f>VLOOKUP(H1561,'Fund Utilization Report'!$A$4:$U$1800,15,FALSE)</f>
        <v>Monitoring and Enforcement of FTL including consumer complaints handling</v>
      </c>
      <c r="AC1561" s="39"/>
      <c r="AD1561" s="34"/>
      <c r="AE1561" s="39"/>
      <c r="AF1561" s="51"/>
      <c r="AG1561" s="442"/>
      <c r="AH1561" s="442"/>
      <c r="AI1561" s="443"/>
    </row>
    <row r="1562" spans="1:35" s="32" customFormat="1" ht="27.6">
      <c r="A1562" s="434" t="s">
        <v>942</v>
      </c>
      <c r="B1562" s="457" t="s">
        <v>946</v>
      </c>
      <c r="C1562" s="233">
        <v>44280</v>
      </c>
      <c r="D1562" s="435" t="s">
        <v>1267</v>
      </c>
      <c r="E1562" s="436" t="s">
        <v>1594</v>
      </c>
      <c r="F1562" s="338">
        <v>0.46527777777777773</v>
      </c>
      <c r="G1562" s="338">
        <v>0.46736111111111112</v>
      </c>
      <c r="H1562" s="338" t="s">
        <v>1221</v>
      </c>
      <c r="I1562" s="353">
        <v>799</v>
      </c>
      <c r="J1562" s="338" t="str">
        <f>IFERROR(VLOOKUP(I1562,'Chart of accounts'!A:H,2,FALSE),"")</f>
        <v>50211990 00</v>
      </c>
      <c r="K1562" s="338" t="str">
        <f>IFERROR(VLOOKUP(I1562,'Chart of accounts'!A:H,3,FALSE),"")</f>
        <v>Other Professional Services</v>
      </c>
      <c r="L1562" s="338" t="str">
        <f>IFERROR(VLOOKUP(I1562,'Chart of accounts'!A:H,4,FALSE),"")</f>
        <v>50211990 00 - Other Professional Services (799)</v>
      </c>
      <c r="M1562" s="361" t="s">
        <v>1011</v>
      </c>
      <c r="N1562" s="355" t="s">
        <v>1342</v>
      </c>
      <c r="O1562" s="355" t="s">
        <v>1595</v>
      </c>
      <c r="P1562" s="355"/>
      <c r="Q1562" s="363">
        <v>8164.75</v>
      </c>
      <c r="R1562" s="428">
        <f t="shared" si="63"/>
        <v>-8164.75</v>
      </c>
      <c r="S1562" s="428" t="str">
        <f>VLOOKUP(H1562,'Fund Utilization Report'!$A$4:$U$1800,13,FALSE)</f>
        <v>MOOE</v>
      </c>
      <c r="T1562" s="428" t="str">
        <f>VLOOKUP(H1562,'Fund Utilization Report'!$A$4:$U$1800,2,FALSE)</f>
        <v>SAA040</v>
      </c>
      <c r="U1562" s="428" t="str">
        <f>VLOOKUP(H1562,'Fund Utilization Report'!$A$4:$U$1800,3,FALSE)</f>
        <v>21-02-0040</v>
      </c>
      <c r="V1562" s="428" t="str">
        <f>VLOOKUP(H1562,'Fund Utilization Report'!$A$4:$U$1800,4,FALSE)</f>
        <v>RAPID GOP</v>
      </c>
      <c r="W1562" s="428" t="str">
        <f>VLOOKUP(H1562,'Fund Utilization Report'!$A$4:$U$1800,5,FALSE)</f>
        <v>01101101</v>
      </c>
      <c r="X1562" s="428" t="str">
        <f>VLOOKUP(H1562,'Fund Utilization Report'!$A$4:$U$1800,6,FALSE)</f>
        <v>GOP</v>
      </c>
      <c r="Y1562" s="320">
        <f>VLOOKUP(H1562,'Fund Utilization Report'!$A$4:$U$1800,7,FALSE)</f>
        <v>799</v>
      </c>
      <c r="Z1562" s="425">
        <f>VLOOKUP(H1562,'Fund Utilization Report'!$A$4:$U$1800,8,FALSE)</f>
        <v>5021199000</v>
      </c>
      <c r="AA1562" s="428" t="str">
        <f>VLOOKUP(H1562,'Fund Utilization Report'!$A$4:$U$1800,14,FALSE)</f>
        <v>330100300001000</v>
      </c>
      <c r="AB1562" s="349" t="str">
        <f>VLOOKUP(H1562,'Fund Utilization Report'!$A$4:$U$1800,15,FALSE)</f>
        <v>Rural Agro Enterprise Partnership for Inclusive Development (RAPID) Growth GOP Continuing</v>
      </c>
      <c r="AC1562" s="39"/>
      <c r="AD1562" s="34"/>
      <c r="AE1562" s="39"/>
      <c r="AF1562" s="51"/>
      <c r="AG1562" s="442"/>
      <c r="AH1562" s="442"/>
      <c r="AI1562" s="443"/>
    </row>
    <row r="1563" spans="1:35" s="32" customFormat="1" ht="27.6">
      <c r="A1563" s="434" t="s">
        <v>942</v>
      </c>
      <c r="B1563" s="457" t="s">
        <v>946</v>
      </c>
      <c r="C1563" s="233">
        <v>44284</v>
      </c>
      <c r="D1563" s="435" t="s">
        <v>1267</v>
      </c>
      <c r="E1563" s="436" t="s">
        <v>1596</v>
      </c>
      <c r="F1563" s="338">
        <v>0.39930555555555558</v>
      </c>
      <c r="G1563" s="338">
        <v>0.40138888888888885</v>
      </c>
      <c r="H1563" s="338" t="s">
        <v>982</v>
      </c>
      <c r="I1563" s="353">
        <v>799</v>
      </c>
      <c r="J1563" s="338" t="str">
        <f>IFERROR(VLOOKUP(I1563,'Chart of accounts'!A:H,2,FALSE),"")</f>
        <v>50211990 00</v>
      </c>
      <c r="K1563" s="338" t="str">
        <f>IFERROR(VLOOKUP(I1563,'Chart of accounts'!A:H,3,FALSE),"")</f>
        <v>Other Professional Services</v>
      </c>
      <c r="L1563" s="338" t="str">
        <f>IFERROR(VLOOKUP(I1563,'Chart of accounts'!A:H,4,FALSE),"")</f>
        <v>50211990 00 - Other Professional Services (799)</v>
      </c>
      <c r="M1563" s="361" t="s">
        <v>905</v>
      </c>
      <c r="N1563" s="355" t="s">
        <v>1075</v>
      </c>
      <c r="O1563" s="355" t="s">
        <v>1597</v>
      </c>
      <c r="P1563" s="355"/>
      <c r="Q1563" s="363">
        <v>11158</v>
      </c>
      <c r="R1563" s="428">
        <f t="shared" si="63"/>
        <v>-11158</v>
      </c>
      <c r="S1563" s="428" t="str">
        <f>VLOOKUP(H1563,'Fund Utilization Report'!$A$4:$U$1800,13,FALSE)</f>
        <v>MOOE</v>
      </c>
      <c r="T1563" s="428" t="str">
        <f>VLOOKUP(H1563,'Fund Utilization Report'!$A$4:$U$1800,2,FALSE)</f>
        <v>GAA</v>
      </c>
      <c r="U1563" s="428" t="str">
        <f>VLOOKUP(H1563,'Fund Utilization Report'!$A$4:$U$1800,3,FALSE)</f>
        <v>FY2021, RA11518</v>
      </c>
      <c r="V1563" s="428" t="str">
        <f>VLOOKUP(H1563,'Fund Utilization Report'!$A$4:$U$1800,4,FALSE)</f>
        <v>OTOP</v>
      </c>
      <c r="W1563" s="428" t="str">
        <f>VLOOKUP(H1563,'Fund Utilization Report'!$A$4:$U$1800,5,FALSE)</f>
        <v>01101101</v>
      </c>
      <c r="X1563" s="428" t="str">
        <f>VLOOKUP(H1563,'Fund Utilization Report'!$A$4:$U$1800,6,FALSE)</f>
        <v>GOP</v>
      </c>
      <c r="Y1563" s="320" t="str">
        <f>VLOOKUP(H1563,'Fund Utilization Report'!$A$4:$U$1800,7,FALSE)</f>
        <v>MOOE</v>
      </c>
      <c r="Z1563" s="425">
        <f>VLOOKUP(H1563,'Fund Utilization Report'!$A$4:$U$1800,8,FALSE)</f>
        <v>5020000000</v>
      </c>
      <c r="AA1563" s="428" t="str">
        <f>VLOOKUP(H1563,'Fund Utilization Report'!$A$4:$U$1800,14,FALSE)</f>
        <v>330100200002000</v>
      </c>
      <c r="AB1563" s="349" t="str">
        <f>VLOOKUP(H1563,'Fund Utilization Report'!$A$4:$U$1800,15,FALSE)</f>
        <v>OTOP - Next Generation</v>
      </c>
      <c r="AC1563" s="39"/>
      <c r="AD1563" s="34"/>
      <c r="AE1563" s="39"/>
      <c r="AF1563" s="51"/>
      <c r="AG1563" s="442"/>
      <c r="AH1563" s="442"/>
      <c r="AI1563" s="443"/>
    </row>
    <row r="1564" spans="1:35" s="32" customFormat="1" ht="27.6">
      <c r="A1564" s="434" t="s">
        <v>942</v>
      </c>
      <c r="B1564" s="457" t="s">
        <v>946</v>
      </c>
      <c r="C1564" s="233">
        <v>44284</v>
      </c>
      <c r="D1564" s="435" t="s">
        <v>1267</v>
      </c>
      <c r="E1564" s="436" t="s">
        <v>1596</v>
      </c>
      <c r="F1564" s="338">
        <v>0.39930555555555558</v>
      </c>
      <c r="G1564" s="338">
        <v>0.40138888888888885</v>
      </c>
      <c r="H1564" s="338" t="s">
        <v>985</v>
      </c>
      <c r="I1564" s="353">
        <v>799</v>
      </c>
      <c r="J1564" s="338" t="str">
        <f>IFERROR(VLOOKUP(I1564,'Chart of accounts'!A:H,2,FALSE),"")</f>
        <v>50211990 00</v>
      </c>
      <c r="K1564" s="338" t="str">
        <f>IFERROR(VLOOKUP(I1564,'Chart of accounts'!A:H,3,FALSE),"")</f>
        <v>Other Professional Services</v>
      </c>
      <c r="L1564" s="338" t="str">
        <f>IFERROR(VLOOKUP(I1564,'Chart of accounts'!A:H,4,FALSE),"")</f>
        <v>50211990 00 - Other Professional Services (799)</v>
      </c>
      <c r="M1564" s="361" t="s">
        <v>7</v>
      </c>
      <c r="N1564" s="355" t="s">
        <v>1075</v>
      </c>
      <c r="O1564" s="355" t="s">
        <v>1597</v>
      </c>
      <c r="P1564" s="355"/>
      <c r="Q1564" s="363">
        <v>11158</v>
      </c>
      <c r="R1564" s="428">
        <f t="shared" si="63"/>
        <v>-11158</v>
      </c>
      <c r="S1564" s="428" t="str">
        <f>VLOOKUP(H1564,'Fund Utilization Report'!$A$4:$U$1800,13,FALSE)</f>
        <v>MOOE</v>
      </c>
      <c r="T1564" s="428" t="str">
        <f>VLOOKUP(H1564,'Fund Utilization Report'!$A$4:$U$1800,2,FALSE)</f>
        <v>GAA</v>
      </c>
      <c r="U1564" s="428" t="str">
        <f>VLOOKUP(H1564,'Fund Utilization Report'!$A$4:$U$1800,3,FALSE)</f>
        <v>FY2021, RA11518</v>
      </c>
      <c r="V1564" s="428" t="str">
        <f>VLOOKUP(H1564,'Fund Utilization Report'!$A$4:$U$1800,4,FALSE)</f>
        <v>LSP-PBG</v>
      </c>
      <c r="W1564" s="428" t="str">
        <f>VLOOKUP(H1564,'Fund Utilization Report'!$A$4:$U$1800,5,FALSE)</f>
        <v>01101101</v>
      </c>
      <c r="X1564" s="428" t="str">
        <f>VLOOKUP(H1564,'Fund Utilization Report'!$A$4:$U$1800,6,FALSE)</f>
        <v>GOP</v>
      </c>
      <c r="Y1564" s="320" t="str">
        <f>VLOOKUP(H1564,'Fund Utilization Report'!$A$4:$U$1800,7,FALSE)</f>
        <v>MOOE</v>
      </c>
      <c r="Z1564" s="425">
        <f>VLOOKUP(H1564,'Fund Utilization Report'!$A$4:$U$1800,8,FALSE)</f>
        <v>5020000000</v>
      </c>
      <c r="AA1564" s="428" t="str">
        <f>VLOOKUP(H1564,'Fund Utilization Report'!$A$4:$U$1800,14,FALSE)</f>
        <v>330100200004000</v>
      </c>
      <c r="AB1564" s="349" t="str">
        <f>VLOOKUP(H1564,'Fund Utilization Report'!$A$4:$U$1800,15,FALSE)</f>
        <v>MSME Development Program : Livelihood Seeding Program and Pangkabuhayan sa Pagbangon at Ginhawa</v>
      </c>
      <c r="AC1564" s="39"/>
      <c r="AD1564" s="34"/>
      <c r="AE1564" s="39"/>
      <c r="AF1564" s="51"/>
      <c r="AG1564" s="442"/>
      <c r="AH1564" s="442"/>
      <c r="AI1564" s="443"/>
    </row>
    <row r="1565" spans="1:35" s="443" customFormat="1" ht="27.6">
      <c r="A1565" s="434" t="s">
        <v>942</v>
      </c>
      <c r="B1565" s="457" t="s">
        <v>946</v>
      </c>
      <c r="C1565" s="233">
        <v>44284</v>
      </c>
      <c r="D1565" s="435" t="s">
        <v>1267</v>
      </c>
      <c r="E1565" s="436" t="s">
        <v>1598</v>
      </c>
      <c r="F1565" s="434">
        <v>0.40972222222222227</v>
      </c>
      <c r="G1565" s="434">
        <v>0.41666666666666669</v>
      </c>
      <c r="H1565" s="434" t="s">
        <v>986</v>
      </c>
      <c r="I1565" s="437">
        <v>751</v>
      </c>
      <c r="J1565" s="434" t="str">
        <f>IFERROR(VLOOKUP(I1565,'Chart of accounts'!A:H,2,FALSE),"")</f>
        <v>50201010 00</v>
      </c>
      <c r="K1565" s="434" t="str">
        <f>IFERROR(VLOOKUP(I1565,'Chart of accounts'!A:H,3,FALSE),"")</f>
        <v>Traveling Expenses - Local</v>
      </c>
      <c r="L1565" s="434" t="str">
        <f>IFERROR(VLOOKUP(I1565,'Chart of accounts'!A:H,4,FALSE),"")</f>
        <v>50201010 00 - Traveling Expenses - Local (751)</v>
      </c>
      <c r="M1565" s="489" t="s">
        <v>770</v>
      </c>
      <c r="N1565" s="439" t="s">
        <v>823</v>
      </c>
      <c r="O1565" s="439" t="s">
        <v>1600</v>
      </c>
      <c r="P1565" s="439"/>
      <c r="Q1565" s="50">
        <v>52700</v>
      </c>
      <c r="R1565" s="239">
        <f t="shared" si="63"/>
        <v>-52700</v>
      </c>
      <c r="S1565" s="239" t="str">
        <f>VLOOKUP(H1565,'Fund Utilization Report'!$A$4:$U$1800,13,FALSE)</f>
        <v>MOOE</v>
      </c>
      <c r="T1565" s="239" t="str">
        <f>VLOOKUP(H1565,'Fund Utilization Report'!$A$4:$U$1800,2,FALSE)</f>
        <v>SAA37</v>
      </c>
      <c r="U1565" s="239" t="str">
        <f>VLOOKUP(H1565,'Fund Utilization Report'!$A$4:$U$1800,3,FALSE)</f>
        <v>2021-01-0037</v>
      </c>
      <c r="V1565" s="239" t="str">
        <f>VLOOKUP(H1565,'Fund Utilization Report'!$A$4:$U$1800,4,FALSE)</f>
        <v>CARP</v>
      </c>
      <c r="W1565" s="239" t="str">
        <f>VLOOKUP(H1565,'Fund Utilization Report'!$A$4:$U$1800,5,FALSE)</f>
        <v>01101101</v>
      </c>
      <c r="X1565" s="239" t="str">
        <f>VLOOKUP(H1565,'Fund Utilization Report'!$A$4:$U$1800,6,FALSE)</f>
        <v>GOP</v>
      </c>
      <c r="Y1565" s="440">
        <f>VLOOKUP(H1565,'Fund Utilization Report'!$A$4:$U$1800,7,FALSE)</f>
        <v>751</v>
      </c>
      <c r="Z1565" s="441" t="str">
        <f>VLOOKUP(H1565,'Fund Utilization Report'!$A$4:$U$1800,8,FALSE)</f>
        <v>50201010 00</v>
      </c>
      <c r="AA1565" s="239" t="str">
        <f>VLOOKUP(H1565,'Fund Utilization Report'!$A$4:$U$1800,14,FALSE)</f>
        <v>330100100003000</v>
      </c>
      <c r="AB1565" s="242" t="str">
        <f>VLOOKUP(H1565,'Fund Utilization Report'!$A$4:$U$1800,15,FALSE)</f>
        <v>MSME Development Program : Program Beneficiaries Development Component of the Comprehensive Agrarian Reform Program</v>
      </c>
      <c r="AC1565" s="51"/>
      <c r="AD1565" s="435"/>
      <c r="AE1565" s="51"/>
      <c r="AF1565" s="51"/>
      <c r="AG1565" s="442"/>
      <c r="AH1565" s="442"/>
    </row>
    <row r="1566" spans="1:35" s="443" customFormat="1" ht="27.6">
      <c r="A1566" s="434" t="s">
        <v>942</v>
      </c>
      <c r="B1566" s="457" t="s">
        <v>946</v>
      </c>
      <c r="C1566" s="233">
        <v>44284</v>
      </c>
      <c r="D1566" s="435" t="s">
        <v>1267</v>
      </c>
      <c r="E1566" s="436" t="s">
        <v>1598</v>
      </c>
      <c r="F1566" s="434">
        <v>0.40972222222222227</v>
      </c>
      <c r="G1566" s="434">
        <v>0.41666666666666669</v>
      </c>
      <c r="H1566" s="434" t="s">
        <v>987</v>
      </c>
      <c r="I1566" s="437">
        <v>753</v>
      </c>
      <c r="J1566" s="434" t="str">
        <f>IFERROR(VLOOKUP(I1566,'Chart of accounts'!A:H,2,FALSE),"")</f>
        <v>50202010 00</v>
      </c>
      <c r="K1566" s="434" t="str">
        <f>IFERROR(VLOOKUP(I1566,'Chart of accounts'!A:H,3,FALSE),"")</f>
        <v>Training Expenses</v>
      </c>
      <c r="L1566" s="434" t="str">
        <f>IFERROR(VLOOKUP(I1566,'Chart of accounts'!A:H,4,FALSE),"")</f>
        <v>50202010 00 - Training Expenses (753)</v>
      </c>
      <c r="M1566" s="489" t="s">
        <v>770</v>
      </c>
      <c r="N1566" s="439" t="s">
        <v>823</v>
      </c>
      <c r="O1566" s="439" t="s">
        <v>1600</v>
      </c>
      <c r="P1566" s="439"/>
      <c r="Q1566" s="50">
        <v>86250</v>
      </c>
      <c r="R1566" s="239">
        <f t="shared" si="63"/>
        <v>-86250</v>
      </c>
      <c r="S1566" s="239" t="str">
        <f>VLOOKUP(H1566,'Fund Utilization Report'!$A$4:$U$1800,13,FALSE)</f>
        <v>MOOE</v>
      </c>
      <c r="T1566" s="239" t="str">
        <f>VLOOKUP(H1566,'Fund Utilization Report'!$A$4:$U$1800,2,FALSE)</f>
        <v>SAA37</v>
      </c>
      <c r="U1566" s="239" t="str">
        <f>VLOOKUP(H1566,'Fund Utilization Report'!$A$4:$U$1800,3,FALSE)</f>
        <v>2021-01-0037</v>
      </c>
      <c r="V1566" s="239" t="str">
        <f>VLOOKUP(H1566,'Fund Utilization Report'!$A$4:$U$1800,4,FALSE)</f>
        <v>CARP</v>
      </c>
      <c r="W1566" s="239" t="str">
        <f>VLOOKUP(H1566,'Fund Utilization Report'!$A$4:$U$1800,5,FALSE)</f>
        <v>01101101</v>
      </c>
      <c r="X1566" s="239" t="str">
        <f>VLOOKUP(H1566,'Fund Utilization Report'!$A$4:$U$1800,6,FALSE)</f>
        <v>GOP</v>
      </c>
      <c r="Y1566" s="440">
        <f>VLOOKUP(H1566,'Fund Utilization Report'!$A$4:$U$1800,7,FALSE)</f>
        <v>753</v>
      </c>
      <c r="Z1566" s="441" t="str">
        <f>VLOOKUP(H1566,'Fund Utilization Report'!$A$4:$U$1800,8,FALSE)</f>
        <v>50202010 00</v>
      </c>
      <c r="AA1566" s="239" t="str">
        <f>VLOOKUP(H1566,'Fund Utilization Report'!$A$4:$U$1800,14,FALSE)</f>
        <v>330100100003000</v>
      </c>
      <c r="AB1566" s="242" t="str">
        <f>VLOOKUP(H1566,'Fund Utilization Report'!$A$4:$U$1800,15,FALSE)</f>
        <v>MSME Development Program : Program Beneficiaries Development Component of the Comprehensive Agrarian Reform Program</v>
      </c>
      <c r="AC1566" s="51"/>
      <c r="AD1566" s="435"/>
      <c r="AE1566" s="51"/>
      <c r="AF1566" s="51"/>
      <c r="AG1566" s="442"/>
      <c r="AH1566" s="442"/>
    </row>
    <row r="1567" spans="1:35" s="443" customFormat="1" ht="27.6">
      <c r="A1567" s="434" t="s">
        <v>942</v>
      </c>
      <c r="B1567" s="457" t="s">
        <v>946</v>
      </c>
      <c r="C1567" s="233">
        <v>44284</v>
      </c>
      <c r="D1567" s="435" t="s">
        <v>1267</v>
      </c>
      <c r="E1567" s="436" t="s">
        <v>1598</v>
      </c>
      <c r="F1567" s="434">
        <v>0.40972222222222227</v>
      </c>
      <c r="G1567" s="434">
        <v>0.41666666666666669</v>
      </c>
      <c r="H1567" s="434" t="s">
        <v>988</v>
      </c>
      <c r="I1567" s="437">
        <v>755</v>
      </c>
      <c r="J1567" s="434" t="str">
        <f>IFERROR(VLOOKUP(I1567,'Chart of accounts'!A:H,2,FALSE),"")</f>
        <v>50203010 00</v>
      </c>
      <c r="K1567" s="434" t="str">
        <f>IFERROR(VLOOKUP(I1567,'Chart of accounts'!A:H,3,FALSE),"")</f>
        <v>Office Supplies Expenses</v>
      </c>
      <c r="L1567" s="434" t="str">
        <f>IFERROR(VLOOKUP(I1567,'Chart of accounts'!A:H,4,FALSE),"")</f>
        <v>50203010 00 - Office Supplies Expenses (755)</v>
      </c>
      <c r="M1567" s="489" t="s">
        <v>770</v>
      </c>
      <c r="N1567" s="439" t="s">
        <v>823</v>
      </c>
      <c r="O1567" s="439" t="s">
        <v>1600</v>
      </c>
      <c r="P1567" s="439"/>
      <c r="Q1567" s="50">
        <v>3750</v>
      </c>
      <c r="R1567" s="239">
        <f t="shared" si="63"/>
        <v>-3750</v>
      </c>
      <c r="S1567" s="239" t="str">
        <f>VLOOKUP(H1567,'Fund Utilization Report'!$A$4:$U$1800,13,FALSE)</f>
        <v>MOOE</v>
      </c>
      <c r="T1567" s="239" t="str">
        <f>VLOOKUP(H1567,'Fund Utilization Report'!$A$4:$U$1800,2,FALSE)</f>
        <v>SAA37</v>
      </c>
      <c r="U1567" s="239" t="str">
        <f>VLOOKUP(H1567,'Fund Utilization Report'!$A$4:$U$1800,3,FALSE)</f>
        <v>2021-01-0037</v>
      </c>
      <c r="V1567" s="239" t="str">
        <f>VLOOKUP(H1567,'Fund Utilization Report'!$A$4:$U$1800,4,FALSE)</f>
        <v>CARP</v>
      </c>
      <c r="W1567" s="239" t="str">
        <f>VLOOKUP(H1567,'Fund Utilization Report'!$A$4:$U$1800,5,FALSE)</f>
        <v>01101101</v>
      </c>
      <c r="X1567" s="239" t="str">
        <f>VLOOKUP(H1567,'Fund Utilization Report'!$A$4:$U$1800,6,FALSE)</f>
        <v>GOP</v>
      </c>
      <c r="Y1567" s="440">
        <f>VLOOKUP(H1567,'Fund Utilization Report'!$A$4:$U$1800,7,FALSE)</f>
        <v>755</v>
      </c>
      <c r="Z1567" s="441" t="str">
        <f>VLOOKUP(H1567,'Fund Utilization Report'!$A$4:$U$1800,8,FALSE)</f>
        <v>50203010 00</v>
      </c>
      <c r="AA1567" s="239" t="str">
        <f>VLOOKUP(H1567,'Fund Utilization Report'!$A$4:$U$1800,14,FALSE)</f>
        <v>330100100003000</v>
      </c>
      <c r="AB1567" s="242" t="str">
        <f>VLOOKUP(H1567,'Fund Utilization Report'!$A$4:$U$1800,15,FALSE)</f>
        <v>MSME Development Program : Program Beneficiaries Development Component of the Comprehensive Agrarian Reform Program</v>
      </c>
      <c r="AC1567" s="51"/>
      <c r="AD1567" s="435"/>
      <c r="AE1567" s="51"/>
      <c r="AF1567" s="51"/>
      <c r="AG1567" s="442"/>
      <c r="AH1567" s="442"/>
    </row>
    <row r="1568" spans="1:35" s="443" customFormat="1" ht="27.6">
      <c r="A1568" s="434" t="s">
        <v>942</v>
      </c>
      <c r="B1568" s="457" t="s">
        <v>946</v>
      </c>
      <c r="C1568" s="233">
        <v>44284</v>
      </c>
      <c r="D1568" s="435" t="s">
        <v>1267</v>
      </c>
      <c r="E1568" s="436" t="s">
        <v>1598</v>
      </c>
      <c r="F1568" s="434">
        <v>0.40972222222222227</v>
      </c>
      <c r="G1568" s="434">
        <v>0.41666666666666669</v>
      </c>
      <c r="H1568" s="434" t="s">
        <v>991</v>
      </c>
      <c r="I1568" s="437">
        <v>773</v>
      </c>
      <c r="J1568" s="434" t="str">
        <f>IFERROR(VLOOKUP(I1568,'Chart of accounts'!A:H,2,FALSE),"")</f>
        <v>50205020 01</v>
      </c>
      <c r="K1568" s="434" t="str">
        <f>IFERROR(VLOOKUP(I1568,'Chart of accounts'!A:H,3,FALSE),"")</f>
        <v xml:space="preserve">Telephone Expenses - Mobile </v>
      </c>
      <c r="L1568" s="434" t="str">
        <f>IFERROR(VLOOKUP(I1568,'Chart of accounts'!A:H,4,FALSE),"")</f>
        <v>50205020 01 - Telephone Expenses - Mobile  (773)</v>
      </c>
      <c r="M1568" s="489" t="s">
        <v>770</v>
      </c>
      <c r="N1568" s="439" t="s">
        <v>823</v>
      </c>
      <c r="O1568" s="439" t="s">
        <v>1600</v>
      </c>
      <c r="P1568" s="439"/>
      <c r="Q1568" s="50">
        <v>1125</v>
      </c>
      <c r="R1568" s="239">
        <f t="shared" si="63"/>
        <v>-1125</v>
      </c>
      <c r="S1568" s="239" t="str">
        <f>VLOOKUP(H1568,'Fund Utilization Report'!$A$4:$U$1800,13,FALSE)</f>
        <v>MOOE</v>
      </c>
      <c r="T1568" s="239" t="str">
        <f>VLOOKUP(H1568,'Fund Utilization Report'!$A$4:$U$1800,2,FALSE)</f>
        <v>SAA37</v>
      </c>
      <c r="U1568" s="239" t="str">
        <f>VLOOKUP(H1568,'Fund Utilization Report'!$A$4:$U$1800,3,FALSE)</f>
        <v>2021-01-0037</v>
      </c>
      <c r="V1568" s="239" t="str">
        <f>VLOOKUP(H1568,'Fund Utilization Report'!$A$4:$U$1800,4,FALSE)</f>
        <v>CARP</v>
      </c>
      <c r="W1568" s="239" t="str">
        <f>VLOOKUP(H1568,'Fund Utilization Report'!$A$4:$U$1800,5,FALSE)</f>
        <v>01101101</v>
      </c>
      <c r="X1568" s="239" t="str">
        <f>VLOOKUP(H1568,'Fund Utilization Report'!$A$4:$U$1800,6,FALSE)</f>
        <v>GOP</v>
      </c>
      <c r="Y1568" s="440">
        <f>VLOOKUP(H1568,'Fund Utilization Report'!$A$4:$U$1800,7,FALSE)</f>
        <v>773</v>
      </c>
      <c r="Z1568" s="441" t="str">
        <f>VLOOKUP(H1568,'Fund Utilization Report'!$A$4:$U$1800,8,FALSE)</f>
        <v>50205020 01</v>
      </c>
      <c r="AA1568" s="239" t="str">
        <f>VLOOKUP(H1568,'Fund Utilization Report'!$A$4:$U$1800,14,FALSE)</f>
        <v>330100100003000</v>
      </c>
      <c r="AB1568" s="242" t="str">
        <f>VLOOKUP(H1568,'Fund Utilization Report'!$A$4:$U$1800,15,FALSE)</f>
        <v>MSME Development Program : Program Beneficiaries Development Component of the Comprehensive Agrarian Reform Program</v>
      </c>
      <c r="AC1568" s="51"/>
      <c r="AD1568" s="435"/>
      <c r="AE1568" s="51"/>
      <c r="AF1568" s="51"/>
      <c r="AG1568" s="442"/>
      <c r="AH1568" s="442"/>
    </row>
    <row r="1569" spans="1:35" s="443" customFormat="1" ht="27.6">
      <c r="A1569" s="434" t="s">
        <v>942</v>
      </c>
      <c r="B1569" s="457" t="s">
        <v>946</v>
      </c>
      <c r="C1569" s="233">
        <v>44284</v>
      </c>
      <c r="D1569" s="435" t="s">
        <v>1267</v>
      </c>
      <c r="E1569" s="436" t="s">
        <v>1598</v>
      </c>
      <c r="F1569" s="434">
        <v>0.40972222222222227</v>
      </c>
      <c r="G1569" s="434">
        <v>0.41666666666666669</v>
      </c>
      <c r="H1569" s="434" t="s">
        <v>992</v>
      </c>
      <c r="I1569" s="437">
        <v>793</v>
      </c>
      <c r="J1569" s="434" t="str">
        <f>IFERROR(VLOOKUP(I1569,'Chart of accounts'!A:H,2,FALSE),"")</f>
        <v>50211030 00</v>
      </c>
      <c r="K1569" s="434" t="str">
        <f>IFERROR(VLOOKUP(I1569,'Chart of accounts'!A:H,3,FALSE),"")</f>
        <v>Consultancy Services</v>
      </c>
      <c r="L1569" s="434" t="str">
        <f>IFERROR(VLOOKUP(I1569,'Chart of accounts'!A:H,4,FALSE),"")</f>
        <v>50211030 00 - Consultancy Services (793)</v>
      </c>
      <c r="M1569" s="489" t="s">
        <v>770</v>
      </c>
      <c r="N1569" s="439" t="s">
        <v>823</v>
      </c>
      <c r="O1569" s="439" t="s">
        <v>1600</v>
      </c>
      <c r="P1569" s="439"/>
      <c r="Q1569" s="50">
        <v>400</v>
      </c>
      <c r="R1569" s="239">
        <f>P1569-Q1569</f>
        <v>-400</v>
      </c>
      <c r="S1569" s="239" t="str">
        <f>VLOOKUP(H1569,'Fund Utilization Report'!$A$4:$U$1800,13,FALSE)</f>
        <v>MOOE</v>
      </c>
      <c r="T1569" s="239" t="str">
        <f>VLOOKUP(H1569,'Fund Utilization Report'!$A$4:$U$1800,2,FALSE)</f>
        <v>SAA37</v>
      </c>
      <c r="U1569" s="239" t="str">
        <f>VLOOKUP(H1569,'Fund Utilization Report'!$A$4:$U$1800,3,FALSE)</f>
        <v>2021-01-0037</v>
      </c>
      <c r="V1569" s="239" t="str">
        <f>VLOOKUP(H1569,'Fund Utilization Report'!$A$4:$U$1800,4,FALSE)</f>
        <v>CARP</v>
      </c>
      <c r="W1569" s="239" t="str">
        <f>VLOOKUP(H1569,'Fund Utilization Report'!$A$4:$U$1800,5,FALSE)</f>
        <v>01101101</v>
      </c>
      <c r="X1569" s="239" t="str">
        <f>VLOOKUP(H1569,'Fund Utilization Report'!$A$4:$U$1800,6,FALSE)</f>
        <v>GOP</v>
      </c>
      <c r="Y1569" s="440">
        <f>VLOOKUP(H1569,'Fund Utilization Report'!$A$4:$U$1800,7,FALSE)</f>
        <v>793</v>
      </c>
      <c r="Z1569" s="441" t="str">
        <f>VLOOKUP(H1569,'Fund Utilization Report'!$A$4:$U$1800,8,FALSE)</f>
        <v>50211030 00</v>
      </c>
      <c r="AA1569" s="239" t="str">
        <f>VLOOKUP(H1569,'Fund Utilization Report'!$A$4:$U$1800,14,FALSE)</f>
        <v>330100100003000</v>
      </c>
      <c r="AB1569" s="242" t="str">
        <f>VLOOKUP(H1569,'Fund Utilization Report'!$A$4:$U$1800,15,FALSE)</f>
        <v>MSME Development Program : Program Beneficiaries Development Component of the Comprehensive Agrarian Reform Program</v>
      </c>
      <c r="AC1569" s="51"/>
      <c r="AD1569" s="435"/>
      <c r="AE1569" s="51"/>
      <c r="AF1569" s="51"/>
      <c r="AG1569" s="442"/>
      <c r="AH1569" s="442"/>
    </row>
    <row r="1570" spans="1:35" s="443" customFormat="1" ht="27.6">
      <c r="A1570" s="434" t="s">
        <v>942</v>
      </c>
      <c r="B1570" s="457" t="s">
        <v>946</v>
      </c>
      <c r="C1570" s="233">
        <v>44284</v>
      </c>
      <c r="D1570" s="435" t="s">
        <v>1267</v>
      </c>
      <c r="E1570" s="436" t="s">
        <v>1598</v>
      </c>
      <c r="F1570" s="434">
        <v>0.40972222222222227</v>
      </c>
      <c r="G1570" s="434">
        <v>0.41666666666666669</v>
      </c>
      <c r="H1570" s="434" t="s">
        <v>993</v>
      </c>
      <c r="I1570" s="437">
        <v>799</v>
      </c>
      <c r="J1570" s="434" t="str">
        <f>IFERROR(VLOOKUP(I1570,'Chart of accounts'!A:H,2,FALSE),"")</f>
        <v>50211990 00</v>
      </c>
      <c r="K1570" s="434" t="str">
        <f>IFERROR(VLOOKUP(I1570,'Chart of accounts'!A:H,3,FALSE),"")</f>
        <v>Other Professional Services</v>
      </c>
      <c r="L1570" s="434" t="str">
        <f>IFERROR(VLOOKUP(I1570,'Chart of accounts'!A:H,4,FALSE),"")</f>
        <v>50211990 00 - Other Professional Services (799)</v>
      </c>
      <c r="M1570" s="489" t="s">
        <v>770</v>
      </c>
      <c r="N1570" s="439" t="s">
        <v>823</v>
      </c>
      <c r="O1570" s="439" t="s">
        <v>1600</v>
      </c>
      <c r="P1570" s="439"/>
      <c r="Q1570" s="50">
        <v>110876</v>
      </c>
      <c r="R1570" s="239">
        <f t="shared" ref="R1570:R1576" si="64">P1570-Q1570</f>
        <v>-110876</v>
      </c>
      <c r="S1570" s="239" t="str">
        <f>VLOOKUP(H1570,'Fund Utilization Report'!$A$4:$U$1800,13,FALSE)</f>
        <v>MOOE</v>
      </c>
      <c r="T1570" s="239" t="str">
        <f>VLOOKUP(H1570,'Fund Utilization Report'!$A$4:$U$1800,2,FALSE)</f>
        <v>SAA37</v>
      </c>
      <c r="U1570" s="239" t="str">
        <f>VLOOKUP(H1570,'Fund Utilization Report'!$A$4:$U$1800,3,FALSE)</f>
        <v>2021-01-0037</v>
      </c>
      <c r="V1570" s="239" t="str">
        <f>VLOOKUP(H1570,'Fund Utilization Report'!$A$4:$U$1800,4,FALSE)</f>
        <v>CARP</v>
      </c>
      <c r="W1570" s="239" t="str">
        <f>VLOOKUP(H1570,'Fund Utilization Report'!$A$4:$U$1800,5,FALSE)</f>
        <v>01101101</v>
      </c>
      <c r="X1570" s="239" t="str">
        <f>VLOOKUP(H1570,'Fund Utilization Report'!$A$4:$U$1800,6,FALSE)</f>
        <v>GOP</v>
      </c>
      <c r="Y1570" s="440">
        <f>VLOOKUP(H1570,'Fund Utilization Report'!$A$4:$U$1800,7,FALSE)</f>
        <v>799</v>
      </c>
      <c r="Z1570" s="441" t="str">
        <f>VLOOKUP(H1570,'Fund Utilization Report'!$A$4:$U$1800,8,FALSE)</f>
        <v>50211990 00</v>
      </c>
      <c r="AA1570" s="239" t="str">
        <f>VLOOKUP(H1570,'Fund Utilization Report'!$A$4:$U$1800,14,FALSE)</f>
        <v>330100100003000</v>
      </c>
      <c r="AB1570" s="242" t="str">
        <f>VLOOKUP(H1570,'Fund Utilization Report'!$A$4:$U$1800,15,FALSE)</f>
        <v>MSME Development Program : Program Beneficiaries Development Component of the Comprehensive Agrarian Reform Program</v>
      </c>
      <c r="AC1570" s="51"/>
      <c r="AD1570" s="435"/>
      <c r="AE1570" s="51"/>
      <c r="AF1570" s="51"/>
      <c r="AG1570" s="442"/>
      <c r="AH1570" s="442"/>
    </row>
    <row r="1571" spans="1:35" s="443" customFormat="1" ht="27.6">
      <c r="A1571" s="434" t="s">
        <v>942</v>
      </c>
      <c r="B1571" s="457" t="s">
        <v>946</v>
      </c>
      <c r="C1571" s="233">
        <v>44284</v>
      </c>
      <c r="D1571" s="435" t="s">
        <v>1267</v>
      </c>
      <c r="E1571" s="436" t="s">
        <v>1598</v>
      </c>
      <c r="F1571" s="434">
        <v>0.40972222222222227</v>
      </c>
      <c r="G1571" s="434">
        <v>0.41666666666666669</v>
      </c>
      <c r="H1571" s="434" t="s">
        <v>994</v>
      </c>
      <c r="I1571" s="437">
        <v>795</v>
      </c>
      <c r="J1571" s="434" t="str">
        <f>IFERROR(VLOOKUP(I1571,'Chart of accounts'!A:H,2,FALSE),"")</f>
        <v>50212990 00</v>
      </c>
      <c r="K1571" s="434" t="str">
        <f>IFERROR(VLOOKUP(I1571,'Chart of accounts'!A:H,3,FALSE),"")</f>
        <v>Other General Services</v>
      </c>
      <c r="L1571" s="434" t="str">
        <f>IFERROR(VLOOKUP(I1571,'Chart of accounts'!A:H,4,FALSE),"")</f>
        <v>50212990 00 - Other General Services (795)</v>
      </c>
      <c r="M1571" s="489" t="s">
        <v>770</v>
      </c>
      <c r="N1571" s="439" t="s">
        <v>823</v>
      </c>
      <c r="O1571" s="439" t="s">
        <v>1600</v>
      </c>
      <c r="P1571" s="439"/>
      <c r="Q1571" s="50">
        <v>1000</v>
      </c>
      <c r="R1571" s="239">
        <f t="shared" si="64"/>
        <v>-1000</v>
      </c>
      <c r="S1571" s="239" t="str">
        <f>VLOOKUP(H1571,'Fund Utilization Report'!$A$4:$U$1800,13,FALSE)</f>
        <v>MOOE</v>
      </c>
      <c r="T1571" s="239" t="str">
        <f>VLOOKUP(H1571,'Fund Utilization Report'!$A$4:$U$1800,2,FALSE)</f>
        <v>SAA37</v>
      </c>
      <c r="U1571" s="239" t="str">
        <f>VLOOKUP(H1571,'Fund Utilization Report'!$A$4:$U$1800,3,FALSE)</f>
        <v>2021-01-0037</v>
      </c>
      <c r="V1571" s="239" t="str">
        <f>VLOOKUP(H1571,'Fund Utilization Report'!$A$4:$U$1800,4,FALSE)</f>
        <v>CARP</v>
      </c>
      <c r="W1571" s="239" t="str">
        <f>VLOOKUP(H1571,'Fund Utilization Report'!$A$4:$U$1800,5,FALSE)</f>
        <v>01101101</v>
      </c>
      <c r="X1571" s="239" t="str">
        <f>VLOOKUP(H1571,'Fund Utilization Report'!$A$4:$U$1800,6,FALSE)</f>
        <v>GOP</v>
      </c>
      <c r="Y1571" s="440">
        <f>VLOOKUP(H1571,'Fund Utilization Report'!$A$4:$U$1800,7,FALSE)</f>
        <v>795</v>
      </c>
      <c r="Z1571" s="441" t="str">
        <f>VLOOKUP(H1571,'Fund Utilization Report'!$A$4:$U$1800,8,FALSE)</f>
        <v>50212990 00</v>
      </c>
      <c r="AA1571" s="239" t="str">
        <f>VLOOKUP(H1571,'Fund Utilization Report'!$A$4:$U$1800,14,FALSE)</f>
        <v>330100100003000</v>
      </c>
      <c r="AB1571" s="242" t="str">
        <f>VLOOKUP(H1571,'Fund Utilization Report'!$A$4:$U$1800,15,FALSE)</f>
        <v>MSME Development Program : Program Beneficiaries Development Component of the Comprehensive Agrarian Reform Program</v>
      </c>
      <c r="AC1571" s="51"/>
      <c r="AD1571" s="435"/>
      <c r="AE1571" s="51"/>
      <c r="AF1571" s="51"/>
      <c r="AG1571" s="442"/>
      <c r="AH1571" s="442"/>
    </row>
    <row r="1572" spans="1:35" s="443" customFormat="1" ht="27.6">
      <c r="A1572" s="434" t="s">
        <v>942</v>
      </c>
      <c r="B1572" s="457" t="s">
        <v>946</v>
      </c>
      <c r="C1572" s="233">
        <v>44284</v>
      </c>
      <c r="D1572" s="435" t="s">
        <v>1267</v>
      </c>
      <c r="E1572" s="436" t="s">
        <v>1599</v>
      </c>
      <c r="F1572" s="434">
        <v>0.41666666666666669</v>
      </c>
      <c r="G1572" s="434">
        <v>0.41805555555555557</v>
      </c>
      <c r="H1572" s="434" t="s">
        <v>986</v>
      </c>
      <c r="I1572" s="437">
        <v>751</v>
      </c>
      <c r="J1572" s="434" t="str">
        <f>IFERROR(VLOOKUP(I1572,'Chart of accounts'!A:H,2,FALSE),"")</f>
        <v>50201010 00</v>
      </c>
      <c r="K1572" s="434" t="str">
        <f>IFERROR(VLOOKUP(I1572,'Chart of accounts'!A:H,3,FALSE),"")</f>
        <v>Traveling Expenses - Local</v>
      </c>
      <c r="L1572" s="434" t="str">
        <f>IFERROR(VLOOKUP(I1572,'Chart of accounts'!A:H,4,FALSE),"")</f>
        <v>50201010 00 - Traveling Expenses - Local (751)</v>
      </c>
      <c r="M1572" s="438">
        <v>68</v>
      </c>
      <c r="N1572" s="439" t="s">
        <v>821</v>
      </c>
      <c r="O1572" s="439" t="s">
        <v>1600</v>
      </c>
      <c r="P1572" s="439"/>
      <c r="Q1572" s="50">
        <v>37300</v>
      </c>
      <c r="R1572" s="239">
        <f t="shared" si="64"/>
        <v>-37300</v>
      </c>
      <c r="S1572" s="239" t="str">
        <f>VLOOKUP(H1572,'Fund Utilization Report'!$A$4:$U$1800,13,FALSE)</f>
        <v>MOOE</v>
      </c>
      <c r="T1572" s="239" t="str">
        <f>VLOOKUP(H1572,'Fund Utilization Report'!$A$4:$U$1800,2,FALSE)</f>
        <v>SAA37</v>
      </c>
      <c r="U1572" s="239" t="str">
        <f>VLOOKUP(H1572,'Fund Utilization Report'!$A$4:$U$1800,3,FALSE)</f>
        <v>2021-01-0037</v>
      </c>
      <c r="V1572" s="239" t="str">
        <f>VLOOKUP(H1572,'Fund Utilization Report'!$A$4:$U$1800,4,FALSE)</f>
        <v>CARP</v>
      </c>
      <c r="W1572" s="239" t="str">
        <f>VLOOKUP(H1572,'Fund Utilization Report'!$A$4:$U$1800,5,FALSE)</f>
        <v>01101101</v>
      </c>
      <c r="X1572" s="239" t="str">
        <f>VLOOKUP(H1572,'Fund Utilization Report'!$A$4:$U$1800,6,FALSE)</f>
        <v>GOP</v>
      </c>
      <c r="Y1572" s="440">
        <f>VLOOKUP(H1572,'Fund Utilization Report'!$A$4:$U$1800,7,FALSE)</f>
        <v>751</v>
      </c>
      <c r="Z1572" s="441" t="str">
        <f>VLOOKUP(H1572,'Fund Utilization Report'!$A$4:$U$1800,8,FALSE)</f>
        <v>50201010 00</v>
      </c>
      <c r="AA1572" s="239" t="str">
        <f>VLOOKUP(H1572,'Fund Utilization Report'!$A$4:$U$1800,14,FALSE)</f>
        <v>330100100003000</v>
      </c>
      <c r="AB1572" s="242" t="str">
        <f>VLOOKUP(H1572,'Fund Utilization Report'!$A$4:$U$1800,15,FALSE)</f>
        <v>MSME Development Program : Program Beneficiaries Development Component of the Comprehensive Agrarian Reform Program</v>
      </c>
      <c r="AC1572" s="51"/>
      <c r="AD1572" s="435"/>
      <c r="AE1572" s="51"/>
      <c r="AF1572" s="51"/>
      <c r="AG1572" s="442"/>
      <c r="AH1572" s="442"/>
    </row>
    <row r="1573" spans="1:35" s="443" customFormat="1" ht="27.6">
      <c r="A1573" s="434" t="s">
        <v>942</v>
      </c>
      <c r="B1573" s="457" t="s">
        <v>946</v>
      </c>
      <c r="C1573" s="233">
        <v>44284</v>
      </c>
      <c r="D1573" s="435" t="s">
        <v>1267</v>
      </c>
      <c r="E1573" s="436" t="s">
        <v>1599</v>
      </c>
      <c r="F1573" s="434">
        <v>0.41666666666666669</v>
      </c>
      <c r="G1573" s="434">
        <v>0.41805555555555557</v>
      </c>
      <c r="H1573" s="434" t="s">
        <v>987</v>
      </c>
      <c r="I1573" s="437">
        <v>753</v>
      </c>
      <c r="J1573" s="434" t="str">
        <f>IFERROR(VLOOKUP(I1573,'Chart of accounts'!A:H,2,FALSE),"")</f>
        <v>50202010 00</v>
      </c>
      <c r="K1573" s="434" t="str">
        <f>IFERROR(VLOOKUP(I1573,'Chart of accounts'!A:H,3,FALSE),"")</f>
        <v>Training Expenses</v>
      </c>
      <c r="L1573" s="434" t="str">
        <f>IFERROR(VLOOKUP(I1573,'Chart of accounts'!A:H,4,FALSE),"")</f>
        <v>50202010 00 - Training Expenses (753)</v>
      </c>
      <c r="M1573" s="438">
        <v>68</v>
      </c>
      <c r="N1573" s="439" t="s">
        <v>821</v>
      </c>
      <c r="O1573" s="439" t="s">
        <v>1600</v>
      </c>
      <c r="P1573" s="439"/>
      <c r="Q1573" s="50">
        <v>40965</v>
      </c>
      <c r="R1573" s="239">
        <f t="shared" si="64"/>
        <v>-40965</v>
      </c>
      <c r="S1573" s="239" t="str">
        <f>VLOOKUP(H1573,'Fund Utilization Report'!$A$4:$U$1800,13,FALSE)</f>
        <v>MOOE</v>
      </c>
      <c r="T1573" s="239" t="str">
        <f>VLOOKUP(H1573,'Fund Utilization Report'!$A$4:$U$1800,2,FALSE)</f>
        <v>SAA37</v>
      </c>
      <c r="U1573" s="239" t="str">
        <f>VLOOKUP(H1573,'Fund Utilization Report'!$A$4:$U$1800,3,FALSE)</f>
        <v>2021-01-0037</v>
      </c>
      <c r="V1573" s="239" t="str">
        <f>VLOOKUP(H1573,'Fund Utilization Report'!$A$4:$U$1800,4,FALSE)</f>
        <v>CARP</v>
      </c>
      <c r="W1573" s="239" t="str">
        <f>VLOOKUP(H1573,'Fund Utilization Report'!$A$4:$U$1800,5,FALSE)</f>
        <v>01101101</v>
      </c>
      <c r="X1573" s="239" t="str">
        <f>VLOOKUP(H1573,'Fund Utilization Report'!$A$4:$U$1800,6,FALSE)</f>
        <v>GOP</v>
      </c>
      <c r="Y1573" s="440">
        <f>VLOOKUP(H1573,'Fund Utilization Report'!$A$4:$U$1800,7,FALSE)</f>
        <v>753</v>
      </c>
      <c r="Z1573" s="441" t="str">
        <f>VLOOKUP(H1573,'Fund Utilization Report'!$A$4:$U$1800,8,FALSE)</f>
        <v>50202010 00</v>
      </c>
      <c r="AA1573" s="239" t="str">
        <f>VLOOKUP(H1573,'Fund Utilization Report'!$A$4:$U$1800,14,FALSE)</f>
        <v>330100100003000</v>
      </c>
      <c r="AB1573" s="242" t="str">
        <f>VLOOKUP(H1573,'Fund Utilization Report'!$A$4:$U$1800,15,FALSE)</f>
        <v>MSME Development Program : Program Beneficiaries Development Component of the Comprehensive Agrarian Reform Program</v>
      </c>
      <c r="AC1573" s="51"/>
      <c r="AD1573" s="435"/>
      <c r="AE1573" s="51"/>
      <c r="AF1573" s="51"/>
      <c r="AG1573" s="442"/>
      <c r="AH1573" s="442"/>
    </row>
    <row r="1574" spans="1:35" s="443" customFormat="1" ht="27.6">
      <c r="A1574" s="434" t="s">
        <v>942</v>
      </c>
      <c r="B1574" s="457" t="s">
        <v>946</v>
      </c>
      <c r="C1574" s="233">
        <v>44284</v>
      </c>
      <c r="D1574" s="435" t="s">
        <v>1267</v>
      </c>
      <c r="E1574" s="436" t="s">
        <v>1599</v>
      </c>
      <c r="F1574" s="434">
        <v>0.41666666666666669</v>
      </c>
      <c r="G1574" s="434">
        <v>0.41805555555555557</v>
      </c>
      <c r="H1574" s="434" t="s">
        <v>988</v>
      </c>
      <c r="I1574" s="437">
        <v>755</v>
      </c>
      <c r="J1574" s="434" t="str">
        <f>IFERROR(VLOOKUP(I1574,'Chart of accounts'!A:H,2,FALSE),"")</f>
        <v>50203010 00</v>
      </c>
      <c r="K1574" s="434" t="str">
        <f>IFERROR(VLOOKUP(I1574,'Chart of accounts'!A:H,3,FALSE),"")</f>
        <v>Office Supplies Expenses</v>
      </c>
      <c r="L1574" s="434" t="str">
        <f>IFERROR(VLOOKUP(I1574,'Chart of accounts'!A:H,4,FALSE),"")</f>
        <v>50203010 00 - Office Supplies Expenses (755)</v>
      </c>
      <c r="M1574" s="438">
        <v>68</v>
      </c>
      <c r="N1574" s="439" t="s">
        <v>821</v>
      </c>
      <c r="O1574" s="439" t="s">
        <v>1600</v>
      </c>
      <c r="P1574" s="439"/>
      <c r="Q1574" s="50">
        <v>5000</v>
      </c>
      <c r="R1574" s="239">
        <f t="shared" si="64"/>
        <v>-5000</v>
      </c>
      <c r="S1574" s="239" t="str">
        <f>VLOOKUP(H1574,'Fund Utilization Report'!$A$4:$U$1800,13,FALSE)</f>
        <v>MOOE</v>
      </c>
      <c r="T1574" s="239" t="str">
        <f>VLOOKUP(H1574,'Fund Utilization Report'!$A$4:$U$1800,2,FALSE)</f>
        <v>SAA37</v>
      </c>
      <c r="U1574" s="239" t="str">
        <f>VLOOKUP(H1574,'Fund Utilization Report'!$A$4:$U$1800,3,FALSE)</f>
        <v>2021-01-0037</v>
      </c>
      <c r="V1574" s="239" t="str">
        <f>VLOOKUP(H1574,'Fund Utilization Report'!$A$4:$U$1800,4,FALSE)</f>
        <v>CARP</v>
      </c>
      <c r="W1574" s="239" t="str">
        <f>VLOOKUP(H1574,'Fund Utilization Report'!$A$4:$U$1800,5,FALSE)</f>
        <v>01101101</v>
      </c>
      <c r="X1574" s="239" t="str">
        <f>VLOOKUP(H1574,'Fund Utilization Report'!$A$4:$U$1800,6,FALSE)</f>
        <v>GOP</v>
      </c>
      <c r="Y1574" s="440">
        <f>VLOOKUP(H1574,'Fund Utilization Report'!$A$4:$U$1800,7,FALSE)</f>
        <v>755</v>
      </c>
      <c r="Z1574" s="441" t="str">
        <f>VLOOKUP(H1574,'Fund Utilization Report'!$A$4:$U$1800,8,FALSE)</f>
        <v>50203010 00</v>
      </c>
      <c r="AA1574" s="239" t="str">
        <f>VLOOKUP(H1574,'Fund Utilization Report'!$A$4:$U$1800,14,FALSE)</f>
        <v>330100100003000</v>
      </c>
      <c r="AB1574" s="242" t="str">
        <f>VLOOKUP(H1574,'Fund Utilization Report'!$A$4:$U$1800,15,FALSE)</f>
        <v>MSME Development Program : Program Beneficiaries Development Component of the Comprehensive Agrarian Reform Program</v>
      </c>
      <c r="AC1574" s="51"/>
      <c r="AD1574" s="435"/>
      <c r="AE1574" s="51"/>
      <c r="AF1574" s="51"/>
      <c r="AG1574" s="442"/>
      <c r="AH1574" s="442"/>
    </row>
    <row r="1575" spans="1:35" s="443" customFormat="1" ht="27.6">
      <c r="A1575" s="434" t="s">
        <v>942</v>
      </c>
      <c r="B1575" s="457" t="s">
        <v>946</v>
      </c>
      <c r="C1575" s="233">
        <v>44284</v>
      </c>
      <c r="D1575" s="435" t="s">
        <v>1267</v>
      </c>
      <c r="E1575" s="436" t="s">
        <v>1599</v>
      </c>
      <c r="F1575" s="434">
        <v>0.41666666666666669</v>
      </c>
      <c r="G1575" s="434">
        <v>0.41805555555555557</v>
      </c>
      <c r="H1575" s="434" t="s">
        <v>991</v>
      </c>
      <c r="I1575" s="437">
        <v>773</v>
      </c>
      <c r="J1575" s="434" t="str">
        <f>IFERROR(VLOOKUP(I1575,'Chart of accounts'!A:H,2,FALSE),"")</f>
        <v>50205020 01</v>
      </c>
      <c r="K1575" s="434" t="str">
        <f>IFERROR(VLOOKUP(I1575,'Chart of accounts'!A:H,3,FALSE),"")</f>
        <v xml:space="preserve">Telephone Expenses - Mobile </v>
      </c>
      <c r="L1575" s="434" t="str">
        <f>IFERROR(VLOOKUP(I1575,'Chart of accounts'!A:H,4,FALSE),"")</f>
        <v>50205020 01 - Telephone Expenses - Mobile  (773)</v>
      </c>
      <c r="M1575" s="438">
        <v>68</v>
      </c>
      <c r="N1575" s="439" t="s">
        <v>821</v>
      </c>
      <c r="O1575" s="439" t="s">
        <v>1600</v>
      </c>
      <c r="P1575" s="439"/>
      <c r="Q1575" s="50">
        <v>1500</v>
      </c>
      <c r="R1575" s="239">
        <f t="shared" si="64"/>
        <v>-1500</v>
      </c>
      <c r="S1575" s="239" t="str">
        <f>VLOOKUP(H1575,'Fund Utilization Report'!$A$4:$U$1800,13,FALSE)</f>
        <v>MOOE</v>
      </c>
      <c r="T1575" s="239" t="str">
        <f>VLOOKUP(H1575,'Fund Utilization Report'!$A$4:$U$1800,2,FALSE)</f>
        <v>SAA37</v>
      </c>
      <c r="U1575" s="239" t="str">
        <f>VLOOKUP(H1575,'Fund Utilization Report'!$A$4:$U$1800,3,FALSE)</f>
        <v>2021-01-0037</v>
      </c>
      <c r="V1575" s="239" t="str">
        <f>VLOOKUP(H1575,'Fund Utilization Report'!$A$4:$U$1800,4,FALSE)</f>
        <v>CARP</v>
      </c>
      <c r="W1575" s="239" t="str">
        <f>VLOOKUP(H1575,'Fund Utilization Report'!$A$4:$U$1800,5,FALSE)</f>
        <v>01101101</v>
      </c>
      <c r="X1575" s="239" t="str">
        <f>VLOOKUP(H1575,'Fund Utilization Report'!$A$4:$U$1800,6,FALSE)</f>
        <v>GOP</v>
      </c>
      <c r="Y1575" s="440">
        <f>VLOOKUP(H1575,'Fund Utilization Report'!$A$4:$U$1800,7,FALSE)</f>
        <v>773</v>
      </c>
      <c r="Z1575" s="441" t="str">
        <f>VLOOKUP(H1575,'Fund Utilization Report'!$A$4:$U$1800,8,FALSE)</f>
        <v>50205020 01</v>
      </c>
      <c r="AA1575" s="239" t="str">
        <f>VLOOKUP(H1575,'Fund Utilization Report'!$A$4:$U$1800,14,FALSE)</f>
        <v>330100100003000</v>
      </c>
      <c r="AB1575" s="242" t="str">
        <f>VLOOKUP(H1575,'Fund Utilization Report'!$A$4:$U$1800,15,FALSE)</f>
        <v>MSME Development Program : Program Beneficiaries Development Component of the Comprehensive Agrarian Reform Program</v>
      </c>
      <c r="AC1575" s="51"/>
      <c r="AD1575" s="435"/>
      <c r="AE1575" s="51"/>
      <c r="AF1575" s="51"/>
      <c r="AG1575" s="442"/>
      <c r="AH1575" s="442"/>
    </row>
    <row r="1576" spans="1:35" s="443" customFormat="1" ht="27.6">
      <c r="A1576" s="434" t="s">
        <v>942</v>
      </c>
      <c r="B1576" s="457" t="s">
        <v>946</v>
      </c>
      <c r="C1576" s="233">
        <v>44284</v>
      </c>
      <c r="D1576" s="435" t="s">
        <v>1267</v>
      </c>
      <c r="E1576" s="436" t="s">
        <v>1599</v>
      </c>
      <c r="F1576" s="434">
        <v>0.41666666666666669</v>
      </c>
      <c r="G1576" s="434">
        <v>0.41805555555555557</v>
      </c>
      <c r="H1576" s="434" t="s">
        <v>994</v>
      </c>
      <c r="I1576" s="437">
        <v>793</v>
      </c>
      <c r="J1576" s="434" t="str">
        <f>IFERROR(VLOOKUP(I1576,'Chart of accounts'!A:H,2,FALSE),"")</f>
        <v>50211030 00</v>
      </c>
      <c r="K1576" s="434" t="str">
        <f>IFERROR(VLOOKUP(I1576,'Chart of accounts'!A:H,3,FALSE),"")</f>
        <v>Consultancy Services</v>
      </c>
      <c r="L1576" s="434" t="str">
        <f>IFERROR(VLOOKUP(I1576,'Chart of accounts'!A:H,4,FALSE),"")</f>
        <v>50211030 00 - Consultancy Services (793)</v>
      </c>
      <c r="M1576" s="438">
        <v>68</v>
      </c>
      <c r="N1576" s="439" t="s">
        <v>821</v>
      </c>
      <c r="O1576" s="439" t="s">
        <v>1600</v>
      </c>
      <c r="P1576" s="439"/>
      <c r="Q1576" s="50">
        <v>400</v>
      </c>
      <c r="R1576" s="239">
        <f t="shared" si="64"/>
        <v>-400</v>
      </c>
      <c r="S1576" s="239" t="str">
        <f>VLOOKUP(H1576,'Fund Utilization Report'!$A$4:$U$1800,13,FALSE)</f>
        <v>MOOE</v>
      </c>
      <c r="T1576" s="239" t="str">
        <f>VLOOKUP(H1576,'Fund Utilization Report'!$A$4:$U$1800,2,FALSE)</f>
        <v>SAA37</v>
      </c>
      <c r="U1576" s="239" t="str">
        <f>VLOOKUP(H1576,'Fund Utilization Report'!$A$4:$U$1800,3,FALSE)</f>
        <v>2021-01-0037</v>
      </c>
      <c r="V1576" s="239" t="str">
        <f>VLOOKUP(H1576,'Fund Utilization Report'!$A$4:$U$1800,4,FALSE)</f>
        <v>CARP</v>
      </c>
      <c r="W1576" s="239" t="str">
        <f>VLOOKUP(H1576,'Fund Utilization Report'!$A$4:$U$1800,5,FALSE)</f>
        <v>01101101</v>
      </c>
      <c r="X1576" s="239" t="str">
        <f>VLOOKUP(H1576,'Fund Utilization Report'!$A$4:$U$1800,6,FALSE)</f>
        <v>GOP</v>
      </c>
      <c r="Y1576" s="440">
        <f>VLOOKUP(H1576,'Fund Utilization Report'!$A$4:$U$1800,7,FALSE)</f>
        <v>795</v>
      </c>
      <c r="Z1576" s="441" t="str">
        <f>VLOOKUP(H1576,'Fund Utilization Report'!$A$4:$U$1800,8,FALSE)</f>
        <v>50212990 00</v>
      </c>
      <c r="AA1576" s="239" t="str">
        <f>VLOOKUP(H1576,'Fund Utilization Report'!$A$4:$U$1800,14,FALSE)</f>
        <v>330100100003000</v>
      </c>
      <c r="AB1576" s="242" t="str">
        <f>VLOOKUP(H1576,'Fund Utilization Report'!$A$4:$U$1800,15,FALSE)</f>
        <v>MSME Development Program : Program Beneficiaries Development Component of the Comprehensive Agrarian Reform Program</v>
      </c>
      <c r="AC1576" s="51"/>
      <c r="AD1576" s="435"/>
      <c r="AE1576" s="51"/>
      <c r="AF1576" s="51"/>
      <c r="AG1576" s="442"/>
      <c r="AH1576" s="442"/>
    </row>
    <row r="1577" spans="1:35" s="443" customFormat="1" ht="27.6">
      <c r="A1577" s="434" t="s">
        <v>942</v>
      </c>
      <c r="B1577" s="457" t="s">
        <v>946</v>
      </c>
      <c r="C1577" s="233">
        <v>44284</v>
      </c>
      <c r="D1577" s="435" t="s">
        <v>1267</v>
      </c>
      <c r="E1577" s="436" t="s">
        <v>1599</v>
      </c>
      <c r="F1577" s="434">
        <v>0.41666666666666669</v>
      </c>
      <c r="G1577" s="434">
        <v>0.41805555555555557</v>
      </c>
      <c r="H1577" s="434" t="s">
        <v>994</v>
      </c>
      <c r="I1577" s="437">
        <v>799</v>
      </c>
      <c r="J1577" s="434" t="str">
        <f>IFERROR(VLOOKUP(I1577,'Chart of accounts'!A:H,2,FALSE),"")</f>
        <v>50211990 00</v>
      </c>
      <c r="K1577" s="434" t="str">
        <f>IFERROR(VLOOKUP(I1577,'Chart of accounts'!A:H,3,FALSE),"")</f>
        <v>Other Professional Services</v>
      </c>
      <c r="L1577" s="434" t="str">
        <f>IFERROR(VLOOKUP(I1577,'Chart of accounts'!A:H,4,FALSE),"")</f>
        <v>50211990 00 - Other Professional Services (799)</v>
      </c>
      <c r="M1577" s="438">
        <v>68</v>
      </c>
      <c r="N1577" s="439" t="s">
        <v>821</v>
      </c>
      <c r="O1577" s="439" t="s">
        <v>1600</v>
      </c>
      <c r="P1577" s="439"/>
      <c r="Q1577" s="50">
        <v>98299</v>
      </c>
      <c r="R1577" s="239">
        <f>P1577-Q1577</f>
        <v>-98299</v>
      </c>
      <c r="S1577" s="239" t="str">
        <f>VLOOKUP(H1577,'Fund Utilization Report'!$A$4:$U$1800,13,FALSE)</f>
        <v>MOOE</v>
      </c>
      <c r="T1577" s="239" t="str">
        <f>VLOOKUP(H1577,'Fund Utilization Report'!$A$4:$U$1800,2,FALSE)</f>
        <v>SAA37</v>
      </c>
      <c r="U1577" s="239" t="str">
        <f>VLOOKUP(H1577,'Fund Utilization Report'!$A$4:$U$1800,3,FALSE)</f>
        <v>2021-01-0037</v>
      </c>
      <c r="V1577" s="239" t="str">
        <f>VLOOKUP(H1577,'Fund Utilization Report'!$A$4:$U$1800,4,FALSE)</f>
        <v>CARP</v>
      </c>
      <c r="W1577" s="239" t="str">
        <f>VLOOKUP(H1577,'Fund Utilization Report'!$A$4:$U$1800,5,FALSE)</f>
        <v>01101101</v>
      </c>
      <c r="X1577" s="239" t="str">
        <f>VLOOKUP(H1577,'Fund Utilization Report'!$A$4:$U$1800,6,FALSE)</f>
        <v>GOP</v>
      </c>
      <c r="Y1577" s="440">
        <f>VLOOKUP(H1577,'Fund Utilization Report'!$A$4:$U$1800,7,FALSE)</f>
        <v>795</v>
      </c>
      <c r="Z1577" s="441" t="str">
        <f>VLOOKUP(H1577,'Fund Utilization Report'!$A$4:$U$1800,8,FALSE)</f>
        <v>50212990 00</v>
      </c>
      <c r="AA1577" s="239" t="str">
        <f>VLOOKUP(H1577,'Fund Utilization Report'!$A$4:$U$1800,14,FALSE)</f>
        <v>330100100003000</v>
      </c>
      <c r="AB1577" s="242" t="str">
        <f>VLOOKUP(H1577,'Fund Utilization Report'!$A$4:$U$1800,15,FALSE)</f>
        <v>MSME Development Program : Program Beneficiaries Development Component of the Comprehensive Agrarian Reform Program</v>
      </c>
      <c r="AC1577" s="51"/>
      <c r="AD1577" s="435"/>
      <c r="AE1577" s="51"/>
      <c r="AF1577" s="51"/>
      <c r="AG1577" s="442"/>
      <c r="AH1577" s="442"/>
    </row>
    <row r="1578" spans="1:35" s="443" customFormat="1" ht="27.6">
      <c r="A1578" s="434" t="s">
        <v>942</v>
      </c>
      <c r="B1578" s="457" t="s">
        <v>946</v>
      </c>
      <c r="C1578" s="233">
        <v>44284</v>
      </c>
      <c r="D1578" s="435" t="s">
        <v>1267</v>
      </c>
      <c r="E1578" s="436" t="s">
        <v>1599</v>
      </c>
      <c r="F1578" s="434">
        <v>0.41666666666666669</v>
      </c>
      <c r="G1578" s="434">
        <v>0.41805555555555557</v>
      </c>
      <c r="H1578" s="434" t="s">
        <v>994</v>
      </c>
      <c r="I1578" s="437">
        <v>795</v>
      </c>
      <c r="J1578" s="434" t="str">
        <f>IFERROR(VLOOKUP(I1578,'Chart of accounts'!A:H,2,FALSE),"")</f>
        <v>50212990 00</v>
      </c>
      <c r="K1578" s="434" t="str">
        <f>IFERROR(VLOOKUP(I1578,'Chart of accounts'!A:H,3,FALSE),"")</f>
        <v>Other General Services</v>
      </c>
      <c r="L1578" s="434" t="str">
        <f>IFERROR(VLOOKUP(I1578,'Chart of accounts'!A:H,4,FALSE),"")</f>
        <v>50212990 00 - Other General Services (795)</v>
      </c>
      <c r="M1578" s="438">
        <v>68</v>
      </c>
      <c r="N1578" s="439" t="s">
        <v>821</v>
      </c>
      <c r="O1578" s="439" t="s">
        <v>1600</v>
      </c>
      <c r="P1578" s="439"/>
      <c r="Q1578" s="50">
        <v>1000</v>
      </c>
      <c r="R1578" s="239">
        <f t="shared" ref="R1578:R1588" si="65">P1578-Q1578</f>
        <v>-1000</v>
      </c>
      <c r="S1578" s="239" t="str">
        <f>VLOOKUP(H1578,'Fund Utilization Report'!$A$4:$U$1800,13,FALSE)</f>
        <v>MOOE</v>
      </c>
      <c r="T1578" s="239" t="str">
        <f>VLOOKUP(H1578,'Fund Utilization Report'!$A$4:$U$1800,2,FALSE)</f>
        <v>SAA37</v>
      </c>
      <c r="U1578" s="239" t="str">
        <f>VLOOKUP(H1578,'Fund Utilization Report'!$A$4:$U$1800,3,FALSE)</f>
        <v>2021-01-0037</v>
      </c>
      <c r="V1578" s="239" t="str">
        <f>VLOOKUP(H1578,'Fund Utilization Report'!$A$4:$U$1800,4,FALSE)</f>
        <v>CARP</v>
      </c>
      <c r="W1578" s="239" t="str">
        <f>VLOOKUP(H1578,'Fund Utilization Report'!$A$4:$U$1800,5,FALSE)</f>
        <v>01101101</v>
      </c>
      <c r="X1578" s="239" t="str">
        <f>VLOOKUP(H1578,'Fund Utilization Report'!$A$4:$U$1800,6,FALSE)</f>
        <v>GOP</v>
      </c>
      <c r="Y1578" s="440">
        <f>VLOOKUP(H1578,'Fund Utilization Report'!$A$4:$U$1800,7,FALSE)</f>
        <v>795</v>
      </c>
      <c r="Z1578" s="441" t="str">
        <f>VLOOKUP(H1578,'Fund Utilization Report'!$A$4:$U$1800,8,FALSE)</f>
        <v>50212990 00</v>
      </c>
      <c r="AA1578" s="239" t="str">
        <f>VLOOKUP(H1578,'Fund Utilization Report'!$A$4:$U$1800,14,FALSE)</f>
        <v>330100100003000</v>
      </c>
      <c r="AB1578" s="242" t="str">
        <f>VLOOKUP(H1578,'Fund Utilization Report'!$A$4:$U$1800,15,FALSE)</f>
        <v>MSME Development Program : Program Beneficiaries Development Component of the Comprehensive Agrarian Reform Program</v>
      </c>
      <c r="AC1578" s="51"/>
      <c r="AD1578" s="435"/>
      <c r="AE1578" s="51"/>
      <c r="AF1578" s="51"/>
      <c r="AG1578" s="442"/>
      <c r="AH1578" s="442"/>
    </row>
    <row r="1579" spans="1:35" s="32" customFormat="1" ht="31.5" customHeight="1">
      <c r="A1579" s="434" t="s">
        <v>942</v>
      </c>
      <c r="B1579" s="457" t="s">
        <v>946</v>
      </c>
      <c r="C1579" s="233">
        <v>44284</v>
      </c>
      <c r="D1579" s="435" t="s">
        <v>1267</v>
      </c>
      <c r="E1579" s="436" t="s">
        <v>1601</v>
      </c>
      <c r="F1579" s="338">
        <v>0.59027777777777779</v>
      </c>
      <c r="G1579" s="338">
        <v>0.59305555555555556</v>
      </c>
      <c r="H1579" s="338" t="s">
        <v>980</v>
      </c>
      <c r="I1579" s="353">
        <v>751</v>
      </c>
      <c r="J1579" s="434" t="str">
        <f>IFERROR(VLOOKUP(I1579,'Chart of accounts'!A:H,2,FALSE),"")</f>
        <v>50201010 00</v>
      </c>
      <c r="K1579" s="338" t="str">
        <f>IFERROR(VLOOKUP(I1579,'Chart of accounts'!A:H,3,FALSE),"")</f>
        <v>Traveling Expenses - Local</v>
      </c>
      <c r="L1579" s="338" t="str">
        <f>IFERROR(VLOOKUP(I1579,'Chart of accounts'!A:H,4,FALSE),"")</f>
        <v>50201010 00 - Traveling Expenses - Local (751)</v>
      </c>
      <c r="M1579" s="361" t="s">
        <v>845</v>
      </c>
      <c r="N1579" s="355" t="s">
        <v>820</v>
      </c>
      <c r="O1579" s="439" t="s">
        <v>1602</v>
      </c>
      <c r="P1579" s="355"/>
      <c r="Q1579" s="363">
        <v>100000</v>
      </c>
      <c r="R1579" s="428">
        <f t="shared" si="65"/>
        <v>-100000</v>
      </c>
      <c r="S1579" s="428" t="str">
        <f>VLOOKUP(H1579,'Fund Utilization Report'!$A$4:$U$1800,13,FALSE)</f>
        <v>MOOE</v>
      </c>
      <c r="T1579" s="428" t="str">
        <f>VLOOKUP(H1579,'Fund Utilization Report'!$A$4:$U$1800,2,FALSE)</f>
        <v>GAA</v>
      </c>
      <c r="U1579" s="428" t="str">
        <f>VLOOKUP(H1579,'Fund Utilization Report'!$A$4:$U$1800,3,FALSE)</f>
        <v>FY2021, RA11518</v>
      </c>
      <c r="V1579" s="428" t="str">
        <f>VLOOKUP(H1579,'Fund Utilization Report'!$A$4:$U$1800,4,FALSE)</f>
        <v>NC</v>
      </c>
      <c r="W1579" s="428" t="str">
        <f>VLOOKUP(H1579,'Fund Utilization Report'!$A$4:$U$1800,5,FALSE)</f>
        <v>01101101</v>
      </c>
      <c r="X1579" s="428" t="str">
        <f>VLOOKUP(H1579,'Fund Utilization Report'!$A$4:$U$1800,6,FALSE)</f>
        <v>GOP</v>
      </c>
      <c r="Y1579" s="320" t="str">
        <f>VLOOKUP(H1579,'Fund Utilization Report'!$A$4:$U$1800,7,FALSE)</f>
        <v>MOOE</v>
      </c>
      <c r="Z1579" s="425">
        <f>VLOOKUP(H1579,'Fund Utilization Report'!$A$4:$U$1800,8,FALSE)</f>
        <v>5020000000</v>
      </c>
      <c r="AA1579" s="428" t="str">
        <f>VLOOKUP(H1579,'Fund Utilization Report'!$A$4:$U$1800,14,FALSE)</f>
        <v>330100200001000</v>
      </c>
      <c r="AB1579" s="349" t="str">
        <f>VLOOKUP(H1579,'Fund Utilization Report'!$A$4:$U$1800,15,FALSE)</f>
        <v>Establishment of Negosyo Centers</v>
      </c>
      <c r="AC1579" s="39"/>
      <c r="AD1579" s="34"/>
      <c r="AE1579" s="39"/>
      <c r="AF1579" s="51"/>
      <c r="AG1579" s="442"/>
      <c r="AH1579" s="442"/>
      <c r="AI1579" s="443"/>
    </row>
    <row r="1580" spans="1:35" s="32" customFormat="1" ht="27.75" customHeight="1">
      <c r="A1580" s="434" t="s">
        <v>942</v>
      </c>
      <c r="B1580" s="457" t="s">
        <v>946</v>
      </c>
      <c r="C1580" s="233">
        <v>44284</v>
      </c>
      <c r="D1580" s="435" t="s">
        <v>1267</v>
      </c>
      <c r="E1580" s="436" t="s">
        <v>1601</v>
      </c>
      <c r="F1580" s="338">
        <v>0.59027777777777779</v>
      </c>
      <c r="G1580" s="338">
        <v>0.59305555555555556</v>
      </c>
      <c r="H1580" s="338" t="s">
        <v>980</v>
      </c>
      <c r="I1580" s="353">
        <v>753</v>
      </c>
      <c r="J1580" s="338" t="str">
        <f>IFERROR(VLOOKUP(I1580,'Chart of accounts'!A:H,2,FALSE),"")</f>
        <v>50202010 00</v>
      </c>
      <c r="K1580" s="338" t="str">
        <f>IFERROR(VLOOKUP(I1580,'Chart of accounts'!A:H,3,FALSE),"")</f>
        <v>Training Expenses</v>
      </c>
      <c r="L1580" s="338" t="str">
        <f>IFERROR(VLOOKUP(I1580,'Chart of accounts'!A:H,4,FALSE),"")</f>
        <v>50202010 00 - Training Expenses (753)</v>
      </c>
      <c r="M1580" s="361" t="s">
        <v>845</v>
      </c>
      <c r="N1580" s="355" t="s">
        <v>820</v>
      </c>
      <c r="O1580" s="355" t="s">
        <v>1602</v>
      </c>
      <c r="P1580" s="355"/>
      <c r="Q1580" s="363">
        <v>300000</v>
      </c>
      <c r="R1580" s="428">
        <f t="shared" si="65"/>
        <v>-300000</v>
      </c>
      <c r="S1580" s="428" t="str">
        <f>VLOOKUP(H1580,'Fund Utilization Report'!$A$4:$U$1800,13,FALSE)</f>
        <v>MOOE</v>
      </c>
      <c r="T1580" s="428" t="str">
        <f>VLOOKUP(H1580,'Fund Utilization Report'!$A$4:$U$1800,2,FALSE)</f>
        <v>GAA</v>
      </c>
      <c r="U1580" s="428" t="str">
        <f>VLOOKUP(H1580,'Fund Utilization Report'!$A$4:$U$1800,3,FALSE)</f>
        <v>FY2021, RA11518</v>
      </c>
      <c r="V1580" s="428" t="str">
        <f>VLOOKUP(H1580,'Fund Utilization Report'!$A$4:$U$1800,4,FALSE)</f>
        <v>NC</v>
      </c>
      <c r="W1580" s="428" t="str">
        <f>VLOOKUP(H1580,'Fund Utilization Report'!$A$4:$U$1800,5,FALSE)</f>
        <v>01101101</v>
      </c>
      <c r="X1580" s="428" t="str">
        <f>VLOOKUP(H1580,'Fund Utilization Report'!$A$4:$U$1800,6,FALSE)</f>
        <v>GOP</v>
      </c>
      <c r="Y1580" s="320" t="str">
        <f>VLOOKUP(H1580,'Fund Utilization Report'!$A$4:$U$1800,7,FALSE)</f>
        <v>MOOE</v>
      </c>
      <c r="Z1580" s="425">
        <f>VLOOKUP(H1580,'Fund Utilization Report'!$A$4:$U$1800,8,FALSE)</f>
        <v>5020000000</v>
      </c>
      <c r="AA1580" s="428" t="str">
        <f>VLOOKUP(H1580,'Fund Utilization Report'!$A$4:$U$1800,14,FALSE)</f>
        <v>330100200001000</v>
      </c>
      <c r="AB1580" s="349" t="str">
        <f>VLOOKUP(H1580,'Fund Utilization Report'!$A$4:$U$1800,15,FALSE)</f>
        <v>Establishment of Negosyo Centers</v>
      </c>
      <c r="AC1580" s="39"/>
      <c r="AD1580" s="34"/>
      <c r="AE1580" s="39"/>
      <c r="AF1580" s="51"/>
      <c r="AG1580" s="442"/>
      <c r="AH1580" s="442"/>
      <c r="AI1580" s="443"/>
    </row>
    <row r="1581" spans="1:35" s="32" customFormat="1" ht="25.5" customHeight="1">
      <c r="A1581" s="434" t="s">
        <v>942</v>
      </c>
      <c r="B1581" s="457" t="s">
        <v>946</v>
      </c>
      <c r="C1581" s="233">
        <v>44284</v>
      </c>
      <c r="D1581" s="435" t="s">
        <v>1267</v>
      </c>
      <c r="E1581" s="436" t="s">
        <v>1601</v>
      </c>
      <c r="F1581" s="338">
        <v>0.59027777777777779</v>
      </c>
      <c r="G1581" s="338">
        <v>0.59305555555555556</v>
      </c>
      <c r="H1581" s="338" t="s">
        <v>980</v>
      </c>
      <c r="I1581" s="353">
        <v>783</v>
      </c>
      <c r="J1581" s="338" t="str">
        <f>IFERROR(VLOOKUP(I1581,'Chart of accounts'!A:H,2,FALSE),"")</f>
        <v>50299030 00</v>
      </c>
      <c r="K1581" s="338" t="str">
        <f>IFERROR(VLOOKUP(I1581,'Chart of accounts'!A:H,3,FALSE),"")</f>
        <v>Representation Expenses</v>
      </c>
      <c r="L1581" s="338" t="str">
        <f>IFERROR(VLOOKUP(I1581,'Chart of accounts'!A:H,4,FALSE),"")</f>
        <v>50299030 00 - Representation Expenses (783)</v>
      </c>
      <c r="M1581" s="361" t="s">
        <v>845</v>
      </c>
      <c r="N1581" s="355" t="s">
        <v>820</v>
      </c>
      <c r="O1581" s="355" t="s">
        <v>1602</v>
      </c>
      <c r="P1581" s="355"/>
      <c r="Q1581" s="363">
        <v>50000</v>
      </c>
      <c r="R1581" s="428">
        <f t="shared" si="65"/>
        <v>-50000</v>
      </c>
      <c r="S1581" s="428" t="str">
        <f>VLOOKUP(H1581,'Fund Utilization Report'!$A$4:$U$1800,13,FALSE)</f>
        <v>MOOE</v>
      </c>
      <c r="T1581" s="428" t="str">
        <f>VLOOKUP(H1581,'Fund Utilization Report'!$A$4:$U$1800,2,FALSE)</f>
        <v>GAA</v>
      </c>
      <c r="U1581" s="428" t="str">
        <f>VLOOKUP(H1581,'Fund Utilization Report'!$A$4:$U$1800,3,FALSE)</f>
        <v>FY2021, RA11518</v>
      </c>
      <c r="V1581" s="428" t="str">
        <f>VLOOKUP(H1581,'Fund Utilization Report'!$A$4:$U$1800,4,FALSE)</f>
        <v>NC</v>
      </c>
      <c r="W1581" s="428" t="str">
        <f>VLOOKUP(H1581,'Fund Utilization Report'!$A$4:$U$1800,5,FALSE)</f>
        <v>01101101</v>
      </c>
      <c r="X1581" s="428" t="str">
        <f>VLOOKUP(H1581,'Fund Utilization Report'!$A$4:$U$1800,6,FALSE)</f>
        <v>GOP</v>
      </c>
      <c r="Y1581" s="320" t="str">
        <f>VLOOKUP(H1581,'Fund Utilization Report'!$A$4:$U$1800,7,FALSE)</f>
        <v>MOOE</v>
      </c>
      <c r="Z1581" s="425">
        <f>VLOOKUP(H1581,'Fund Utilization Report'!$A$4:$U$1800,8,FALSE)</f>
        <v>5020000000</v>
      </c>
      <c r="AA1581" s="428" t="str">
        <f>VLOOKUP(H1581,'Fund Utilization Report'!$A$4:$U$1800,14,FALSE)</f>
        <v>330100200001000</v>
      </c>
      <c r="AB1581" s="349" t="str">
        <f>VLOOKUP(H1581,'Fund Utilization Report'!$A$4:$U$1800,15,FALSE)</f>
        <v>Establishment of Negosyo Centers</v>
      </c>
      <c r="AC1581" s="39"/>
      <c r="AD1581" s="34"/>
      <c r="AE1581" s="39"/>
      <c r="AF1581" s="51"/>
      <c r="AG1581" s="442"/>
      <c r="AH1581" s="442"/>
      <c r="AI1581" s="443"/>
    </row>
    <row r="1582" spans="1:35" s="32" customFormat="1" ht="29.25" customHeight="1">
      <c r="A1582" s="434" t="s">
        <v>942</v>
      </c>
      <c r="B1582" s="457" t="s">
        <v>946</v>
      </c>
      <c r="C1582" s="233">
        <v>44284</v>
      </c>
      <c r="D1582" s="435" t="s">
        <v>1267</v>
      </c>
      <c r="E1582" s="436" t="s">
        <v>1601</v>
      </c>
      <c r="F1582" s="338">
        <v>0.59027777777777779</v>
      </c>
      <c r="G1582" s="338">
        <v>0.59305555555555556</v>
      </c>
      <c r="H1582" s="338" t="s">
        <v>980</v>
      </c>
      <c r="I1582" s="353">
        <v>799</v>
      </c>
      <c r="J1582" s="338" t="str">
        <f>IFERROR(VLOOKUP(I1582,'Chart of accounts'!A:H,2,FALSE),"")</f>
        <v>50211990 00</v>
      </c>
      <c r="K1582" s="338" t="str">
        <f>IFERROR(VLOOKUP(I1582,'Chart of accounts'!A:H,3,FALSE),"")</f>
        <v>Other Professional Services</v>
      </c>
      <c r="L1582" s="338" t="str">
        <f>IFERROR(VLOOKUP(I1582,'Chart of accounts'!A:H,4,FALSE),"")</f>
        <v>50211990 00 - Other Professional Services (799)</v>
      </c>
      <c r="M1582" s="361" t="s">
        <v>845</v>
      </c>
      <c r="N1582" s="355" t="s">
        <v>820</v>
      </c>
      <c r="O1582" s="355" t="s">
        <v>1602</v>
      </c>
      <c r="P1582" s="355"/>
      <c r="Q1582" s="363">
        <v>914950</v>
      </c>
      <c r="R1582" s="428">
        <f t="shared" si="65"/>
        <v>-914950</v>
      </c>
      <c r="S1582" s="428" t="str">
        <f>VLOOKUP(H1582,'Fund Utilization Report'!$A$4:$U$1800,13,FALSE)</f>
        <v>MOOE</v>
      </c>
      <c r="T1582" s="428" t="str">
        <f>VLOOKUP(H1582,'Fund Utilization Report'!$A$4:$U$1800,2,FALSE)</f>
        <v>GAA</v>
      </c>
      <c r="U1582" s="428" t="str">
        <f>VLOOKUP(H1582,'Fund Utilization Report'!$A$4:$U$1800,3,FALSE)</f>
        <v>FY2021, RA11518</v>
      </c>
      <c r="V1582" s="428" t="str">
        <f>VLOOKUP(H1582,'Fund Utilization Report'!$A$4:$U$1800,4,FALSE)</f>
        <v>NC</v>
      </c>
      <c r="W1582" s="428" t="str">
        <f>VLOOKUP(H1582,'Fund Utilization Report'!$A$4:$U$1800,5,FALSE)</f>
        <v>01101101</v>
      </c>
      <c r="X1582" s="428" t="str">
        <f>VLOOKUP(H1582,'Fund Utilization Report'!$A$4:$U$1800,6,FALSE)</f>
        <v>GOP</v>
      </c>
      <c r="Y1582" s="320" t="str">
        <f>VLOOKUP(H1582,'Fund Utilization Report'!$A$4:$U$1800,7,FALSE)</f>
        <v>MOOE</v>
      </c>
      <c r="Z1582" s="425">
        <f>VLOOKUP(H1582,'Fund Utilization Report'!$A$4:$U$1800,8,FALSE)</f>
        <v>5020000000</v>
      </c>
      <c r="AA1582" s="428" t="str">
        <f>VLOOKUP(H1582,'Fund Utilization Report'!$A$4:$U$1800,14,FALSE)</f>
        <v>330100200001000</v>
      </c>
      <c r="AB1582" s="349" t="str">
        <f>VLOOKUP(H1582,'Fund Utilization Report'!$A$4:$U$1800,15,FALSE)</f>
        <v>Establishment of Negosyo Centers</v>
      </c>
      <c r="AC1582" s="39"/>
      <c r="AD1582" s="34"/>
      <c r="AE1582" s="39"/>
      <c r="AF1582" s="51"/>
      <c r="AG1582" s="442"/>
      <c r="AH1582" s="442"/>
      <c r="AI1582" s="443"/>
    </row>
    <row r="1583" spans="1:35" s="32" customFormat="1" ht="29.25" customHeight="1">
      <c r="A1583" s="434" t="s">
        <v>942</v>
      </c>
      <c r="B1583" s="457" t="s">
        <v>946</v>
      </c>
      <c r="C1583" s="233">
        <v>44284</v>
      </c>
      <c r="D1583" s="435" t="s">
        <v>1267</v>
      </c>
      <c r="E1583" s="436" t="s">
        <v>1601</v>
      </c>
      <c r="F1583" s="338">
        <v>0.59027777777777779</v>
      </c>
      <c r="G1583" s="338">
        <v>0.59305555555555556</v>
      </c>
      <c r="H1583" s="338" t="s">
        <v>980</v>
      </c>
      <c r="I1583" s="353">
        <v>782</v>
      </c>
      <c r="J1583" s="338" t="str">
        <f>IFERROR(VLOOKUP(I1583,'Chart of accounts'!A:H,2,FALSE),"")</f>
        <v>50299050 01</v>
      </c>
      <c r="K1583" s="338" t="str">
        <f>IFERROR(VLOOKUP(I1583,'Chart of accounts'!A:H,3,FALSE),"")</f>
        <v>Rent - Buildings and Structures</v>
      </c>
      <c r="L1583" s="338" t="str">
        <f>IFERROR(VLOOKUP(I1583,'Chart of accounts'!A:H,4,FALSE),"")</f>
        <v>50299050 01 - Rent - Buildings and Structures (782)</v>
      </c>
      <c r="M1583" s="361" t="s">
        <v>845</v>
      </c>
      <c r="N1583" s="355" t="s">
        <v>820</v>
      </c>
      <c r="O1583" s="355" t="s">
        <v>1602</v>
      </c>
      <c r="P1583" s="355"/>
      <c r="Q1583" s="363">
        <v>100000</v>
      </c>
      <c r="R1583" s="428">
        <f t="shared" si="65"/>
        <v>-100000</v>
      </c>
      <c r="S1583" s="428" t="str">
        <f>VLOOKUP(H1583,'Fund Utilization Report'!$A$4:$U$1800,13,FALSE)</f>
        <v>MOOE</v>
      </c>
      <c r="T1583" s="428" t="str">
        <f>VLOOKUP(H1583,'Fund Utilization Report'!$A$4:$U$1800,2,FALSE)</f>
        <v>GAA</v>
      </c>
      <c r="U1583" s="428" t="str">
        <f>VLOOKUP(H1583,'Fund Utilization Report'!$A$4:$U$1800,3,FALSE)</f>
        <v>FY2021, RA11518</v>
      </c>
      <c r="V1583" s="428" t="str">
        <f>VLOOKUP(H1583,'Fund Utilization Report'!$A$4:$U$1800,4,FALSE)</f>
        <v>NC</v>
      </c>
      <c r="W1583" s="428" t="str">
        <f>VLOOKUP(H1583,'Fund Utilization Report'!$A$4:$U$1800,5,FALSE)</f>
        <v>01101101</v>
      </c>
      <c r="X1583" s="428" t="str">
        <f>VLOOKUP(H1583,'Fund Utilization Report'!$A$4:$U$1800,6,FALSE)</f>
        <v>GOP</v>
      </c>
      <c r="Y1583" s="320" t="str">
        <f>VLOOKUP(H1583,'Fund Utilization Report'!$A$4:$U$1800,7,FALSE)</f>
        <v>MOOE</v>
      </c>
      <c r="Z1583" s="425">
        <f>VLOOKUP(H1583,'Fund Utilization Report'!$A$4:$U$1800,8,FALSE)</f>
        <v>5020000000</v>
      </c>
      <c r="AA1583" s="428" t="str">
        <f>VLOOKUP(H1583,'Fund Utilization Report'!$A$4:$U$1800,14,FALSE)</f>
        <v>330100200001000</v>
      </c>
      <c r="AB1583" s="349" t="str">
        <f>VLOOKUP(H1583,'Fund Utilization Report'!$A$4:$U$1800,15,FALSE)</f>
        <v>Establishment of Negosyo Centers</v>
      </c>
      <c r="AC1583" s="39"/>
      <c r="AD1583" s="34"/>
      <c r="AE1583" s="39"/>
      <c r="AF1583" s="51"/>
      <c r="AG1583" s="442"/>
      <c r="AH1583" s="442"/>
      <c r="AI1583" s="443"/>
    </row>
    <row r="1584" spans="1:35" s="32" customFormat="1" ht="34.5" customHeight="1">
      <c r="A1584" s="434" t="s">
        <v>942</v>
      </c>
      <c r="B1584" s="457" t="s">
        <v>946</v>
      </c>
      <c r="C1584" s="233">
        <v>44284</v>
      </c>
      <c r="D1584" s="435" t="s">
        <v>1267</v>
      </c>
      <c r="E1584" s="436" t="s">
        <v>1603</v>
      </c>
      <c r="F1584" s="338">
        <v>0.59305555555555556</v>
      </c>
      <c r="G1584" s="338">
        <v>0.59444444444444444</v>
      </c>
      <c r="H1584" s="338" t="s">
        <v>980</v>
      </c>
      <c r="I1584" s="353">
        <v>751</v>
      </c>
      <c r="J1584" s="338" t="str">
        <f>IFERROR(VLOOKUP(I1584,'Chart of accounts'!A:H,2,FALSE),"")</f>
        <v>50201010 00</v>
      </c>
      <c r="K1584" s="338" t="str">
        <f>IFERROR(VLOOKUP(I1584,'Chart of accounts'!A:H,3,FALSE),"")</f>
        <v>Traveling Expenses - Local</v>
      </c>
      <c r="L1584" s="338" t="str">
        <f>IFERROR(VLOOKUP(I1584,'Chart of accounts'!A:H,4,FALSE),"")</f>
        <v>50201010 00 - Traveling Expenses - Local (751)</v>
      </c>
      <c r="M1584" s="361" t="s">
        <v>845</v>
      </c>
      <c r="N1584" s="355" t="s">
        <v>1539</v>
      </c>
      <c r="O1584" s="355" t="s">
        <v>1602</v>
      </c>
      <c r="P1584" s="355"/>
      <c r="Q1584" s="490">
        <v>50000</v>
      </c>
      <c r="R1584" s="428">
        <f t="shared" si="65"/>
        <v>-50000</v>
      </c>
      <c r="S1584" s="428" t="str">
        <f>VLOOKUP(H1584,'Fund Utilization Report'!$A$4:$U$1800,13,FALSE)</f>
        <v>MOOE</v>
      </c>
      <c r="T1584" s="428" t="str">
        <f>VLOOKUP(H1584,'Fund Utilization Report'!$A$4:$U$1800,2,FALSE)</f>
        <v>GAA</v>
      </c>
      <c r="U1584" s="428" t="str">
        <f>VLOOKUP(H1584,'Fund Utilization Report'!$A$4:$U$1800,3,FALSE)</f>
        <v>FY2021, RA11518</v>
      </c>
      <c r="V1584" s="428" t="str">
        <f>VLOOKUP(H1584,'Fund Utilization Report'!$A$4:$U$1800,4,FALSE)</f>
        <v>NC</v>
      </c>
      <c r="W1584" s="428" t="str">
        <f>VLOOKUP(H1584,'Fund Utilization Report'!$A$4:$U$1800,5,FALSE)</f>
        <v>01101101</v>
      </c>
      <c r="X1584" s="428" t="str">
        <f>VLOOKUP(H1584,'Fund Utilization Report'!$A$4:$U$1800,6,FALSE)</f>
        <v>GOP</v>
      </c>
      <c r="Y1584" s="320" t="str">
        <f>VLOOKUP(H1584,'Fund Utilization Report'!$A$4:$U$1800,7,FALSE)</f>
        <v>MOOE</v>
      </c>
      <c r="Z1584" s="425">
        <f>VLOOKUP(H1584,'Fund Utilization Report'!$A$4:$U$1800,8,FALSE)</f>
        <v>5020000000</v>
      </c>
      <c r="AA1584" s="428" t="str">
        <f>VLOOKUP(H1584,'Fund Utilization Report'!$A$4:$U$1800,14,FALSE)</f>
        <v>330100200001000</v>
      </c>
      <c r="AB1584" s="349" t="str">
        <f>VLOOKUP(H1584,'Fund Utilization Report'!$A$4:$U$1800,15,FALSE)</f>
        <v>Establishment of Negosyo Centers</v>
      </c>
      <c r="AC1584" s="39"/>
      <c r="AD1584" s="34"/>
      <c r="AE1584" s="39"/>
      <c r="AF1584" s="51"/>
      <c r="AG1584" s="442"/>
      <c r="AH1584" s="442"/>
      <c r="AI1584" s="443"/>
    </row>
    <row r="1585" spans="1:35" s="32" customFormat="1" ht="33" customHeight="1">
      <c r="A1585" s="434" t="s">
        <v>942</v>
      </c>
      <c r="B1585" s="457" t="s">
        <v>946</v>
      </c>
      <c r="C1585" s="233">
        <v>44284</v>
      </c>
      <c r="D1585" s="435" t="s">
        <v>1267</v>
      </c>
      <c r="E1585" s="436" t="s">
        <v>1603</v>
      </c>
      <c r="F1585" s="338">
        <v>0.59305555555555556</v>
      </c>
      <c r="G1585" s="338">
        <v>0.59444444444444444</v>
      </c>
      <c r="H1585" s="338" t="s">
        <v>980</v>
      </c>
      <c r="I1585" s="353">
        <v>753</v>
      </c>
      <c r="J1585" s="338" t="str">
        <f>IFERROR(VLOOKUP(I1585,'Chart of accounts'!A:H,2,FALSE),"")</f>
        <v>50202010 00</v>
      </c>
      <c r="K1585" s="338" t="str">
        <f>IFERROR(VLOOKUP(I1585,'Chart of accounts'!A:H,3,FALSE),"")</f>
        <v>Training Expenses</v>
      </c>
      <c r="L1585" s="338" t="str">
        <f>IFERROR(VLOOKUP(I1585,'Chart of accounts'!A:H,4,FALSE),"")</f>
        <v>50202010 00 - Training Expenses (753)</v>
      </c>
      <c r="M1585" s="361" t="s">
        <v>845</v>
      </c>
      <c r="N1585" s="355" t="s">
        <v>1539</v>
      </c>
      <c r="O1585" s="355" t="s">
        <v>1602</v>
      </c>
      <c r="P1585" s="355"/>
      <c r="Q1585" s="490">
        <v>150000</v>
      </c>
      <c r="R1585" s="428">
        <f t="shared" si="65"/>
        <v>-150000</v>
      </c>
      <c r="S1585" s="428" t="str">
        <f>VLOOKUP(H1585,'Fund Utilization Report'!$A$4:$U$1800,13,FALSE)</f>
        <v>MOOE</v>
      </c>
      <c r="T1585" s="428" t="str">
        <f>VLOOKUP(H1585,'Fund Utilization Report'!$A$4:$U$1800,2,FALSE)</f>
        <v>GAA</v>
      </c>
      <c r="U1585" s="428" t="str">
        <f>VLOOKUP(H1585,'Fund Utilization Report'!$A$4:$U$1800,3,FALSE)</f>
        <v>FY2021, RA11518</v>
      </c>
      <c r="V1585" s="428" t="str">
        <f>VLOOKUP(H1585,'Fund Utilization Report'!$A$4:$U$1800,4,FALSE)</f>
        <v>NC</v>
      </c>
      <c r="W1585" s="428" t="str">
        <f>VLOOKUP(H1585,'Fund Utilization Report'!$A$4:$U$1800,5,FALSE)</f>
        <v>01101101</v>
      </c>
      <c r="X1585" s="428" t="str">
        <f>VLOOKUP(H1585,'Fund Utilization Report'!$A$4:$U$1800,6,FALSE)</f>
        <v>GOP</v>
      </c>
      <c r="Y1585" s="320" t="str">
        <f>VLOOKUP(H1585,'Fund Utilization Report'!$A$4:$U$1800,7,FALSE)</f>
        <v>MOOE</v>
      </c>
      <c r="Z1585" s="425">
        <f>VLOOKUP(H1585,'Fund Utilization Report'!$A$4:$U$1800,8,FALSE)</f>
        <v>5020000000</v>
      </c>
      <c r="AA1585" s="428" t="str">
        <f>VLOOKUP(H1585,'Fund Utilization Report'!$A$4:$U$1800,14,FALSE)</f>
        <v>330100200001000</v>
      </c>
      <c r="AB1585" s="349" t="str">
        <f>VLOOKUP(H1585,'Fund Utilization Report'!$A$4:$U$1800,15,FALSE)</f>
        <v>Establishment of Negosyo Centers</v>
      </c>
      <c r="AC1585" s="39"/>
      <c r="AD1585" s="34"/>
      <c r="AE1585" s="39"/>
      <c r="AF1585" s="51"/>
      <c r="AG1585" s="442"/>
      <c r="AH1585" s="442"/>
      <c r="AI1585" s="443"/>
    </row>
    <row r="1586" spans="1:35" s="32" customFormat="1" ht="34.5" customHeight="1">
      <c r="A1586" s="434" t="s">
        <v>942</v>
      </c>
      <c r="B1586" s="457" t="s">
        <v>946</v>
      </c>
      <c r="C1586" s="233">
        <v>44284</v>
      </c>
      <c r="D1586" s="435" t="s">
        <v>1267</v>
      </c>
      <c r="E1586" s="436" t="s">
        <v>1603</v>
      </c>
      <c r="F1586" s="338">
        <v>0.59305555555555556</v>
      </c>
      <c r="G1586" s="338">
        <v>0.59444444444444444</v>
      </c>
      <c r="H1586" s="338" t="s">
        <v>980</v>
      </c>
      <c r="I1586" s="353">
        <v>783</v>
      </c>
      <c r="J1586" s="338" t="str">
        <f>IFERROR(VLOOKUP(I1586,'Chart of accounts'!A:H,2,FALSE),"")</f>
        <v>50299030 00</v>
      </c>
      <c r="K1586" s="338" t="str">
        <f>IFERROR(VLOOKUP(I1586,'Chart of accounts'!A:H,3,FALSE),"")</f>
        <v>Representation Expenses</v>
      </c>
      <c r="L1586" s="338" t="str">
        <f>IFERROR(VLOOKUP(I1586,'Chart of accounts'!A:H,4,FALSE),"")</f>
        <v>50299030 00 - Representation Expenses (783)</v>
      </c>
      <c r="M1586" s="361" t="s">
        <v>845</v>
      </c>
      <c r="N1586" s="355" t="s">
        <v>1539</v>
      </c>
      <c r="O1586" s="355" t="s">
        <v>1602</v>
      </c>
      <c r="P1586" s="355"/>
      <c r="Q1586" s="490">
        <v>25000</v>
      </c>
      <c r="R1586" s="428">
        <f t="shared" si="65"/>
        <v>-25000</v>
      </c>
      <c r="S1586" s="428" t="str">
        <f>VLOOKUP(H1586,'Fund Utilization Report'!$A$4:$U$1800,13,FALSE)</f>
        <v>MOOE</v>
      </c>
      <c r="T1586" s="428" t="str">
        <f>VLOOKUP(H1586,'Fund Utilization Report'!$A$4:$U$1800,2,FALSE)</f>
        <v>GAA</v>
      </c>
      <c r="U1586" s="428" t="str">
        <f>VLOOKUP(H1586,'Fund Utilization Report'!$A$4:$U$1800,3,FALSE)</f>
        <v>FY2021, RA11518</v>
      </c>
      <c r="V1586" s="428" t="str">
        <f>VLOOKUP(H1586,'Fund Utilization Report'!$A$4:$U$1800,4,FALSE)</f>
        <v>NC</v>
      </c>
      <c r="W1586" s="428" t="str">
        <f>VLOOKUP(H1586,'Fund Utilization Report'!$A$4:$U$1800,5,FALSE)</f>
        <v>01101101</v>
      </c>
      <c r="X1586" s="428" t="str">
        <f>VLOOKUP(H1586,'Fund Utilization Report'!$A$4:$U$1800,6,FALSE)</f>
        <v>GOP</v>
      </c>
      <c r="Y1586" s="320" t="str">
        <f>VLOOKUP(H1586,'Fund Utilization Report'!$A$4:$U$1800,7,FALSE)</f>
        <v>MOOE</v>
      </c>
      <c r="Z1586" s="425">
        <f>VLOOKUP(H1586,'Fund Utilization Report'!$A$4:$U$1800,8,FALSE)</f>
        <v>5020000000</v>
      </c>
      <c r="AA1586" s="428" t="str">
        <f>VLOOKUP(H1586,'Fund Utilization Report'!$A$4:$U$1800,14,FALSE)</f>
        <v>330100200001000</v>
      </c>
      <c r="AB1586" s="349" t="str">
        <f>VLOOKUP(H1586,'Fund Utilization Report'!$A$4:$U$1800,15,FALSE)</f>
        <v>Establishment of Negosyo Centers</v>
      </c>
      <c r="AC1586" s="39"/>
      <c r="AD1586" s="34"/>
      <c r="AE1586" s="39"/>
      <c r="AF1586" s="51"/>
      <c r="AG1586" s="442"/>
      <c r="AH1586" s="442"/>
      <c r="AI1586" s="443"/>
    </row>
    <row r="1587" spans="1:35" s="32" customFormat="1" ht="27.75" customHeight="1">
      <c r="A1587" s="434" t="s">
        <v>942</v>
      </c>
      <c r="B1587" s="457" t="s">
        <v>946</v>
      </c>
      <c r="C1587" s="233">
        <v>44284</v>
      </c>
      <c r="D1587" s="435" t="s">
        <v>1267</v>
      </c>
      <c r="E1587" s="436" t="s">
        <v>1603</v>
      </c>
      <c r="F1587" s="338">
        <v>0.59305555555555556</v>
      </c>
      <c r="G1587" s="338">
        <v>0.59444444444444444</v>
      </c>
      <c r="H1587" s="338" t="s">
        <v>980</v>
      </c>
      <c r="I1587" s="353">
        <v>799</v>
      </c>
      <c r="J1587" s="338" t="str">
        <f>IFERROR(VLOOKUP(I1587,'Chart of accounts'!A:H,2,FALSE),"")</f>
        <v>50211990 00</v>
      </c>
      <c r="K1587" s="338" t="str">
        <f>IFERROR(VLOOKUP(I1587,'Chart of accounts'!A:H,3,FALSE),"")</f>
        <v>Other Professional Services</v>
      </c>
      <c r="L1587" s="338" t="str">
        <f>IFERROR(VLOOKUP(I1587,'Chart of accounts'!A:H,4,FALSE),"")</f>
        <v>50211990 00 - Other Professional Services (799)</v>
      </c>
      <c r="M1587" s="361" t="s">
        <v>845</v>
      </c>
      <c r="N1587" s="355" t="s">
        <v>1539</v>
      </c>
      <c r="O1587" s="355" t="s">
        <v>1602</v>
      </c>
      <c r="P1587" s="355"/>
      <c r="Q1587" s="490">
        <f>703500+312531.21</f>
        <v>1016031.21</v>
      </c>
      <c r="R1587" s="428">
        <f t="shared" si="65"/>
        <v>-1016031.21</v>
      </c>
      <c r="S1587" s="428" t="str">
        <f>VLOOKUP(H1587,'Fund Utilization Report'!$A$4:$U$1800,13,FALSE)</f>
        <v>MOOE</v>
      </c>
      <c r="T1587" s="428" t="str">
        <f>VLOOKUP(H1587,'Fund Utilization Report'!$A$4:$U$1800,2,FALSE)</f>
        <v>GAA</v>
      </c>
      <c r="U1587" s="428" t="str">
        <f>VLOOKUP(H1587,'Fund Utilization Report'!$A$4:$U$1800,3,FALSE)</f>
        <v>FY2021, RA11518</v>
      </c>
      <c r="V1587" s="428" t="str">
        <f>VLOOKUP(H1587,'Fund Utilization Report'!$A$4:$U$1800,4,FALSE)</f>
        <v>NC</v>
      </c>
      <c r="W1587" s="428" t="str">
        <f>VLOOKUP(H1587,'Fund Utilization Report'!$A$4:$U$1800,5,FALSE)</f>
        <v>01101101</v>
      </c>
      <c r="X1587" s="428" t="str">
        <f>VLOOKUP(H1587,'Fund Utilization Report'!$A$4:$U$1800,6,FALSE)</f>
        <v>GOP</v>
      </c>
      <c r="Y1587" s="320" t="str">
        <f>VLOOKUP(H1587,'Fund Utilization Report'!$A$4:$U$1800,7,FALSE)</f>
        <v>MOOE</v>
      </c>
      <c r="Z1587" s="425">
        <f>VLOOKUP(H1587,'Fund Utilization Report'!$A$4:$U$1800,8,FALSE)</f>
        <v>5020000000</v>
      </c>
      <c r="AA1587" s="428" t="str">
        <f>VLOOKUP(H1587,'Fund Utilization Report'!$A$4:$U$1800,14,FALSE)</f>
        <v>330100200001000</v>
      </c>
      <c r="AB1587" s="349" t="str">
        <f>VLOOKUP(H1587,'Fund Utilization Report'!$A$4:$U$1800,15,FALSE)</f>
        <v>Establishment of Negosyo Centers</v>
      </c>
      <c r="AC1587" s="39"/>
      <c r="AD1587" s="34"/>
      <c r="AE1587" s="39"/>
      <c r="AF1587" s="51"/>
      <c r="AG1587" s="442"/>
      <c r="AH1587" s="442"/>
      <c r="AI1587" s="443"/>
    </row>
    <row r="1588" spans="1:35" s="32" customFormat="1" ht="34.5" customHeight="1">
      <c r="A1588" s="434" t="s">
        <v>942</v>
      </c>
      <c r="B1588" s="457" t="s">
        <v>946</v>
      </c>
      <c r="C1588" s="233">
        <v>44284</v>
      </c>
      <c r="D1588" s="435" t="s">
        <v>1267</v>
      </c>
      <c r="E1588" s="436" t="s">
        <v>1603</v>
      </c>
      <c r="F1588" s="338">
        <v>0.59305555555555556</v>
      </c>
      <c r="G1588" s="338">
        <v>0.59444444444444444</v>
      </c>
      <c r="H1588" s="338" t="s">
        <v>980</v>
      </c>
      <c r="I1588" s="353">
        <v>782</v>
      </c>
      <c r="J1588" s="338" t="str">
        <f>IFERROR(VLOOKUP(I1588,'Chart of accounts'!A:H,2,FALSE),"")</f>
        <v>50299050 01</v>
      </c>
      <c r="K1588" s="338" t="str">
        <f>IFERROR(VLOOKUP(I1588,'Chart of accounts'!A:H,3,FALSE),"")</f>
        <v>Rent - Buildings and Structures</v>
      </c>
      <c r="L1588" s="338" t="str">
        <f>IFERROR(VLOOKUP(I1588,'Chart of accounts'!A:H,4,FALSE),"")</f>
        <v>50299050 01 - Rent - Buildings and Structures (782)</v>
      </c>
      <c r="M1588" s="361" t="s">
        <v>845</v>
      </c>
      <c r="N1588" s="355" t="s">
        <v>1539</v>
      </c>
      <c r="O1588" s="355" t="s">
        <v>1602</v>
      </c>
      <c r="P1588" s="355"/>
      <c r="Q1588" s="490">
        <v>25000</v>
      </c>
      <c r="R1588" s="428">
        <f t="shared" si="65"/>
        <v>-25000</v>
      </c>
      <c r="S1588" s="428" t="str">
        <f>VLOOKUP(H1588,'Fund Utilization Report'!$A$4:$U$1800,13,FALSE)</f>
        <v>MOOE</v>
      </c>
      <c r="T1588" s="428" t="str">
        <f>VLOOKUP(H1588,'Fund Utilization Report'!$A$4:$U$1800,2,FALSE)</f>
        <v>GAA</v>
      </c>
      <c r="U1588" s="428" t="str">
        <f>VLOOKUP(H1588,'Fund Utilization Report'!$A$4:$U$1800,3,FALSE)</f>
        <v>FY2021, RA11518</v>
      </c>
      <c r="V1588" s="428" t="str">
        <f>VLOOKUP(H1588,'Fund Utilization Report'!$A$4:$U$1800,4,FALSE)</f>
        <v>NC</v>
      </c>
      <c r="W1588" s="428" t="str">
        <f>VLOOKUP(H1588,'Fund Utilization Report'!$A$4:$U$1800,5,FALSE)</f>
        <v>01101101</v>
      </c>
      <c r="X1588" s="428" t="str">
        <f>VLOOKUP(H1588,'Fund Utilization Report'!$A$4:$U$1800,6,FALSE)</f>
        <v>GOP</v>
      </c>
      <c r="Y1588" s="320" t="str">
        <f>VLOOKUP(H1588,'Fund Utilization Report'!$A$4:$U$1800,7,FALSE)</f>
        <v>MOOE</v>
      </c>
      <c r="Z1588" s="425">
        <f>VLOOKUP(H1588,'Fund Utilization Report'!$A$4:$U$1800,8,FALSE)</f>
        <v>5020000000</v>
      </c>
      <c r="AA1588" s="428" t="str">
        <f>VLOOKUP(H1588,'Fund Utilization Report'!$A$4:$U$1800,14,FALSE)</f>
        <v>330100200001000</v>
      </c>
      <c r="AB1588" s="349" t="str">
        <f>VLOOKUP(H1588,'Fund Utilization Report'!$A$4:$U$1800,15,FALSE)</f>
        <v>Establishment of Negosyo Centers</v>
      </c>
      <c r="AC1588" s="39"/>
      <c r="AD1588" s="34"/>
      <c r="AE1588" s="39"/>
      <c r="AF1588" s="51"/>
      <c r="AG1588" s="442"/>
      <c r="AH1588" s="442"/>
      <c r="AI1588" s="443"/>
    </row>
    <row r="1589" spans="1:35" s="32" customFormat="1">
      <c r="A1589" s="434" t="s">
        <v>942</v>
      </c>
      <c r="B1589" s="457" t="s">
        <v>946</v>
      </c>
      <c r="C1589" s="233">
        <v>44284</v>
      </c>
      <c r="D1589" s="435" t="s">
        <v>1267</v>
      </c>
      <c r="E1589" s="436" t="s">
        <v>1604</v>
      </c>
      <c r="F1589" s="338">
        <v>0.59444444444444444</v>
      </c>
      <c r="G1589" s="338">
        <v>0.59791666666666665</v>
      </c>
      <c r="H1589" s="338" t="s">
        <v>982</v>
      </c>
      <c r="I1589" s="353">
        <v>751</v>
      </c>
      <c r="J1589" s="338" t="str">
        <f>IFERROR(VLOOKUP(I1589,'Chart of accounts'!A:H,2,FALSE),"")</f>
        <v>50201010 00</v>
      </c>
      <c r="K1589" s="338" t="str">
        <f>IFERROR(VLOOKUP(I1589,'Chart of accounts'!A:H,3,FALSE),"")</f>
        <v>Traveling Expenses - Local</v>
      </c>
      <c r="L1589" s="338" t="str">
        <f>IFERROR(VLOOKUP(I1589,'Chart of accounts'!A:H,4,FALSE),"")</f>
        <v>50201010 00 - Traveling Expenses - Local (751)</v>
      </c>
      <c r="M1589" s="361" t="s">
        <v>905</v>
      </c>
      <c r="N1589" s="355" t="s">
        <v>818</v>
      </c>
      <c r="O1589" s="355" t="s">
        <v>1605</v>
      </c>
      <c r="P1589" s="355"/>
      <c r="Q1589" s="363">
        <v>70000</v>
      </c>
      <c r="R1589" s="428">
        <f t="shared" ref="R1589:R1599" si="66">P1589-Q1589</f>
        <v>-70000</v>
      </c>
      <c r="S1589" s="428" t="str">
        <f>VLOOKUP(H1589,'Fund Utilization Report'!$A$4:$U$1800,13,FALSE)</f>
        <v>MOOE</v>
      </c>
      <c r="T1589" s="428" t="str">
        <f>VLOOKUP(H1589,'Fund Utilization Report'!$A$4:$U$1800,2,FALSE)</f>
        <v>GAA</v>
      </c>
      <c r="U1589" s="428" t="str">
        <f>VLOOKUP(H1589,'Fund Utilization Report'!$A$4:$U$1800,3,FALSE)</f>
        <v>FY2021, RA11518</v>
      </c>
      <c r="V1589" s="428" t="str">
        <f>VLOOKUP(H1589,'Fund Utilization Report'!$A$4:$U$1800,4,FALSE)</f>
        <v>OTOP</v>
      </c>
      <c r="W1589" s="428" t="str">
        <f>VLOOKUP(H1589,'Fund Utilization Report'!$A$4:$U$1800,5,FALSE)</f>
        <v>01101101</v>
      </c>
      <c r="X1589" s="428" t="str">
        <f>VLOOKUP(H1589,'Fund Utilization Report'!$A$4:$U$1800,6,FALSE)</f>
        <v>GOP</v>
      </c>
      <c r="Y1589" s="320" t="str">
        <f>VLOOKUP(H1589,'Fund Utilization Report'!$A$4:$U$1800,7,FALSE)</f>
        <v>MOOE</v>
      </c>
      <c r="Z1589" s="425">
        <f>VLOOKUP(H1589,'Fund Utilization Report'!$A$4:$U$1800,8,FALSE)</f>
        <v>5020000000</v>
      </c>
      <c r="AA1589" s="428" t="str">
        <f>VLOOKUP(H1589,'Fund Utilization Report'!$A$4:$U$1800,14,FALSE)</f>
        <v>330100200002000</v>
      </c>
      <c r="AB1589" s="349" t="str">
        <f>VLOOKUP(H1589,'Fund Utilization Report'!$A$4:$U$1800,15,FALSE)</f>
        <v>OTOP - Next Generation</v>
      </c>
      <c r="AC1589" s="39"/>
      <c r="AD1589" s="34"/>
      <c r="AE1589" s="39"/>
      <c r="AF1589" s="51"/>
      <c r="AG1589" s="442"/>
      <c r="AH1589" s="442"/>
      <c r="AI1589" s="443"/>
    </row>
    <row r="1590" spans="1:35" s="32" customFormat="1">
      <c r="A1590" s="434" t="s">
        <v>942</v>
      </c>
      <c r="B1590" s="457" t="s">
        <v>946</v>
      </c>
      <c r="C1590" s="233">
        <v>44284</v>
      </c>
      <c r="D1590" s="435" t="s">
        <v>1267</v>
      </c>
      <c r="E1590" s="436" t="s">
        <v>1604</v>
      </c>
      <c r="F1590" s="338">
        <v>0.59444444444444444</v>
      </c>
      <c r="G1590" s="338">
        <v>0.59791666666666665</v>
      </c>
      <c r="H1590" s="338" t="s">
        <v>982</v>
      </c>
      <c r="I1590" s="353">
        <v>753</v>
      </c>
      <c r="J1590" s="338" t="str">
        <f>IFERROR(VLOOKUP(I1590,'Chart of accounts'!A:H,2,FALSE),"")</f>
        <v>50202010 00</v>
      </c>
      <c r="K1590" s="338" t="str">
        <f>IFERROR(VLOOKUP(I1590,'Chart of accounts'!A:H,3,FALSE),"")</f>
        <v>Training Expenses</v>
      </c>
      <c r="L1590" s="338" t="str">
        <f>IFERROR(VLOOKUP(I1590,'Chart of accounts'!A:H,4,FALSE),"")</f>
        <v>50202010 00 - Training Expenses (753)</v>
      </c>
      <c r="M1590" s="361" t="s">
        <v>905</v>
      </c>
      <c r="N1590" s="355" t="s">
        <v>818</v>
      </c>
      <c r="O1590" s="355" t="s">
        <v>1605</v>
      </c>
      <c r="P1590" s="355"/>
      <c r="Q1590" s="363">
        <v>15000</v>
      </c>
      <c r="R1590" s="428">
        <f t="shared" si="66"/>
        <v>-15000</v>
      </c>
      <c r="S1590" s="428" t="str">
        <f>VLOOKUP(H1590,'Fund Utilization Report'!$A$4:$U$1800,13,FALSE)</f>
        <v>MOOE</v>
      </c>
      <c r="T1590" s="428" t="str">
        <f>VLOOKUP(H1590,'Fund Utilization Report'!$A$4:$U$1800,2,FALSE)</f>
        <v>GAA</v>
      </c>
      <c r="U1590" s="428" t="str">
        <f>VLOOKUP(H1590,'Fund Utilization Report'!$A$4:$U$1800,3,FALSE)</f>
        <v>FY2021, RA11518</v>
      </c>
      <c r="V1590" s="428" t="str">
        <f>VLOOKUP(H1590,'Fund Utilization Report'!$A$4:$U$1800,4,FALSE)</f>
        <v>OTOP</v>
      </c>
      <c r="W1590" s="428" t="str">
        <f>VLOOKUP(H1590,'Fund Utilization Report'!$A$4:$U$1800,5,FALSE)</f>
        <v>01101101</v>
      </c>
      <c r="X1590" s="428" t="str">
        <f>VLOOKUP(H1590,'Fund Utilization Report'!$A$4:$U$1800,6,FALSE)</f>
        <v>GOP</v>
      </c>
      <c r="Y1590" s="320" t="str">
        <f>VLOOKUP(H1590,'Fund Utilization Report'!$A$4:$U$1800,7,FALSE)</f>
        <v>MOOE</v>
      </c>
      <c r="Z1590" s="425">
        <f>VLOOKUP(H1590,'Fund Utilization Report'!$A$4:$U$1800,8,FALSE)</f>
        <v>5020000000</v>
      </c>
      <c r="AA1590" s="428" t="str">
        <f>VLOOKUP(H1590,'Fund Utilization Report'!$A$4:$U$1800,14,FALSE)</f>
        <v>330100200002000</v>
      </c>
      <c r="AB1590" s="349" t="str">
        <f>VLOOKUP(H1590,'Fund Utilization Report'!$A$4:$U$1800,15,FALSE)</f>
        <v>OTOP - Next Generation</v>
      </c>
      <c r="AC1590" s="39"/>
      <c r="AD1590" s="34"/>
      <c r="AE1590" s="39"/>
      <c r="AF1590" s="51"/>
      <c r="AG1590" s="442"/>
      <c r="AH1590" s="442"/>
      <c r="AI1590" s="443"/>
    </row>
    <row r="1591" spans="1:35" s="32" customFormat="1">
      <c r="A1591" s="434" t="s">
        <v>942</v>
      </c>
      <c r="B1591" s="457" t="s">
        <v>946</v>
      </c>
      <c r="C1591" s="233">
        <v>44284</v>
      </c>
      <c r="D1591" s="435" t="s">
        <v>1267</v>
      </c>
      <c r="E1591" s="436" t="s">
        <v>1604</v>
      </c>
      <c r="F1591" s="338">
        <v>0.59444444444444444</v>
      </c>
      <c r="G1591" s="338">
        <v>0.59791666666666665</v>
      </c>
      <c r="H1591" s="338" t="s">
        <v>982</v>
      </c>
      <c r="I1591" s="353">
        <v>755</v>
      </c>
      <c r="J1591" s="338" t="str">
        <f>IFERROR(VLOOKUP(I1591,'Chart of accounts'!A:H,2,FALSE),"")</f>
        <v>50203010 00</v>
      </c>
      <c r="K1591" s="338" t="str">
        <f>IFERROR(VLOOKUP(I1591,'Chart of accounts'!A:H,3,FALSE),"")</f>
        <v>Office Supplies Expenses</v>
      </c>
      <c r="L1591" s="338" t="str">
        <f>IFERROR(VLOOKUP(I1591,'Chart of accounts'!A:H,4,FALSE),"")</f>
        <v>50203010 00 - Office Supplies Expenses (755)</v>
      </c>
      <c r="M1591" s="361" t="s">
        <v>905</v>
      </c>
      <c r="N1591" s="355" t="s">
        <v>818</v>
      </c>
      <c r="O1591" s="355" t="s">
        <v>1605</v>
      </c>
      <c r="P1591" s="355"/>
      <c r="Q1591" s="363">
        <v>10000</v>
      </c>
      <c r="R1591" s="428">
        <f t="shared" si="66"/>
        <v>-10000</v>
      </c>
      <c r="S1591" s="428" t="str">
        <f>VLOOKUP(H1591,'Fund Utilization Report'!$A$4:$U$1800,13,FALSE)</f>
        <v>MOOE</v>
      </c>
      <c r="T1591" s="428" t="str">
        <f>VLOOKUP(H1591,'Fund Utilization Report'!$A$4:$U$1800,2,FALSE)</f>
        <v>GAA</v>
      </c>
      <c r="U1591" s="428" t="str">
        <f>VLOOKUP(H1591,'Fund Utilization Report'!$A$4:$U$1800,3,FALSE)</f>
        <v>FY2021, RA11518</v>
      </c>
      <c r="V1591" s="428" t="str">
        <f>VLOOKUP(H1591,'Fund Utilization Report'!$A$4:$U$1800,4,FALSE)</f>
        <v>OTOP</v>
      </c>
      <c r="W1591" s="428" t="str">
        <f>VLOOKUP(H1591,'Fund Utilization Report'!$A$4:$U$1800,5,FALSE)</f>
        <v>01101101</v>
      </c>
      <c r="X1591" s="428" t="str">
        <f>VLOOKUP(H1591,'Fund Utilization Report'!$A$4:$U$1800,6,FALSE)</f>
        <v>GOP</v>
      </c>
      <c r="Y1591" s="320" t="str">
        <f>VLOOKUP(H1591,'Fund Utilization Report'!$A$4:$U$1800,7,FALSE)</f>
        <v>MOOE</v>
      </c>
      <c r="Z1591" s="425">
        <f>VLOOKUP(H1591,'Fund Utilization Report'!$A$4:$U$1800,8,FALSE)</f>
        <v>5020000000</v>
      </c>
      <c r="AA1591" s="428" t="str">
        <f>VLOOKUP(H1591,'Fund Utilization Report'!$A$4:$U$1800,14,FALSE)</f>
        <v>330100200002000</v>
      </c>
      <c r="AB1591" s="349" t="str">
        <f>VLOOKUP(H1591,'Fund Utilization Report'!$A$4:$U$1800,15,FALSE)</f>
        <v>OTOP - Next Generation</v>
      </c>
      <c r="AC1591" s="39"/>
      <c r="AD1591" s="34"/>
      <c r="AE1591" s="39"/>
      <c r="AF1591" s="51"/>
      <c r="AG1591" s="442"/>
      <c r="AH1591" s="442"/>
      <c r="AI1591" s="443"/>
    </row>
    <row r="1592" spans="1:35" s="32" customFormat="1">
      <c r="A1592" s="434" t="s">
        <v>942</v>
      </c>
      <c r="B1592" s="457" t="s">
        <v>946</v>
      </c>
      <c r="C1592" s="233">
        <v>44284</v>
      </c>
      <c r="D1592" s="435" t="s">
        <v>1267</v>
      </c>
      <c r="E1592" s="436" t="s">
        <v>1604</v>
      </c>
      <c r="F1592" s="338">
        <v>0.59444444444444444</v>
      </c>
      <c r="G1592" s="338">
        <v>0.59791666666666665</v>
      </c>
      <c r="H1592" s="338" t="s">
        <v>982</v>
      </c>
      <c r="I1592" s="353">
        <v>793</v>
      </c>
      <c r="J1592" s="338" t="str">
        <f>IFERROR(VLOOKUP(I1592,'Chart of accounts'!A:H,2,FALSE),"")</f>
        <v>50211030 00</v>
      </c>
      <c r="K1592" s="338" t="str">
        <f>IFERROR(VLOOKUP(I1592,'Chart of accounts'!A:H,3,FALSE),"")</f>
        <v>Consultancy Services</v>
      </c>
      <c r="L1592" s="338" t="str">
        <f>IFERROR(VLOOKUP(I1592,'Chart of accounts'!A:H,4,FALSE),"")</f>
        <v>50211030 00 - Consultancy Services (793)</v>
      </c>
      <c r="M1592" s="361" t="s">
        <v>905</v>
      </c>
      <c r="N1592" s="355" t="s">
        <v>818</v>
      </c>
      <c r="O1592" s="355" t="s">
        <v>1605</v>
      </c>
      <c r="P1592" s="355"/>
      <c r="Q1592" s="363">
        <v>50000</v>
      </c>
      <c r="R1592" s="428">
        <f t="shared" si="66"/>
        <v>-50000</v>
      </c>
      <c r="S1592" s="428" t="str">
        <f>VLOOKUP(H1592,'Fund Utilization Report'!$A$4:$U$1800,13,FALSE)</f>
        <v>MOOE</v>
      </c>
      <c r="T1592" s="428" t="str">
        <f>VLOOKUP(H1592,'Fund Utilization Report'!$A$4:$U$1800,2,FALSE)</f>
        <v>GAA</v>
      </c>
      <c r="U1592" s="428" t="str">
        <f>VLOOKUP(H1592,'Fund Utilization Report'!$A$4:$U$1800,3,FALSE)</f>
        <v>FY2021, RA11518</v>
      </c>
      <c r="V1592" s="428" t="str">
        <f>VLOOKUP(H1592,'Fund Utilization Report'!$A$4:$U$1800,4,FALSE)</f>
        <v>OTOP</v>
      </c>
      <c r="W1592" s="428" t="str">
        <f>VLOOKUP(H1592,'Fund Utilization Report'!$A$4:$U$1800,5,FALSE)</f>
        <v>01101101</v>
      </c>
      <c r="X1592" s="428" t="str">
        <f>VLOOKUP(H1592,'Fund Utilization Report'!$A$4:$U$1800,6,FALSE)</f>
        <v>GOP</v>
      </c>
      <c r="Y1592" s="320" t="str">
        <f>VLOOKUP(H1592,'Fund Utilization Report'!$A$4:$U$1800,7,FALSE)</f>
        <v>MOOE</v>
      </c>
      <c r="Z1592" s="425">
        <f>VLOOKUP(H1592,'Fund Utilization Report'!$A$4:$U$1800,8,FALSE)</f>
        <v>5020000000</v>
      </c>
      <c r="AA1592" s="428" t="str">
        <f>VLOOKUP(H1592,'Fund Utilization Report'!$A$4:$U$1800,14,FALSE)</f>
        <v>330100200002000</v>
      </c>
      <c r="AB1592" s="349" t="str">
        <f>VLOOKUP(H1592,'Fund Utilization Report'!$A$4:$U$1800,15,FALSE)</f>
        <v>OTOP - Next Generation</v>
      </c>
      <c r="AC1592" s="39"/>
      <c r="AD1592" s="34"/>
      <c r="AE1592" s="39"/>
      <c r="AF1592" s="51"/>
      <c r="AG1592" s="442"/>
      <c r="AH1592" s="442"/>
      <c r="AI1592" s="443"/>
    </row>
    <row r="1593" spans="1:35" s="32" customFormat="1">
      <c r="A1593" s="434" t="s">
        <v>942</v>
      </c>
      <c r="B1593" s="457" t="s">
        <v>946</v>
      </c>
      <c r="C1593" s="233">
        <v>44284</v>
      </c>
      <c r="D1593" s="435" t="s">
        <v>1267</v>
      </c>
      <c r="E1593" s="436" t="s">
        <v>1604</v>
      </c>
      <c r="F1593" s="338">
        <v>0.59444444444444444</v>
      </c>
      <c r="G1593" s="338">
        <v>0.59791666666666665</v>
      </c>
      <c r="H1593" s="338" t="s">
        <v>982</v>
      </c>
      <c r="I1593" s="353">
        <v>799</v>
      </c>
      <c r="J1593" s="338" t="str">
        <f>IFERROR(VLOOKUP(I1593,'Chart of accounts'!A:H,2,FALSE),"")</f>
        <v>50211990 00</v>
      </c>
      <c r="K1593" s="338" t="str">
        <f>IFERROR(VLOOKUP(I1593,'Chart of accounts'!A:H,3,FALSE),"")</f>
        <v>Other Professional Services</v>
      </c>
      <c r="L1593" s="338" t="str">
        <f>IFERROR(VLOOKUP(I1593,'Chart of accounts'!A:H,4,FALSE),"")</f>
        <v>50211990 00 - Other Professional Services (799)</v>
      </c>
      <c r="M1593" s="361" t="s">
        <v>905</v>
      </c>
      <c r="N1593" s="355" t="s">
        <v>818</v>
      </c>
      <c r="O1593" s="355" t="s">
        <v>1605</v>
      </c>
      <c r="P1593" s="355"/>
      <c r="Q1593" s="363">
        <v>40000</v>
      </c>
      <c r="R1593" s="428">
        <f t="shared" si="66"/>
        <v>-40000</v>
      </c>
      <c r="S1593" s="428" t="str">
        <f>VLOOKUP(H1593,'Fund Utilization Report'!$A$4:$U$1800,13,FALSE)</f>
        <v>MOOE</v>
      </c>
      <c r="T1593" s="428" t="str">
        <f>VLOOKUP(H1593,'Fund Utilization Report'!$A$4:$U$1800,2,FALSE)</f>
        <v>GAA</v>
      </c>
      <c r="U1593" s="428" t="str">
        <f>VLOOKUP(H1593,'Fund Utilization Report'!$A$4:$U$1800,3,FALSE)</f>
        <v>FY2021, RA11518</v>
      </c>
      <c r="V1593" s="428" t="str">
        <f>VLOOKUP(H1593,'Fund Utilization Report'!$A$4:$U$1800,4,FALSE)</f>
        <v>OTOP</v>
      </c>
      <c r="W1593" s="428" t="str">
        <f>VLOOKUP(H1593,'Fund Utilization Report'!$A$4:$U$1800,5,FALSE)</f>
        <v>01101101</v>
      </c>
      <c r="X1593" s="428" t="str">
        <f>VLOOKUP(H1593,'Fund Utilization Report'!$A$4:$U$1800,6,FALSE)</f>
        <v>GOP</v>
      </c>
      <c r="Y1593" s="320" t="str">
        <f>VLOOKUP(H1593,'Fund Utilization Report'!$A$4:$U$1800,7,FALSE)</f>
        <v>MOOE</v>
      </c>
      <c r="Z1593" s="425">
        <f>VLOOKUP(H1593,'Fund Utilization Report'!$A$4:$U$1800,8,FALSE)</f>
        <v>5020000000</v>
      </c>
      <c r="AA1593" s="428" t="str">
        <f>VLOOKUP(H1593,'Fund Utilization Report'!$A$4:$U$1800,14,FALSE)</f>
        <v>330100200002000</v>
      </c>
      <c r="AB1593" s="349" t="str">
        <f>VLOOKUP(H1593,'Fund Utilization Report'!$A$4:$U$1800,15,FALSE)</f>
        <v>OTOP - Next Generation</v>
      </c>
      <c r="AC1593" s="39"/>
      <c r="AD1593" s="34"/>
      <c r="AE1593" s="39"/>
      <c r="AF1593" s="51"/>
      <c r="AG1593" s="442"/>
      <c r="AH1593" s="442"/>
      <c r="AI1593" s="443"/>
    </row>
    <row r="1594" spans="1:35" s="32" customFormat="1">
      <c r="A1594" s="434" t="s">
        <v>942</v>
      </c>
      <c r="B1594" s="457" t="s">
        <v>946</v>
      </c>
      <c r="C1594" s="233">
        <v>44284</v>
      </c>
      <c r="D1594" s="435" t="s">
        <v>1267</v>
      </c>
      <c r="E1594" s="436" t="s">
        <v>1604</v>
      </c>
      <c r="F1594" s="338">
        <v>0.59444444444444444</v>
      </c>
      <c r="G1594" s="338">
        <v>0.59791666666666665</v>
      </c>
      <c r="H1594" s="338" t="s">
        <v>982</v>
      </c>
      <c r="I1594" s="353">
        <v>780</v>
      </c>
      <c r="J1594" s="338" t="str">
        <f>IFERROR(VLOOKUP(I1594,'Chart of accounts'!A:H,2,FALSE),"")</f>
        <v>50299010 00</v>
      </c>
      <c r="K1594" s="338" t="str">
        <f>IFERROR(VLOOKUP(I1594,'Chart of accounts'!A:H,3,FALSE),"")</f>
        <v>Advertising Expenses</v>
      </c>
      <c r="L1594" s="338" t="str">
        <f>IFERROR(VLOOKUP(I1594,'Chart of accounts'!A:H,4,FALSE),"")</f>
        <v>50299010 00 - Advertising Expenses (780)</v>
      </c>
      <c r="M1594" s="361" t="s">
        <v>905</v>
      </c>
      <c r="N1594" s="355" t="s">
        <v>818</v>
      </c>
      <c r="O1594" s="355" t="s">
        <v>1605</v>
      </c>
      <c r="P1594" s="355"/>
      <c r="Q1594" s="363">
        <v>63243.76</v>
      </c>
      <c r="R1594" s="428">
        <f t="shared" si="66"/>
        <v>-63243.76</v>
      </c>
      <c r="S1594" s="428" t="str">
        <f>VLOOKUP(H1594,'Fund Utilization Report'!$A$4:$U$1800,13,FALSE)</f>
        <v>MOOE</v>
      </c>
      <c r="T1594" s="428" t="str">
        <f>VLOOKUP(H1594,'Fund Utilization Report'!$A$4:$U$1800,2,FALSE)</f>
        <v>GAA</v>
      </c>
      <c r="U1594" s="428" t="str">
        <f>VLOOKUP(H1594,'Fund Utilization Report'!$A$4:$U$1800,3,FALSE)</f>
        <v>FY2021, RA11518</v>
      </c>
      <c r="V1594" s="428" t="str">
        <f>VLOOKUP(H1594,'Fund Utilization Report'!$A$4:$U$1800,4,FALSE)</f>
        <v>OTOP</v>
      </c>
      <c r="W1594" s="428" t="str">
        <f>VLOOKUP(H1594,'Fund Utilization Report'!$A$4:$U$1800,5,FALSE)</f>
        <v>01101101</v>
      </c>
      <c r="X1594" s="428" t="str">
        <f>VLOOKUP(H1594,'Fund Utilization Report'!$A$4:$U$1800,6,FALSE)</f>
        <v>GOP</v>
      </c>
      <c r="Y1594" s="320" t="str">
        <f>VLOOKUP(H1594,'Fund Utilization Report'!$A$4:$U$1800,7,FALSE)</f>
        <v>MOOE</v>
      </c>
      <c r="Z1594" s="425">
        <f>VLOOKUP(H1594,'Fund Utilization Report'!$A$4:$U$1800,8,FALSE)</f>
        <v>5020000000</v>
      </c>
      <c r="AA1594" s="428" t="str">
        <f>VLOOKUP(H1594,'Fund Utilization Report'!$A$4:$U$1800,14,FALSE)</f>
        <v>330100200002000</v>
      </c>
      <c r="AB1594" s="349" t="str">
        <f>VLOOKUP(H1594,'Fund Utilization Report'!$A$4:$U$1800,15,FALSE)</f>
        <v>OTOP - Next Generation</v>
      </c>
      <c r="AC1594" s="39"/>
      <c r="AD1594" s="34"/>
      <c r="AE1594" s="39"/>
      <c r="AF1594" s="51"/>
      <c r="AG1594" s="442"/>
      <c r="AH1594" s="442"/>
      <c r="AI1594" s="443"/>
    </row>
    <row r="1595" spans="1:35" s="32" customFormat="1">
      <c r="A1595" s="434" t="s">
        <v>942</v>
      </c>
      <c r="B1595" s="457" t="s">
        <v>946</v>
      </c>
      <c r="C1595" s="233">
        <v>44284</v>
      </c>
      <c r="D1595" s="435" t="s">
        <v>1267</v>
      </c>
      <c r="E1595" s="436" t="s">
        <v>1604</v>
      </c>
      <c r="F1595" s="338">
        <v>0.59444444444444444</v>
      </c>
      <c r="G1595" s="338">
        <v>0.59791666666666665</v>
      </c>
      <c r="H1595" s="338" t="s">
        <v>982</v>
      </c>
      <c r="I1595" s="353">
        <v>781</v>
      </c>
      <c r="J1595" s="338" t="str">
        <f>IFERROR(VLOOKUP(I1595,'Chart of accounts'!A:H,2,FALSE),"")</f>
        <v>50299020 00</v>
      </c>
      <c r="K1595" s="338" t="str">
        <f>IFERROR(VLOOKUP(I1595,'Chart of accounts'!A:H,3,FALSE),"")</f>
        <v>Printing and Binding Expenses</v>
      </c>
      <c r="L1595" s="338" t="str">
        <f>IFERROR(VLOOKUP(I1595,'Chart of accounts'!A:H,4,FALSE),"")</f>
        <v>50299020 00 - Printing and Binding Expenses (781)</v>
      </c>
      <c r="M1595" s="361" t="s">
        <v>905</v>
      </c>
      <c r="N1595" s="355" t="s">
        <v>818</v>
      </c>
      <c r="O1595" s="355" t="s">
        <v>1605</v>
      </c>
      <c r="P1595" s="355"/>
      <c r="Q1595" s="363">
        <v>25000</v>
      </c>
      <c r="R1595" s="428">
        <f t="shared" si="66"/>
        <v>-25000</v>
      </c>
      <c r="S1595" s="428" t="str">
        <f>VLOOKUP(H1595,'Fund Utilization Report'!$A$4:$U$1800,13,FALSE)</f>
        <v>MOOE</v>
      </c>
      <c r="T1595" s="428" t="str">
        <f>VLOOKUP(H1595,'Fund Utilization Report'!$A$4:$U$1800,2,FALSE)</f>
        <v>GAA</v>
      </c>
      <c r="U1595" s="428" t="str">
        <f>VLOOKUP(H1595,'Fund Utilization Report'!$A$4:$U$1800,3,FALSE)</f>
        <v>FY2021, RA11518</v>
      </c>
      <c r="V1595" s="428" t="str">
        <f>VLOOKUP(H1595,'Fund Utilization Report'!$A$4:$U$1800,4,FALSE)</f>
        <v>OTOP</v>
      </c>
      <c r="W1595" s="428" t="str">
        <f>VLOOKUP(H1595,'Fund Utilization Report'!$A$4:$U$1800,5,FALSE)</f>
        <v>01101101</v>
      </c>
      <c r="X1595" s="428" t="str">
        <f>VLOOKUP(H1595,'Fund Utilization Report'!$A$4:$U$1800,6,FALSE)</f>
        <v>GOP</v>
      </c>
      <c r="Y1595" s="320" t="str">
        <f>VLOOKUP(H1595,'Fund Utilization Report'!$A$4:$U$1800,7,FALSE)</f>
        <v>MOOE</v>
      </c>
      <c r="Z1595" s="425">
        <f>VLOOKUP(H1595,'Fund Utilization Report'!$A$4:$U$1800,8,FALSE)</f>
        <v>5020000000</v>
      </c>
      <c r="AA1595" s="428" t="str">
        <f>VLOOKUP(H1595,'Fund Utilization Report'!$A$4:$U$1800,14,FALSE)</f>
        <v>330100200002000</v>
      </c>
      <c r="AB1595" s="349" t="str">
        <f>VLOOKUP(H1595,'Fund Utilization Report'!$A$4:$U$1800,15,FALSE)</f>
        <v>OTOP - Next Generation</v>
      </c>
      <c r="AC1595" s="39"/>
      <c r="AD1595" s="34"/>
      <c r="AE1595" s="39"/>
      <c r="AF1595" s="51"/>
      <c r="AG1595" s="442"/>
      <c r="AH1595" s="442"/>
      <c r="AI1595" s="443"/>
    </row>
    <row r="1596" spans="1:35" s="32" customFormat="1">
      <c r="A1596" s="434" t="s">
        <v>942</v>
      </c>
      <c r="B1596" s="457" t="s">
        <v>946</v>
      </c>
      <c r="C1596" s="233">
        <v>44284</v>
      </c>
      <c r="D1596" s="435" t="s">
        <v>1267</v>
      </c>
      <c r="E1596" s="436" t="s">
        <v>1604</v>
      </c>
      <c r="F1596" s="338">
        <v>0.59444444444444444</v>
      </c>
      <c r="G1596" s="338">
        <v>0.59791666666666665</v>
      </c>
      <c r="H1596" s="338" t="s">
        <v>982</v>
      </c>
      <c r="I1596" s="353">
        <v>783</v>
      </c>
      <c r="J1596" s="338" t="str">
        <f>IFERROR(VLOOKUP(I1596,'Chart of accounts'!A:H,2,FALSE),"")</f>
        <v>50299030 00</v>
      </c>
      <c r="K1596" s="338" t="str">
        <f>IFERROR(VLOOKUP(I1596,'Chart of accounts'!A:H,3,FALSE),"")</f>
        <v>Representation Expenses</v>
      </c>
      <c r="L1596" s="338" t="str">
        <f>IFERROR(VLOOKUP(I1596,'Chart of accounts'!A:H,4,FALSE),"")</f>
        <v>50299030 00 - Representation Expenses (783)</v>
      </c>
      <c r="M1596" s="361" t="s">
        <v>905</v>
      </c>
      <c r="N1596" s="355" t="s">
        <v>818</v>
      </c>
      <c r="O1596" s="355" t="s">
        <v>1605</v>
      </c>
      <c r="P1596" s="355"/>
      <c r="Q1596" s="363">
        <v>25000</v>
      </c>
      <c r="R1596" s="428">
        <f t="shared" si="66"/>
        <v>-25000</v>
      </c>
      <c r="S1596" s="428" t="str">
        <f>VLOOKUP(H1596,'Fund Utilization Report'!$A$4:$U$1800,13,FALSE)</f>
        <v>MOOE</v>
      </c>
      <c r="T1596" s="428" t="str">
        <f>VLOOKUP(H1596,'Fund Utilization Report'!$A$4:$U$1800,2,FALSE)</f>
        <v>GAA</v>
      </c>
      <c r="U1596" s="428" t="str">
        <f>VLOOKUP(H1596,'Fund Utilization Report'!$A$4:$U$1800,3,FALSE)</f>
        <v>FY2021, RA11518</v>
      </c>
      <c r="V1596" s="428" t="str">
        <f>VLOOKUP(H1596,'Fund Utilization Report'!$A$4:$U$1800,4,FALSE)</f>
        <v>OTOP</v>
      </c>
      <c r="W1596" s="428" t="str">
        <f>VLOOKUP(H1596,'Fund Utilization Report'!$A$4:$U$1800,5,FALSE)</f>
        <v>01101101</v>
      </c>
      <c r="X1596" s="428" t="str">
        <f>VLOOKUP(H1596,'Fund Utilization Report'!$A$4:$U$1800,6,FALSE)</f>
        <v>GOP</v>
      </c>
      <c r="Y1596" s="320" t="str">
        <f>VLOOKUP(H1596,'Fund Utilization Report'!$A$4:$U$1800,7,FALSE)</f>
        <v>MOOE</v>
      </c>
      <c r="Z1596" s="425">
        <f>VLOOKUP(H1596,'Fund Utilization Report'!$A$4:$U$1800,8,FALSE)</f>
        <v>5020000000</v>
      </c>
      <c r="AA1596" s="428" t="str">
        <f>VLOOKUP(H1596,'Fund Utilization Report'!$A$4:$U$1800,14,FALSE)</f>
        <v>330100200002000</v>
      </c>
      <c r="AB1596" s="349" t="str">
        <f>VLOOKUP(H1596,'Fund Utilization Report'!$A$4:$U$1800,15,FALSE)</f>
        <v>OTOP - Next Generation</v>
      </c>
      <c r="AC1596" s="39"/>
      <c r="AD1596" s="34"/>
      <c r="AE1596" s="39"/>
      <c r="AF1596" s="51"/>
      <c r="AG1596" s="442"/>
      <c r="AH1596" s="442"/>
      <c r="AI1596" s="443"/>
    </row>
    <row r="1597" spans="1:35" s="32" customFormat="1">
      <c r="A1597" s="434" t="s">
        <v>942</v>
      </c>
      <c r="B1597" s="457" t="s">
        <v>946</v>
      </c>
      <c r="C1597" s="233">
        <v>44284</v>
      </c>
      <c r="D1597" s="435" t="s">
        <v>1267</v>
      </c>
      <c r="E1597" s="436" t="s">
        <v>1604</v>
      </c>
      <c r="F1597" s="338">
        <v>0.59444444444444444</v>
      </c>
      <c r="G1597" s="338">
        <v>0.59791666666666665</v>
      </c>
      <c r="H1597" s="338" t="s">
        <v>982</v>
      </c>
      <c r="I1597" s="353">
        <v>784</v>
      </c>
      <c r="J1597" s="338" t="str">
        <f>IFERROR(VLOOKUP(I1597,'Chart of accounts'!A:H,2,FALSE),"")</f>
        <v>50299040 00</v>
      </c>
      <c r="K1597" s="338" t="str">
        <f>IFERROR(VLOOKUP(I1597,'Chart of accounts'!A:H,3,FALSE),"")</f>
        <v>Transportation and Delivery Expenses</v>
      </c>
      <c r="L1597" s="338" t="str">
        <f>IFERROR(VLOOKUP(I1597,'Chart of accounts'!A:H,4,FALSE),"")</f>
        <v>50299040 00 - Transportation and Delivery Expenses (784)</v>
      </c>
      <c r="M1597" s="361" t="s">
        <v>905</v>
      </c>
      <c r="N1597" s="355" t="s">
        <v>818</v>
      </c>
      <c r="O1597" s="355" t="s">
        <v>1605</v>
      </c>
      <c r="P1597" s="355"/>
      <c r="Q1597" s="363">
        <v>50000</v>
      </c>
      <c r="R1597" s="428">
        <f t="shared" si="66"/>
        <v>-50000</v>
      </c>
      <c r="S1597" s="428" t="str">
        <f>VLOOKUP(H1597,'Fund Utilization Report'!$A$4:$U$1800,13,FALSE)</f>
        <v>MOOE</v>
      </c>
      <c r="T1597" s="428" t="str">
        <f>VLOOKUP(H1597,'Fund Utilization Report'!$A$4:$U$1800,2,FALSE)</f>
        <v>GAA</v>
      </c>
      <c r="U1597" s="428" t="str">
        <f>VLOOKUP(H1597,'Fund Utilization Report'!$A$4:$U$1800,3,FALSE)</f>
        <v>FY2021, RA11518</v>
      </c>
      <c r="V1597" s="428" t="str">
        <f>VLOOKUP(H1597,'Fund Utilization Report'!$A$4:$U$1800,4,FALSE)</f>
        <v>OTOP</v>
      </c>
      <c r="W1597" s="428" t="str">
        <f>VLOOKUP(H1597,'Fund Utilization Report'!$A$4:$U$1800,5,FALSE)</f>
        <v>01101101</v>
      </c>
      <c r="X1597" s="428" t="str">
        <f>VLOOKUP(H1597,'Fund Utilization Report'!$A$4:$U$1800,6,FALSE)</f>
        <v>GOP</v>
      </c>
      <c r="Y1597" s="320" t="str">
        <f>VLOOKUP(H1597,'Fund Utilization Report'!$A$4:$U$1800,7,FALSE)</f>
        <v>MOOE</v>
      </c>
      <c r="Z1597" s="425">
        <f>VLOOKUP(H1597,'Fund Utilization Report'!$A$4:$U$1800,8,FALSE)</f>
        <v>5020000000</v>
      </c>
      <c r="AA1597" s="428" t="str">
        <f>VLOOKUP(H1597,'Fund Utilization Report'!$A$4:$U$1800,14,FALSE)</f>
        <v>330100200002000</v>
      </c>
      <c r="AB1597" s="349" t="str">
        <f>VLOOKUP(H1597,'Fund Utilization Report'!$A$4:$U$1800,15,FALSE)</f>
        <v>OTOP - Next Generation</v>
      </c>
      <c r="AC1597" s="39"/>
      <c r="AD1597" s="34"/>
      <c r="AE1597" s="39"/>
      <c r="AF1597" s="51"/>
      <c r="AG1597" s="442"/>
      <c r="AH1597" s="442"/>
      <c r="AI1597" s="443"/>
    </row>
    <row r="1598" spans="1:35" s="32" customFormat="1">
      <c r="A1598" s="434" t="s">
        <v>942</v>
      </c>
      <c r="B1598" s="457" t="s">
        <v>946</v>
      </c>
      <c r="C1598" s="233">
        <v>44284</v>
      </c>
      <c r="D1598" s="435" t="s">
        <v>1267</v>
      </c>
      <c r="E1598" s="436" t="s">
        <v>1606</v>
      </c>
      <c r="F1598" s="338">
        <v>0.59791666666666665</v>
      </c>
      <c r="G1598" s="338">
        <v>0.60972222222222217</v>
      </c>
      <c r="H1598" s="338" t="s">
        <v>982</v>
      </c>
      <c r="I1598" s="353">
        <v>751</v>
      </c>
      <c r="J1598" s="338" t="str">
        <f>IFERROR(VLOOKUP(I1598,'Chart of accounts'!A:H,2,FALSE),"")</f>
        <v>50201010 00</v>
      </c>
      <c r="K1598" s="338" t="str">
        <f>IFERROR(VLOOKUP(I1598,'Chart of accounts'!A:H,3,FALSE),"")</f>
        <v>Traveling Expenses - Local</v>
      </c>
      <c r="L1598" s="338" t="str">
        <f>IFERROR(VLOOKUP(I1598,'Chart of accounts'!A:H,4,FALSE),"")</f>
        <v>50201010 00 - Traveling Expenses - Local (751)</v>
      </c>
      <c r="M1598" s="361" t="s">
        <v>905</v>
      </c>
      <c r="N1598" s="355" t="s">
        <v>1539</v>
      </c>
      <c r="O1598" s="355" t="s">
        <v>1605</v>
      </c>
      <c r="P1598" s="355"/>
      <c r="Q1598" s="363">
        <v>70000</v>
      </c>
      <c r="R1598" s="428">
        <f t="shared" si="66"/>
        <v>-70000</v>
      </c>
      <c r="S1598" s="428" t="str">
        <f>VLOOKUP(H1598,'Fund Utilization Report'!$A$4:$U$1800,13,FALSE)</f>
        <v>MOOE</v>
      </c>
      <c r="T1598" s="428" t="str">
        <f>VLOOKUP(H1598,'Fund Utilization Report'!$A$4:$U$1800,2,FALSE)</f>
        <v>GAA</v>
      </c>
      <c r="U1598" s="428" t="str">
        <f>VLOOKUP(H1598,'Fund Utilization Report'!$A$4:$U$1800,3,FALSE)</f>
        <v>FY2021, RA11518</v>
      </c>
      <c r="V1598" s="428" t="str">
        <f>VLOOKUP(H1598,'Fund Utilization Report'!$A$4:$U$1800,4,FALSE)</f>
        <v>OTOP</v>
      </c>
      <c r="W1598" s="428" t="str">
        <f>VLOOKUP(H1598,'Fund Utilization Report'!$A$4:$U$1800,5,FALSE)</f>
        <v>01101101</v>
      </c>
      <c r="X1598" s="428" t="str">
        <f>VLOOKUP(H1598,'Fund Utilization Report'!$A$4:$U$1800,6,FALSE)</f>
        <v>GOP</v>
      </c>
      <c r="Y1598" s="320" t="str">
        <f>VLOOKUP(H1598,'Fund Utilization Report'!$A$4:$U$1800,7,FALSE)</f>
        <v>MOOE</v>
      </c>
      <c r="Z1598" s="425">
        <f>VLOOKUP(H1598,'Fund Utilization Report'!$A$4:$U$1800,8,FALSE)</f>
        <v>5020000000</v>
      </c>
      <c r="AA1598" s="428" t="str">
        <f>VLOOKUP(H1598,'Fund Utilization Report'!$A$4:$U$1800,14,FALSE)</f>
        <v>330100200002000</v>
      </c>
      <c r="AB1598" s="349" t="str">
        <f>VLOOKUP(H1598,'Fund Utilization Report'!$A$4:$U$1800,15,FALSE)</f>
        <v>OTOP - Next Generation</v>
      </c>
      <c r="AC1598" s="39"/>
      <c r="AD1598" s="34"/>
      <c r="AE1598" s="39"/>
      <c r="AF1598" s="51"/>
      <c r="AG1598" s="442"/>
      <c r="AH1598" s="442"/>
      <c r="AI1598" s="443"/>
    </row>
    <row r="1599" spans="1:35" s="32" customFormat="1">
      <c r="A1599" s="434" t="s">
        <v>942</v>
      </c>
      <c r="B1599" s="457" t="s">
        <v>946</v>
      </c>
      <c r="C1599" s="233">
        <v>44284</v>
      </c>
      <c r="D1599" s="435" t="s">
        <v>1267</v>
      </c>
      <c r="E1599" s="436" t="s">
        <v>1606</v>
      </c>
      <c r="F1599" s="338">
        <v>0.59791666666666665</v>
      </c>
      <c r="G1599" s="338">
        <v>0.60972222222222217</v>
      </c>
      <c r="H1599" s="338" t="s">
        <v>982</v>
      </c>
      <c r="I1599" s="353">
        <v>753</v>
      </c>
      <c r="J1599" s="338" t="str">
        <f>IFERROR(VLOOKUP(I1599,'Chart of accounts'!A:H,2,FALSE),"")</f>
        <v>50202010 00</v>
      </c>
      <c r="K1599" s="338" t="str">
        <f>IFERROR(VLOOKUP(I1599,'Chart of accounts'!A:H,3,FALSE),"")</f>
        <v>Training Expenses</v>
      </c>
      <c r="L1599" s="338" t="str">
        <f>IFERROR(VLOOKUP(I1599,'Chart of accounts'!A:H,4,FALSE),"")</f>
        <v>50202010 00 - Training Expenses (753)</v>
      </c>
      <c r="M1599" s="361" t="s">
        <v>905</v>
      </c>
      <c r="N1599" s="355" t="s">
        <v>1539</v>
      </c>
      <c r="O1599" s="355" t="s">
        <v>1605</v>
      </c>
      <c r="P1599" s="355"/>
      <c r="Q1599" s="363">
        <v>15000</v>
      </c>
      <c r="R1599" s="428">
        <f t="shared" si="66"/>
        <v>-15000</v>
      </c>
      <c r="S1599" s="428" t="str">
        <f>VLOOKUP(H1599,'Fund Utilization Report'!$A$4:$U$1800,13,FALSE)</f>
        <v>MOOE</v>
      </c>
      <c r="T1599" s="428" t="str">
        <f>VLOOKUP(H1599,'Fund Utilization Report'!$A$4:$U$1800,2,FALSE)</f>
        <v>GAA</v>
      </c>
      <c r="U1599" s="428" t="str">
        <f>VLOOKUP(H1599,'Fund Utilization Report'!$A$4:$U$1800,3,FALSE)</f>
        <v>FY2021, RA11518</v>
      </c>
      <c r="V1599" s="428" t="str">
        <f>VLOOKUP(H1599,'Fund Utilization Report'!$A$4:$U$1800,4,FALSE)</f>
        <v>OTOP</v>
      </c>
      <c r="W1599" s="428" t="str">
        <f>VLOOKUP(H1599,'Fund Utilization Report'!$A$4:$U$1800,5,FALSE)</f>
        <v>01101101</v>
      </c>
      <c r="X1599" s="428" t="str">
        <f>VLOOKUP(H1599,'Fund Utilization Report'!$A$4:$U$1800,6,FALSE)</f>
        <v>GOP</v>
      </c>
      <c r="Y1599" s="320" t="str">
        <f>VLOOKUP(H1599,'Fund Utilization Report'!$A$4:$U$1800,7,FALSE)</f>
        <v>MOOE</v>
      </c>
      <c r="Z1599" s="425">
        <f>VLOOKUP(H1599,'Fund Utilization Report'!$A$4:$U$1800,8,FALSE)</f>
        <v>5020000000</v>
      </c>
      <c r="AA1599" s="428" t="str">
        <f>VLOOKUP(H1599,'Fund Utilization Report'!$A$4:$U$1800,14,FALSE)</f>
        <v>330100200002000</v>
      </c>
      <c r="AB1599" s="349" t="str">
        <f>VLOOKUP(H1599,'Fund Utilization Report'!$A$4:$U$1800,15,FALSE)</f>
        <v>OTOP - Next Generation</v>
      </c>
      <c r="AC1599" s="39"/>
      <c r="AD1599" s="34"/>
      <c r="AE1599" s="39"/>
      <c r="AF1599" s="51"/>
      <c r="AG1599" s="442"/>
      <c r="AH1599" s="442"/>
      <c r="AI1599" s="443"/>
    </row>
    <row r="1600" spans="1:35" s="32" customFormat="1">
      <c r="A1600" s="434" t="s">
        <v>942</v>
      </c>
      <c r="B1600" s="457" t="s">
        <v>946</v>
      </c>
      <c r="C1600" s="233">
        <v>44284</v>
      </c>
      <c r="D1600" s="435" t="s">
        <v>1267</v>
      </c>
      <c r="E1600" s="436" t="s">
        <v>1606</v>
      </c>
      <c r="F1600" s="338">
        <v>0.59791666666666665</v>
      </c>
      <c r="G1600" s="338">
        <v>0.60972222222222217</v>
      </c>
      <c r="H1600" s="338" t="s">
        <v>982</v>
      </c>
      <c r="I1600" s="353">
        <v>755</v>
      </c>
      <c r="J1600" s="338" t="str">
        <f>IFERROR(VLOOKUP(I1600,'Chart of accounts'!A:H,2,FALSE),"")</f>
        <v>50203010 00</v>
      </c>
      <c r="K1600" s="338" t="str">
        <f>IFERROR(VLOOKUP(I1600,'Chart of accounts'!A:H,3,FALSE),"")</f>
        <v>Office Supplies Expenses</v>
      </c>
      <c r="L1600" s="338" t="str">
        <f>IFERROR(VLOOKUP(I1600,'Chart of accounts'!A:H,4,FALSE),"")</f>
        <v>50203010 00 - Office Supplies Expenses (755)</v>
      </c>
      <c r="M1600" s="361" t="s">
        <v>905</v>
      </c>
      <c r="N1600" s="355" t="s">
        <v>1539</v>
      </c>
      <c r="O1600" s="355" t="s">
        <v>1605</v>
      </c>
      <c r="P1600" s="355"/>
      <c r="Q1600" s="363">
        <v>10000</v>
      </c>
      <c r="R1600" s="428">
        <f t="shared" ref="R1600:R1610" si="67">P1600-Q1600</f>
        <v>-10000</v>
      </c>
      <c r="S1600" s="428" t="str">
        <f>VLOOKUP(H1600,'Fund Utilization Report'!$A$4:$U$1800,13,FALSE)</f>
        <v>MOOE</v>
      </c>
      <c r="T1600" s="428" t="str">
        <f>VLOOKUP(H1600,'Fund Utilization Report'!$A$4:$U$1800,2,FALSE)</f>
        <v>GAA</v>
      </c>
      <c r="U1600" s="428" t="str">
        <f>VLOOKUP(H1600,'Fund Utilization Report'!$A$4:$U$1800,3,FALSE)</f>
        <v>FY2021, RA11518</v>
      </c>
      <c r="V1600" s="428" t="str">
        <f>VLOOKUP(H1600,'Fund Utilization Report'!$A$4:$U$1800,4,FALSE)</f>
        <v>OTOP</v>
      </c>
      <c r="W1600" s="428" t="str">
        <f>VLOOKUP(H1600,'Fund Utilization Report'!$A$4:$U$1800,5,FALSE)</f>
        <v>01101101</v>
      </c>
      <c r="X1600" s="428" t="str">
        <f>VLOOKUP(H1600,'Fund Utilization Report'!$A$4:$U$1800,6,FALSE)</f>
        <v>GOP</v>
      </c>
      <c r="Y1600" s="320" t="str">
        <f>VLOOKUP(H1600,'Fund Utilization Report'!$A$4:$U$1800,7,FALSE)</f>
        <v>MOOE</v>
      </c>
      <c r="Z1600" s="425">
        <f>VLOOKUP(H1600,'Fund Utilization Report'!$A$4:$U$1800,8,FALSE)</f>
        <v>5020000000</v>
      </c>
      <c r="AA1600" s="428" t="str">
        <f>VLOOKUP(H1600,'Fund Utilization Report'!$A$4:$U$1800,14,FALSE)</f>
        <v>330100200002000</v>
      </c>
      <c r="AB1600" s="349" t="str">
        <f>VLOOKUP(H1600,'Fund Utilization Report'!$A$4:$U$1800,15,FALSE)</f>
        <v>OTOP - Next Generation</v>
      </c>
      <c r="AC1600" s="39"/>
      <c r="AD1600" s="34"/>
      <c r="AE1600" s="39"/>
      <c r="AF1600" s="51"/>
      <c r="AG1600" s="442"/>
      <c r="AH1600" s="442"/>
      <c r="AI1600" s="443"/>
    </row>
    <row r="1601" spans="1:35" s="32" customFormat="1">
      <c r="A1601" s="434" t="s">
        <v>942</v>
      </c>
      <c r="B1601" s="457" t="s">
        <v>946</v>
      </c>
      <c r="C1601" s="233">
        <v>44284</v>
      </c>
      <c r="D1601" s="435" t="s">
        <v>1267</v>
      </c>
      <c r="E1601" s="436" t="s">
        <v>1606</v>
      </c>
      <c r="F1601" s="338">
        <v>0.59791666666666665</v>
      </c>
      <c r="G1601" s="338">
        <v>0.60972222222222217</v>
      </c>
      <c r="H1601" s="338" t="s">
        <v>982</v>
      </c>
      <c r="I1601" s="353">
        <v>793</v>
      </c>
      <c r="J1601" s="338" t="str">
        <f>IFERROR(VLOOKUP(I1601,'Chart of accounts'!A:H,2,FALSE),"")</f>
        <v>50211030 00</v>
      </c>
      <c r="K1601" s="338" t="str">
        <f>IFERROR(VLOOKUP(I1601,'Chart of accounts'!A:H,3,FALSE),"")</f>
        <v>Consultancy Services</v>
      </c>
      <c r="L1601" s="338" t="str">
        <f>IFERROR(VLOOKUP(I1601,'Chart of accounts'!A:H,4,FALSE),"")</f>
        <v>50211030 00 - Consultancy Services (793)</v>
      </c>
      <c r="M1601" s="361" t="s">
        <v>905</v>
      </c>
      <c r="N1601" s="355" t="s">
        <v>1539</v>
      </c>
      <c r="O1601" s="355" t="s">
        <v>1605</v>
      </c>
      <c r="P1601" s="355"/>
      <c r="Q1601" s="363">
        <v>50000</v>
      </c>
      <c r="R1601" s="428">
        <f t="shared" si="67"/>
        <v>-50000</v>
      </c>
      <c r="S1601" s="428" t="str">
        <f>VLOOKUP(H1601,'Fund Utilization Report'!$A$4:$U$1800,13,FALSE)</f>
        <v>MOOE</v>
      </c>
      <c r="T1601" s="428" t="str">
        <f>VLOOKUP(H1601,'Fund Utilization Report'!$A$4:$U$1800,2,FALSE)</f>
        <v>GAA</v>
      </c>
      <c r="U1601" s="428" t="str">
        <f>VLOOKUP(H1601,'Fund Utilization Report'!$A$4:$U$1800,3,FALSE)</f>
        <v>FY2021, RA11518</v>
      </c>
      <c r="V1601" s="428" t="str">
        <f>VLOOKUP(H1601,'Fund Utilization Report'!$A$4:$U$1800,4,FALSE)</f>
        <v>OTOP</v>
      </c>
      <c r="W1601" s="428" t="str">
        <f>VLOOKUP(H1601,'Fund Utilization Report'!$A$4:$U$1800,5,FALSE)</f>
        <v>01101101</v>
      </c>
      <c r="X1601" s="428" t="str">
        <f>VLOOKUP(H1601,'Fund Utilization Report'!$A$4:$U$1800,6,FALSE)</f>
        <v>GOP</v>
      </c>
      <c r="Y1601" s="320" t="str">
        <f>VLOOKUP(H1601,'Fund Utilization Report'!$A$4:$U$1800,7,FALSE)</f>
        <v>MOOE</v>
      </c>
      <c r="Z1601" s="425">
        <f>VLOOKUP(H1601,'Fund Utilization Report'!$A$4:$U$1800,8,FALSE)</f>
        <v>5020000000</v>
      </c>
      <c r="AA1601" s="428" t="str">
        <f>VLOOKUP(H1601,'Fund Utilization Report'!$A$4:$U$1800,14,FALSE)</f>
        <v>330100200002000</v>
      </c>
      <c r="AB1601" s="349" t="str">
        <f>VLOOKUP(H1601,'Fund Utilization Report'!$A$4:$U$1800,15,FALSE)</f>
        <v>OTOP - Next Generation</v>
      </c>
      <c r="AC1601" s="39"/>
      <c r="AD1601" s="34"/>
      <c r="AE1601" s="39"/>
      <c r="AF1601" s="51"/>
      <c r="AG1601" s="442"/>
      <c r="AH1601" s="442"/>
      <c r="AI1601" s="443"/>
    </row>
    <row r="1602" spans="1:35" s="32" customFormat="1">
      <c r="A1602" s="434" t="s">
        <v>942</v>
      </c>
      <c r="B1602" s="457" t="s">
        <v>946</v>
      </c>
      <c r="C1602" s="233">
        <v>44284</v>
      </c>
      <c r="D1602" s="435" t="s">
        <v>1267</v>
      </c>
      <c r="E1602" s="436" t="s">
        <v>1606</v>
      </c>
      <c r="F1602" s="338">
        <v>0.59791666666666665</v>
      </c>
      <c r="G1602" s="338">
        <v>0.60972222222222217</v>
      </c>
      <c r="H1602" s="338" t="s">
        <v>982</v>
      </c>
      <c r="I1602" s="353">
        <v>799</v>
      </c>
      <c r="J1602" s="338" t="str">
        <f>IFERROR(VLOOKUP(I1602,'Chart of accounts'!A:H,2,FALSE),"")</f>
        <v>50211990 00</v>
      </c>
      <c r="K1602" s="338" t="str">
        <f>IFERROR(VLOOKUP(I1602,'Chart of accounts'!A:H,3,FALSE),"")</f>
        <v>Other Professional Services</v>
      </c>
      <c r="L1602" s="338" t="str">
        <f>IFERROR(VLOOKUP(I1602,'Chart of accounts'!A:H,4,FALSE),"")</f>
        <v>50211990 00 - Other Professional Services (799)</v>
      </c>
      <c r="M1602" s="361" t="s">
        <v>905</v>
      </c>
      <c r="N1602" s="355" t="s">
        <v>1539</v>
      </c>
      <c r="O1602" s="355" t="s">
        <v>1605</v>
      </c>
      <c r="P1602" s="355"/>
      <c r="Q1602" s="363">
        <v>40000</v>
      </c>
      <c r="R1602" s="428">
        <f t="shared" si="67"/>
        <v>-40000</v>
      </c>
      <c r="S1602" s="428" t="str">
        <f>VLOOKUP(H1602,'Fund Utilization Report'!$A$4:$U$1800,13,FALSE)</f>
        <v>MOOE</v>
      </c>
      <c r="T1602" s="428" t="str">
        <f>VLOOKUP(H1602,'Fund Utilization Report'!$A$4:$U$1800,2,FALSE)</f>
        <v>GAA</v>
      </c>
      <c r="U1602" s="428" t="str">
        <f>VLOOKUP(H1602,'Fund Utilization Report'!$A$4:$U$1800,3,FALSE)</f>
        <v>FY2021, RA11518</v>
      </c>
      <c r="V1602" s="428" t="str">
        <f>VLOOKUP(H1602,'Fund Utilization Report'!$A$4:$U$1800,4,FALSE)</f>
        <v>OTOP</v>
      </c>
      <c r="W1602" s="428" t="str">
        <f>VLOOKUP(H1602,'Fund Utilization Report'!$A$4:$U$1800,5,FALSE)</f>
        <v>01101101</v>
      </c>
      <c r="X1602" s="428" t="str">
        <f>VLOOKUP(H1602,'Fund Utilization Report'!$A$4:$U$1800,6,FALSE)</f>
        <v>GOP</v>
      </c>
      <c r="Y1602" s="320" t="str">
        <f>VLOOKUP(H1602,'Fund Utilization Report'!$A$4:$U$1800,7,FALSE)</f>
        <v>MOOE</v>
      </c>
      <c r="Z1602" s="425">
        <f>VLOOKUP(H1602,'Fund Utilization Report'!$A$4:$U$1800,8,FALSE)</f>
        <v>5020000000</v>
      </c>
      <c r="AA1602" s="428" t="str">
        <f>VLOOKUP(H1602,'Fund Utilization Report'!$A$4:$U$1800,14,FALSE)</f>
        <v>330100200002000</v>
      </c>
      <c r="AB1602" s="349" t="str">
        <f>VLOOKUP(H1602,'Fund Utilization Report'!$A$4:$U$1800,15,FALSE)</f>
        <v>OTOP - Next Generation</v>
      </c>
      <c r="AC1602" s="39"/>
      <c r="AD1602" s="34"/>
      <c r="AE1602" s="39"/>
      <c r="AF1602" s="51"/>
      <c r="AG1602" s="442"/>
      <c r="AH1602" s="442"/>
      <c r="AI1602" s="443"/>
    </row>
    <row r="1603" spans="1:35" s="32" customFormat="1">
      <c r="A1603" s="434" t="s">
        <v>942</v>
      </c>
      <c r="B1603" s="457" t="s">
        <v>946</v>
      </c>
      <c r="C1603" s="233">
        <v>44284</v>
      </c>
      <c r="D1603" s="435" t="s">
        <v>1267</v>
      </c>
      <c r="E1603" s="436" t="s">
        <v>1606</v>
      </c>
      <c r="F1603" s="338">
        <v>0.59791666666666665</v>
      </c>
      <c r="G1603" s="338">
        <v>0.60972222222222217</v>
      </c>
      <c r="H1603" s="338" t="s">
        <v>982</v>
      </c>
      <c r="I1603" s="353">
        <v>780</v>
      </c>
      <c r="J1603" s="338" t="str">
        <f>IFERROR(VLOOKUP(I1603,'Chart of accounts'!A:H,2,FALSE),"")</f>
        <v>50299010 00</v>
      </c>
      <c r="K1603" s="338" t="str">
        <f>IFERROR(VLOOKUP(I1603,'Chart of accounts'!A:H,3,FALSE),"")</f>
        <v>Advertising Expenses</v>
      </c>
      <c r="L1603" s="338" t="str">
        <f>IFERROR(VLOOKUP(I1603,'Chart of accounts'!A:H,4,FALSE),"")</f>
        <v>50299010 00 - Advertising Expenses (780)</v>
      </c>
      <c r="M1603" s="361" t="s">
        <v>905</v>
      </c>
      <c r="N1603" s="355" t="s">
        <v>1539</v>
      </c>
      <c r="O1603" s="355" t="s">
        <v>1605</v>
      </c>
      <c r="P1603" s="355"/>
      <c r="Q1603" s="363">
        <v>48817.760000000002</v>
      </c>
      <c r="R1603" s="428">
        <f t="shared" si="67"/>
        <v>-48817.760000000002</v>
      </c>
      <c r="S1603" s="428" t="str">
        <f>VLOOKUP(H1603,'Fund Utilization Report'!$A$4:$U$1800,13,FALSE)</f>
        <v>MOOE</v>
      </c>
      <c r="T1603" s="428" t="str">
        <f>VLOOKUP(H1603,'Fund Utilization Report'!$A$4:$U$1800,2,FALSE)</f>
        <v>GAA</v>
      </c>
      <c r="U1603" s="428" t="str">
        <f>VLOOKUP(H1603,'Fund Utilization Report'!$A$4:$U$1800,3,FALSE)</f>
        <v>FY2021, RA11518</v>
      </c>
      <c r="V1603" s="428" t="str">
        <f>VLOOKUP(H1603,'Fund Utilization Report'!$A$4:$U$1800,4,FALSE)</f>
        <v>OTOP</v>
      </c>
      <c r="W1603" s="428" t="str">
        <f>VLOOKUP(H1603,'Fund Utilization Report'!$A$4:$U$1800,5,FALSE)</f>
        <v>01101101</v>
      </c>
      <c r="X1603" s="428" t="str">
        <f>VLOOKUP(H1603,'Fund Utilization Report'!$A$4:$U$1800,6,FALSE)</f>
        <v>GOP</v>
      </c>
      <c r="Y1603" s="320" t="str">
        <f>VLOOKUP(H1603,'Fund Utilization Report'!$A$4:$U$1800,7,FALSE)</f>
        <v>MOOE</v>
      </c>
      <c r="Z1603" s="425">
        <f>VLOOKUP(H1603,'Fund Utilization Report'!$A$4:$U$1800,8,FALSE)</f>
        <v>5020000000</v>
      </c>
      <c r="AA1603" s="428" t="str">
        <f>VLOOKUP(H1603,'Fund Utilization Report'!$A$4:$U$1800,14,FALSE)</f>
        <v>330100200002000</v>
      </c>
      <c r="AB1603" s="349" t="str">
        <f>VLOOKUP(H1603,'Fund Utilization Report'!$A$4:$U$1800,15,FALSE)</f>
        <v>OTOP - Next Generation</v>
      </c>
      <c r="AC1603" s="39"/>
      <c r="AD1603" s="34"/>
      <c r="AE1603" s="39"/>
      <c r="AF1603" s="51"/>
      <c r="AG1603" s="442"/>
      <c r="AH1603" s="442"/>
      <c r="AI1603" s="443"/>
    </row>
    <row r="1604" spans="1:35" s="32" customFormat="1">
      <c r="A1604" s="434" t="s">
        <v>942</v>
      </c>
      <c r="B1604" s="457" t="s">
        <v>946</v>
      </c>
      <c r="C1604" s="233">
        <v>44284</v>
      </c>
      <c r="D1604" s="435" t="s">
        <v>1267</v>
      </c>
      <c r="E1604" s="436" t="s">
        <v>1606</v>
      </c>
      <c r="F1604" s="338">
        <v>0.59791666666666665</v>
      </c>
      <c r="G1604" s="338">
        <v>0.60972222222222217</v>
      </c>
      <c r="H1604" s="338" t="s">
        <v>982</v>
      </c>
      <c r="I1604" s="353">
        <v>781</v>
      </c>
      <c r="J1604" s="338" t="str">
        <f>IFERROR(VLOOKUP(I1604,'Chart of accounts'!A:H,2,FALSE),"")</f>
        <v>50299020 00</v>
      </c>
      <c r="K1604" s="338" t="str">
        <f>IFERROR(VLOOKUP(I1604,'Chart of accounts'!A:H,3,FALSE),"")</f>
        <v>Printing and Binding Expenses</v>
      </c>
      <c r="L1604" s="338" t="str">
        <f>IFERROR(VLOOKUP(I1604,'Chart of accounts'!A:H,4,FALSE),"")</f>
        <v>50299020 00 - Printing and Binding Expenses (781)</v>
      </c>
      <c r="M1604" s="361" t="s">
        <v>905</v>
      </c>
      <c r="N1604" s="355" t="s">
        <v>1539</v>
      </c>
      <c r="O1604" s="355" t="s">
        <v>1605</v>
      </c>
      <c r="P1604" s="355"/>
      <c r="Q1604" s="363">
        <v>25000</v>
      </c>
      <c r="R1604" s="428">
        <f t="shared" si="67"/>
        <v>-25000</v>
      </c>
      <c r="S1604" s="428" t="str">
        <f>VLOOKUP(H1604,'Fund Utilization Report'!$A$4:$U$1800,13,FALSE)</f>
        <v>MOOE</v>
      </c>
      <c r="T1604" s="428" t="str">
        <f>VLOOKUP(H1604,'Fund Utilization Report'!$A$4:$U$1800,2,FALSE)</f>
        <v>GAA</v>
      </c>
      <c r="U1604" s="428" t="str">
        <f>VLOOKUP(H1604,'Fund Utilization Report'!$A$4:$U$1800,3,FALSE)</f>
        <v>FY2021, RA11518</v>
      </c>
      <c r="V1604" s="428" t="str">
        <f>VLOOKUP(H1604,'Fund Utilization Report'!$A$4:$U$1800,4,FALSE)</f>
        <v>OTOP</v>
      </c>
      <c r="W1604" s="428" t="str">
        <f>VLOOKUP(H1604,'Fund Utilization Report'!$A$4:$U$1800,5,FALSE)</f>
        <v>01101101</v>
      </c>
      <c r="X1604" s="428" t="str">
        <f>VLOOKUP(H1604,'Fund Utilization Report'!$A$4:$U$1800,6,FALSE)</f>
        <v>GOP</v>
      </c>
      <c r="Y1604" s="320" t="str">
        <f>VLOOKUP(H1604,'Fund Utilization Report'!$A$4:$U$1800,7,FALSE)</f>
        <v>MOOE</v>
      </c>
      <c r="Z1604" s="425">
        <f>VLOOKUP(H1604,'Fund Utilization Report'!$A$4:$U$1800,8,FALSE)</f>
        <v>5020000000</v>
      </c>
      <c r="AA1604" s="428" t="str">
        <f>VLOOKUP(H1604,'Fund Utilization Report'!$A$4:$U$1800,14,FALSE)</f>
        <v>330100200002000</v>
      </c>
      <c r="AB1604" s="349" t="str">
        <f>VLOOKUP(H1604,'Fund Utilization Report'!$A$4:$U$1800,15,FALSE)</f>
        <v>OTOP - Next Generation</v>
      </c>
      <c r="AC1604" s="39"/>
      <c r="AD1604" s="34"/>
      <c r="AE1604" s="39"/>
      <c r="AF1604" s="51"/>
      <c r="AG1604" s="442"/>
      <c r="AH1604" s="442"/>
      <c r="AI1604" s="443"/>
    </row>
    <row r="1605" spans="1:35" s="32" customFormat="1">
      <c r="A1605" s="434" t="s">
        <v>942</v>
      </c>
      <c r="B1605" s="457" t="s">
        <v>946</v>
      </c>
      <c r="C1605" s="233">
        <v>44284</v>
      </c>
      <c r="D1605" s="435" t="s">
        <v>1267</v>
      </c>
      <c r="E1605" s="436" t="s">
        <v>1606</v>
      </c>
      <c r="F1605" s="338">
        <v>0.59791666666666665</v>
      </c>
      <c r="G1605" s="338">
        <v>0.60972222222222217</v>
      </c>
      <c r="H1605" s="338" t="s">
        <v>982</v>
      </c>
      <c r="I1605" s="353">
        <v>783</v>
      </c>
      <c r="J1605" s="338" t="str">
        <f>IFERROR(VLOOKUP(I1605,'Chart of accounts'!A:H,2,FALSE),"")</f>
        <v>50299030 00</v>
      </c>
      <c r="K1605" s="338" t="str">
        <f>IFERROR(VLOOKUP(I1605,'Chart of accounts'!A:H,3,FALSE),"")</f>
        <v>Representation Expenses</v>
      </c>
      <c r="L1605" s="338" t="str">
        <f>IFERROR(VLOOKUP(I1605,'Chart of accounts'!A:H,4,FALSE),"")</f>
        <v>50299030 00 - Representation Expenses (783)</v>
      </c>
      <c r="M1605" s="361" t="s">
        <v>905</v>
      </c>
      <c r="N1605" s="355" t="s">
        <v>1539</v>
      </c>
      <c r="O1605" s="355" t="s">
        <v>1605</v>
      </c>
      <c r="P1605" s="355"/>
      <c r="Q1605" s="363">
        <v>25000</v>
      </c>
      <c r="R1605" s="428">
        <f t="shared" si="67"/>
        <v>-25000</v>
      </c>
      <c r="S1605" s="428" t="str">
        <f>VLOOKUP(H1605,'Fund Utilization Report'!$A$4:$U$1800,13,FALSE)</f>
        <v>MOOE</v>
      </c>
      <c r="T1605" s="428" t="str">
        <f>VLOOKUP(H1605,'Fund Utilization Report'!$A$4:$U$1800,2,FALSE)</f>
        <v>GAA</v>
      </c>
      <c r="U1605" s="428" t="str">
        <f>VLOOKUP(H1605,'Fund Utilization Report'!$A$4:$U$1800,3,FALSE)</f>
        <v>FY2021, RA11518</v>
      </c>
      <c r="V1605" s="428" t="str">
        <f>VLOOKUP(H1605,'Fund Utilization Report'!$A$4:$U$1800,4,FALSE)</f>
        <v>OTOP</v>
      </c>
      <c r="W1605" s="428" t="str">
        <f>VLOOKUP(H1605,'Fund Utilization Report'!$A$4:$U$1800,5,FALSE)</f>
        <v>01101101</v>
      </c>
      <c r="X1605" s="428" t="str">
        <f>VLOOKUP(H1605,'Fund Utilization Report'!$A$4:$U$1800,6,FALSE)</f>
        <v>GOP</v>
      </c>
      <c r="Y1605" s="320" t="str">
        <f>VLOOKUP(H1605,'Fund Utilization Report'!$A$4:$U$1800,7,FALSE)</f>
        <v>MOOE</v>
      </c>
      <c r="Z1605" s="425">
        <f>VLOOKUP(H1605,'Fund Utilization Report'!$A$4:$U$1800,8,FALSE)</f>
        <v>5020000000</v>
      </c>
      <c r="AA1605" s="428" t="str">
        <f>VLOOKUP(H1605,'Fund Utilization Report'!$A$4:$U$1800,14,FALSE)</f>
        <v>330100200002000</v>
      </c>
      <c r="AB1605" s="349" t="str">
        <f>VLOOKUP(H1605,'Fund Utilization Report'!$A$4:$U$1800,15,FALSE)</f>
        <v>OTOP - Next Generation</v>
      </c>
      <c r="AC1605" s="39"/>
      <c r="AD1605" s="34"/>
      <c r="AE1605" s="39"/>
      <c r="AF1605" s="51"/>
      <c r="AG1605" s="442"/>
      <c r="AH1605" s="442"/>
      <c r="AI1605" s="443"/>
    </row>
    <row r="1606" spans="1:35" s="32" customFormat="1">
      <c r="A1606" s="434" t="s">
        <v>942</v>
      </c>
      <c r="B1606" s="457" t="s">
        <v>946</v>
      </c>
      <c r="C1606" s="233">
        <v>44284</v>
      </c>
      <c r="D1606" s="435" t="s">
        <v>1267</v>
      </c>
      <c r="E1606" s="436" t="s">
        <v>1606</v>
      </c>
      <c r="F1606" s="338">
        <v>0.59791666666666665</v>
      </c>
      <c r="G1606" s="338">
        <v>0.60972222222222217</v>
      </c>
      <c r="H1606" s="338" t="s">
        <v>982</v>
      </c>
      <c r="I1606" s="353">
        <v>784</v>
      </c>
      <c r="J1606" s="338" t="str">
        <f>IFERROR(VLOOKUP(I1606,'Chart of accounts'!A:H,2,FALSE),"")</f>
        <v>50299040 00</v>
      </c>
      <c r="K1606" s="338" t="str">
        <f>IFERROR(VLOOKUP(I1606,'Chart of accounts'!A:H,3,FALSE),"")</f>
        <v>Transportation and Delivery Expenses</v>
      </c>
      <c r="L1606" s="338" t="str">
        <f>IFERROR(VLOOKUP(I1606,'Chart of accounts'!A:H,4,FALSE),"")</f>
        <v>50299040 00 - Transportation and Delivery Expenses (784)</v>
      </c>
      <c r="M1606" s="361" t="s">
        <v>905</v>
      </c>
      <c r="N1606" s="355" t="s">
        <v>1539</v>
      </c>
      <c r="O1606" s="355" t="s">
        <v>1605</v>
      </c>
      <c r="P1606" s="355"/>
      <c r="Q1606" s="363">
        <v>50000</v>
      </c>
      <c r="R1606" s="428">
        <f t="shared" si="67"/>
        <v>-50000</v>
      </c>
      <c r="S1606" s="428" t="str">
        <f>VLOOKUP(H1606,'Fund Utilization Report'!$A$4:$U$1800,13,FALSE)</f>
        <v>MOOE</v>
      </c>
      <c r="T1606" s="428" t="str">
        <f>VLOOKUP(H1606,'Fund Utilization Report'!$A$4:$U$1800,2,FALSE)</f>
        <v>GAA</v>
      </c>
      <c r="U1606" s="428" t="str">
        <f>VLOOKUP(H1606,'Fund Utilization Report'!$A$4:$U$1800,3,FALSE)</f>
        <v>FY2021, RA11518</v>
      </c>
      <c r="V1606" s="428" t="str">
        <f>VLOOKUP(H1606,'Fund Utilization Report'!$A$4:$U$1800,4,FALSE)</f>
        <v>OTOP</v>
      </c>
      <c r="W1606" s="428" t="str">
        <f>VLOOKUP(H1606,'Fund Utilization Report'!$A$4:$U$1800,5,FALSE)</f>
        <v>01101101</v>
      </c>
      <c r="X1606" s="428" t="str">
        <f>VLOOKUP(H1606,'Fund Utilization Report'!$A$4:$U$1800,6,FALSE)</f>
        <v>GOP</v>
      </c>
      <c r="Y1606" s="320" t="str">
        <f>VLOOKUP(H1606,'Fund Utilization Report'!$A$4:$U$1800,7,FALSE)</f>
        <v>MOOE</v>
      </c>
      <c r="Z1606" s="425">
        <f>VLOOKUP(H1606,'Fund Utilization Report'!$A$4:$U$1800,8,FALSE)</f>
        <v>5020000000</v>
      </c>
      <c r="AA1606" s="428" t="str">
        <f>VLOOKUP(H1606,'Fund Utilization Report'!$A$4:$U$1800,14,FALSE)</f>
        <v>330100200002000</v>
      </c>
      <c r="AB1606" s="349" t="str">
        <f>VLOOKUP(H1606,'Fund Utilization Report'!$A$4:$U$1800,15,FALSE)</f>
        <v>OTOP - Next Generation</v>
      </c>
      <c r="AC1606" s="39"/>
      <c r="AD1606" s="34"/>
      <c r="AE1606" s="39"/>
      <c r="AF1606" s="51"/>
      <c r="AG1606" s="442"/>
      <c r="AH1606" s="442"/>
      <c r="AI1606" s="443"/>
    </row>
    <row r="1607" spans="1:35" s="32" customFormat="1">
      <c r="A1607" s="434" t="s">
        <v>942</v>
      </c>
      <c r="B1607" s="457" t="s">
        <v>946</v>
      </c>
      <c r="C1607" s="233">
        <v>44284</v>
      </c>
      <c r="D1607" s="435" t="s">
        <v>1267</v>
      </c>
      <c r="E1607" s="436" t="s">
        <v>1607</v>
      </c>
      <c r="F1607" s="338">
        <v>0.60972222222222217</v>
      </c>
      <c r="G1607" s="338">
        <v>0.6118055555555556</v>
      </c>
      <c r="H1607" s="338" t="s">
        <v>982</v>
      </c>
      <c r="I1607" s="353">
        <v>751</v>
      </c>
      <c r="J1607" s="338" t="str">
        <f>IFERROR(VLOOKUP(I1607,'Chart of accounts'!A:H,2,FALSE),"")</f>
        <v>50201010 00</v>
      </c>
      <c r="K1607" s="338" t="str">
        <f>IFERROR(VLOOKUP(I1607,'Chart of accounts'!A:H,3,FALSE),"")</f>
        <v>Traveling Expenses - Local</v>
      </c>
      <c r="L1607" s="338" t="str">
        <f>IFERROR(VLOOKUP(I1607,'Chart of accounts'!A:H,4,FALSE),"")</f>
        <v>50201010 00 - Traveling Expenses - Local (751)</v>
      </c>
      <c r="M1607" s="361" t="s">
        <v>905</v>
      </c>
      <c r="N1607" s="355" t="s">
        <v>1540</v>
      </c>
      <c r="O1607" s="355" t="s">
        <v>1605</v>
      </c>
      <c r="P1607" s="355"/>
      <c r="Q1607" s="363">
        <v>70000</v>
      </c>
      <c r="R1607" s="428">
        <f t="shared" si="67"/>
        <v>-70000</v>
      </c>
      <c r="S1607" s="428" t="str">
        <f>VLOOKUP(H1607,'Fund Utilization Report'!$A$4:$U$1800,13,FALSE)</f>
        <v>MOOE</v>
      </c>
      <c r="T1607" s="428" t="str">
        <f>VLOOKUP(H1607,'Fund Utilization Report'!$A$4:$U$1800,2,FALSE)</f>
        <v>GAA</v>
      </c>
      <c r="U1607" s="428" t="str">
        <f>VLOOKUP(H1607,'Fund Utilization Report'!$A$4:$U$1800,3,FALSE)</f>
        <v>FY2021, RA11518</v>
      </c>
      <c r="V1607" s="428" t="str">
        <f>VLOOKUP(H1607,'Fund Utilization Report'!$A$4:$U$1800,4,FALSE)</f>
        <v>OTOP</v>
      </c>
      <c r="W1607" s="428" t="str">
        <f>VLOOKUP(H1607,'Fund Utilization Report'!$A$4:$U$1800,5,FALSE)</f>
        <v>01101101</v>
      </c>
      <c r="X1607" s="428" t="str">
        <f>VLOOKUP(H1607,'Fund Utilization Report'!$A$4:$U$1800,6,FALSE)</f>
        <v>GOP</v>
      </c>
      <c r="Y1607" s="320" t="str">
        <f>VLOOKUP(H1607,'Fund Utilization Report'!$A$4:$U$1800,7,FALSE)</f>
        <v>MOOE</v>
      </c>
      <c r="Z1607" s="425">
        <f>VLOOKUP(H1607,'Fund Utilization Report'!$A$4:$U$1800,8,FALSE)</f>
        <v>5020000000</v>
      </c>
      <c r="AA1607" s="428" t="str">
        <f>VLOOKUP(H1607,'Fund Utilization Report'!$A$4:$U$1800,14,FALSE)</f>
        <v>330100200002000</v>
      </c>
      <c r="AB1607" s="349" t="str">
        <f>VLOOKUP(H1607,'Fund Utilization Report'!$A$4:$U$1800,15,FALSE)</f>
        <v>OTOP - Next Generation</v>
      </c>
      <c r="AC1607" s="39"/>
      <c r="AD1607" s="34"/>
      <c r="AE1607" s="39"/>
      <c r="AF1607" s="51"/>
      <c r="AG1607" s="442"/>
      <c r="AH1607" s="442"/>
      <c r="AI1607" s="443"/>
    </row>
    <row r="1608" spans="1:35" s="32" customFormat="1">
      <c r="A1608" s="434" t="s">
        <v>942</v>
      </c>
      <c r="B1608" s="457" t="s">
        <v>946</v>
      </c>
      <c r="C1608" s="233">
        <v>44284</v>
      </c>
      <c r="D1608" s="435" t="s">
        <v>1267</v>
      </c>
      <c r="E1608" s="436" t="s">
        <v>1607</v>
      </c>
      <c r="F1608" s="338">
        <v>0.60972222222222217</v>
      </c>
      <c r="G1608" s="338">
        <v>0.6118055555555556</v>
      </c>
      <c r="H1608" s="338" t="s">
        <v>982</v>
      </c>
      <c r="I1608" s="353">
        <v>753</v>
      </c>
      <c r="J1608" s="338" t="str">
        <f>IFERROR(VLOOKUP(I1608,'Chart of accounts'!A:H,2,FALSE),"")</f>
        <v>50202010 00</v>
      </c>
      <c r="K1608" s="338" t="str">
        <f>IFERROR(VLOOKUP(I1608,'Chart of accounts'!A:H,3,FALSE),"")</f>
        <v>Training Expenses</v>
      </c>
      <c r="L1608" s="338" t="str">
        <f>IFERROR(VLOOKUP(I1608,'Chart of accounts'!A:H,4,FALSE),"")</f>
        <v>50202010 00 - Training Expenses (753)</v>
      </c>
      <c r="M1608" s="361" t="s">
        <v>905</v>
      </c>
      <c r="N1608" s="355" t="s">
        <v>1540</v>
      </c>
      <c r="O1608" s="355" t="s">
        <v>1605</v>
      </c>
      <c r="P1608" s="355"/>
      <c r="Q1608" s="363">
        <v>15000</v>
      </c>
      <c r="R1608" s="428">
        <f t="shared" si="67"/>
        <v>-15000</v>
      </c>
      <c r="S1608" s="428" t="str">
        <f>VLOOKUP(H1608,'Fund Utilization Report'!$A$4:$U$1800,13,FALSE)</f>
        <v>MOOE</v>
      </c>
      <c r="T1608" s="428" t="str">
        <f>VLOOKUP(H1608,'Fund Utilization Report'!$A$4:$U$1800,2,FALSE)</f>
        <v>GAA</v>
      </c>
      <c r="U1608" s="428" t="str">
        <f>VLOOKUP(H1608,'Fund Utilization Report'!$A$4:$U$1800,3,FALSE)</f>
        <v>FY2021, RA11518</v>
      </c>
      <c r="V1608" s="428" t="str">
        <f>VLOOKUP(H1608,'Fund Utilization Report'!$A$4:$U$1800,4,FALSE)</f>
        <v>OTOP</v>
      </c>
      <c r="W1608" s="428" t="str">
        <f>VLOOKUP(H1608,'Fund Utilization Report'!$A$4:$U$1800,5,FALSE)</f>
        <v>01101101</v>
      </c>
      <c r="X1608" s="428" t="str">
        <f>VLOOKUP(H1608,'Fund Utilization Report'!$A$4:$U$1800,6,FALSE)</f>
        <v>GOP</v>
      </c>
      <c r="Y1608" s="320" t="str">
        <f>VLOOKUP(H1608,'Fund Utilization Report'!$A$4:$U$1800,7,FALSE)</f>
        <v>MOOE</v>
      </c>
      <c r="Z1608" s="425">
        <f>VLOOKUP(H1608,'Fund Utilization Report'!$A$4:$U$1800,8,FALSE)</f>
        <v>5020000000</v>
      </c>
      <c r="AA1608" s="428" t="str">
        <f>VLOOKUP(H1608,'Fund Utilization Report'!$A$4:$U$1800,14,FALSE)</f>
        <v>330100200002000</v>
      </c>
      <c r="AB1608" s="349" t="str">
        <f>VLOOKUP(H1608,'Fund Utilization Report'!$A$4:$U$1800,15,FALSE)</f>
        <v>OTOP - Next Generation</v>
      </c>
      <c r="AC1608" s="39"/>
      <c r="AD1608" s="34"/>
      <c r="AE1608" s="39"/>
      <c r="AF1608" s="51"/>
      <c r="AG1608" s="442"/>
      <c r="AH1608" s="442"/>
      <c r="AI1608" s="443"/>
    </row>
    <row r="1609" spans="1:35" s="32" customFormat="1">
      <c r="A1609" s="434" t="s">
        <v>942</v>
      </c>
      <c r="B1609" s="457" t="s">
        <v>946</v>
      </c>
      <c r="C1609" s="233">
        <v>44284</v>
      </c>
      <c r="D1609" s="435" t="s">
        <v>1267</v>
      </c>
      <c r="E1609" s="436" t="s">
        <v>1607</v>
      </c>
      <c r="F1609" s="338">
        <v>0.60972222222222217</v>
      </c>
      <c r="G1609" s="338">
        <v>0.6118055555555556</v>
      </c>
      <c r="H1609" s="338" t="s">
        <v>982</v>
      </c>
      <c r="I1609" s="353">
        <v>755</v>
      </c>
      <c r="J1609" s="338" t="str">
        <f>IFERROR(VLOOKUP(I1609,'Chart of accounts'!A:H,2,FALSE),"")</f>
        <v>50203010 00</v>
      </c>
      <c r="K1609" s="338" t="str">
        <f>IFERROR(VLOOKUP(I1609,'Chart of accounts'!A:H,3,FALSE),"")</f>
        <v>Office Supplies Expenses</v>
      </c>
      <c r="L1609" s="338" t="str">
        <f>IFERROR(VLOOKUP(I1609,'Chart of accounts'!A:H,4,FALSE),"")</f>
        <v>50203010 00 - Office Supplies Expenses (755)</v>
      </c>
      <c r="M1609" s="361" t="s">
        <v>905</v>
      </c>
      <c r="N1609" s="355" t="s">
        <v>1540</v>
      </c>
      <c r="O1609" s="355" t="s">
        <v>1605</v>
      </c>
      <c r="P1609" s="355"/>
      <c r="Q1609" s="363">
        <v>10000</v>
      </c>
      <c r="R1609" s="428">
        <f t="shared" si="67"/>
        <v>-10000</v>
      </c>
      <c r="S1609" s="428" t="str">
        <f>VLOOKUP(H1609,'Fund Utilization Report'!$A$4:$U$1800,13,FALSE)</f>
        <v>MOOE</v>
      </c>
      <c r="T1609" s="428" t="str">
        <f>VLOOKUP(H1609,'Fund Utilization Report'!$A$4:$U$1800,2,FALSE)</f>
        <v>GAA</v>
      </c>
      <c r="U1609" s="428" t="str">
        <f>VLOOKUP(H1609,'Fund Utilization Report'!$A$4:$U$1800,3,FALSE)</f>
        <v>FY2021, RA11518</v>
      </c>
      <c r="V1609" s="428" t="str">
        <f>VLOOKUP(H1609,'Fund Utilization Report'!$A$4:$U$1800,4,FALSE)</f>
        <v>OTOP</v>
      </c>
      <c r="W1609" s="428" t="str">
        <f>VLOOKUP(H1609,'Fund Utilization Report'!$A$4:$U$1800,5,FALSE)</f>
        <v>01101101</v>
      </c>
      <c r="X1609" s="428" t="str">
        <f>VLOOKUP(H1609,'Fund Utilization Report'!$A$4:$U$1800,6,FALSE)</f>
        <v>GOP</v>
      </c>
      <c r="Y1609" s="320" t="str">
        <f>VLOOKUP(H1609,'Fund Utilization Report'!$A$4:$U$1800,7,FALSE)</f>
        <v>MOOE</v>
      </c>
      <c r="Z1609" s="425">
        <f>VLOOKUP(H1609,'Fund Utilization Report'!$A$4:$U$1800,8,FALSE)</f>
        <v>5020000000</v>
      </c>
      <c r="AA1609" s="428" t="str">
        <f>VLOOKUP(H1609,'Fund Utilization Report'!$A$4:$U$1800,14,FALSE)</f>
        <v>330100200002000</v>
      </c>
      <c r="AB1609" s="349" t="str">
        <f>VLOOKUP(H1609,'Fund Utilization Report'!$A$4:$U$1800,15,FALSE)</f>
        <v>OTOP - Next Generation</v>
      </c>
      <c r="AC1609" s="39"/>
      <c r="AD1609" s="34"/>
      <c r="AE1609" s="39"/>
      <c r="AF1609" s="51"/>
      <c r="AG1609" s="442"/>
      <c r="AH1609" s="442"/>
      <c r="AI1609" s="443"/>
    </row>
    <row r="1610" spans="1:35" s="32" customFormat="1">
      <c r="A1610" s="434" t="s">
        <v>942</v>
      </c>
      <c r="B1610" s="457" t="s">
        <v>946</v>
      </c>
      <c r="C1610" s="233">
        <v>44284</v>
      </c>
      <c r="D1610" s="435" t="s">
        <v>1267</v>
      </c>
      <c r="E1610" s="436" t="s">
        <v>1607</v>
      </c>
      <c r="F1610" s="338">
        <v>0.60972222222222217</v>
      </c>
      <c r="G1610" s="338">
        <v>0.6118055555555556</v>
      </c>
      <c r="H1610" s="338" t="s">
        <v>982</v>
      </c>
      <c r="I1610" s="353">
        <v>793</v>
      </c>
      <c r="J1610" s="338" t="str">
        <f>IFERROR(VLOOKUP(I1610,'Chart of accounts'!A:H,2,FALSE),"")</f>
        <v>50211030 00</v>
      </c>
      <c r="K1610" s="338" t="str">
        <f>IFERROR(VLOOKUP(I1610,'Chart of accounts'!A:H,3,FALSE),"")</f>
        <v>Consultancy Services</v>
      </c>
      <c r="L1610" s="338" t="str">
        <f>IFERROR(VLOOKUP(I1610,'Chart of accounts'!A:H,4,FALSE),"")</f>
        <v>50211030 00 - Consultancy Services (793)</v>
      </c>
      <c r="M1610" s="361" t="s">
        <v>905</v>
      </c>
      <c r="N1610" s="355" t="s">
        <v>1540</v>
      </c>
      <c r="O1610" s="355" t="s">
        <v>1605</v>
      </c>
      <c r="P1610" s="355"/>
      <c r="Q1610" s="363">
        <v>50000</v>
      </c>
      <c r="R1610" s="428">
        <f t="shared" si="67"/>
        <v>-50000</v>
      </c>
      <c r="S1610" s="428" t="str">
        <f>VLOOKUP(H1610,'Fund Utilization Report'!$A$4:$U$1800,13,FALSE)</f>
        <v>MOOE</v>
      </c>
      <c r="T1610" s="428" t="str">
        <f>VLOOKUP(H1610,'Fund Utilization Report'!$A$4:$U$1800,2,FALSE)</f>
        <v>GAA</v>
      </c>
      <c r="U1610" s="428" t="str">
        <f>VLOOKUP(H1610,'Fund Utilization Report'!$A$4:$U$1800,3,FALSE)</f>
        <v>FY2021, RA11518</v>
      </c>
      <c r="V1610" s="428" t="str">
        <f>VLOOKUP(H1610,'Fund Utilization Report'!$A$4:$U$1800,4,FALSE)</f>
        <v>OTOP</v>
      </c>
      <c r="W1610" s="428" t="str">
        <f>VLOOKUP(H1610,'Fund Utilization Report'!$A$4:$U$1800,5,FALSE)</f>
        <v>01101101</v>
      </c>
      <c r="X1610" s="428" t="str">
        <f>VLOOKUP(H1610,'Fund Utilization Report'!$A$4:$U$1800,6,FALSE)</f>
        <v>GOP</v>
      </c>
      <c r="Y1610" s="320" t="str">
        <f>VLOOKUP(H1610,'Fund Utilization Report'!$A$4:$U$1800,7,FALSE)</f>
        <v>MOOE</v>
      </c>
      <c r="Z1610" s="425">
        <f>VLOOKUP(H1610,'Fund Utilization Report'!$A$4:$U$1800,8,FALSE)</f>
        <v>5020000000</v>
      </c>
      <c r="AA1610" s="428" t="str">
        <f>VLOOKUP(H1610,'Fund Utilization Report'!$A$4:$U$1800,14,FALSE)</f>
        <v>330100200002000</v>
      </c>
      <c r="AB1610" s="349" t="str">
        <f>VLOOKUP(H1610,'Fund Utilization Report'!$A$4:$U$1800,15,FALSE)</f>
        <v>OTOP - Next Generation</v>
      </c>
      <c r="AC1610" s="39"/>
      <c r="AD1610" s="34"/>
      <c r="AE1610" s="39"/>
      <c r="AF1610" s="51"/>
      <c r="AG1610" s="442"/>
      <c r="AH1610" s="442"/>
      <c r="AI1610" s="443"/>
    </row>
    <row r="1611" spans="1:35" s="32" customFormat="1">
      <c r="A1611" s="434" t="s">
        <v>942</v>
      </c>
      <c r="B1611" s="457" t="s">
        <v>946</v>
      </c>
      <c r="C1611" s="233">
        <v>44284</v>
      </c>
      <c r="D1611" s="435" t="s">
        <v>1267</v>
      </c>
      <c r="E1611" s="436" t="s">
        <v>1607</v>
      </c>
      <c r="F1611" s="338">
        <v>0.60972222222222217</v>
      </c>
      <c r="G1611" s="338">
        <v>0.6118055555555556</v>
      </c>
      <c r="H1611" s="338" t="s">
        <v>982</v>
      </c>
      <c r="I1611" s="353">
        <v>799</v>
      </c>
      <c r="J1611" s="338" t="str">
        <f>IFERROR(VLOOKUP(I1611,'Chart of accounts'!A:H,2,FALSE),"")</f>
        <v>50211990 00</v>
      </c>
      <c r="K1611" s="338" t="str">
        <f>IFERROR(VLOOKUP(I1611,'Chart of accounts'!A:H,3,FALSE),"")</f>
        <v>Other Professional Services</v>
      </c>
      <c r="L1611" s="338" t="str">
        <f>IFERROR(VLOOKUP(I1611,'Chart of accounts'!A:H,4,FALSE),"")</f>
        <v>50211990 00 - Other Professional Services (799)</v>
      </c>
      <c r="M1611" s="361" t="s">
        <v>905</v>
      </c>
      <c r="N1611" s="355" t="s">
        <v>1540</v>
      </c>
      <c r="O1611" s="355" t="s">
        <v>1605</v>
      </c>
      <c r="P1611" s="355"/>
      <c r="Q1611" s="363">
        <v>40000</v>
      </c>
      <c r="R1611" s="428">
        <f t="shared" ref="R1611:R1622" si="68">P1611-Q1611</f>
        <v>-40000</v>
      </c>
      <c r="S1611" s="428" t="str">
        <f>VLOOKUP(H1611,'Fund Utilization Report'!$A$4:$U$1800,13,FALSE)</f>
        <v>MOOE</v>
      </c>
      <c r="T1611" s="428" t="str">
        <f>VLOOKUP(H1611,'Fund Utilization Report'!$A$4:$U$1800,2,FALSE)</f>
        <v>GAA</v>
      </c>
      <c r="U1611" s="428" t="str">
        <f>VLOOKUP(H1611,'Fund Utilization Report'!$A$4:$U$1800,3,FALSE)</f>
        <v>FY2021, RA11518</v>
      </c>
      <c r="V1611" s="428" t="str">
        <f>VLOOKUP(H1611,'Fund Utilization Report'!$A$4:$U$1800,4,FALSE)</f>
        <v>OTOP</v>
      </c>
      <c r="W1611" s="428" t="str">
        <f>VLOOKUP(H1611,'Fund Utilization Report'!$A$4:$U$1800,5,FALSE)</f>
        <v>01101101</v>
      </c>
      <c r="X1611" s="428" t="str">
        <f>VLOOKUP(H1611,'Fund Utilization Report'!$A$4:$U$1800,6,FALSE)</f>
        <v>GOP</v>
      </c>
      <c r="Y1611" s="320" t="str">
        <f>VLOOKUP(H1611,'Fund Utilization Report'!$A$4:$U$1800,7,FALSE)</f>
        <v>MOOE</v>
      </c>
      <c r="Z1611" s="425">
        <f>VLOOKUP(H1611,'Fund Utilization Report'!$A$4:$U$1800,8,FALSE)</f>
        <v>5020000000</v>
      </c>
      <c r="AA1611" s="428" t="str">
        <f>VLOOKUP(H1611,'Fund Utilization Report'!$A$4:$U$1800,14,FALSE)</f>
        <v>330100200002000</v>
      </c>
      <c r="AB1611" s="349" t="str">
        <f>VLOOKUP(H1611,'Fund Utilization Report'!$A$4:$U$1800,15,FALSE)</f>
        <v>OTOP - Next Generation</v>
      </c>
      <c r="AC1611" s="39"/>
      <c r="AD1611" s="34"/>
      <c r="AE1611" s="39"/>
      <c r="AF1611" s="51"/>
      <c r="AG1611" s="442"/>
      <c r="AH1611" s="442"/>
      <c r="AI1611" s="443"/>
    </row>
    <row r="1612" spans="1:35" s="32" customFormat="1">
      <c r="A1612" s="434" t="s">
        <v>942</v>
      </c>
      <c r="B1612" s="457" t="s">
        <v>946</v>
      </c>
      <c r="C1612" s="233">
        <v>44284</v>
      </c>
      <c r="D1612" s="435" t="s">
        <v>1267</v>
      </c>
      <c r="E1612" s="436" t="s">
        <v>1607</v>
      </c>
      <c r="F1612" s="338">
        <v>0.60972222222222217</v>
      </c>
      <c r="G1612" s="338">
        <v>0.6118055555555556</v>
      </c>
      <c r="H1612" s="338" t="s">
        <v>982</v>
      </c>
      <c r="I1612" s="353">
        <v>780</v>
      </c>
      <c r="J1612" s="338" t="str">
        <f>IFERROR(VLOOKUP(I1612,'Chart of accounts'!A:H,2,FALSE),"")</f>
        <v>50299010 00</v>
      </c>
      <c r="K1612" s="338" t="str">
        <f>IFERROR(VLOOKUP(I1612,'Chart of accounts'!A:H,3,FALSE),"")</f>
        <v>Advertising Expenses</v>
      </c>
      <c r="L1612" s="338" t="str">
        <f>IFERROR(VLOOKUP(I1612,'Chart of accounts'!A:H,4,FALSE),"")</f>
        <v>50299010 00 - Advertising Expenses (780)</v>
      </c>
      <c r="M1612" s="361" t="s">
        <v>905</v>
      </c>
      <c r="N1612" s="355" t="s">
        <v>1540</v>
      </c>
      <c r="O1612" s="355" t="s">
        <v>1605</v>
      </c>
      <c r="P1612" s="355"/>
      <c r="Q1612" s="363">
        <v>63243.76</v>
      </c>
      <c r="R1612" s="428">
        <f t="shared" si="68"/>
        <v>-63243.76</v>
      </c>
      <c r="S1612" s="428" t="str">
        <f>VLOOKUP(H1612,'Fund Utilization Report'!$A$4:$U$1800,13,FALSE)</f>
        <v>MOOE</v>
      </c>
      <c r="T1612" s="428" t="str">
        <f>VLOOKUP(H1612,'Fund Utilization Report'!$A$4:$U$1800,2,FALSE)</f>
        <v>GAA</v>
      </c>
      <c r="U1612" s="428" t="str">
        <f>VLOOKUP(H1612,'Fund Utilization Report'!$A$4:$U$1800,3,FALSE)</f>
        <v>FY2021, RA11518</v>
      </c>
      <c r="V1612" s="428" t="str">
        <f>VLOOKUP(H1612,'Fund Utilization Report'!$A$4:$U$1800,4,FALSE)</f>
        <v>OTOP</v>
      </c>
      <c r="W1612" s="428" t="str">
        <f>VLOOKUP(H1612,'Fund Utilization Report'!$A$4:$U$1800,5,FALSE)</f>
        <v>01101101</v>
      </c>
      <c r="X1612" s="428" t="str">
        <f>VLOOKUP(H1612,'Fund Utilization Report'!$A$4:$U$1800,6,FALSE)</f>
        <v>GOP</v>
      </c>
      <c r="Y1612" s="320" t="str">
        <f>VLOOKUP(H1612,'Fund Utilization Report'!$A$4:$U$1800,7,FALSE)</f>
        <v>MOOE</v>
      </c>
      <c r="Z1612" s="425">
        <f>VLOOKUP(H1612,'Fund Utilization Report'!$A$4:$U$1800,8,FALSE)</f>
        <v>5020000000</v>
      </c>
      <c r="AA1612" s="428" t="str">
        <f>VLOOKUP(H1612,'Fund Utilization Report'!$A$4:$U$1800,14,FALSE)</f>
        <v>330100200002000</v>
      </c>
      <c r="AB1612" s="349" t="str">
        <f>VLOOKUP(H1612,'Fund Utilization Report'!$A$4:$U$1800,15,FALSE)</f>
        <v>OTOP - Next Generation</v>
      </c>
      <c r="AC1612" s="39"/>
      <c r="AD1612" s="34"/>
      <c r="AE1612" s="39"/>
      <c r="AF1612" s="51"/>
      <c r="AG1612" s="442"/>
      <c r="AH1612" s="442"/>
      <c r="AI1612" s="443"/>
    </row>
    <row r="1613" spans="1:35" s="32" customFormat="1">
      <c r="A1613" s="434" t="s">
        <v>942</v>
      </c>
      <c r="B1613" s="457" t="s">
        <v>946</v>
      </c>
      <c r="C1613" s="233">
        <v>44284</v>
      </c>
      <c r="D1613" s="435" t="s">
        <v>1267</v>
      </c>
      <c r="E1613" s="436" t="s">
        <v>1607</v>
      </c>
      <c r="F1613" s="338">
        <v>0.60972222222222217</v>
      </c>
      <c r="G1613" s="338">
        <v>0.6118055555555556</v>
      </c>
      <c r="H1613" s="338" t="s">
        <v>982</v>
      </c>
      <c r="I1613" s="353">
        <v>781</v>
      </c>
      <c r="J1613" s="338" t="str">
        <f>IFERROR(VLOOKUP(I1613,'Chart of accounts'!A:H,2,FALSE),"")</f>
        <v>50299020 00</v>
      </c>
      <c r="K1613" s="338" t="str">
        <f>IFERROR(VLOOKUP(I1613,'Chart of accounts'!A:H,3,FALSE),"")</f>
        <v>Printing and Binding Expenses</v>
      </c>
      <c r="L1613" s="338" t="str">
        <f>IFERROR(VLOOKUP(I1613,'Chart of accounts'!A:H,4,FALSE),"")</f>
        <v>50299020 00 - Printing and Binding Expenses (781)</v>
      </c>
      <c r="M1613" s="361" t="s">
        <v>905</v>
      </c>
      <c r="N1613" s="355" t="s">
        <v>1540</v>
      </c>
      <c r="O1613" s="355" t="s">
        <v>1605</v>
      </c>
      <c r="P1613" s="355"/>
      <c r="Q1613" s="363">
        <v>25000</v>
      </c>
      <c r="R1613" s="428">
        <f t="shared" si="68"/>
        <v>-25000</v>
      </c>
      <c r="S1613" s="428" t="str">
        <f>VLOOKUP(H1613,'Fund Utilization Report'!$A$4:$U$1800,13,FALSE)</f>
        <v>MOOE</v>
      </c>
      <c r="T1613" s="428" t="str">
        <f>VLOOKUP(H1613,'Fund Utilization Report'!$A$4:$U$1800,2,FALSE)</f>
        <v>GAA</v>
      </c>
      <c r="U1613" s="428" t="str">
        <f>VLOOKUP(H1613,'Fund Utilization Report'!$A$4:$U$1800,3,FALSE)</f>
        <v>FY2021, RA11518</v>
      </c>
      <c r="V1613" s="428" t="str">
        <f>VLOOKUP(H1613,'Fund Utilization Report'!$A$4:$U$1800,4,FALSE)</f>
        <v>OTOP</v>
      </c>
      <c r="W1613" s="428" t="str">
        <f>VLOOKUP(H1613,'Fund Utilization Report'!$A$4:$U$1800,5,FALSE)</f>
        <v>01101101</v>
      </c>
      <c r="X1613" s="428" t="str">
        <f>VLOOKUP(H1613,'Fund Utilization Report'!$A$4:$U$1800,6,FALSE)</f>
        <v>GOP</v>
      </c>
      <c r="Y1613" s="320" t="str">
        <f>VLOOKUP(H1613,'Fund Utilization Report'!$A$4:$U$1800,7,FALSE)</f>
        <v>MOOE</v>
      </c>
      <c r="Z1613" s="425">
        <f>VLOOKUP(H1613,'Fund Utilization Report'!$A$4:$U$1800,8,FALSE)</f>
        <v>5020000000</v>
      </c>
      <c r="AA1613" s="428" t="str">
        <f>VLOOKUP(H1613,'Fund Utilization Report'!$A$4:$U$1800,14,FALSE)</f>
        <v>330100200002000</v>
      </c>
      <c r="AB1613" s="349" t="str">
        <f>VLOOKUP(H1613,'Fund Utilization Report'!$A$4:$U$1800,15,FALSE)</f>
        <v>OTOP - Next Generation</v>
      </c>
      <c r="AC1613" s="39"/>
      <c r="AD1613" s="34"/>
      <c r="AE1613" s="39"/>
      <c r="AF1613" s="51"/>
      <c r="AG1613" s="442"/>
      <c r="AH1613" s="442"/>
      <c r="AI1613" s="443"/>
    </row>
    <row r="1614" spans="1:35" s="32" customFormat="1">
      <c r="A1614" s="434" t="s">
        <v>942</v>
      </c>
      <c r="B1614" s="457" t="s">
        <v>946</v>
      </c>
      <c r="C1614" s="233">
        <v>44284</v>
      </c>
      <c r="D1614" s="435" t="s">
        <v>1267</v>
      </c>
      <c r="E1614" s="436" t="s">
        <v>1607</v>
      </c>
      <c r="F1614" s="338">
        <v>0.60972222222222217</v>
      </c>
      <c r="G1614" s="338">
        <v>0.6118055555555556</v>
      </c>
      <c r="H1614" s="338" t="s">
        <v>982</v>
      </c>
      <c r="I1614" s="353">
        <v>783</v>
      </c>
      <c r="J1614" s="338" t="str">
        <f>IFERROR(VLOOKUP(I1614,'Chart of accounts'!A:H,2,FALSE),"")</f>
        <v>50299030 00</v>
      </c>
      <c r="K1614" s="338" t="str">
        <f>IFERROR(VLOOKUP(I1614,'Chart of accounts'!A:H,3,FALSE),"")</f>
        <v>Representation Expenses</v>
      </c>
      <c r="L1614" s="338" t="str">
        <f>IFERROR(VLOOKUP(I1614,'Chart of accounts'!A:H,4,FALSE),"")</f>
        <v>50299030 00 - Representation Expenses (783)</v>
      </c>
      <c r="M1614" s="361" t="s">
        <v>905</v>
      </c>
      <c r="N1614" s="355" t="s">
        <v>1540</v>
      </c>
      <c r="O1614" s="355" t="s">
        <v>1605</v>
      </c>
      <c r="P1614" s="355"/>
      <c r="Q1614" s="363">
        <v>25000</v>
      </c>
      <c r="R1614" s="428">
        <f t="shared" si="68"/>
        <v>-25000</v>
      </c>
      <c r="S1614" s="428" t="str">
        <f>VLOOKUP(H1614,'Fund Utilization Report'!$A$4:$U$1800,13,FALSE)</f>
        <v>MOOE</v>
      </c>
      <c r="T1614" s="428" t="str">
        <f>VLOOKUP(H1614,'Fund Utilization Report'!$A$4:$U$1800,2,FALSE)</f>
        <v>GAA</v>
      </c>
      <c r="U1614" s="428" t="str">
        <f>VLOOKUP(H1614,'Fund Utilization Report'!$A$4:$U$1800,3,FALSE)</f>
        <v>FY2021, RA11518</v>
      </c>
      <c r="V1614" s="428" t="str">
        <f>VLOOKUP(H1614,'Fund Utilization Report'!$A$4:$U$1800,4,FALSE)</f>
        <v>OTOP</v>
      </c>
      <c r="W1614" s="428" t="str">
        <f>VLOOKUP(H1614,'Fund Utilization Report'!$A$4:$U$1800,5,FALSE)</f>
        <v>01101101</v>
      </c>
      <c r="X1614" s="428" t="str">
        <f>VLOOKUP(H1614,'Fund Utilization Report'!$A$4:$U$1800,6,FALSE)</f>
        <v>GOP</v>
      </c>
      <c r="Y1614" s="320" t="str">
        <f>VLOOKUP(H1614,'Fund Utilization Report'!$A$4:$U$1800,7,FALSE)</f>
        <v>MOOE</v>
      </c>
      <c r="Z1614" s="425">
        <f>VLOOKUP(H1614,'Fund Utilization Report'!$A$4:$U$1800,8,FALSE)</f>
        <v>5020000000</v>
      </c>
      <c r="AA1614" s="428" t="str">
        <f>VLOOKUP(H1614,'Fund Utilization Report'!$A$4:$U$1800,14,FALSE)</f>
        <v>330100200002000</v>
      </c>
      <c r="AB1614" s="349" t="str">
        <f>VLOOKUP(H1614,'Fund Utilization Report'!$A$4:$U$1800,15,FALSE)</f>
        <v>OTOP - Next Generation</v>
      </c>
      <c r="AC1614" s="39"/>
      <c r="AD1614" s="34"/>
      <c r="AE1614" s="39"/>
      <c r="AF1614" s="51"/>
      <c r="AG1614" s="442"/>
      <c r="AH1614" s="442"/>
      <c r="AI1614" s="443"/>
    </row>
    <row r="1615" spans="1:35" s="32" customFormat="1">
      <c r="A1615" s="434" t="s">
        <v>942</v>
      </c>
      <c r="B1615" s="457" t="s">
        <v>946</v>
      </c>
      <c r="C1615" s="233">
        <v>44284</v>
      </c>
      <c r="D1615" s="435" t="s">
        <v>1267</v>
      </c>
      <c r="E1615" s="436" t="s">
        <v>1607</v>
      </c>
      <c r="F1615" s="338">
        <v>0.60972222222222217</v>
      </c>
      <c r="G1615" s="338">
        <v>0.6118055555555556</v>
      </c>
      <c r="H1615" s="338" t="s">
        <v>982</v>
      </c>
      <c r="I1615" s="353">
        <v>784</v>
      </c>
      <c r="J1615" s="338" t="str">
        <f>IFERROR(VLOOKUP(I1615,'Chart of accounts'!A:H,2,FALSE),"")</f>
        <v>50299040 00</v>
      </c>
      <c r="K1615" s="338" t="str">
        <f>IFERROR(VLOOKUP(I1615,'Chart of accounts'!A:H,3,FALSE),"")</f>
        <v>Transportation and Delivery Expenses</v>
      </c>
      <c r="L1615" s="338" t="str">
        <f>IFERROR(VLOOKUP(I1615,'Chart of accounts'!A:H,4,FALSE),"")</f>
        <v>50299040 00 - Transportation and Delivery Expenses (784)</v>
      </c>
      <c r="M1615" s="361" t="s">
        <v>905</v>
      </c>
      <c r="N1615" s="355" t="s">
        <v>1540</v>
      </c>
      <c r="O1615" s="355" t="s">
        <v>1605</v>
      </c>
      <c r="P1615" s="355"/>
      <c r="Q1615" s="363">
        <v>50000</v>
      </c>
      <c r="R1615" s="428">
        <f t="shared" si="68"/>
        <v>-50000</v>
      </c>
      <c r="S1615" s="428" t="str">
        <f>VLOOKUP(H1615,'Fund Utilization Report'!$A$4:$U$1800,13,FALSE)</f>
        <v>MOOE</v>
      </c>
      <c r="T1615" s="428" t="str">
        <f>VLOOKUP(H1615,'Fund Utilization Report'!$A$4:$U$1800,2,FALSE)</f>
        <v>GAA</v>
      </c>
      <c r="U1615" s="428" t="str">
        <f>VLOOKUP(H1615,'Fund Utilization Report'!$A$4:$U$1800,3,FALSE)</f>
        <v>FY2021, RA11518</v>
      </c>
      <c r="V1615" s="428" t="str">
        <f>VLOOKUP(H1615,'Fund Utilization Report'!$A$4:$U$1800,4,FALSE)</f>
        <v>OTOP</v>
      </c>
      <c r="W1615" s="428" t="str">
        <f>VLOOKUP(H1615,'Fund Utilization Report'!$A$4:$U$1800,5,FALSE)</f>
        <v>01101101</v>
      </c>
      <c r="X1615" s="428" t="str">
        <f>VLOOKUP(H1615,'Fund Utilization Report'!$A$4:$U$1800,6,FALSE)</f>
        <v>GOP</v>
      </c>
      <c r="Y1615" s="320" t="str">
        <f>VLOOKUP(H1615,'Fund Utilization Report'!$A$4:$U$1800,7,FALSE)</f>
        <v>MOOE</v>
      </c>
      <c r="Z1615" s="425">
        <f>VLOOKUP(H1615,'Fund Utilization Report'!$A$4:$U$1800,8,FALSE)</f>
        <v>5020000000</v>
      </c>
      <c r="AA1615" s="428" t="str">
        <f>VLOOKUP(H1615,'Fund Utilization Report'!$A$4:$U$1800,14,FALSE)</f>
        <v>330100200002000</v>
      </c>
      <c r="AB1615" s="349" t="str">
        <f>VLOOKUP(H1615,'Fund Utilization Report'!$A$4:$U$1800,15,FALSE)</f>
        <v>OTOP - Next Generation</v>
      </c>
      <c r="AC1615" s="39"/>
      <c r="AD1615" s="34"/>
      <c r="AE1615" s="39"/>
      <c r="AF1615" s="51"/>
      <c r="AG1615" s="442"/>
      <c r="AH1615" s="442"/>
      <c r="AI1615" s="443"/>
    </row>
    <row r="1616" spans="1:35" s="32" customFormat="1" ht="27" customHeight="1">
      <c r="A1616" s="434" t="s">
        <v>942</v>
      </c>
      <c r="B1616" s="457" t="s">
        <v>946</v>
      </c>
      <c r="C1616" s="233">
        <v>44284</v>
      </c>
      <c r="D1616" s="435" t="s">
        <v>1267</v>
      </c>
      <c r="E1616" s="436" t="s">
        <v>1608</v>
      </c>
      <c r="F1616" s="338">
        <v>0.6118055555555556</v>
      </c>
      <c r="G1616" s="338">
        <v>0.62430555555555556</v>
      </c>
      <c r="H1616" s="338" t="s">
        <v>980</v>
      </c>
      <c r="I1616" s="353">
        <v>751</v>
      </c>
      <c r="J1616" s="434" t="str">
        <f>IFERROR(VLOOKUP(I1616,'Chart of accounts'!A:H,2,FALSE),"")</f>
        <v>50201010 00</v>
      </c>
      <c r="K1616" s="338" t="str">
        <f>IFERROR(VLOOKUP(I1616,'Chart of accounts'!A:H,3,FALSE),"")</f>
        <v>Traveling Expenses - Local</v>
      </c>
      <c r="L1616" s="338" t="str">
        <f>IFERROR(VLOOKUP(I1616,'Chart of accounts'!A:H,4,FALSE),"")</f>
        <v>50201010 00 - Traveling Expenses - Local (751)</v>
      </c>
      <c r="M1616" s="361" t="s">
        <v>845</v>
      </c>
      <c r="N1616" s="355" t="s">
        <v>822</v>
      </c>
      <c r="O1616" s="355" t="s">
        <v>1602</v>
      </c>
      <c r="P1616" s="355"/>
      <c r="Q1616" s="363">
        <v>100000</v>
      </c>
      <c r="R1616" s="428">
        <f t="shared" si="68"/>
        <v>-100000</v>
      </c>
      <c r="S1616" s="428" t="str">
        <f>VLOOKUP(H1616,'Fund Utilization Report'!$A$4:$U$1800,13,FALSE)</f>
        <v>MOOE</v>
      </c>
      <c r="T1616" s="428" t="str">
        <f>VLOOKUP(H1616,'Fund Utilization Report'!$A$4:$U$1800,2,FALSE)</f>
        <v>GAA</v>
      </c>
      <c r="U1616" s="428" t="str">
        <f>VLOOKUP(H1616,'Fund Utilization Report'!$A$4:$U$1800,3,FALSE)</f>
        <v>FY2021, RA11518</v>
      </c>
      <c r="V1616" s="428" t="str">
        <f>VLOOKUP(H1616,'Fund Utilization Report'!$A$4:$U$1800,4,FALSE)</f>
        <v>NC</v>
      </c>
      <c r="W1616" s="428" t="str">
        <f>VLOOKUP(H1616,'Fund Utilization Report'!$A$4:$U$1800,5,FALSE)</f>
        <v>01101101</v>
      </c>
      <c r="X1616" s="428" t="str">
        <f>VLOOKUP(H1616,'Fund Utilization Report'!$A$4:$U$1800,6,FALSE)</f>
        <v>GOP</v>
      </c>
      <c r="Y1616" s="320" t="str">
        <f>VLOOKUP(H1616,'Fund Utilization Report'!$A$4:$U$1800,7,FALSE)</f>
        <v>MOOE</v>
      </c>
      <c r="Z1616" s="425">
        <f>VLOOKUP(H1616,'Fund Utilization Report'!$A$4:$U$1800,8,FALSE)</f>
        <v>5020000000</v>
      </c>
      <c r="AA1616" s="428" t="str">
        <f>VLOOKUP(H1616,'Fund Utilization Report'!$A$4:$U$1800,14,FALSE)</f>
        <v>330100200001000</v>
      </c>
      <c r="AB1616" s="349" t="str">
        <f>VLOOKUP(H1616,'Fund Utilization Report'!$A$4:$U$1800,15,FALSE)</f>
        <v>Establishment of Negosyo Centers</v>
      </c>
      <c r="AC1616" s="39"/>
      <c r="AD1616" s="34"/>
      <c r="AE1616" s="39"/>
      <c r="AF1616" s="51"/>
      <c r="AG1616" s="442"/>
      <c r="AH1616" s="442"/>
      <c r="AI1616" s="443"/>
    </row>
    <row r="1617" spans="1:35" s="32" customFormat="1" ht="34.5" customHeight="1">
      <c r="A1617" s="434" t="s">
        <v>942</v>
      </c>
      <c r="B1617" s="457" t="s">
        <v>946</v>
      </c>
      <c r="C1617" s="233">
        <v>44284</v>
      </c>
      <c r="D1617" s="435" t="s">
        <v>1267</v>
      </c>
      <c r="E1617" s="436" t="s">
        <v>1608</v>
      </c>
      <c r="F1617" s="338">
        <v>0.6118055555555556</v>
      </c>
      <c r="G1617" s="338">
        <v>0.62430555555555556</v>
      </c>
      <c r="H1617" s="338" t="s">
        <v>980</v>
      </c>
      <c r="I1617" s="353">
        <v>753</v>
      </c>
      <c r="J1617" s="338" t="str">
        <f>IFERROR(VLOOKUP(I1617,'Chart of accounts'!A:H,2,FALSE),"")</f>
        <v>50202010 00</v>
      </c>
      <c r="K1617" s="338" t="str">
        <f>IFERROR(VLOOKUP(I1617,'Chart of accounts'!A:H,3,FALSE),"")</f>
        <v>Training Expenses</v>
      </c>
      <c r="L1617" s="338" t="str">
        <f>IFERROR(VLOOKUP(I1617,'Chart of accounts'!A:H,4,FALSE),"")</f>
        <v>50202010 00 - Training Expenses (753)</v>
      </c>
      <c r="M1617" s="361" t="s">
        <v>845</v>
      </c>
      <c r="N1617" s="355" t="s">
        <v>822</v>
      </c>
      <c r="O1617" s="355" t="s">
        <v>1602</v>
      </c>
      <c r="P1617" s="355"/>
      <c r="Q1617" s="363">
        <v>200000</v>
      </c>
      <c r="R1617" s="428">
        <f t="shared" si="68"/>
        <v>-200000</v>
      </c>
      <c r="S1617" s="428" t="str">
        <f>VLOOKUP(H1617,'Fund Utilization Report'!$A$4:$U$1800,13,FALSE)</f>
        <v>MOOE</v>
      </c>
      <c r="T1617" s="428" t="str">
        <f>VLOOKUP(H1617,'Fund Utilization Report'!$A$4:$U$1800,2,FALSE)</f>
        <v>GAA</v>
      </c>
      <c r="U1617" s="428" t="str">
        <f>VLOOKUP(H1617,'Fund Utilization Report'!$A$4:$U$1800,3,FALSE)</f>
        <v>FY2021, RA11518</v>
      </c>
      <c r="V1617" s="428" t="str">
        <f>VLOOKUP(H1617,'Fund Utilization Report'!$A$4:$U$1800,4,FALSE)</f>
        <v>NC</v>
      </c>
      <c r="W1617" s="428" t="str">
        <f>VLOOKUP(H1617,'Fund Utilization Report'!$A$4:$U$1800,5,FALSE)</f>
        <v>01101101</v>
      </c>
      <c r="X1617" s="428" t="str">
        <f>VLOOKUP(H1617,'Fund Utilization Report'!$A$4:$U$1800,6,FALSE)</f>
        <v>GOP</v>
      </c>
      <c r="Y1617" s="320" t="str">
        <f>VLOOKUP(H1617,'Fund Utilization Report'!$A$4:$U$1800,7,FALSE)</f>
        <v>MOOE</v>
      </c>
      <c r="Z1617" s="425">
        <f>VLOOKUP(H1617,'Fund Utilization Report'!$A$4:$U$1800,8,FALSE)</f>
        <v>5020000000</v>
      </c>
      <c r="AA1617" s="428" t="str">
        <f>VLOOKUP(H1617,'Fund Utilization Report'!$A$4:$U$1800,14,FALSE)</f>
        <v>330100200001000</v>
      </c>
      <c r="AB1617" s="349" t="str">
        <f>VLOOKUP(H1617,'Fund Utilization Report'!$A$4:$U$1800,15,FALSE)</f>
        <v>Establishment of Negosyo Centers</v>
      </c>
      <c r="AC1617" s="39"/>
      <c r="AD1617" s="34"/>
      <c r="AE1617" s="39"/>
      <c r="AF1617" s="51"/>
      <c r="AG1617" s="442"/>
      <c r="AH1617" s="442"/>
      <c r="AI1617" s="443"/>
    </row>
    <row r="1618" spans="1:35" s="32" customFormat="1" ht="30" customHeight="1">
      <c r="A1618" s="434" t="s">
        <v>942</v>
      </c>
      <c r="B1618" s="457" t="s">
        <v>946</v>
      </c>
      <c r="C1618" s="233">
        <v>44284</v>
      </c>
      <c r="D1618" s="435" t="s">
        <v>1267</v>
      </c>
      <c r="E1618" s="436" t="s">
        <v>1608</v>
      </c>
      <c r="F1618" s="338">
        <v>0.6118055555555556</v>
      </c>
      <c r="G1618" s="338">
        <v>0.62430555555555556</v>
      </c>
      <c r="H1618" s="338" t="s">
        <v>980</v>
      </c>
      <c r="I1618" s="353">
        <v>783</v>
      </c>
      <c r="J1618" s="338" t="str">
        <f>IFERROR(VLOOKUP(I1618,'Chart of accounts'!A:H,2,FALSE),"")</f>
        <v>50299030 00</v>
      </c>
      <c r="K1618" s="338" t="str">
        <f>IFERROR(VLOOKUP(I1618,'Chart of accounts'!A:H,3,FALSE),"")</f>
        <v>Representation Expenses</v>
      </c>
      <c r="L1618" s="338" t="str">
        <f>IFERROR(VLOOKUP(I1618,'Chart of accounts'!A:H,4,FALSE),"")</f>
        <v>50299030 00 - Representation Expenses (783)</v>
      </c>
      <c r="M1618" s="361" t="s">
        <v>845</v>
      </c>
      <c r="N1618" s="355" t="s">
        <v>822</v>
      </c>
      <c r="O1618" s="355" t="s">
        <v>1602</v>
      </c>
      <c r="P1618" s="355"/>
      <c r="Q1618" s="363">
        <v>50000</v>
      </c>
      <c r="R1618" s="428">
        <f t="shared" si="68"/>
        <v>-50000</v>
      </c>
      <c r="S1618" s="428" t="str">
        <f>VLOOKUP(H1618,'Fund Utilization Report'!$A$4:$U$1800,13,FALSE)</f>
        <v>MOOE</v>
      </c>
      <c r="T1618" s="428" t="str">
        <f>VLOOKUP(H1618,'Fund Utilization Report'!$A$4:$U$1800,2,FALSE)</f>
        <v>GAA</v>
      </c>
      <c r="U1618" s="428" t="str">
        <f>VLOOKUP(H1618,'Fund Utilization Report'!$A$4:$U$1800,3,FALSE)</f>
        <v>FY2021, RA11518</v>
      </c>
      <c r="V1618" s="428" t="str">
        <f>VLOOKUP(H1618,'Fund Utilization Report'!$A$4:$U$1800,4,FALSE)</f>
        <v>NC</v>
      </c>
      <c r="W1618" s="428" t="str">
        <f>VLOOKUP(H1618,'Fund Utilization Report'!$A$4:$U$1800,5,FALSE)</f>
        <v>01101101</v>
      </c>
      <c r="X1618" s="428" t="str">
        <f>VLOOKUP(H1618,'Fund Utilization Report'!$A$4:$U$1800,6,FALSE)</f>
        <v>GOP</v>
      </c>
      <c r="Y1618" s="320" t="str">
        <f>VLOOKUP(H1618,'Fund Utilization Report'!$A$4:$U$1800,7,FALSE)</f>
        <v>MOOE</v>
      </c>
      <c r="Z1618" s="425">
        <f>VLOOKUP(H1618,'Fund Utilization Report'!$A$4:$U$1800,8,FALSE)</f>
        <v>5020000000</v>
      </c>
      <c r="AA1618" s="428" t="str">
        <f>VLOOKUP(H1618,'Fund Utilization Report'!$A$4:$U$1800,14,FALSE)</f>
        <v>330100200001000</v>
      </c>
      <c r="AB1618" s="349" t="str">
        <f>VLOOKUP(H1618,'Fund Utilization Report'!$A$4:$U$1800,15,FALSE)</f>
        <v>Establishment of Negosyo Centers</v>
      </c>
      <c r="AC1618" s="39"/>
      <c r="AD1618" s="34"/>
      <c r="AE1618" s="39"/>
      <c r="AF1618" s="51"/>
      <c r="AG1618" s="442"/>
      <c r="AH1618" s="442"/>
      <c r="AI1618" s="443"/>
    </row>
    <row r="1619" spans="1:35" s="32" customFormat="1" ht="40.5" customHeight="1">
      <c r="A1619" s="434" t="s">
        <v>942</v>
      </c>
      <c r="B1619" s="457" t="s">
        <v>946</v>
      </c>
      <c r="C1619" s="233">
        <v>44284</v>
      </c>
      <c r="D1619" s="435" t="s">
        <v>1267</v>
      </c>
      <c r="E1619" s="436" t="s">
        <v>1608</v>
      </c>
      <c r="F1619" s="338">
        <v>0.6118055555555556</v>
      </c>
      <c r="G1619" s="338">
        <v>0.62430555555555556</v>
      </c>
      <c r="H1619" s="338" t="s">
        <v>980</v>
      </c>
      <c r="I1619" s="353">
        <v>799</v>
      </c>
      <c r="J1619" s="338" t="str">
        <f>IFERROR(VLOOKUP(I1619,'Chart of accounts'!A:H,2,FALSE),"")</f>
        <v>50211990 00</v>
      </c>
      <c r="K1619" s="338" t="str">
        <f>IFERROR(VLOOKUP(I1619,'Chart of accounts'!A:H,3,FALSE),"")</f>
        <v>Other Professional Services</v>
      </c>
      <c r="L1619" s="338" t="str">
        <f>IFERROR(VLOOKUP(I1619,'Chart of accounts'!A:H,4,FALSE),"")</f>
        <v>50211990 00 - Other Professional Services (799)</v>
      </c>
      <c r="M1619" s="361" t="s">
        <v>845</v>
      </c>
      <c r="N1619" s="355" t="s">
        <v>822</v>
      </c>
      <c r="O1619" s="355" t="s">
        <v>1602</v>
      </c>
      <c r="P1619" s="355"/>
      <c r="Q1619" s="363">
        <v>360350</v>
      </c>
      <c r="R1619" s="428">
        <f t="shared" si="68"/>
        <v>-360350</v>
      </c>
      <c r="S1619" s="428" t="str">
        <f>VLOOKUP(H1619,'Fund Utilization Report'!$A$4:$U$1800,13,FALSE)</f>
        <v>MOOE</v>
      </c>
      <c r="T1619" s="428" t="str">
        <f>VLOOKUP(H1619,'Fund Utilization Report'!$A$4:$U$1800,2,FALSE)</f>
        <v>GAA</v>
      </c>
      <c r="U1619" s="428" t="str">
        <f>VLOOKUP(H1619,'Fund Utilization Report'!$A$4:$U$1800,3,FALSE)</f>
        <v>FY2021, RA11518</v>
      </c>
      <c r="V1619" s="428" t="str">
        <f>VLOOKUP(H1619,'Fund Utilization Report'!$A$4:$U$1800,4,FALSE)</f>
        <v>NC</v>
      </c>
      <c r="W1619" s="428" t="str">
        <f>VLOOKUP(H1619,'Fund Utilization Report'!$A$4:$U$1800,5,FALSE)</f>
        <v>01101101</v>
      </c>
      <c r="X1619" s="428" t="str">
        <f>VLOOKUP(H1619,'Fund Utilization Report'!$A$4:$U$1800,6,FALSE)</f>
        <v>GOP</v>
      </c>
      <c r="Y1619" s="320" t="str">
        <f>VLOOKUP(H1619,'Fund Utilization Report'!$A$4:$U$1800,7,FALSE)</f>
        <v>MOOE</v>
      </c>
      <c r="Z1619" s="425">
        <f>VLOOKUP(H1619,'Fund Utilization Report'!$A$4:$U$1800,8,FALSE)</f>
        <v>5020000000</v>
      </c>
      <c r="AA1619" s="428" t="str">
        <f>VLOOKUP(H1619,'Fund Utilization Report'!$A$4:$U$1800,14,FALSE)</f>
        <v>330100200001000</v>
      </c>
      <c r="AB1619" s="349" t="str">
        <f>VLOOKUP(H1619,'Fund Utilization Report'!$A$4:$U$1800,15,FALSE)</f>
        <v>Establishment of Negosyo Centers</v>
      </c>
      <c r="AC1619" s="39"/>
      <c r="AD1619" s="34"/>
      <c r="AE1619" s="39"/>
      <c r="AF1619" s="51"/>
      <c r="AG1619" s="442"/>
      <c r="AH1619" s="442"/>
      <c r="AI1619" s="443"/>
    </row>
    <row r="1620" spans="1:35" s="32" customFormat="1" ht="38.25" customHeight="1">
      <c r="A1620" s="434" t="s">
        <v>942</v>
      </c>
      <c r="B1620" s="457" t="s">
        <v>946</v>
      </c>
      <c r="C1620" s="233">
        <v>44284</v>
      </c>
      <c r="D1620" s="435" t="s">
        <v>1267</v>
      </c>
      <c r="E1620" s="436" t="s">
        <v>1608</v>
      </c>
      <c r="F1620" s="338">
        <v>0.6118055555555556</v>
      </c>
      <c r="G1620" s="338">
        <v>0.62430555555555556</v>
      </c>
      <c r="H1620" s="338" t="s">
        <v>980</v>
      </c>
      <c r="I1620" s="353">
        <v>782</v>
      </c>
      <c r="J1620" s="338" t="str">
        <f>IFERROR(VLOOKUP(I1620,'Chart of accounts'!A:H,2,FALSE),"")</f>
        <v>50299050 01</v>
      </c>
      <c r="K1620" s="338" t="str">
        <f>IFERROR(VLOOKUP(I1620,'Chart of accounts'!A:H,3,FALSE),"")</f>
        <v>Rent - Buildings and Structures</v>
      </c>
      <c r="L1620" s="338" t="str">
        <f>IFERROR(VLOOKUP(I1620,'Chart of accounts'!A:H,4,FALSE),"")</f>
        <v>50299050 01 - Rent - Buildings and Structures (782)</v>
      </c>
      <c r="M1620" s="361" t="s">
        <v>845</v>
      </c>
      <c r="N1620" s="355" t="s">
        <v>822</v>
      </c>
      <c r="O1620" s="355" t="s">
        <v>1602</v>
      </c>
      <c r="P1620" s="355"/>
      <c r="Q1620" s="363">
        <v>50000</v>
      </c>
      <c r="R1620" s="428">
        <f t="shared" si="68"/>
        <v>-50000</v>
      </c>
      <c r="S1620" s="428" t="str">
        <f>VLOOKUP(H1620,'Fund Utilization Report'!$A$4:$U$1800,13,FALSE)</f>
        <v>MOOE</v>
      </c>
      <c r="T1620" s="428" t="str">
        <f>VLOOKUP(H1620,'Fund Utilization Report'!$A$4:$U$1800,2,FALSE)</f>
        <v>GAA</v>
      </c>
      <c r="U1620" s="428" t="str">
        <f>VLOOKUP(H1620,'Fund Utilization Report'!$A$4:$U$1800,3,FALSE)</f>
        <v>FY2021, RA11518</v>
      </c>
      <c r="V1620" s="428" t="str">
        <f>VLOOKUP(H1620,'Fund Utilization Report'!$A$4:$U$1800,4,FALSE)</f>
        <v>NC</v>
      </c>
      <c r="W1620" s="428" t="str">
        <f>VLOOKUP(H1620,'Fund Utilization Report'!$A$4:$U$1800,5,FALSE)</f>
        <v>01101101</v>
      </c>
      <c r="X1620" s="428" t="str">
        <f>VLOOKUP(H1620,'Fund Utilization Report'!$A$4:$U$1800,6,FALSE)</f>
        <v>GOP</v>
      </c>
      <c r="Y1620" s="320" t="str">
        <f>VLOOKUP(H1620,'Fund Utilization Report'!$A$4:$U$1800,7,FALSE)</f>
        <v>MOOE</v>
      </c>
      <c r="Z1620" s="425">
        <f>VLOOKUP(H1620,'Fund Utilization Report'!$A$4:$U$1800,8,FALSE)</f>
        <v>5020000000</v>
      </c>
      <c r="AA1620" s="428" t="str">
        <f>VLOOKUP(H1620,'Fund Utilization Report'!$A$4:$U$1800,14,FALSE)</f>
        <v>330100200001000</v>
      </c>
      <c r="AB1620" s="349" t="str">
        <f>VLOOKUP(H1620,'Fund Utilization Report'!$A$4:$U$1800,15,FALSE)</f>
        <v>Establishment of Negosyo Centers</v>
      </c>
      <c r="AC1620" s="39"/>
      <c r="AD1620" s="34"/>
      <c r="AE1620" s="39"/>
      <c r="AF1620" s="51"/>
      <c r="AG1620" s="442"/>
      <c r="AH1620" s="442"/>
      <c r="AI1620" s="443"/>
    </row>
    <row r="1621" spans="1:35" s="32" customFormat="1" ht="27" customHeight="1">
      <c r="A1621" s="434" t="s">
        <v>942</v>
      </c>
      <c r="B1621" s="457" t="s">
        <v>946</v>
      </c>
      <c r="C1621" s="233">
        <v>44284</v>
      </c>
      <c r="D1621" s="435" t="s">
        <v>1267</v>
      </c>
      <c r="E1621" s="436" t="s">
        <v>1609</v>
      </c>
      <c r="F1621" s="338">
        <v>0.62430555555555556</v>
      </c>
      <c r="G1621" s="338">
        <v>0.63055555555555554</v>
      </c>
      <c r="H1621" s="338" t="s">
        <v>968</v>
      </c>
      <c r="I1621" s="353">
        <v>751</v>
      </c>
      <c r="J1621" s="338" t="str">
        <f>IFERROR(VLOOKUP(I1621,'Chart of accounts'!A:H,2,FALSE),"")</f>
        <v>50201010 00</v>
      </c>
      <c r="K1621" s="338" t="str">
        <f>IFERROR(VLOOKUP(I1621,'Chart of accounts'!A:H,3,FALSE),"")</f>
        <v>Traveling Expenses - Local</v>
      </c>
      <c r="L1621" s="338" t="str">
        <f>IFERROR(VLOOKUP(I1621,'Chart of accounts'!A:H,4,FALSE),"")</f>
        <v>50201010 00 - Traveling Expenses - Local (751)</v>
      </c>
      <c r="M1621" s="360" t="s">
        <v>1613</v>
      </c>
      <c r="N1621" s="355" t="s">
        <v>818</v>
      </c>
      <c r="O1621" s="355" t="s">
        <v>1610</v>
      </c>
      <c r="P1621" s="355"/>
      <c r="Q1621" s="355">
        <v>30000</v>
      </c>
      <c r="R1621" s="428">
        <f t="shared" si="68"/>
        <v>-30000</v>
      </c>
      <c r="S1621" s="428" t="str">
        <f>VLOOKUP(H1621,'Fund Utilization Report'!$A$4:$U$1800,13,FALSE)</f>
        <v>MOOE</v>
      </c>
      <c r="T1621" s="428" t="str">
        <f>VLOOKUP(H1621,'Fund Utilization Report'!$A$4:$U$1800,2,FALSE)</f>
        <v>GAA</v>
      </c>
      <c r="U1621" s="428" t="str">
        <f>VLOOKUP(H1621,'Fund Utilization Report'!$A$4:$U$1800,3,FALSE)</f>
        <v>FY2021, RA11518</v>
      </c>
      <c r="V1621" s="428" t="str">
        <f>VLOOKUP(H1621,'Fund Utilization Report'!$A$4:$U$1800,4,FALSE)</f>
        <v>OO2</v>
      </c>
      <c r="W1621" s="428" t="str">
        <f>VLOOKUP(H1621,'Fund Utilization Report'!$A$4:$U$1800,5,FALSE)</f>
        <v>01101101</v>
      </c>
      <c r="X1621" s="428" t="str">
        <f>VLOOKUP(H1621,'Fund Utilization Report'!$A$4:$U$1800,6,FALSE)</f>
        <v>GOP</v>
      </c>
      <c r="Y1621" s="320" t="str">
        <f>VLOOKUP(H1621,'Fund Utilization Report'!$A$4:$U$1800,7,FALSE)</f>
        <v>MOOE</v>
      </c>
      <c r="Z1621" s="425">
        <f>VLOOKUP(H1621,'Fund Utilization Report'!$A$4:$U$1800,8,FALSE)</f>
        <v>5020000000</v>
      </c>
      <c r="AA1621" s="428" t="str">
        <f>VLOOKUP(H1621,'Fund Utilization Report'!$A$4:$U$1800,14,FALSE)</f>
        <v>320100100001000</v>
      </c>
      <c r="AB1621" s="349" t="str">
        <f>VLOOKUP(H1621,'Fund Utilization Report'!$A$4:$U$1800,15,FALSE)</f>
        <v>Formulation of Strategic plans,programs, and policies to develop competitve industries</v>
      </c>
      <c r="AC1621" s="39"/>
      <c r="AD1621" s="34"/>
      <c r="AE1621" s="39"/>
      <c r="AF1621" s="51"/>
      <c r="AG1621" s="442"/>
      <c r="AH1621" s="442"/>
      <c r="AI1621" s="443"/>
    </row>
    <row r="1622" spans="1:35" s="32" customFormat="1" ht="27" customHeight="1">
      <c r="A1622" s="434" t="s">
        <v>942</v>
      </c>
      <c r="B1622" s="457" t="s">
        <v>946</v>
      </c>
      <c r="C1622" s="233">
        <v>44284</v>
      </c>
      <c r="D1622" s="435" t="s">
        <v>1267</v>
      </c>
      <c r="E1622" s="436" t="s">
        <v>1609</v>
      </c>
      <c r="F1622" s="338">
        <v>0.62430555555555556</v>
      </c>
      <c r="G1622" s="338">
        <v>0.63055555555555554</v>
      </c>
      <c r="H1622" s="338" t="s">
        <v>968</v>
      </c>
      <c r="I1622" s="353">
        <v>753</v>
      </c>
      <c r="J1622" s="338" t="str">
        <f>IFERROR(VLOOKUP(I1622,'Chart of accounts'!A:H,2,FALSE),"")</f>
        <v>50202010 00</v>
      </c>
      <c r="K1622" s="338" t="str">
        <f>IFERROR(VLOOKUP(I1622,'Chart of accounts'!A:H,3,FALSE),"")</f>
        <v>Training Expenses</v>
      </c>
      <c r="L1622" s="338" t="str">
        <f>IFERROR(VLOOKUP(I1622,'Chart of accounts'!A:H,4,FALSE),"")</f>
        <v>50202010 00 - Training Expenses (753)</v>
      </c>
      <c r="M1622" s="360" t="s">
        <v>1613</v>
      </c>
      <c r="N1622" s="355" t="s">
        <v>818</v>
      </c>
      <c r="O1622" s="355" t="s">
        <v>1610</v>
      </c>
      <c r="P1622" s="355"/>
      <c r="Q1622" s="355">
        <v>50000</v>
      </c>
      <c r="R1622" s="428">
        <f t="shared" si="68"/>
        <v>-50000</v>
      </c>
      <c r="S1622" s="428" t="str">
        <f>VLOOKUP(H1622,'Fund Utilization Report'!$A$4:$U$1800,13,FALSE)</f>
        <v>MOOE</v>
      </c>
      <c r="T1622" s="428" t="str">
        <f>VLOOKUP(H1622,'Fund Utilization Report'!$A$4:$U$1800,2,FALSE)</f>
        <v>GAA</v>
      </c>
      <c r="U1622" s="428" t="str">
        <f>VLOOKUP(H1622,'Fund Utilization Report'!$A$4:$U$1800,3,FALSE)</f>
        <v>FY2021, RA11518</v>
      </c>
      <c r="V1622" s="428" t="str">
        <f>VLOOKUP(H1622,'Fund Utilization Report'!$A$4:$U$1800,4,FALSE)</f>
        <v>OO2</v>
      </c>
      <c r="W1622" s="428" t="str">
        <f>VLOOKUP(H1622,'Fund Utilization Report'!$A$4:$U$1800,5,FALSE)</f>
        <v>01101101</v>
      </c>
      <c r="X1622" s="428" t="str">
        <f>VLOOKUP(H1622,'Fund Utilization Report'!$A$4:$U$1800,6,FALSE)</f>
        <v>GOP</v>
      </c>
      <c r="Y1622" s="320" t="str">
        <f>VLOOKUP(H1622,'Fund Utilization Report'!$A$4:$U$1800,7,FALSE)</f>
        <v>MOOE</v>
      </c>
      <c r="Z1622" s="425">
        <f>VLOOKUP(H1622,'Fund Utilization Report'!$A$4:$U$1800,8,FALSE)</f>
        <v>5020000000</v>
      </c>
      <c r="AA1622" s="428" t="str">
        <f>VLOOKUP(H1622,'Fund Utilization Report'!$A$4:$U$1800,14,FALSE)</f>
        <v>320100100001000</v>
      </c>
      <c r="AB1622" s="349" t="str">
        <f>VLOOKUP(H1622,'Fund Utilization Report'!$A$4:$U$1800,15,FALSE)</f>
        <v>Formulation of Strategic plans,programs, and policies to develop competitve industries</v>
      </c>
      <c r="AC1622" s="39"/>
      <c r="AD1622" s="34"/>
      <c r="AE1622" s="39"/>
      <c r="AF1622" s="51"/>
      <c r="AG1622" s="442"/>
      <c r="AH1622" s="442"/>
      <c r="AI1622" s="443"/>
    </row>
    <row r="1623" spans="1:35" s="32" customFormat="1" ht="27" customHeight="1">
      <c r="A1623" s="434" t="s">
        <v>942</v>
      </c>
      <c r="B1623" s="457" t="s">
        <v>946</v>
      </c>
      <c r="C1623" s="233">
        <v>44284</v>
      </c>
      <c r="D1623" s="435" t="s">
        <v>1267</v>
      </c>
      <c r="E1623" s="436" t="s">
        <v>1609</v>
      </c>
      <c r="F1623" s="338">
        <v>0.62430555555555556</v>
      </c>
      <c r="G1623" s="338">
        <v>0.63055555555555554</v>
      </c>
      <c r="H1623" s="338" t="s">
        <v>968</v>
      </c>
      <c r="I1623" s="353">
        <v>755</v>
      </c>
      <c r="J1623" s="338" t="str">
        <f>IFERROR(VLOOKUP(I1623,'Chart of accounts'!A:H,2,FALSE),"")</f>
        <v>50203010 00</v>
      </c>
      <c r="K1623" s="338" t="str">
        <f>IFERROR(VLOOKUP(I1623,'Chart of accounts'!A:H,3,FALSE),"")</f>
        <v>Office Supplies Expenses</v>
      </c>
      <c r="L1623" s="338" t="str">
        <f>IFERROR(VLOOKUP(I1623,'Chart of accounts'!A:H,4,FALSE),"")</f>
        <v>50203010 00 - Office Supplies Expenses (755)</v>
      </c>
      <c r="M1623" s="360" t="s">
        <v>1613</v>
      </c>
      <c r="N1623" s="355" t="s">
        <v>818</v>
      </c>
      <c r="O1623" s="355" t="s">
        <v>1610</v>
      </c>
      <c r="P1623" s="355"/>
      <c r="Q1623" s="355">
        <v>10000</v>
      </c>
      <c r="R1623" s="428">
        <f t="shared" ref="R1623:R1633" si="69">P1623-Q1623</f>
        <v>-10000</v>
      </c>
      <c r="S1623" s="428" t="str">
        <f>VLOOKUP(H1623,'Fund Utilization Report'!$A$4:$U$1800,13,FALSE)</f>
        <v>MOOE</v>
      </c>
      <c r="T1623" s="428" t="str">
        <f>VLOOKUP(H1623,'Fund Utilization Report'!$A$4:$U$1800,2,FALSE)</f>
        <v>GAA</v>
      </c>
      <c r="U1623" s="428" t="str">
        <f>VLOOKUP(H1623,'Fund Utilization Report'!$A$4:$U$1800,3,FALSE)</f>
        <v>FY2021, RA11518</v>
      </c>
      <c r="V1623" s="428" t="str">
        <f>VLOOKUP(H1623,'Fund Utilization Report'!$A$4:$U$1800,4,FALSE)</f>
        <v>OO2</v>
      </c>
      <c r="W1623" s="428" t="str">
        <f>VLOOKUP(H1623,'Fund Utilization Report'!$A$4:$U$1800,5,FALSE)</f>
        <v>01101101</v>
      </c>
      <c r="X1623" s="428" t="str">
        <f>VLOOKUP(H1623,'Fund Utilization Report'!$A$4:$U$1800,6,FALSE)</f>
        <v>GOP</v>
      </c>
      <c r="Y1623" s="320" t="str">
        <f>VLOOKUP(H1623,'Fund Utilization Report'!$A$4:$U$1800,7,FALSE)</f>
        <v>MOOE</v>
      </c>
      <c r="Z1623" s="425">
        <f>VLOOKUP(H1623,'Fund Utilization Report'!$A$4:$U$1800,8,FALSE)</f>
        <v>5020000000</v>
      </c>
      <c r="AA1623" s="428" t="str">
        <f>VLOOKUP(H1623,'Fund Utilization Report'!$A$4:$U$1800,14,FALSE)</f>
        <v>320100100001000</v>
      </c>
      <c r="AB1623" s="349" t="str">
        <f>VLOOKUP(H1623,'Fund Utilization Report'!$A$4:$U$1800,15,FALSE)</f>
        <v>Formulation of Strategic plans,programs, and policies to develop competitve industries</v>
      </c>
      <c r="AC1623" s="39"/>
      <c r="AD1623" s="34"/>
      <c r="AE1623" s="39"/>
      <c r="AF1623" s="51"/>
      <c r="AG1623" s="442"/>
      <c r="AH1623" s="442"/>
      <c r="AI1623" s="443"/>
    </row>
    <row r="1624" spans="1:35" s="32" customFormat="1" ht="27" customHeight="1">
      <c r="A1624" s="434" t="s">
        <v>942</v>
      </c>
      <c r="B1624" s="457" t="s">
        <v>946</v>
      </c>
      <c r="C1624" s="233">
        <v>44284</v>
      </c>
      <c r="D1624" s="435" t="s">
        <v>1267</v>
      </c>
      <c r="E1624" s="436" t="s">
        <v>1609</v>
      </c>
      <c r="F1624" s="338">
        <v>0.62430555555555556</v>
      </c>
      <c r="G1624" s="338">
        <v>0.63055555555555554</v>
      </c>
      <c r="H1624" s="338" t="s">
        <v>968</v>
      </c>
      <c r="I1624" s="353">
        <v>783</v>
      </c>
      <c r="J1624" s="338" t="str">
        <f>IFERROR(VLOOKUP(I1624,'Chart of accounts'!A:H,2,FALSE),"")</f>
        <v>50299030 00</v>
      </c>
      <c r="K1624" s="338" t="str">
        <f>IFERROR(VLOOKUP(I1624,'Chart of accounts'!A:H,3,FALSE),"")</f>
        <v>Representation Expenses</v>
      </c>
      <c r="L1624" s="338" t="str">
        <f>IFERROR(VLOOKUP(I1624,'Chart of accounts'!A:H,4,FALSE),"")</f>
        <v>50299030 00 - Representation Expenses (783)</v>
      </c>
      <c r="M1624" s="360" t="s">
        <v>1613</v>
      </c>
      <c r="N1624" s="355" t="s">
        <v>818</v>
      </c>
      <c r="O1624" s="355" t="s">
        <v>1610</v>
      </c>
      <c r="P1624" s="355"/>
      <c r="Q1624" s="355">
        <f>69200+35200</f>
        <v>104400</v>
      </c>
      <c r="R1624" s="428">
        <f t="shared" si="69"/>
        <v>-104400</v>
      </c>
      <c r="S1624" s="428" t="str">
        <f>VLOOKUP(H1624,'Fund Utilization Report'!$A$4:$U$1800,13,FALSE)</f>
        <v>MOOE</v>
      </c>
      <c r="T1624" s="428" t="str">
        <f>VLOOKUP(H1624,'Fund Utilization Report'!$A$4:$U$1800,2,FALSE)</f>
        <v>GAA</v>
      </c>
      <c r="U1624" s="428" t="str">
        <f>VLOOKUP(H1624,'Fund Utilization Report'!$A$4:$U$1800,3,FALSE)</f>
        <v>FY2021, RA11518</v>
      </c>
      <c r="V1624" s="428" t="str">
        <f>VLOOKUP(H1624,'Fund Utilization Report'!$A$4:$U$1800,4,FALSE)</f>
        <v>OO2</v>
      </c>
      <c r="W1624" s="428" t="str">
        <f>VLOOKUP(H1624,'Fund Utilization Report'!$A$4:$U$1800,5,FALSE)</f>
        <v>01101101</v>
      </c>
      <c r="X1624" s="428" t="str">
        <f>VLOOKUP(H1624,'Fund Utilization Report'!$A$4:$U$1800,6,FALSE)</f>
        <v>GOP</v>
      </c>
      <c r="Y1624" s="320" t="str">
        <f>VLOOKUP(H1624,'Fund Utilization Report'!$A$4:$U$1800,7,FALSE)</f>
        <v>MOOE</v>
      </c>
      <c r="Z1624" s="425">
        <f>VLOOKUP(H1624,'Fund Utilization Report'!$A$4:$U$1800,8,FALSE)</f>
        <v>5020000000</v>
      </c>
      <c r="AA1624" s="428" t="str">
        <f>VLOOKUP(H1624,'Fund Utilization Report'!$A$4:$U$1800,14,FALSE)</f>
        <v>320100100001000</v>
      </c>
      <c r="AB1624" s="349" t="str">
        <f>VLOOKUP(H1624,'Fund Utilization Report'!$A$4:$U$1800,15,FALSE)</f>
        <v>Formulation of Strategic plans,programs, and policies to develop competitve industries</v>
      </c>
      <c r="AC1624" s="39"/>
      <c r="AD1624" s="34"/>
      <c r="AE1624" s="39"/>
      <c r="AF1624" s="51"/>
      <c r="AG1624" s="442"/>
      <c r="AH1624" s="442"/>
      <c r="AI1624" s="443"/>
    </row>
    <row r="1625" spans="1:35" s="32" customFormat="1" ht="27" customHeight="1">
      <c r="A1625" s="434" t="s">
        <v>942</v>
      </c>
      <c r="B1625" s="457" t="s">
        <v>946</v>
      </c>
      <c r="C1625" s="233">
        <v>44284</v>
      </c>
      <c r="D1625" s="435" t="s">
        <v>1267</v>
      </c>
      <c r="E1625" s="436" t="s">
        <v>1611</v>
      </c>
      <c r="F1625" s="338">
        <v>0.63055555555555554</v>
      </c>
      <c r="G1625" s="338">
        <v>0.63402777777777775</v>
      </c>
      <c r="H1625" s="338" t="s">
        <v>968</v>
      </c>
      <c r="I1625" s="353">
        <v>751</v>
      </c>
      <c r="J1625" s="338" t="str">
        <f>IFERROR(VLOOKUP(I1625,'Chart of accounts'!A:H,2,FALSE),"")</f>
        <v>50201010 00</v>
      </c>
      <c r="K1625" s="338" t="str">
        <f>IFERROR(VLOOKUP(I1625,'Chart of accounts'!A:H,3,FALSE),"")</f>
        <v>Traveling Expenses - Local</v>
      </c>
      <c r="L1625" s="338" t="str">
        <f>IFERROR(VLOOKUP(I1625,'Chart of accounts'!A:H,4,FALSE),"")</f>
        <v>50201010 00 - Traveling Expenses - Local (751)</v>
      </c>
      <c r="M1625" s="360" t="s">
        <v>1613</v>
      </c>
      <c r="N1625" s="355" t="s">
        <v>1539</v>
      </c>
      <c r="O1625" s="355" t="s">
        <v>1610</v>
      </c>
      <c r="P1625" s="355"/>
      <c r="Q1625" s="355">
        <v>30000</v>
      </c>
      <c r="R1625" s="428">
        <f t="shared" si="69"/>
        <v>-30000</v>
      </c>
      <c r="S1625" s="428" t="str">
        <f>VLOOKUP(H1625,'Fund Utilization Report'!$A$4:$U$1800,13,FALSE)</f>
        <v>MOOE</v>
      </c>
      <c r="T1625" s="428" t="str">
        <f>VLOOKUP(H1625,'Fund Utilization Report'!$A$4:$U$1800,2,FALSE)</f>
        <v>GAA</v>
      </c>
      <c r="U1625" s="428" t="str">
        <f>VLOOKUP(H1625,'Fund Utilization Report'!$A$4:$U$1800,3,FALSE)</f>
        <v>FY2021, RA11518</v>
      </c>
      <c r="V1625" s="428" t="str">
        <f>VLOOKUP(H1625,'Fund Utilization Report'!$A$4:$U$1800,4,FALSE)</f>
        <v>OO2</v>
      </c>
      <c r="W1625" s="428" t="str">
        <f>VLOOKUP(H1625,'Fund Utilization Report'!$A$4:$U$1800,5,FALSE)</f>
        <v>01101101</v>
      </c>
      <c r="X1625" s="428" t="str">
        <f>VLOOKUP(H1625,'Fund Utilization Report'!$A$4:$U$1800,6,FALSE)</f>
        <v>GOP</v>
      </c>
      <c r="Y1625" s="320" t="str">
        <f>VLOOKUP(H1625,'Fund Utilization Report'!$A$4:$U$1800,7,FALSE)</f>
        <v>MOOE</v>
      </c>
      <c r="Z1625" s="425">
        <f>VLOOKUP(H1625,'Fund Utilization Report'!$A$4:$U$1800,8,FALSE)</f>
        <v>5020000000</v>
      </c>
      <c r="AA1625" s="428" t="str">
        <f>VLOOKUP(H1625,'Fund Utilization Report'!$A$4:$U$1800,14,FALSE)</f>
        <v>320100100001000</v>
      </c>
      <c r="AB1625" s="349" t="str">
        <f>VLOOKUP(H1625,'Fund Utilization Report'!$A$4:$U$1800,15,FALSE)</f>
        <v>Formulation of Strategic plans,programs, and policies to develop competitve industries</v>
      </c>
      <c r="AC1625" s="39"/>
      <c r="AD1625" s="34"/>
      <c r="AE1625" s="39"/>
      <c r="AF1625" s="51"/>
      <c r="AG1625" s="442"/>
      <c r="AH1625" s="442"/>
      <c r="AI1625" s="443"/>
    </row>
    <row r="1626" spans="1:35" s="32" customFormat="1" ht="27" customHeight="1">
      <c r="A1626" s="434" t="s">
        <v>942</v>
      </c>
      <c r="B1626" s="457" t="s">
        <v>946</v>
      </c>
      <c r="C1626" s="233">
        <v>44284</v>
      </c>
      <c r="D1626" s="435" t="s">
        <v>1267</v>
      </c>
      <c r="E1626" s="436" t="s">
        <v>1611</v>
      </c>
      <c r="F1626" s="338">
        <v>0.63055555555555554</v>
      </c>
      <c r="G1626" s="338">
        <v>0.63402777777777775</v>
      </c>
      <c r="H1626" s="338" t="s">
        <v>968</v>
      </c>
      <c r="I1626" s="353">
        <v>753</v>
      </c>
      <c r="J1626" s="338" t="str">
        <f>IFERROR(VLOOKUP(I1626,'Chart of accounts'!A:H,2,FALSE),"")</f>
        <v>50202010 00</v>
      </c>
      <c r="K1626" s="338" t="str">
        <f>IFERROR(VLOOKUP(I1626,'Chart of accounts'!A:H,3,FALSE),"")</f>
        <v>Training Expenses</v>
      </c>
      <c r="L1626" s="338" t="str">
        <f>IFERROR(VLOOKUP(I1626,'Chart of accounts'!A:H,4,FALSE),"")</f>
        <v>50202010 00 - Training Expenses (753)</v>
      </c>
      <c r="M1626" s="360" t="s">
        <v>1613</v>
      </c>
      <c r="N1626" s="355" t="s">
        <v>1539</v>
      </c>
      <c r="O1626" s="355" t="s">
        <v>1610</v>
      </c>
      <c r="P1626" s="355"/>
      <c r="Q1626" s="355">
        <v>50000</v>
      </c>
      <c r="R1626" s="428">
        <f t="shared" si="69"/>
        <v>-50000</v>
      </c>
      <c r="S1626" s="428" t="str">
        <f>VLOOKUP(H1626,'Fund Utilization Report'!$A$4:$U$1800,13,FALSE)</f>
        <v>MOOE</v>
      </c>
      <c r="T1626" s="428" t="str">
        <f>VLOOKUP(H1626,'Fund Utilization Report'!$A$4:$U$1800,2,FALSE)</f>
        <v>GAA</v>
      </c>
      <c r="U1626" s="428" t="str">
        <f>VLOOKUP(H1626,'Fund Utilization Report'!$A$4:$U$1800,3,FALSE)</f>
        <v>FY2021, RA11518</v>
      </c>
      <c r="V1626" s="428" t="str">
        <f>VLOOKUP(H1626,'Fund Utilization Report'!$A$4:$U$1800,4,FALSE)</f>
        <v>OO2</v>
      </c>
      <c r="W1626" s="428" t="str">
        <f>VLOOKUP(H1626,'Fund Utilization Report'!$A$4:$U$1800,5,FALSE)</f>
        <v>01101101</v>
      </c>
      <c r="X1626" s="428" t="str">
        <f>VLOOKUP(H1626,'Fund Utilization Report'!$A$4:$U$1800,6,FALSE)</f>
        <v>GOP</v>
      </c>
      <c r="Y1626" s="320" t="str">
        <f>VLOOKUP(H1626,'Fund Utilization Report'!$A$4:$U$1800,7,FALSE)</f>
        <v>MOOE</v>
      </c>
      <c r="Z1626" s="425">
        <f>VLOOKUP(H1626,'Fund Utilization Report'!$A$4:$U$1800,8,FALSE)</f>
        <v>5020000000</v>
      </c>
      <c r="AA1626" s="428" t="str">
        <f>VLOOKUP(H1626,'Fund Utilization Report'!$A$4:$U$1800,14,FALSE)</f>
        <v>320100100001000</v>
      </c>
      <c r="AB1626" s="349" t="str">
        <f>VLOOKUP(H1626,'Fund Utilization Report'!$A$4:$U$1800,15,FALSE)</f>
        <v>Formulation of Strategic plans,programs, and policies to develop competitve industries</v>
      </c>
      <c r="AC1626" s="39"/>
      <c r="AD1626" s="34"/>
      <c r="AE1626" s="39"/>
      <c r="AF1626" s="51"/>
      <c r="AG1626" s="442"/>
      <c r="AH1626" s="442"/>
      <c r="AI1626" s="443"/>
    </row>
    <row r="1627" spans="1:35" s="32" customFormat="1" ht="27" customHeight="1">
      <c r="A1627" s="434" t="s">
        <v>942</v>
      </c>
      <c r="B1627" s="457" t="s">
        <v>946</v>
      </c>
      <c r="C1627" s="233">
        <v>44284</v>
      </c>
      <c r="D1627" s="435" t="s">
        <v>1267</v>
      </c>
      <c r="E1627" s="436" t="s">
        <v>1611</v>
      </c>
      <c r="F1627" s="338">
        <v>0.63055555555555554</v>
      </c>
      <c r="G1627" s="338">
        <v>0.63402777777777775</v>
      </c>
      <c r="H1627" s="338" t="s">
        <v>968</v>
      </c>
      <c r="I1627" s="353">
        <v>755</v>
      </c>
      <c r="J1627" s="338" t="str">
        <f>IFERROR(VLOOKUP(I1627,'Chart of accounts'!A:H,2,FALSE),"")</f>
        <v>50203010 00</v>
      </c>
      <c r="K1627" s="338" t="str">
        <f>IFERROR(VLOOKUP(I1627,'Chart of accounts'!A:H,3,FALSE),"")</f>
        <v>Office Supplies Expenses</v>
      </c>
      <c r="L1627" s="338" t="str">
        <f>IFERROR(VLOOKUP(I1627,'Chart of accounts'!A:H,4,FALSE),"")</f>
        <v>50203010 00 - Office Supplies Expenses (755)</v>
      </c>
      <c r="M1627" s="360" t="s">
        <v>1613</v>
      </c>
      <c r="N1627" s="355" t="s">
        <v>1539</v>
      </c>
      <c r="O1627" s="355" t="s">
        <v>1610</v>
      </c>
      <c r="P1627" s="355"/>
      <c r="Q1627" s="355">
        <v>10000</v>
      </c>
      <c r="R1627" s="428">
        <f t="shared" ref="R1627:R1632" si="70">P1627-Q1627</f>
        <v>-10000</v>
      </c>
      <c r="S1627" s="428" t="str">
        <f>VLOOKUP(H1627,'Fund Utilization Report'!$A$4:$U$1800,13,FALSE)</f>
        <v>MOOE</v>
      </c>
      <c r="T1627" s="428" t="str">
        <f>VLOOKUP(H1627,'Fund Utilization Report'!$A$4:$U$1800,2,FALSE)</f>
        <v>GAA</v>
      </c>
      <c r="U1627" s="428" t="str">
        <f>VLOOKUP(H1627,'Fund Utilization Report'!$A$4:$U$1800,3,FALSE)</f>
        <v>FY2021, RA11518</v>
      </c>
      <c r="V1627" s="428" t="str">
        <f>VLOOKUP(H1627,'Fund Utilization Report'!$A$4:$U$1800,4,FALSE)</f>
        <v>OO2</v>
      </c>
      <c r="W1627" s="428" t="str">
        <f>VLOOKUP(H1627,'Fund Utilization Report'!$A$4:$U$1800,5,FALSE)</f>
        <v>01101101</v>
      </c>
      <c r="X1627" s="428" t="str">
        <f>VLOOKUP(H1627,'Fund Utilization Report'!$A$4:$U$1800,6,FALSE)</f>
        <v>GOP</v>
      </c>
      <c r="Y1627" s="320" t="str">
        <f>VLOOKUP(H1627,'Fund Utilization Report'!$A$4:$U$1800,7,FALSE)</f>
        <v>MOOE</v>
      </c>
      <c r="Z1627" s="425">
        <f>VLOOKUP(H1627,'Fund Utilization Report'!$A$4:$U$1800,8,FALSE)</f>
        <v>5020000000</v>
      </c>
      <c r="AA1627" s="428" t="str">
        <f>VLOOKUP(H1627,'Fund Utilization Report'!$A$4:$U$1800,14,FALSE)</f>
        <v>320100100001000</v>
      </c>
      <c r="AB1627" s="349" t="str">
        <f>VLOOKUP(H1627,'Fund Utilization Report'!$A$4:$U$1800,15,FALSE)</f>
        <v>Formulation of Strategic plans,programs, and policies to develop competitve industries</v>
      </c>
      <c r="AC1627" s="39"/>
      <c r="AD1627" s="34"/>
      <c r="AE1627" s="39"/>
      <c r="AF1627" s="51"/>
      <c r="AG1627" s="442"/>
      <c r="AH1627" s="442"/>
      <c r="AI1627" s="443"/>
    </row>
    <row r="1628" spans="1:35" s="32" customFormat="1" ht="27" customHeight="1">
      <c r="A1628" s="434" t="s">
        <v>942</v>
      </c>
      <c r="B1628" s="457" t="s">
        <v>946</v>
      </c>
      <c r="C1628" s="233">
        <v>44284</v>
      </c>
      <c r="D1628" s="435" t="s">
        <v>1267</v>
      </c>
      <c r="E1628" s="436" t="s">
        <v>1611</v>
      </c>
      <c r="F1628" s="338">
        <v>0.63055555555555554</v>
      </c>
      <c r="G1628" s="338">
        <v>0.63402777777777775</v>
      </c>
      <c r="H1628" s="338" t="s">
        <v>968</v>
      </c>
      <c r="I1628" s="353">
        <v>783</v>
      </c>
      <c r="J1628" s="338" t="str">
        <f>IFERROR(VLOOKUP(I1628,'Chart of accounts'!A:H,2,FALSE),"")</f>
        <v>50299030 00</v>
      </c>
      <c r="K1628" s="338" t="str">
        <f>IFERROR(VLOOKUP(I1628,'Chart of accounts'!A:H,3,FALSE),"")</f>
        <v>Representation Expenses</v>
      </c>
      <c r="L1628" s="338" t="str">
        <f>IFERROR(VLOOKUP(I1628,'Chart of accounts'!A:H,4,FALSE),"")</f>
        <v>50299030 00 - Representation Expenses (783)</v>
      </c>
      <c r="M1628" s="360" t="s">
        <v>1613</v>
      </c>
      <c r="N1628" s="355" t="s">
        <v>1539</v>
      </c>
      <c r="O1628" s="355" t="s">
        <v>1610</v>
      </c>
      <c r="P1628" s="355"/>
      <c r="Q1628" s="355">
        <f>69200+35200</f>
        <v>104400</v>
      </c>
      <c r="R1628" s="428">
        <f t="shared" si="70"/>
        <v>-104400</v>
      </c>
      <c r="S1628" s="428" t="str">
        <f>VLOOKUP(H1628,'Fund Utilization Report'!$A$4:$U$1800,13,FALSE)</f>
        <v>MOOE</v>
      </c>
      <c r="T1628" s="428" t="str">
        <f>VLOOKUP(H1628,'Fund Utilization Report'!$A$4:$U$1800,2,FALSE)</f>
        <v>GAA</v>
      </c>
      <c r="U1628" s="428" t="str">
        <f>VLOOKUP(H1628,'Fund Utilization Report'!$A$4:$U$1800,3,FALSE)</f>
        <v>FY2021, RA11518</v>
      </c>
      <c r="V1628" s="428" t="str">
        <f>VLOOKUP(H1628,'Fund Utilization Report'!$A$4:$U$1800,4,FALSE)</f>
        <v>OO2</v>
      </c>
      <c r="W1628" s="428" t="str">
        <f>VLOOKUP(H1628,'Fund Utilization Report'!$A$4:$U$1800,5,FALSE)</f>
        <v>01101101</v>
      </c>
      <c r="X1628" s="428" t="str">
        <f>VLOOKUP(H1628,'Fund Utilization Report'!$A$4:$U$1800,6,FALSE)</f>
        <v>GOP</v>
      </c>
      <c r="Y1628" s="320" t="str">
        <f>VLOOKUP(H1628,'Fund Utilization Report'!$A$4:$U$1800,7,FALSE)</f>
        <v>MOOE</v>
      </c>
      <c r="Z1628" s="425">
        <f>VLOOKUP(H1628,'Fund Utilization Report'!$A$4:$U$1800,8,FALSE)</f>
        <v>5020000000</v>
      </c>
      <c r="AA1628" s="428" t="str">
        <f>VLOOKUP(H1628,'Fund Utilization Report'!$A$4:$U$1800,14,FALSE)</f>
        <v>320100100001000</v>
      </c>
      <c r="AB1628" s="349" t="str">
        <f>VLOOKUP(H1628,'Fund Utilization Report'!$A$4:$U$1800,15,FALSE)</f>
        <v>Formulation of Strategic plans,programs, and policies to develop competitve industries</v>
      </c>
      <c r="AC1628" s="39"/>
      <c r="AD1628" s="34"/>
      <c r="AE1628" s="39"/>
      <c r="AF1628" s="51"/>
      <c r="AG1628" s="442"/>
      <c r="AH1628" s="442"/>
      <c r="AI1628" s="443"/>
    </row>
    <row r="1629" spans="1:35" s="32" customFormat="1" ht="27" customHeight="1">
      <c r="A1629" s="434" t="s">
        <v>942</v>
      </c>
      <c r="B1629" s="457" t="s">
        <v>946</v>
      </c>
      <c r="C1629" s="233">
        <v>44284</v>
      </c>
      <c r="D1629" s="435" t="s">
        <v>1267</v>
      </c>
      <c r="E1629" s="436" t="s">
        <v>1612</v>
      </c>
      <c r="F1629" s="338">
        <v>0.63402777777777775</v>
      </c>
      <c r="G1629" s="338">
        <v>0.63541666666666663</v>
      </c>
      <c r="H1629" s="338" t="s">
        <v>968</v>
      </c>
      <c r="I1629" s="353">
        <v>751</v>
      </c>
      <c r="J1629" s="338" t="str">
        <f>IFERROR(VLOOKUP(I1629,'Chart of accounts'!A:H,2,FALSE),"")</f>
        <v>50201010 00</v>
      </c>
      <c r="K1629" s="338" t="str">
        <f>IFERROR(VLOOKUP(I1629,'Chart of accounts'!A:H,3,FALSE),"")</f>
        <v>Traveling Expenses - Local</v>
      </c>
      <c r="L1629" s="338" t="str">
        <f>IFERROR(VLOOKUP(I1629,'Chart of accounts'!A:H,4,FALSE),"")</f>
        <v>50201010 00 - Traveling Expenses - Local (751)</v>
      </c>
      <c r="M1629" s="360" t="s">
        <v>1613</v>
      </c>
      <c r="N1629" s="355" t="s">
        <v>1540</v>
      </c>
      <c r="O1629" s="355" t="s">
        <v>1610</v>
      </c>
      <c r="P1629" s="355"/>
      <c r="Q1629" s="355">
        <v>30000</v>
      </c>
      <c r="R1629" s="428">
        <f t="shared" si="70"/>
        <v>-30000</v>
      </c>
      <c r="S1629" s="428" t="str">
        <f>VLOOKUP(H1629,'Fund Utilization Report'!$A$4:$U$1800,13,FALSE)</f>
        <v>MOOE</v>
      </c>
      <c r="T1629" s="428" t="str">
        <f>VLOOKUP(H1629,'Fund Utilization Report'!$A$4:$U$1800,2,FALSE)</f>
        <v>GAA</v>
      </c>
      <c r="U1629" s="428" t="str">
        <f>VLOOKUP(H1629,'Fund Utilization Report'!$A$4:$U$1800,3,FALSE)</f>
        <v>FY2021, RA11518</v>
      </c>
      <c r="V1629" s="428" t="str">
        <f>VLOOKUP(H1629,'Fund Utilization Report'!$A$4:$U$1800,4,FALSE)</f>
        <v>OO2</v>
      </c>
      <c r="W1629" s="428" t="str">
        <f>VLOOKUP(H1629,'Fund Utilization Report'!$A$4:$U$1800,5,FALSE)</f>
        <v>01101101</v>
      </c>
      <c r="X1629" s="428" t="str">
        <f>VLOOKUP(H1629,'Fund Utilization Report'!$A$4:$U$1800,6,FALSE)</f>
        <v>GOP</v>
      </c>
      <c r="Y1629" s="320" t="str">
        <f>VLOOKUP(H1629,'Fund Utilization Report'!$A$4:$U$1800,7,FALSE)</f>
        <v>MOOE</v>
      </c>
      <c r="Z1629" s="425">
        <f>VLOOKUP(H1629,'Fund Utilization Report'!$A$4:$U$1800,8,FALSE)</f>
        <v>5020000000</v>
      </c>
      <c r="AA1629" s="428" t="str">
        <f>VLOOKUP(H1629,'Fund Utilization Report'!$A$4:$U$1800,14,FALSE)</f>
        <v>320100100001000</v>
      </c>
      <c r="AB1629" s="349" t="str">
        <f>VLOOKUP(H1629,'Fund Utilization Report'!$A$4:$U$1800,15,FALSE)</f>
        <v>Formulation of Strategic plans,programs, and policies to develop competitve industries</v>
      </c>
      <c r="AC1629" s="39"/>
      <c r="AD1629" s="34"/>
      <c r="AE1629" s="39"/>
      <c r="AF1629" s="51"/>
      <c r="AG1629" s="442"/>
      <c r="AH1629" s="442"/>
      <c r="AI1629" s="443"/>
    </row>
    <row r="1630" spans="1:35" s="32" customFormat="1" ht="27" customHeight="1">
      <c r="A1630" s="434" t="s">
        <v>942</v>
      </c>
      <c r="B1630" s="457" t="s">
        <v>946</v>
      </c>
      <c r="C1630" s="233">
        <v>44284</v>
      </c>
      <c r="D1630" s="435" t="s">
        <v>1267</v>
      </c>
      <c r="E1630" s="436" t="s">
        <v>1612</v>
      </c>
      <c r="F1630" s="338">
        <v>0.63402777777777775</v>
      </c>
      <c r="G1630" s="338">
        <v>0.63541666666666663</v>
      </c>
      <c r="H1630" s="338" t="s">
        <v>968</v>
      </c>
      <c r="I1630" s="353">
        <v>753</v>
      </c>
      <c r="J1630" s="338" t="str">
        <f>IFERROR(VLOOKUP(I1630,'Chart of accounts'!A:H,2,FALSE),"")</f>
        <v>50202010 00</v>
      </c>
      <c r="K1630" s="338" t="str">
        <f>IFERROR(VLOOKUP(I1630,'Chart of accounts'!A:H,3,FALSE),"")</f>
        <v>Training Expenses</v>
      </c>
      <c r="L1630" s="338" t="str">
        <f>IFERROR(VLOOKUP(I1630,'Chart of accounts'!A:H,4,FALSE),"")</f>
        <v>50202010 00 - Training Expenses (753)</v>
      </c>
      <c r="M1630" s="360" t="s">
        <v>1613</v>
      </c>
      <c r="N1630" s="355" t="s">
        <v>1540</v>
      </c>
      <c r="O1630" s="355" t="s">
        <v>1610</v>
      </c>
      <c r="P1630" s="355"/>
      <c r="Q1630" s="355">
        <v>50000</v>
      </c>
      <c r="R1630" s="428">
        <f t="shared" si="70"/>
        <v>-50000</v>
      </c>
      <c r="S1630" s="428" t="str">
        <f>VLOOKUP(H1630,'Fund Utilization Report'!$A$4:$U$1800,13,FALSE)</f>
        <v>MOOE</v>
      </c>
      <c r="T1630" s="428" t="str">
        <f>VLOOKUP(H1630,'Fund Utilization Report'!$A$4:$U$1800,2,FALSE)</f>
        <v>GAA</v>
      </c>
      <c r="U1630" s="428" t="str">
        <f>VLOOKUP(H1630,'Fund Utilization Report'!$A$4:$U$1800,3,FALSE)</f>
        <v>FY2021, RA11518</v>
      </c>
      <c r="V1630" s="428" t="str">
        <f>VLOOKUP(H1630,'Fund Utilization Report'!$A$4:$U$1800,4,FALSE)</f>
        <v>OO2</v>
      </c>
      <c r="W1630" s="428" t="str">
        <f>VLOOKUP(H1630,'Fund Utilization Report'!$A$4:$U$1800,5,FALSE)</f>
        <v>01101101</v>
      </c>
      <c r="X1630" s="428" t="str">
        <f>VLOOKUP(H1630,'Fund Utilization Report'!$A$4:$U$1800,6,FALSE)</f>
        <v>GOP</v>
      </c>
      <c r="Y1630" s="320" t="str">
        <f>VLOOKUP(H1630,'Fund Utilization Report'!$A$4:$U$1800,7,FALSE)</f>
        <v>MOOE</v>
      </c>
      <c r="Z1630" s="425">
        <f>VLOOKUP(H1630,'Fund Utilization Report'!$A$4:$U$1800,8,FALSE)</f>
        <v>5020000000</v>
      </c>
      <c r="AA1630" s="428" t="str">
        <f>VLOOKUP(H1630,'Fund Utilization Report'!$A$4:$U$1800,14,FALSE)</f>
        <v>320100100001000</v>
      </c>
      <c r="AB1630" s="349" t="str">
        <f>VLOOKUP(H1630,'Fund Utilization Report'!$A$4:$U$1800,15,FALSE)</f>
        <v>Formulation of Strategic plans,programs, and policies to develop competitve industries</v>
      </c>
      <c r="AC1630" s="39"/>
      <c r="AD1630" s="34"/>
      <c r="AE1630" s="39"/>
      <c r="AF1630" s="51"/>
      <c r="AG1630" s="442"/>
      <c r="AH1630" s="442"/>
      <c r="AI1630" s="443"/>
    </row>
    <row r="1631" spans="1:35" s="32" customFormat="1" ht="27" customHeight="1">
      <c r="A1631" s="434" t="s">
        <v>942</v>
      </c>
      <c r="B1631" s="457" t="s">
        <v>946</v>
      </c>
      <c r="C1631" s="233">
        <v>44284</v>
      </c>
      <c r="D1631" s="435" t="s">
        <v>1267</v>
      </c>
      <c r="E1631" s="436" t="s">
        <v>1612</v>
      </c>
      <c r="F1631" s="338">
        <v>0.63402777777777775</v>
      </c>
      <c r="G1631" s="338">
        <v>0.63541666666666663</v>
      </c>
      <c r="H1631" s="338" t="s">
        <v>968</v>
      </c>
      <c r="I1631" s="353">
        <v>755</v>
      </c>
      <c r="J1631" s="338" t="str">
        <f>IFERROR(VLOOKUP(I1631,'Chart of accounts'!A:H,2,FALSE),"")</f>
        <v>50203010 00</v>
      </c>
      <c r="K1631" s="338" t="str">
        <f>IFERROR(VLOOKUP(I1631,'Chart of accounts'!A:H,3,FALSE),"")</f>
        <v>Office Supplies Expenses</v>
      </c>
      <c r="L1631" s="338" t="str">
        <f>IFERROR(VLOOKUP(I1631,'Chart of accounts'!A:H,4,FALSE),"")</f>
        <v>50203010 00 - Office Supplies Expenses (755)</v>
      </c>
      <c r="M1631" s="360" t="s">
        <v>1613</v>
      </c>
      <c r="N1631" s="355" t="s">
        <v>1540</v>
      </c>
      <c r="O1631" s="355" t="s">
        <v>1610</v>
      </c>
      <c r="P1631" s="355"/>
      <c r="Q1631" s="355">
        <v>10000</v>
      </c>
      <c r="R1631" s="428">
        <f t="shared" si="70"/>
        <v>-10000</v>
      </c>
      <c r="S1631" s="428" t="str">
        <f>VLOOKUP(H1631,'Fund Utilization Report'!$A$4:$U$1800,13,FALSE)</f>
        <v>MOOE</v>
      </c>
      <c r="T1631" s="428" t="str">
        <f>VLOOKUP(H1631,'Fund Utilization Report'!$A$4:$U$1800,2,FALSE)</f>
        <v>GAA</v>
      </c>
      <c r="U1631" s="428" t="str">
        <f>VLOOKUP(H1631,'Fund Utilization Report'!$A$4:$U$1800,3,FALSE)</f>
        <v>FY2021, RA11518</v>
      </c>
      <c r="V1631" s="428" t="str">
        <f>VLOOKUP(H1631,'Fund Utilization Report'!$A$4:$U$1800,4,FALSE)</f>
        <v>OO2</v>
      </c>
      <c r="W1631" s="428" t="str">
        <f>VLOOKUP(H1631,'Fund Utilization Report'!$A$4:$U$1800,5,FALSE)</f>
        <v>01101101</v>
      </c>
      <c r="X1631" s="428" t="str">
        <f>VLOOKUP(H1631,'Fund Utilization Report'!$A$4:$U$1800,6,FALSE)</f>
        <v>GOP</v>
      </c>
      <c r="Y1631" s="320" t="str">
        <f>VLOOKUP(H1631,'Fund Utilization Report'!$A$4:$U$1800,7,FALSE)</f>
        <v>MOOE</v>
      </c>
      <c r="Z1631" s="425">
        <f>VLOOKUP(H1631,'Fund Utilization Report'!$A$4:$U$1800,8,FALSE)</f>
        <v>5020000000</v>
      </c>
      <c r="AA1631" s="428" t="str">
        <f>VLOOKUP(H1631,'Fund Utilization Report'!$A$4:$U$1800,14,FALSE)</f>
        <v>320100100001000</v>
      </c>
      <c r="AB1631" s="349" t="str">
        <f>VLOOKUP(H1631,'Fund Utilization Report'!$A$4:$U$1800,15,FALSE)</f>
        <v>Formulation of Strategic plans,programs, and policies to develop competitve industries</v>
      </c>
      <c r="AC1631" s="39"/>
      <c r="AD1631" s="34"/>
      <c r="AE1631" s="39"/>
      <c r="AF1631" s="51"/>
      <c r="AG1631" s="442"/>
      <c r="AH1631" s="442"/>
      <c r="AI1631" s="443"/>
    </row>
    <row r="1632" spans="1:35" s="32" customFormat="1" ht="27" customHeight="1">
      <c r="A1632" s="434" t="s">
        <v>942</v>
      </c>
      <c r="B1632" s="457" t="s">
        <v>946</v>
      </c>
      <c r="C1632" s="233">
        <v>44284</v>
      </c>
      <c r="D1632" s="435" t="s">
        <v>1267</v>
      </c>
      <c r="E1632" s="436" t="s">
        <v>1612</v>
      </c>
      <c r="F1632" s="338">
        <v>0.63402777777777775</v>
      </c>
      <c r="G1632" s="338">
        <v>0.63541666666666663</v>
      </c>
      <c r="H1632" s="338" t="s">
        <v>968</v>
      </c>
      <c r="I1632" s="353">
        <v>783</v>
      </c>
      <c r="J1632" s="338" t="str">
        <f>IFERROR(VLOOKUP(I1632,'Chart of accounts'!A:H,2,FALSE),"")</f>
        <v>50299030 00</v>
      </c>
      <c r="K1632" s="338" t="str">
        <f>IFERROR(VLOOKUP(I1632,'Chart of accounts'!A:H,3,FALSE),"")</f>
        <v>Representation Expenses</v>
      </c>
      <c r="L1632" s="338" t="str">
        <f>IFERROR(VLOOKUP(I1632,'Chart of accounts'!A:H,4,FALSE),"")</f>
        <v>50299030 00 - Representation Expenses (783)</v>
      </c>
      <c r="M1632" s="360" t="s">
        <v>1613</v>
      </c>
      <c r="N1632" s="355" t="s">
        <v>1540</v>
      </c>
      <c r="O1632" s="355" t="s">
        <v>1610</v>
      </c>
      <c r="P1632" s="355"/>
      <c r="Q1632" s="355">
        <f>69200+35200</f>
        <v>104400</v>
      </c>
      <c r="R1632" s="428">
        <f t="shared" si="70"/>
        <v>-104400</v>
      </c>
      <c r="S1632" s="428" t="str">
        <f>VLOOKUP(H1632,'Fund Utilization Report'!$A$4:$U$1800,13,FALSE)</f>
        <v>MOOE</v>
      </c>
      <c r="T1632" s="428" t="str">
        <f>VLOOKUP(H1632,'Fund Utilization Report'!$A$4:$U$1800,2,FALSE)</f>
        <v>GAA</v>
      </c>
      <c r="U1632" s="428" t="str">
        <f>VLOOKUP(H1632,'Fund Utilization Report'!$A$4:$U$1800,3,FALSE)</f>
        <v>FY2021, RA11518</v>
      </c>
      <c r="V1632" s="428" t="str">
        <f>VLOOKUP(H1632,'Fund Utilization Report'!$A$4:$U$1800,4,FALSE)</f>
        <v>OO2</v>
      </c>
      <c r="W1632" s="428" t="str">
        <f>VLOOKUP(H1632,'Fund Utilization Report'!$A$4:$U$1800,5,FALSE)</f>
        <v>01101101</v>
      </c>
      <c r="X1632" s="428" t="str">
        <f>VLOOKUP(H1632,'Fund Utilization Report'!$A$4:$U$1800,6,FALSE)</f>
        <v>GOP</v>
      </c>
      <c r="Y1632" s="320" t="str">
        <f>VLOOKUP(H1632,'Fund Utilization Report'!$A$4:$U$1800,7,FALSE)</f>
        <v>MOOE</v>
      </c>
      <c r="Z1632" s="425">
        <f>VLOOKUP(H1632,'Fund Utilization Report'!$A$4:$U$1800,8,FALSE)</f>
        <v>5020000000</v>
      </c>
      <c r="AA1632" s="428" t="str">
        <f>VLOOKUP(H1632,'Fund Utilization Report'!$A$4:$U$1800,14,FALSE)</f>
        <v>320100100001000</v>
      </c>
      <c r="AB1632" s="349" t="str">
        <f>VLOOKUP(H1632,'Fund Utilization Report'!$A$4:$U$1800,15,FALSE)</f>
        <v>Formulation of Strategic plans,programs, and policies to develop competitve industries</v>
      </c>
      <c r="AC1632" s="39"/>
      <c r="AD1632" s="34"/>
      <c r="AE1632" s="39"/>
      <c r="AF1632" s="51"/>
      <c r="AG1632" s="442"/>
      <c r="AH1632" s="442"/>
      <c r="AI1632" s="443"/>
    </row>
    <row r="1633" spans="1:35" s="32" customFormat="1" ht="27.6">
      <c r="A1633" s="434" t="s">
        <v>942</v>
      </c>
      <c r="B1633" s="457" t="s">
        <v>946</v>
      </c>
      <c r="C1633" s="358">
        <v>44285</v>
      </c>
      <c r="D1633" s="435" t="s">
        <v>1267</v>
      </c>
      <c r="E1633" s="352" t="s">
        <v>1614</v>
      </c>
      <c r="F1633" s="338">
        <v>0.39444444444444443</v>
      </c>
      <c r="G1633" s="338">
        <v>0.39513888888888887</v>
      </c>
      <c r="H1633" s="338" t="s">
        <v>985</v>
      </c>
      <c r="I1633" s="353">
        <v>751</v>
      </c>
      <c r="J1633" s="338" t="str">
        <f>IFERROR(VLOOKUP(I1633,'Chart of accounts'!A:H,2,FALSE),"")</f>
        <v>50201010 00</v>
      </c>
      <c r="K1633" s="338" t="str">
        <f>IFERROR(VLOOKUP(I1633,'Chart of accounts'!A:H,3,FALSE),"")</f>
        <v>Traveling Expenses - Local</v>
      </c>
      <c r="L1633" s="338" t="str">
        <f>IFERROR(VLOOKUP(I1633,'Chart of accounts'!A:H,4,FALSE),"")</f>
        <v>50201010 00 - Traveling Expenses - Local (751)</v>
      </c>
      <c r="M1633" s="361" t="s">
        <v>7</v>
      </c>
      <c r="N1633" s="355" t="s">
        <v>822</v>
      </c>
      <c r="O1633" s="355" t="s">
        <v>1615</v>
      </c>
      <c r="P1633" s="355"/>
      <c r="Q1633" s="363">
        <v>57498</v>
      </c>
      <c r="R1633" s="428">
        <f t="shared" si="69"/>
        <v>-57498</v>
      </c>
      <c r="S1633" s="428" t="str">
        <f>VLOOKUP(H1633,'Fund Utilization Report'!$A$4:$U$1800,13,FALSE)</f>
        <v>MOOE</v>
      </c>
      <c r="T1633" s="428" t="str">
        <f>VLOOKUP(H1633,'Fund Utilization Report'!$A$4:$U$1800,2,FALSE)</f>
        <v>GAA</v>
      </c>
      <c r="U1633" s="428" t="str">
        <f>VLOOKUP(H1633,'Fund Utilization Report'!$A$4:$U$1800,3,FALSE)</f>
        <v>FY2021, RA11518</v>
      </c>
      <c r="V1633" s="428" t="str">
        <f>VLOOKUP(H1633,'Fund Utilization Report'!$A$4:$U$1800,4,FALSE)</f>
        <v>LSP-PBG</v>
      </c>
      <c r="W1633" s="428" t="str">
        <f>VLOOKUP(H1633,'Fund Utilization Report'!$A$4:$U$1800,5,FALSE)</f>
        <v>01101101</v>
      </c>
      <c r="X1633" s="428" t="str">
        <f>VLOOKUP(H1633,'Fund Utilization Report'!$A$4:$U$1800,6,FALSE)</f>
        <v>GOP</v>
      </c>
      <c r="Y1633" s="320" t="str">
        <f>VLOOKUP(H1633,'Fund Utilization Report'!$A$4:$U$1800,7,FALSE)</f>
        <v>MOOE</v>
      </c>
      <c r="Z1633" s="425">
        <f>VLOOKUP(H1633,'Fund Utilization Report'!$A$4:$U$1800,8,FALSE)</f>
        <v>5020000000</v>
      </c>
      <c r="AA1633" s="428" t="str">
        <f>VLOOKUP(H1633,'Fund Utilization Report'!$A$4:$U$1800,14,FALSE)</f>
        <v>330100200004000</v>
      </c>
      <c r="AB1633" s="349" t="str">
        <f>VLOOKUP(H1633,'Fund Utilization Report'!$A$4:$U$1800,15,FALSE)</f>
        <v>MSME Development Program : Livelihood Seeding Program and Pangkabuhayan sa Pagbangon at Ginhawa</v>
      </c>
      <c r="AC1633" s="39"/>
      <c r="AD1633" s="34"/>
      <c r="AE1633" s="39"/>
      <c r="AF1633" s="51"/>
      <c r="AG1633" s="442"/>
      <c r="AH1633" s="442"/>
      <c r="AI1633" s="443"/>
    </row>
    <row r="1634" spans="1:35" s="32" customFormat="1" ht="27.6">
      <c r="A1634" s="434" t="s">
        <v>942</v>
      </c>
      <c r="B1634" s="457" t="s">
        <v>946</v>
      </c>
      <c r="C1634" s="358">
        <v>44285</v>
      </c>
      <c r="D1634" s="435" t="s">
        <v>1267</v>
      </c>
      <c r="E1634" s="352" t="s">
        <v>1614</v>
      </c>
      <c r="F1634" s="338">
        <v>0.39444444444444443</v>
      </c>
      <c r="G1634" s="338">
        <v>0.39513888888888887</v>
      </c>
      <c r="H1634" s="338" t="s">
        <v>985</v>
      </c>
      <c r="I1634" s="353">
        <v>753</v>
      </c>
      <c r="J1634" s="338" t="str">
        <f>IFERROR(VLOOKUP(I1634,'Chart of accounts'!A:H,2,FALSE),"")</f>
        <v>50202010 00</v>
      </c>
      <c r="K1634" s="338" t="str">
        <f>IFERROR(VLOOKUP(I1634,'Chart of accounts'!A:H,3,FALSE),"")</f>
        <v>Training Expenses</v>
      </c>
      <c r="L1634" s="338" t="str">
        <f>IFERROR(VLOOKUP(I1634,'Chart of accounts'!A:H,4,FALSE),"")</f>
        <v>50202010 00 - Training Expenses (753)</v>
      </c>
      <c r="M1634" s="467" t="s">
        <v>7</v>
      </c>
      <c r="N1634" s="355" t="s">
        <v>822</v>
      </c>
      <c r="O1634" s="355" t="s">
        <v>1615</v>
      </c>
      <c r="P1634" s="355"/>
      <c r="Q1634" s="363">
        <v>525004</v>
      </c>
      <c r="R1634" s="428">
        <f t="shared" ref="R1634:R1645" si="71">P1634-Q1634</f>
        <v>-525004</v>
      </c>
      <c r="S1634" s="428" t="str">
        <f>VLOOKUP(H1634,'Fund Utilization Report'!$A$4:$U$1800,13,FALSE)</f>
        <v>MOOE</v>
      </c>
      <c r="T1634" s="428" t="str">
        <f>VLOOKUP(H1634,'Fund Utilization Report'!$A$4:$U$1800,2,FALSE)</f>
        <v>GAA</v>
      </c>
      <c r="U1634" s="428" t="str">
        <f>VLOOKUP(H1634,'Fund Utilization Report'!$A$4:$U$1800,3,FALSE)</f>
        <v>FY2021, RA11518</v>
      </c>
      <c r="V1634" s="428" t="str">
        <f>VLOOKUP(H1634,'Fund Utilization Report'!$A$4:$U$1800,4,FALSE)</f>
        <v>LSP-PBG</v>
      </c>
      <c r="W1634" s="428" t="str">
        <f>VLOOKUP(H1634,'Fund Utilization Report'!$A$4:$U$1800,5,FALSE)</f>
        <v>01101101</v>
      </c>
      <c r="X1634" s="428" t="str">
        <f>VLOOKUP(H1634,'Fund Utilization Report'!$A$4:$U$1800,6,FALSE)</f>
        <v>GOP</v>
      </c>
      <c r="Y1634" s="320" t="str">
        <f>VLOOKUP(H1634,'Fund Utilization Report'!$A$4:$U$1800,7,FALSE)</f>
        <v>MOOE</v>
      </c>
      <c r="Z1634" s="425">
        <f>VLOOKUP(H1634,'Fund Utilization Report'!$A$4:$U$1800,8,FALSE)</f>
        <v>5020000000</v>
      </c>
      <c r="AA1634" s="428" t="str">
        <f>VLOOKUP(H1634,'Fund Utilization Report'!$A$4:$U$1800,14,FALSE)</f>
        <v>330100200004000</v>
      </c>
      <c r="AB1634" s="349" t="str">
        <f>VLOOKUP(H1634,'Fund Utilization Report'!$A$4:$U$1800,15,FALSE)</f>
        <v>MSME Development Program : Livelihood Seeding Program and Pangkabuhayan sa Pagbangon at Ginhawa</v>
      </c>
      <c r="AC1634" s="39"/>
      <c r="AD1634" s="34"/>
      <c r="AE1634" s="39"/>
      <c r="AF1634" s="51"/>
      <c r="AG1634" s="442"/>
      <c r="AH1634" s="442"/>
      <c r="AI1634" s="443"/>
    </row>
    <row r="1635" spans="1:35" s="32" customFormat="1" ht="27.6">
      <c r="A1635" s="434" t="s">
        <v>942</v>
      </c>
      <c r="B1635" s="457" t="s">
        <v>946</v>
      </c>
      <c r="C1635" s="358">
        <v>44285</v>
      </c>
      <c r="D1635" s="435" t="s">
        <v>1267</v>
      </c>
      <c r="E1635" s="352" t="s">
        <v>1614</v>
      </c>
      <c r="F1635" s="338">
        <v>0.39444444444444443</v>
      </c>
      <c r="G1635" s="338">
        <v>0.39513888888888887</v>
      </c>
      <c r="H1635" s="338" t="s">
        <v>985</v>
      </c>
      <c r="I1635" s="353">
        <v>773</v>
      </c>
      <c r="J1635" s="338" t="str">
        <f>IFERROR(VLOOKUP(I1635,'Chart of accounts'!A:H,2,FALSE),"")</f>
        <v>50205020 01</v>
      </c>
      <c r="K1635" s="338" t="str">
        <f>IFERROR(VLOOKUP(I1635,'Chart of accounts'!A:H,3,FALSE),"")</f>
        <v xml:space="preserve">Telephone Expenses - Mobile </v>
      </c>
      <c r="L1635" s="338" t="str">
        <f>IFERROR(VLOOKUP(I1635,'Chart of accounts'!A:H,4,FALSE),"")</f>
        <v>50205020 01 - Telephone Expenses - Mobile  (773)</v>
      </c>
      <c r="M1635" s="467" t="s">
        <v>7</v>
      </c>
      <c r="N1635" s="355" t="s">
        <v>822</v>
      </c>
      <c r="O1635" s="355" t="s">
        <v>1615</v>
      </c>
      <c r="P1635" s="355"/>
      <c r="Q1635" s="363">
        <v>19166</v>
      </c>
      <c r="R1635" s="428">
        <f t="shared" si="71"/>
        <v>-19166</v>
      </c>
      <c r="S1635" s="428" t="str">
        <f>VLOOKUP(H1635,'Fund Utilization Report'!$A$4:$U$1800,13,FALSE)</f>
        <v>MOOE</v>
      </c>
      <c r="T1635" s="428" t="str">
        <f>VLOOKUP(H1635,'Fund Utilization Report'!$A$4:$U$1800,2,FALSE)</f>
        <v>GAA</v>
      </c>
      <c r="U1635" s="428" t="str">
        <f>VLOOKUP(H1635,'Fund Utilization Report'!$A$4:$U$1800,3,FALSE)</f>
        <v>FY2021, RA11518</v>
      </c>
      <c r="V1635" s="428" t="str">
        <f>VLOOKUP(H1635,'Fund Utilization Report'!$A$4:$U$1800,4,FALSE)</f>
        <v>LSP-PBG</v>
      </c>
      <c r="W1635" s="428" t="str">
        <f>VLOOKUP(H1635,'Fund Utilization Report'!$A$4:$U$1800,5,FALSE)</f>
        <v>01101101</v>
      </c>
      <c r="X1635" s="428" t="str">
        <f>VLOOKUP(H1635,'Fund Utilization Report'!$A$4:$U$1800,6,FALSE)</f>
        <v>GOP</v>
      </c>
      <c r="Y1635" s="320" t="str">
        <f>VLOOKUP(H1635,'Fund Utilization Report'!$A$4:$U$1800,7,FALSE)</f>
        <v>MOOE</v>
      </c>
      <c r="Z1635" s="425">
        <f>VLOOKUP(H1635,'Fund Utilization Report'!$A$4:$U$1800,8,FALSE)</f>
        <v>5020000000</v>
      </c>
      <c r="AA1635" s="428" t="str">
        <f>VLOOKUP(H1635,'Fund Utilization Report'!$A$4:$U$1800,14,FALSE)</f>
        <v>330100200004000</v>
      </c>
      <c r="AB1635" s="349" t="str">
        <f>VLOOKUP(H1635,'Fund Utilization Report'!$A$4:$U$1800,15,FALSE)</f>
        <v>MSME Development Program : Livelihood Seeding Program and Pangkabuhayan sa Pagbangon at Ginhawa</v>
      </c>
      <c r="AC1635" s="39"/>
      <c r="AD1635" s="34"/>
      <c r="AE1635" s="39"/>
      <c r="AF1635" s="51"/>
      <c r="AG1635" s="442"/>
      <c r="AH1635" s="442"/>
      <c r="AI1635" s="443"/>
    </row>
    <row r="1636" spans="1:35" s="32" customFormat="1" ht="27.6">
      <c r="A1636" s="434" t="s">
        <v>942</v>
      </c>
      <c r="B1636" s="457" t="s">
        <v>946</v>
      </c>
      <c r="C1636" s="358">
        <v>44285</v>
      </c>
      <c r="D1636" s="435" t="s">
        <v>1267</v>
      </c>
      <c r="E1636" s="352" t="s">
        <v>1614</v>
      </c>
      <c r="F1636" s="338">
        <v>0.39444444444444443</v>
      </c>
      <c r="G1636" s="338">
        <v>0.39513888888888887</v>
      </c>
      <c r="H1636" s="338" t="s">
        <v>985</v>
      </c>
      <c r="I1636" s="353">
        <v>799</v>
      </c>
      <c r="J1636" s="338" t="str">
        <f>IFERROR(VLOOKUP(I1636,'Chart of accounts'!A:H,2,FALSE),"")</f>
        <v>50211990 00</v>
      </c>
      <c r="K1636" s="338" t="str">
        <f>IFERROR(VLOOKUP(I1636,'Chart of accounts'!A:H,3,FALSE),"")</f>
        <v>Other Professional Services</v>
      </c>
      <c r="L1636" s="338" t="str">
        <f>IFERROR(VLOOKUP(I1636,'Chart of accounts'!A:H,4,FALSE),"")</f>
        <v>50211990 00 - Other Professional Services (799)</v>
      </c>
      <c r="M1636" s="467" t="s">
        <v>7</v>
      </c>
      <c r="N1636" s="355" t="s">
        <v>822</v>
      </c>
      <c r="O1636" s="355" t="s">
        <v>1615</v>
      </c>
      <c r="P1636" s="355"/>
      <c r="Q1636" s="363">
        <v>38332</v>
      </c>
      <c r="R1636" s="428">
        <f t="shared" si="71"/>
        <v>-38332</v>
      </c>
      <c r="S1636" s="428" t="str">
        <f>VLOOKUP(H1636,'Fund Utilization Report'!$A$4:$U$1800,13,FALSE)</f>
        <v>MOOE</v>
      </c>
      <c r="T1636" s="428" t="str">
        <f>VLOOKUP(H1636,'Fund Utilization Report'!$A$4:$U$1800,2,FALSE)</f>
        <v>GAA</v>
      </c>
      <c r="U1636" s="428" t="str">
        <f>VLOOKUP(H1636,'Fund Utilization Report'!$A$4:$U$1800,3,FALSE)</f>
        <v>FY2021, RA11518</v>
      </c>
      <c r="V1636" s="428" t="str">
        <f>VLOOKUP(H1636,'Fund Utilization Report'!$A$4:$U$1800,4,FALSE)</f>
        <v>LSP-PBG</v>
      </c>
      <c r="W1636" s="428" t="str">
        <f>VLOOKUP(H1636,'Fund Utilization Report'!$A$4:$U$1800,5,FALSE)</f>
        <v>01101101</v>
      </c>
      <c r="X1636" s="428" t="str">
        <f>VLOOKUP(H1636,'Fund Utilization Report'!$A$4:$U$1800,6,FALSE)</f>
        <v>GOP</v>
      </c>
      <c r="Y1636" s="320" t="str">
        <f>VLOOKUP(H1636,'Fund Utilization Report'!$A$4:$U$1800,7,FALSE)</f>
        <v>MOOE</v>
      </c>
      <c r="Z1636" s="425">
        <f>VLOOKUP(H1636,'Fund Utilization Report'!$A$4:$U$1800,8,FALSE)</f>
        <v>5020000000</v>
      </c>
      <c r="AA1636" s="428" t="str">
        <f>VLOOKUP(H1636,'Fund Utilization Report'!$A$4:$U$1800,14,FALSE)</f>
        <v>330100200004000</v>
      </c>
      <c r="AB1636" s="349" t="str">
        <f>VLOOKUP(H1636,'Fund Utilization Report'!$A$4:$U$1800,15,FALSE)</f>
        <v>MSME Development Program : Livelihood Seeding Program and Pangkabuhayan sa Pagbangon at Ginhawa</v>
      </c>
      <c r="AC1636" s="39"/>
      <c r="AD1636" s="34"/>
      <c r="AE1636" s="39"/>
      <c r="AF1636" s="51"/>
      <c r="AG1636" s="442"/>
      <c r="AH1636" s="442"/>
      <c r="AI1636" s="443"/>
    </row>
    <row r="1637" spans="1:35" s="32" customFormat="1">
      <c r="A1637" s="434" t="s">
        <v>942</v>
      </c>
      <c r="B1637" s="457" t="s">
        <v>946</v>
      </c>
      <c r="C1637" s="358">
        <v>44285</v>
      </c>
      <c r="D1637" s="435" t="s">
        <v>1267</v>
      </c>
      <c r="E1637" s="352" t="s">
        <v>1616</v>
      </c>
      <c r="F1637" s="338">
        <v>0.39652777777777781</v>
      </c>
      <c r="G1637" s="338">
        <v>0.3979166666666667</v>
      </c>
      <c r="H1637" s="338" t="s">
        <v>983</v>
      </c>
      <c r="I1637" s="353">
        <v>751</v>
      </c>
      <c r="J1637" s="338" t="str">
        <f>IFERROR(VLOOKUP(I1637,'Chart of accounts'!A:H,2,FALSE),"")</f>
        <v>50201010 00</v>
      </c>
      <c r="K1637" s="338" t="str">
        <f>IFERROR(VLOOKUP(I1637,'Chart of accounts'!A:H,3,FALSE),"")</f>
        <v>Traveling Expenses - Local</v>
      </c>
      <c r="L1637" s="338" t="str">
        <f>IFERROR(VLOOKUP(I1637,'Chart of accounts'!A:H,4,FALSE),"")</f>
        <v>50201010 00 - Traveling Expenses - Local (751)</v>
      </c>
      <c r="M1637" s="361" t="s">
        <v>5</v>
      </c>
      <c r="N1637" s="355" t="s">
        <v>822</v>
      </c>
      <c r="O1637" s="355" t="s">
        <v>1145</v>
      </c>
      <c r="P1637" s="355"/>
      <c r="Q1637" s="363">
        <v>10000</v>
      </c>
      <c r="R1637" s="428">
        <f t="shared" si="71"/>
        <v>-10000</v>
      </c>
      <c r="S1637" s="428" t="str">
        <f>VLOOKUP(H1637,'Fund Utilization Report'!$A$4:$U$1800,13,FALSE)</f>
        <v>MOOE</v>
      </c>
      <c r="T1637" s="428" t="str">
        <f>VLOOKUP(H1637,'Fund Utilization Report'!$A$4:$U$1800,2,FALSE)</f>
        <v>GAA</v>
      </c>
      <c r="U1637" s="428" t="str">
        <f>VLOOKUP(H1637,'Fund Utilization Report'!$A$4:$U$1800,3,FALSE)</f>
        <v>FY2021, RA11518</v>
      </c>
      <c r="V1637" s="428" t="str">
        <f>VLOOKUP(H1637,'Fund Utilization Report'!$A$4:$U$1800,4,FALSE)</f>
        <v>SSF</v>
      </c>
      <c r="W1637" s="428" t="str">
        <f>VLOOKUP(H1637,'Fund Utilization Report'!$A$4:$U$1800,5,FALSE)</f>
        <v>01101101</v>
      </c>
      <c r="X1637" s="428" t="str">
        <f>VLOOKUP(H1637,'Fund Utilization Report'!$A$4:$U$1800,6,FALSE)</f>
        <v>GOP</v>
      </c>
      <c r="Y1637" s="320" t="str">
        <f>VLOOKUP(H1637,'Fund Utilization Report'!$A$4:$U$1800,7,FALSE)</f>
        <v>MOOE</v>
      </c>
      <c r="Z1637" s="425">
        <f>VLOOKUP(H1637,'Fund Utilization Report'!$A$4:$U$1800,8,FALSE)</f>
        <v>5020000000</v>
      </c>
      <c r="AA1637" s="428" t="str">
        <f>VLOOKUP(H1637,'Fund Utilization Report'!$A$4:$U$1800,14,FALSE)</f>
        <v>330100200003000</v>
      </c>
      <c r="AB1637" s="349" t="str">
        <f>VLOOKUP(H1637,'Fund Utilization Report'!$A$4:$U$1800,15,FALSE)</f>
        <v>Shared Service Facilities Project</v>
      </c>
      <c r="AC1637" s="39"/>
      <c r="AD1637" s="34"/>
      <c r="AE1637" s="39"/>
      <c r="AF1637" s="51"/>
      <c r="AG1637" s="442"/>
      <c r="AH1637" s="442"/>
      <c r="AI1637" s="443"/>
    </row>
    <row r="1638" spans="1:35" s="32" customFormat="1">
      <c r="A1638" s="434" t="s">
        <v>942</v>
      </c>
      <c r="B1638" s="457" t="s">
        <v>946</v>
      </c>
      <c r="C1638" s="358">
        <v>44285</v>
      </c>
      <c r="D1638" s="435" t="s">
        <v>1267</v>
      </c>
      <c r="E1638" s="352" t="s">
        <v>1616</v>
      </c>
      <c r="F1638" s="338">
        <v>0.39652777777777781</v>
      </c>
      <c r="G1638" s="338">
        <v>0.3979166666666667</v>
      </c>
      <c r="H1638" s="338" t="s">
        <v>983</v>
      </c>
      <c r="I1638" s="353">
        <v>753</v>
      </c>
      <c r="J1638" s="338" t="str">
        <f>IFERROR(VLOOKUP(I1638,'Chart of accounts'!A:H,2,FALSE),"")</f>
        <v>50202010 00</v>
      </c>
      <c r="K1638" s="338" t="str">
        <f>IFERROR(VLOOKUP(I1638,'Chart of accounts'!A:H,3,FALSE),"")</f>
        <v>Training Expenses</v>
      </c>
      <c r="L1638" s="338" t="str">
        <f>IFERROR(VLOOKUP(I1638,'Chart of accounts'!A:H,4,FALSE),"")</f>
        <v>50202010 00 - Training Expenses (753)</v>
      </c>
      <c r="M1638" s="467" t="s">
        <v>5</v>
      </c>
      <c r="N1638" s="355" t="s">
        <v>822</v>
      </c>
      <c r="O1638" s="355" t="s">
        <v>1145</v>
      </c>
      <c r="P1638" s="355"/>
      <c r="Q1638" s="363">
        <v>80000</v>
      </c>
      <c r="R1638" s="428">
        <f t="shared" si="71"/>
        <v>-80000</v>
      </c>
      <c r="S1638" s="428" t="str">
        <f>VLOOKUP(H1638,'Fund Utilization Report'!$A$4:$U$1800,13,FALSE)</f>
        <v>MOOE</v>
      </c>
      <c r="T1638" s="428" t="str">
        <f>VLOOKUP(H1638,'Fund Utilization Report'!$A$4:$U$1800,2,FALSE)</f>
        <v>GAA</v>
      </c>
      <c r="U1638" s="428" t="str">
        <f>VLOOKUP(H1638,'Fund Utilization Report'!$A$4:$U$1800,3,FALSE)</f>
        <v>FY2021, RA11518</v>
      </c>
      <c r="V1638" s="428" t="str">
        <f>VLOOKUP(H1638,'Fund Utilization Report'!$A$4:$U$1800,4,FALSE)</f>
        <v>SSF</v>
      </c>
      <c r="W1638" s="428" t="str">
        <f>VLOOKUP(H1638,'Fund Utilization Report'!$A$4:$U$1800,5,FALSE)</f>
        <v>01101101</v>
      </c>
      <c r="X1638" s="428" t="str">
        <f>VLOOKUP(H1638,'Fund Utilization Report'!$A$4:$U$1800,6,FALSE)</f>
        <v>GOP</v>
      </c>
      <c r="Y1638" s="320" t="str">
        <f>VLOOKUP(H1638,'Fund Utilization Report'!$A$4:$U$1800,7,FALSE)</f>
        <v>MOOE</v>
      </c>
      <c r="Z1638" s="425">
        <f>VLOOKUP(H1638,'Fund Utilization Report'!$A$4:$U$1800,8,FALSE)</f>
        <v>5020000000</v>
      </c>
      <c r="AA1638" s="428" t="str">
        <f>VLOOKUP(H1638,'Fund Utilization Report'!$A$4:$U$1800,14,FALSE)</f>
        <v>330100200003000</v>
      </c>
      <c r="AB1638" s="349" t="str">
        <f>VLOOKUP(H1638,'Fund Utilization Report'!$A$4:$U$1800,15,FALSE)</f>
        <v>Shared Service Facilities Project</v>
      </c>
      <c r="AC1638" s="39"/>
      <c r="AD1638" s="34"/>
      <c r="AE1638" s="39"/>
      <c r="AF1638" s="51"/>
      <c r="AG1638" s="442"/>
      <c r="AH1638" s="442"/>
      <c r="AI1638" s="443"/>
    </row>
    <row r="1639" spans="1:35" s="32" customFormat="1">
      <c r="A1639" s="434" t="s">
        <v>942</v>
      </c>
      <c r="B1639" s="457" t="s">
        <v>946</v>
      </c>
      <c r="C1639" s="358">
        <v>44285</v>
      </c>
      <c r="D1639" s="435" t="s">
        <v>1267</v>
      </c>
      <c r="E1639" s="352" t="s">
        <v>1616</v>
      </c>
      <c r="F1639" s="338">
        <v>0.39652777777777781</v>
      </c>
      <c r="G1639" s="338">
        <v>0.3979166666666667</v>
      </c>
      <c r="H1639" s="338" t="s">
        <v>983</v>
      </c>
      <c r="I1639" s="353">
        <v>755</v>
      </c>
      <c r="J1639" s="338" t="str">
        <f>IFERROR(VLOOKUP(I1639,'Chart of accounts'!A:H,2,FALSE),"")</f>
        <v>50203010 00</v>
      </c>
      <c r="K1639" s="338" t="str">
        <f>IFERROR(VLOOKUP(I1639,'Chart of accounts'!A:H,3,FALSE),"")</f>
        <v>Office Supplies Expenses</v>
      </c>
      <c r="L1639" s="338" t="str">
        <f>IFERROR(VLOOKUP(I1639,'Chart of accounts'!A:H,4,FALSE),"")</f>
        <v>50203010 00 - Office Supplies Expenses (755)</v>
      </c>
      <c r="M1639" s="467" t="s">
        <v>5</v>
      </c>
      <c r="N1639" s="355" t="s">
        <v>822</v>
      </c>
      <c r="O1639" s="355" t="s">
        <v>1145</v>
      </c>
      <c r="P1639" s="355"/>
      <c r="Q1639" s="363">
        <v>30000</v>
      </c>
      <c r="R1639" s="428">
        <f t="shared" si="71"/>
        <v>-30000</v>
      </c>
      <c r="S1639" s="428" t="str">
        <f>VLOOKUP(H1639,'Fund Utilization Report'!$A$4:$U$1800,13,FALSE)</f>
        <v>MOOE</v>
      </c>
      <c r="T1639" s="428" t="str">
        <f>VLOOKUP(H1639,'Fund Utilization Report'!$A$4:$U$1800,2,FALSE)</f>
        <v>GAA</v>
      </c>
      <c r="U1639" s="428" t="str">
        <f>VLOOKUP(H1639,'Fund Utilization Report'!$A$4:$U$1800,3,FALSE)</f>
        <v>FY2021, RA11518</v>
      </c>
      <c r="V1639" s="428" t="str">
        <f>VLOOKUP(H1639,'Fund Utilization Report'!$A$4:$U$1800,4,FALSE)</f>
        <v>SSF</v>
      </c>
      <c r="W1639" s="428" t="str">
        <f>VLOOKUP(H1639,'Fund Utilization Report'!$A$4:$U$1800,5,FALSE)</f>
        <v>01101101</v>
      </c>
      <c r="X1639" s="428" t="str">
        <f>VLOOKUP(H1639,'Fund Utilization Report'!$A$4:$U$1800,6,FALSE)</f>
        <v>GOP</v>
      </c>
      <c r="Y1639" s="320" t="str">
        <f>VLOOKUP(H1639,'Fund Utilization Report'!$A$4:$U$1800,7,FALSE)</f>
        <v>MOOE</v>
      </c>
      <c r="Z1639" s="425">
        <f>VLOOKUP(H1639,'Fund Utilization Report'!$A$4:$U$1800,8,FALSE)</f>
        <v>5020000000</v>
      </c>
      <c r="AA1639" s="428" t="str">
        <f>VLOOKUP(H1639,'Fund Utilization Report'!$A$4:$U$1800,14,FALSE)</f>
        <v>330100200003000</v>
      </c>
      <c r="AB1639" s="349" t="str">
        <f>VLOOKUP(H1639,'Fund Utilization Report'!$A$4:$U$1800,15,FALSE)</f>
        <v>Shared Service Facilities Project</v>
      </c>
      <c r="AC1639" s="39"/>
      <c r="AD1639" s="34"/>
      <c r="AE1639" s="39"/>
      <c r="AF1639" s="51"/>
      <c r="AG1639" s="442"/>
      <c r="AH1639" s="442"/>
      <c r="AI1639" s="443"/>
    </row>
    <row r="1640" spans="1:35" s="32" customFormat="1">
      <c r="A1640" s="434" t="s">
        <v>942</v>
      </c>
      <c r="B1640" s="457" t="s">
        <v>946</v>
      </c>
      <c r="C1640" s="464">
        <v>44285</v>
      </c>
      <c r="D1640" s="435" t="s">
        <v>1267</v>
      </c>
      <c r="E1640" s="352" t="s">
        <v>1616</v>
      </c>
      <c r="F1640" s="458">
        <v>0.39652777777777781</v>
      </c>
      <c r="G1640" s="458">
        <v>0.3979166666666667</v>
      </c>
      <c r="H1640" s="458" t="s">
        <v>983</v>
      </c>
      <c r="I1640" s="459">
        <v>783</v>
      </c>
      <c r="J1640" s="458" t="str">
        <f>IFERROR(VLOOKUP(I1640,'Chart of accounts'!A:H,2,FALSE),"")</f>
        <v>50299030 00</v>
      </c>
      <c r="K1640" s="458" t="str">
        <f>IFERROR(VLOOKUP(I1640,'Chart of accounts'!A:H,3,FALSE),"")</f>
        <v>Representation Expenses</v>
      </c>
      <c r="L1640" s="458" t="str">
        <f>IFERROR(VLOOKUP(I1640,'Chart of accounts'!A:H,4,FALSE),"")</f>
        <v>50299030 00 - Representation Expenses (783)</v>
      </c>
      <c r="M1640" s="467" t="s">
        <v>5</v>
      </c>
      <c r="N1640" s="463" t="s">
        <v>822</v>
      </c>
      <c r="O1640" s="463" t="s">
        <v>1145</v>
      </c>
      <c r="P1640" s="463"/>
      <c r="Q1640" s="468">
        <v>20000</v>
      </c>
      <c r="R1640" s="462">
        <f>P1640-Q1640</f>
        <v>-20000</v>
      </c>
      <c r="S1640" s="462" t="str">
        <f>VLOOKUP(H1640,'Fund Utilization Report'!$A$4:$U$1800,13,FALSE)</f>
        <v>MOOE</v>
      </c>
      <c r="T1640" s="462" t="str">
        <f>VLOOKUP(H1640,'Fund Utilization Report'!$A$4:$U$1800,2,FALSE)</f>
        <v>GAA</v>
      </c>
      <c r="U1640" s="462" t="str">
        <f>VLOOKUP(H1640,'Fund Utilization Report'!$A$4:$U$1800,3,FALSE)</f>
        <v>FY2021, RA11518</v>
      </c>
      <c r="V1640" s="462" t="str">
        <f>VLOOKUP(H1640,'Fund Utilization Report'!$A$4:$U$1800,4,FALSE)</f>
        <v>SSF</v>
      </c>
      <c r="W1640" s="462" t="str">
        <f>VLOOKUP(H1640,'Fund Utilization Report'!$A$4:$U$1800,5,FALSE)</f>
        <v>01101101</v>
      </c>
      <c r="X1640" s="462" t="str">
        <f>VLOOKUP(H1640,'Fund Utilization Report'!$A$4:$U$1800,6,FALSE)</f>
        <v>GOP</v>
      </c>
      <c r="Y1640" s="469" t="str">
        <f>VLOOKUP(H1640,'Fund Utilization Report'!$A$4:$U$1800,7,FALSE)</f>
        <v>MOOE</v>
      </c>
      <c r="Z1640" s="470">
        <f>VLOOKUP(H1640,'Fund Utilization Report'!$A$4:$U$1800,8,FALSE)</f>
        <v>5020000000</v>
      </c>
      <c r="AA1640" s="462" t="str">
        <f>VLOOKUP(H1640,'Fund Utilization Report'!$A$4:$U$1800,14,FALSE)</f>
        <v>330100200003000</v>
      </c>
      <c r="AB1640" s="471" t="str">
        <f>VLOOKUP(H1640,'Fund Utilization Report'!$A$4:$U$1800,15,FALSE)</f>
        <v>Shared Service Facilities Project</v>
      </c>
      <c r="AC1640" s="39"/>
      <c r="AD1640" s="34"/>
      <c r="AE1640" s="39"/>
      <c r="AF1640" s="51"/>
      <c r="AG1640" s="442"/>
      <c r="AH1640" s="442"/>
      <c r="AI1640" s="443"/>
    </row>
    <row r="1641" spans="1:35" s="32" customFormat="1">
      <c r="A1641" s="434" t="s">
        <v>942</v>
      </c>
      <c r="B1641" s="457" t="s">
        <v>946</v>
      </c>
      <c r="C1641" s="358">
        <v>44285</v>
      </c>
      <c r="D1641" s="435" t="s">
        <v>1267</v>
      </c>
      <c r="E1641" s="352" t="s">
        <v>1616</v>
      </c>
      <c r="F1641" s="338">
        <v>0.39652777777777781</v>
      </c>
      <c r="G1641" s="338">
        <v>0.3979166666666667</v>
      </c>
      <c r="H1641" s="338" t="s">
        <v>983</v>
      </c>
      <c r="I1641" s="459">
        <v>793</v>
      </c>
      <c r="J1641" s="338" t="str">
        <f>IFERROR(VLOOKUP(I1641,'Chart of accounts'!A:H,2,FALSE),"")</f>
        <v>50211030 00</v>
      </c>
      <c r="K1641" s="338" t="str">
        <f>IFERROR(VLOOKUP(I1641,'Chart of accounts'!A:H,3,FALSE),"")</f>
        <v>Consultancy Services</v>
      </c>
      <c r="L1641" s="338" t="str">
        <f>IFERROR(VLOOKUP(I1641,'Chart of accounts'!A:H,4,FALSE),"")</f>
        <v>50211030 00 - Consultancy Services (793)</v>
      </c>
      <c r="M1641" s="467" t="s">
        <v>5</v>
      </c>
      <c r="N1641" s="355" t="s">
        <v>822</v>
      </c>
      <c r="O1641" s="355" t="s">
        <v>1145</v>
      </c>
      <c r="P1641" s="355"/>
      <c r="Q1641" s="363">
        <v>147809.53</v>
      </c>
      <c r="R1641" s="428">
        <f t="shared" si="71"/>
        <v>-147809.53</v>
      </c>
      <c r="S1641" s="428" t="str">
        <f>VLOOKUP(H1641,'Fund Utilization Report'!$A$4:$U$1800,13,FALSE)</f>
        <v>MOOE</v>
      </c>
      <c r="T1641" s="428" t="str">
        <f>VLOOKUP(H1641,'Fund Utilization Report'!$A$4:$U$1800,2,FALSE)</f>
        <v>GAA</v>
      </c>
      <c r="U1641" s="428" t="str">
        <f>VLOOKUP(H1641,'Fund Utilization Report'!$A$4:$U$1800,3,FALSE)</f>
        <v>FY2021, RA11518</v>
      </c>
      <c r="V1641" s="428" t="str">
        <f>VLOOKUP(H1641,'Fund Utilization Report'!$A$4:$U$1800,4,FALSE)</f>
        <v>SSF</v>
      </c>
      <c r="W1641" s="428" t="str">
        <f>VLOOKUP(H1641,'Fund Utilization Report'!$A$4:$U$1800,5,FALSE)</f>
        <v>01101101</v>
      </c>
      <c r="X1641" s="428" t="str">
        <f>VLOOKUP(H1641,'Fund Utilization Report'!$A$4:$U$1800,6,FALSE)</f>
        <v>GOP</v>
      </c>
      <c r="Y1641" s="320" t="str">
        <f>VLOOKUP(H1641,'Fund Utilization Report'!$A$4:$U$1800,7,FALSE)</f>
        <v>MOOE</v>
      </c>
      <c r="Z1641" s="425">
        <f>VLOOKUP(H1641,'Fund Utilization Report'!$A$4:$U$1800,8,FALSE)</f>
        <v>5020000000</v>
      </c>
      <c r="AA1641" s="428" t="str">
        <f>VLOOKUP(H1641,'Fund Utilization Report'!$A$4:$U$1800,14,FALSE)</f>
        <v>330100200003000</v>
      </c>
      <c r="AB1641" s="349" t="str">
        <f>VLOOKUP(H1641,'Fund Utilization Report'!$A$4:$U$1800,15,FALSE)</f>
        <v>Shared Service Facilities Project</v>
      </c>
      <c r="AC1641" s="39"/>
      <c r="AD1641" s="34"/>
      <c r="AE1641" s="39"/>
      <c r="AF1641" s="51"/>
      <c r="AG1641" s="442"/>
      <c r="AH1641" s="442"/>
      <c r="AI1641" s="443"/>
    </row>
    <row r="1642" spans="1:35" s="32" customFormat="1" ht="41.4">
      <c r="A1642" s="434" t="s">
        <v>942</v>
      </c>
      <c r="B1642" s="457" t="s">
        <v>946</v>
      </c>
      <c r="C1642" s="358">
        <v>44285</v>
      </c>
      <c r="D1642" s="435" t="s">
        <v>1267</v>
      </c>
      <c r="E1642" s="352" t="s">
        <v>1618</v>
      </c>
      <c r="F1642" s="338">
        <v>0.42777777777777781</v>
      </c>
      <c r="G1642" s="338">
        <v>0.4284722222222222</v>
      </c>
      <c r="H1642" s="338" t="s">
        <v>961</v>
      </c>
      <c r="I1642" s="353">
        <v>773</v>
      </c>
      <c r="J1642" s="338" t="str">
        <f>IFERROR(VLOOKUP(I1642,'Chart of accounts'!A:H,2,FALSE),"")</f>
        <v>50205020 01</v>
      </c>
      <c r="K1642" s="338" t="str">
        <f>IFERROR(VLOOKUP(I1642,'Chart of accounts'!A:H,3,FALSE),"")</f>
        <v xml:space="preserve">Telephone Expenses - Mobile </v>
      </c>
      <c r="L1642" s="338" t="str">
        <f>IFERROR(VLOOKUP(I1642,'Chart of accounts'!A:H,4,FALSE),"")</f>
        <v>50205020 01 - Telephone Expenses - Mobile  (773)</v>
      </c>
      <c r="M1642" s="361">
        <v>1</v>
      </c>
      <c r="N1642" s="355" t="s">
        <v>1102</v>
      </c>
      <c r="O1642" s="355" t="s">
        <v>1617</v>
      </c>
      <c r="P1642" s="355"/>
      <c r="Q1642" s="363">
        <v>3500</v>
      </c>
      <c r="R1642" s="428">
        <f t="shared" si="71"/>
        <v>-3500</v>
      </c>
      <c r="S1642" s="428" t="str">
        <f>VLOOKUP(H1642,'Fund Utilization Report'!$A$4:$U$1800,13,FALSE)</f>
        <v>MOOE</v>
      </c>
      <c r="T1642" s="428" t="str">
        <f>VLOOKUP(H1642,'Fund Utilization Report'!$A$4:$U$1800,2,FALSE)</f>
        <v>GAA</v>
      </c>
      <c r="U1642" s="428" t="str">
        <f>VLOOKUP(H1642,'Fund Utilization Report'!$A$4:$U$1800,3,FALSE)</f>
        <v>FY2021, RA11518</v>
      </c>
      <c r="V1642" s="428" t="str">
        <f>VLOOKUP(H1642,'Fund Utilization Report'!$A$4:$U$1800,4,FALSE)</f>
        <v>GAS(GMS)</v>
      </c>
      <c r="W1642" s="428" t="str">
        <f>VLOOKUP(H1642,'Fund Utilization Report'!$A$4:$U$1800,5,FALSE)</f>
        <v>01101101</v>
      </c>
      <c r="X1642" s="428" t="str">
        <f>VLOOKUP(H1642,'Fund Utilization Report'!$A$4:$U$1800,6,FALSE)</f>
        <v>GOP</v>
      </c>
      <c r="Y1642" s="320" t="str">
        <f>VLOOKUP(H1642,'Fund Utilization Report'!$A$4:$U$1800,7,FALSE)</f>
        <v>MOOE</v>
      </c>
      <c r="Z1642" s="425">
        <f>VLOOKUP(H1642,'Fund Utilization Report'!$A$4:$U$1800,8,FALSE)</f>
        <v>5020000000</v>
      </c>
      <c r="AA1642" s="428" t="str">
        <f>VLOOKUP(H1642,'Fund Utilization Report'!$A$4:$U$1800,14,FALSE)</f>
        <v>100000100001000</v>
      </c>
      <c r="AB1642" s="349" t="str">
        <f>VLOOKUP(H1642,'Fund Utilization Report'!$A$4:$U$1800,15,FALSE)</f>
        <v>General Administration and Supervision - General Management and Supervision</v>
      </c>
      <c r="AC1642" s="39"/>
      <c r="AD1642" s="34"/>
      <c r="AE1642" s="39"/>
      <c r="AF1642" s="51"/>
      <c r="AG1642" s="442"/>
      <c r="AH1642" s="442"/>
      <c r="AI1642" s="443"/>
    </row>
    <row r="1643" spans="1:35" s="32" customFormat="1" ht="27.6">
      <c r="A1643" s="434" t="s">
        <v>942</v>
      </c>
      <c r="B1643" s="457" t="s">
        <v>946</v>
      </c>
      <c r="C1643" s="358">
        <v>44285</v>
      </c>
      <c r="D1643" s="435" t="s">
        <v>1267</v>
      </c>
      <c r="E1643" s="352" t="s">
        <v>1619</v>
      </c>
      <c r="F1643" s="338">
        <v>0.42986111111111108</v>
      </c>
      <c r="G1643" s="338">
        <v>0.43055555555555558</v>
      </c>
      <c r="H1643" s="338" t="s">
        <v>961</v>
      </c>
      <c r="I1643" s="353">
        <v>969</v>
      </c>
      <c r="J1643" s="338" t="str">
        <f>IFERROR(VLOOKUP(I1643,'Chart of accounts'!A:H,2,FALSE),"")</f>
        <v>50299990 99</v>
      </c>
      <c r="K1643" s="338" t="str">
        <f>IFERROR(VLOOKUP(I1643,'Chart of accounts'!A:H,3,FALSE),"")</f>
        <v>Other Maintenance and Operating Expenses</v>
      </c>
      <c r="L1643" s="338" t="str">
        <f>IFERROR(VLOOKUP(I1643,'Chart of accounts'!A:H,4,FALSE),"")</f>
        <v>50299990 99 - Other Maintenance and Operating Expenses (969)</v>
      </c>
      <c r="M1643" s="361">
        <v>1</v>
      </c>
      <c r="N1643" s="355" t="s">
        <v>6</v>
      </c>
      <c r="O1643" s="355" t="s">
        <v>1620</v>
      </c>
      <c r="P1643" s="355"/>
      <c r="Q1643" s="363">
        <v>12000</v>
      </c>
      <c r="R1643" s="428">
        <f t="shared" si="71"/>
        <v>-12000</v>
      </c>
      <c r="S1643" s="428" t="str">
        <f>VLOOKUP(H1643,'Fund Utilization Report'!$A$4:$U$1800,13,FALSE)</f>
        <v>MOOE</v>
      </c>
      <c r="T1643" s="428" t="str">
        <f>VLOOKUP(H1643,'Fund Utilization Report'!$A$4:$U$1800,2,FALSE)</f>
        <v>GAA</v>
      </c>
      <c r="U1643" s="428" t="str">
        <f>VLOOKUP(H1643,'Fund Utilization Report'!$A$4:$U$1800,3,FALSE)</f>
        <v>FY2021, RA11518</v>
      </c>
      <c r="V1643" s="428" t="str">
        <f>VLOOKUP(H1643,'Fund Utilization Report'!$A$4:$U$1800,4,FALSE)</f>
        <v>GAS(GMS)</v>
      </c>
      <c r="W1643" s="428" t="str">
        <f>VLOOKUP(H1643,'Fund Utilization Report'!$A$4:$U$1800,5,FALSE)</f>
        <v>01101101</v>
      </c>
      <c r="X1643" s="428" t="str">
        <f>VLOOKUP(H1643,'Fund Utilization Report'!$A$4:$U$1800,6,FALSE)</f>
        <v>GOP</v>
      </c>
      <c r="Y1643" s="320" t="str">
        <f>VLOOKUP(H1643,'Fund Utilization Report'!$A$4:$U$1800,7,FALSE)</f>
        <v>MOOE</v>
      </c>
      <c r="Z1643" s="425">
        <f>VLOOKUP(H1643,'Fund Utilization Report'!$A$4:$U$1800,8,FALSE)</f>
        <v>5020000000</v>
      </c>
      <c r="AA1643" s="428" t="str">
        <f>VLOOKUP(H1643,'Fund Utilization Report'!$A$4:$U$1800,14,FALSE)</f>
        <v>100000100001000</v>
      </c>
      <c r="AB1643" s="349" t="str">
        <f>VLOOKUP(H1643,'Fund Utilization Report'!$A$4:$U$1800,15,FALSE)</f>
        <v>General Administration and Supervision - General Management and Supervision</v>
      </c>
      <c r="AC1643" s="39"/>
      <c r="AD1643" s="34"/>
      <c r="AE1643" s="39"/>
      <c r="AF1643" s="51"/>
      <c r="AG1643" s="442"/>
      <c r="AH1643" s="442"/>
      <c r="AI1643" s="443"/>
    </row>
    <row r="1644" spans="1:35" s="32" customFormat="1" ht="31.5" customHeight="1">
      <c r="A1644" s="434" t="s">
        <v>942</v>
      </c>
      <c r="B1644" s="457" t="s">
        <v>946</v>
      </c>
      <c r="C1644" s="358">
        <v>44285</v>
      </c>
      <c r="D1644" s="435" t="s">
        <v>1267</v>
      </c>
      <c r="E1644" s="352" t="s">
        <v>1622</v>
      </c>
      <c r="F1644" s="338">
        <v>0.48125000000000001</v>
      </c>
      <c r="G1644" s="338">
        <v>0.4826388888888889</v>
      </c>
      <c r="H1644" s="338" t="s">
        <v>961</v>
      </c>
      <c r="I1644" s="353">
        <v>773</v>
      </c>
      <c r="J1644" s="338" t="str">
        <f>IFERROR(VLOOKUP(I1644,'Chart of accounts'!A:H,2,FALSE),"")</f>
        <v>50205020 01</v>
      </c>
      <c r="K1644" s="338" t="str">
        <f>IFERROR(VLOOKUP(I1644,'Chart of accounts'!A:H,3,FALSE),"")</f>
        <v xml:space="preserve">Telephone Expenses - Mobile </v>
      </c>
      <c r="L1644" s="338" t="str">
        <f>IFERROR(VLOOKUP(I1644,'Chart of accounts'!A:H,4,FALSE),"")</f>
        <v>50205020 01 - Telephone Expenses - Mobile  (773)</v>
      </c>
      <c r="M1644" s="361">
        <v>1</v>
      </c>
      <c r="N1644" s="355" t="s">
        <v>797</v>
      </c>
      <c r="O1644" s="355" t="s">
        <v>1621</v>
      </c>
      <c r="P1644" s="355"/>
      <c r="Q1644" s="363">
        <v>4800</v>
      </c>
      <c r="R1644" s="428">
        <f t="shared" si="71"/>
        <v>-4800</v>
      </c>
      <c r="S1644" s="428" t="str">
        <f>VLOOKUP(H1644,'Fund Utilization Report'!$A$4:$U$1800,13,FALSE)</f>
        <v>MOOE</v>
      </c>
      <c r="T1644" s="428" t="str">
        <f>VLOOKUP(H1644,'Fund Utilization Report'!$A$4:$U$1800,2,FALSE)</f>
        <v>GAA</v>
      </c>
      <c r="U1644" s="428" t="str">
        <f>VLOOKUP(H1644,'Fund Utilization Report'!$A$4:$U$1800,3,FALSE)</f>
        <v>FY2021, RA11518</v>
      </c>
      <c r="V1644" s="428" t="str">
        <f>VLOOKUP(H1644,'Fund Utilization Report'!$A$4:$U$1800,4,FALSE)</f>
        <v>GAS(GMS)</v>
      </c>
      <c r="W1644" s="428" t="str">
        <f>VLOOKUP(H1644,'Fund Utilization Report'!$A$4:$U$1800,5,FALSE)</f>
        <v>01101101</v>
      </c>
      <c r="X1644" s="428" t="str">
        <f>VLOOKUP(H1644,'Fund Utilization Report'!$A$4:$U$1800,6,FALSE)</f>
        <v>GOP</v>
      </c>
      <c r="Y1644" s="320" t="str">
        <f>VLOOKUP(H1644,'Fund Utilization Report'!$A$4:$U$1800,7,FALSE)</f>
        <v>MOOE</v>
      </c>
      <c r="Z1644" s="425">
        <f>VLOOKUP(H1644,'Fund Utilization Report'!$A$4:$U$1800,8,FALSE)</f>
        <v>5020000000</v>
      </c>
      <c r="AA1644" s="428" t="str">
        <f>VLOOKUP(H1644,'Fund Utilization Report'!$A$4:$U$1800,14,FALSE)</f>
        <v>100000100001000</v>
      </c>
      <c r="AB1644" s="349" t="str">
        <f>VLOOKUP(H1644,'Fund Utilization Report'!$A$4:$U$1800,15,FALSE)</f>
        <v>General Administration and Supervision - General Management and Supervision</v>
      </c>
      <c r="AC1644" s="39"/>
      <c r="AD1644" s="34"/>
      <c r="AE1644" s="39"/>
      <c r="AF1644" s="51"/>
      <c r="AG1644" s="442"/>
      <c r="AH1644" s="442"/>
      <c r="AI1644" s="443"/>
    </row>
    <row r="1645" spans="1:35" s="32" customFormat="1">
      <c r="A1645" s="338"/>
      <c r="B1645" s="338"/>
      <c r="C1645" s="358"/>
      <c r="D1645" s="351"/>
      <c r="E1645" s="366"/>
      <c r="F1645" s="338"/>
      <c r="G1645" s="338"/>
      <c r="H1645" s="338"/>
      <c r="I1645" s="353"/>
      <c r="J1645" s="338" t="str">
        <f>IFERROR(VLOOKUP(I1645,'Chart of accounts'!A:H,2,FALSE),"")</f>
        <v/>
      </c>
      <c r="K1645" s="338" t="str">
        <f>IFERROR(VLOOKUP(I1645,'Chart of accounts'!A:H,3,FALSE),"")</f>
        <v/>
      </c>
      <c r="L1645" s="338" t="str">
        <f>IFERROR(VLOOKUP(I1645,'Chart of accounts'!A:H,4,FALSE),"")</f>
        <v/>
      </c>
      <c r="M1645" s="361"/>
      <c r="N1645" s="355"/>
      <c r="O1645" s="355"/>
      <c r="P1645" s="355"/>
      <c r="Q1645" s="363"/>
      <c r="R1645" s="428">
        <f t="shared" si="71"/>
        <v>0</v>
      </c>
      <c r="S1645" s="428" t="e">
        <f>VLOOKUP(H1645,'Fund Utilization Report'!$A$4:$U$1800,13,FALSE)</f>
        <v>#N/A</v>
      </c>
      <c r="T1645" s="428" t="e">
        <f>VLOOKUP(H1645,'Fund Utilization Report'!$A$4:$U$1800,2,FALSE)</f>
        <v>#N/A</v>
      </c>
      <c r="U1645" s="428" t="e">
        <f>VLOOKUP(H1645,'Fund Utilization Report'!$A$4:$U$1800,3,FALSE)</f>
        <v>#N/A</v>
      </c>
      <c r="V1645" s="428" t="e">
        <f>VLOOKUP(H1645,'Fund Utilization Report'!$A$4:$U$1800,4,FALSE)</f>
        <v>#N/A</v>
      </c>
      <c r="W1645" s="428" t="e">
        <f>VLOOKUP(H1645,'Fund Utilization Report'!$A$4:$U$1800,5,FALSE)</f>
        <v>#N/A</v>
      </c>
      <c r="X1645" s="428" t="e">
        <f>VLOOKUP(H1645,'Fund Utilization Report'!$A$4:$U$1800,6,FALSE)</f>
        <v>#N/A</v>
      </c>
      <c r="Y1645" s="320" t="e">
        <f>VLOOKUP(H1645,'Fund Utilization Report'!$A$4:$U$1800,7,FALSE)</f>
        <v>#N/A</v>
      </c>
      <c r="Z1645" s="425" t="e">
        <f>VLOOKUP(H1645,'Fund Utilization Report'!$A$4:$U$1800,8,FALSE)</f>
        <v>#N/A</v>
      </c>
      <c r="AA1645" s="428" t="e">
        <f>VLOOKUP(H1645,'Fund Utilization Report'!$A$4:$U$1800,14,FALSE)</f>
        <v>#N/A</v>
      </c>
      <c r="AB1645" s="349" t="e">
        <f>VLOOKUP(H1645,'Fund Utilization Report'!$A$4:$U$1800,15,FALSE)</f>
        <v>#N/A</v>
      </c>
      <c r="AC1645" s="39"/>
      <c r="AD1645" s="34"/>
      <c r="AE1645" s="39"/>
      <c r="AF1645" s="51"/>
      <c r="AG1645" s="442"/>
      <c r="AH1645" s="442"/>
      <c r="AI1645" s="443"/>
    </row>
    <row r="1646" spans="1:35" s="32" customFormat="1">
      <c r="A1646" s="338"/>
      <c r="B1646" s="338"/>
      <c r="C1646" s="358"/>
      <c r="D1646" s="351"/>
      <c r="E1646" s="366"/>
      <c r="F1646" s="338"/>
      <c r="G1646" s="338"/>
      <c r="H1646" s="338"/>
      <c r="I1646" s="353"/>
      <c r="J1646" s="338" t="str">
        <f>IFERROR(VLOOKUP(I1646,'Chart of accounts'!A:H,2,FALSE),"")</f>
        <v/>
      </c>
      <c r="K1646" s="338" t="str">
        <f>IFERROR(VLOOKUP(I1646,'Chart of accounts'!A:H,3,FALSE),"")</f>
        <v/>
      </c>
      <c r="L1646" s="338" t="str">
        <f>IFERROR(VLOOKUP(I1646,'Chart of accounts'!A:H,4,FALSE),"")</f>
        <v/>
      </c>
      <c r="M1646" s="361"/>
      <c r="N1646" s="355"/>
      <c r="O1646" s="355"/>
      <c r="P1646" s="355"/>
      <c r="Q1646" s="363"/>
      <c r="R1646" s="428">
        <f t="shared" ref="R1646:R1656" si="72">P1646-Q1646</f>
        <v>0</v>
      </c>
      <c r="S1646" s="428" t="e">
        <f>VLOOKUP(H1646,'Fund Utilization Report'!$A$4:$U$1800,13,FALSE)</f>
        <v>#N/A</v>
      </c>
      <c r="T1646" s="428" t="e">
        <f>VLOOKUP(H1646,'Fund Utilization Report'!$A$4:$U$1800,2,FALSE)</f>
        <v>#N/A</v>
      </c>
      <c r="U1646" s="428" t="e">
        <f>VLOOKUP(H1646,'Fund Utilization Report'!$A$4:$U$1800,3,FALSE)</f>
        <v>#N/A</v>
      </c>
      <c r="V1646" s="428" t="e">
        <f>VLOOKUP(H1646,'Fund Utilization Report'!$A$4:$U$1800,4,FALSE)</f>
        <v>#N/A</v>
      </c>
      <c r="W1646" s="428" t="e">
        <f>VLOOKUP(H1646,'Fund Utilization Report'!$A$4:$U$1800,5,FALSE)</f>
        <v>#N/A</v>
      </c>
      <c r="X1646" s="428" t="e">
        <f>VLOOKUP(H1646,'Fund Utilization Report'!$A$4:$U$1800,6,FALSE)</f>
        <v>#N/A</v>
      </c>
      <c r="Y1646" s="320" t="e">
        <f>VLOOKUP(H1646,'Fund Utilization Report'!$A$4:$U$1800,7,FALSE)</f>
        <v>#N/A</v>
      </c>
      <c r="Z1646" s="425" t="e">
        <f>VLOOKUP(H1646,'Fund Utilization Report'!$A$4:$U$1800,8,FALSE)</f>
        <v>#N/A</v>
      </c>
      <c r="AA1646" s="428" t="e">
        <f>VLOOKUP(H1646,'Fund Utilization Report'!$A$4:$U$1800,14,FALSE)</f>
        <v>#N/A</v>
      </c>
      <c r="AB1646" s="349" t="e">
        <f>VLOOKUP(H1646,'Fund Utilization Report'!$A$4:$U$1800,15,FALSE)</f>
        <v>#N/A</v>
      </c>
      <c r="AC1646" s="39"/>
      <c r="AD1646" s="34"/>
      <c r="AE1646" s="39"/>
      <c r="AF1646" s="51"/>
      <c r="AG1646" s="442"/>
      <c r="AH1646" s="442"/>
      <c r="AI1646" s="443"/>
    </row>
    <row r="1647" spans="1:35" s="32" customFormat="1">
      <c r="A1647" s="338"/>
      <c r="B1647" s="338"/>
      <c r="C1647" s="358"/>
      <c r="D1647" s="351"/>
      <c r="E1647" s="366"/>
      <c r="F1647" s="338"/>
      <c r="G1647" s="338"/>
      <c r="H1647" s="338"/>
      <c r="I1647" s="353"/>
      <c r="J1647" s="338" t="str">
        <f>IFERROR(VLOOKUP(I1647,'Chart of accounts'!A:H,2,FALSE),"")</f>
        <v/>
      </c>
      <c r="K1647" s="338" t="str">
        <f>IFERROR(VLOOKUP(I1647,'Chart of accounts'!A:H,3,FALSE),"")</f>
        <v/>
      </c>
      <c r="L1647" s="338" t="str">
        <f>IFERROR(VLOOKUP(I1647,'Chart of accounts'!A:H,4,FALSE),"")</f>
        <v/>
      </c>
      <c r="M1647" s="361"/>
      <c r="N1647" s="355"/>
      <c r="O1647" s="355"/>
      <c r="P1647" s="355"/>
      <c r="Q1647" s="363"/>
      <c r="R1647" s="428">
        <f t="shared" si="72"/>
        <v>0</v>
      </c>
      <c r="S1647" s="428" t="e">
        <f>VLOOKUP(H1647,'Fund Utilization Report'!$A$4:$U$1800,13,FALSE)</f>
        <v>#N/A</v>
      </c>
      <c r="T1647" s="428" t="e">
        <f>VLOOKUP(H1647,'Fund Utilization Report'!$A$4:$U$1800,2,FALSE)</f>
        <v>#N/A</v>
      </c>
      <c r="U1647" s="428" t="e">
        <f>VLOOKUP(H1647,'Fund Utilization Report'!$A$4:$U$1800,3,FALSE)</f>
        <v>#N/A</v>
      </c>
      <c r="V1647" s="428" t="e">
        <f>VLOOKUP(H1647,'Fund Utilization Report'!$A$4:$U$1800,4,FALSE)</f>
        <v>#N/A</v>
      </c>
      <c r="W1647" s="428" t="e">
        <f>VLOOKUP(H1647,'Fund Utilization Report'!$A$4:$U$1800,5,FALSE)</f>
        <v>#N/A</v>
      </c>
      <c r="X1647" s="428" t="e">
        <f>VLOOKUP(H1647,'Fund Utilization Report'!$A$4:$U$1800,6,FALSE)</f>
        <v>#N/A</v>
      </c>
      <c r="Y1647" s="320" t="e">
        <f>VLOOKUP(H1647,'Fund Utilization Report'!$A$4:$U$1800,7,FALSE)</f>
        <v>#N/A</v>
      </c>
      <c r="Z1647" s="425" t="e">
        <f>VLOOKUP(H1647,'Fund Utilization Report'!$A$4:$U$1800,8,FALSE)</f>
        <v>#N/A</v>
      </c>
      <c r="AA1647" s="428" t="e">
        <f>VLOOKUP(H1647,'Fund Utilization Report'!$A$4:$U$1800,14,FALSE)</f>
        <v>#N/A</v>
      </c>
      <c r="AB1647" s="349" t="e">
        <f>VLOOKUP(H1647,'Fund Utilization Report'!$A$4:$U$1800,15,FALSE)</f>
        <v>#N/A</v>
      </c>
      <c r="AC1647" s="39"/>
      <c r="AD1647" s="34"/>
      <c r="AE1647" s="39"/>
      <c r="AF1647" s="51"/>
      <c r="AG1647" s="442"/>
      <c r="AH1647" s="442"/>
      <c r="AI1647" s="443"/>
    </row>
    <row r="1648" spans="1:35" s="32" customFormat="1">
      <c r="A1648" s="338"/>
      <c r="B1648" s="338"/>
      <c r="C1648" s="358"/>
      <c r="D1648" s="351"/>
      <c r="E1648" s="366"/>
      <c r="F1648" s="338"/>
      <c r="G1648" s="338"/>
      <c r="H1648" s="338"/>
      <c r="I1648" s="353"/>
      <c r="J1648" s="338" t="str">
        <f>IFERROR(VLOOKUP(I1648,'Chart of accounts'!A:H,2,FALSE),"")</f>
        <v/>
      </c>
      <c r="K1648" s="338" t="str">
        <f>IFERROR(VLOOKUP(I1648,'Chart of accounts'!A:H,3,FALSE),"")</f>
        <v/>
      </c>
      <c r="L1648" s="338" t="str">
        <f>IFERROR(VLOOKUP(I1648,'Chart of accounts'!A:H,4,FALSE),"")</f>
        <v/>
      </c>
      <c r="M1648" s="361"/>
      <c r="N1648" s="355"/>
      <c r="O1648" s="355"/>
      <c r="P1648" s="355"/>
      <c r="Q1648" s="363"/>
      <c r="R1648" s="428">
        <f t="shared" si="72"/>
        <v>0</v>
      </c>
      <c r="S1648" s="428" t="e">
        <f>VLOOKUP(H1648,'Fund Utilization Report'!$A$4:$U$1800,13,FALSE)</f>
        <v>#N/A</v>
      </c>
      <c r="T1648" s="428" t="e">
        <f>VLOOKUP(H1648,'Fund Utilization Report'!$A$4:$U$1800,2,FALSE)</f>
        <v>#N/A</v>
      </c>
      <c r="U1648" s="428" t="e">
        <f>VLOOKUP(H1648,'Fund Utilization Report'!$A$4:$U$1800,3,FALSE)</f>
        <v>#N/A</v>
      </c>
      <c r="V1648" s="428" t="e">
        <f>VLOOKUP(H1648,'Fund Utilization Report'!$A$4:$U$1800,4,FALSE)</f>
        <v>#N/A</v>
      </c>
      <c r="W1648" s="428" t="e">
        <f>VLOOKUP(H1648,'Fund Utilization Report'!$A$4:$U$1800,5,FALSE)</f>
        <v>#N/A</v>
      </c>
      <c r="X1648" s="428" t="e">
        <f>VLOOKUP(H1648,'Fund Utilization Report'!$A$4:$U$1800,6,FALSE)</f>
        <v>#N/A</v>
      </c>
      <c r="Y1648" s="320" t="e">
        <f>VLOOKUP(H1648,'Fund Utilization Report'!$A$4:$U$1800,7,FALSE)</f>
        <v>#N/A</v>
      </c>
      <c r="Z1648" s="425" t="e">
        <f>VLOOKUP(H1648,'Fund Utilization Report'!$A$4:$U$1800,8,FALSE)</f>
        <v>#N/A</v>
      </c>
      <c r="AA1648" s="428" t="e">
        <f>VLOOKUP(H1648,'Fund Utilization Report'!$A$4:$U$1800,14,FALSE)</f>
        <v>#N/A</v>
      </c>
      <c r="AB1648" s="349" t="e">
        <f>VLOOKUP(H1648,'Fund Utilization Report'!$A$4:$U$1800,15,FALSE)</f>
        <v>#N/A</v>
      </c>
      <c r="AC1648" s="39"/>
      <c r="AD1648" s="34"/>
      <c r="AE1648" s="39"/>
      <c r="AF1648" s="51"/>
      <c r="AG1648" s="442"/>
      <c r="AH1648" s="442"/>
      <c r="AI1648" s="443"/>
    </row>
    <row r="1649" spans="1:35" s="32" customFormat="1">
      <c r="A1649" s="338"/>
      <c r="B1649" s="338"/>
      <c r="C1649" s="358"/>
      <c r="D1649" s="351"/>
      <c r="E1649" s="366"/>
      <c r="F1649" s="338"/>
      <c r="G1649" s="338"/>
      <c r="H1649" s="338"/>
      <c r="I1649" s="353"/>
      <c r="J1649" s="338" t="str">
        <f>IFERROR(VLOOKUP(I1649,'Chart of accounts'!A:H,2,FALSE),"")</f>
        <v/>
      </c>
      <c r="K1649" s="338" t="str">
        <f>IFERROR(VLOOKUP(I1649,'Chart of accounts'!A:H,3,FALSE),"")</f>
        <v/>
      </c>
      <c r="L1649" s="338" t="str">
        <f>IFERROR(VLOOKUP(I1649,'Chart of accounts'!A:H,4,FALSE),"")</f>
        <v/>
      </c>
      <c r="M1649" s="361"/>
      <c r="N1649" s="355"/>
      <c r="O1649" s="355"/>
      <c r="P1649" s="355"/>
      <c r="Q1649" s="363"/>
      <c r="R1649" s="428">
        <f t="shared" si="72"/>
        <v>0</v>
      </c>
      <c r="S1649" s="428" t="e">
        <f>VLOOKUP(H1649,'Fund Utilization Report'!$A$4:$U$1800,13,FALSE)</f>
        <v>#N/A</v>
      </c>
      <c r="T1649" s="428" t="e">
        <f>VLOOKUP(H1649,'Fund Utilization Report'!$A$4:$U$1800,2,FALSE)</f>
        <v>#N/A</v>
      </c>
      <c r="U1649" s="428" t="e">
        <f>VLOOKUP(H1649,'Fund Utilization Report'!$A$4:$U$1800,3,FALSE)</f>
        <v>#N/A</v>
      </c>
      <c r="V1649" s="428" t="e">
        <f>VLOOKUP(H1649,'Fund Utilization Report'!$A$4:$U$1800,4,FALSE)</f>
        <v>#N/A</v>
      </c>
      <c r="W1649" s="428" t="e">
        <f>VLOOKUP(H1649,'Fund Utilization Report'!$A$4:$U$1800,5,FALSE)</f>
        <v>#N/A</v>
      </c>
      <c r="X1649" s="428" t="e">
        <f>VLOOKUP(H1649,'Fund Utilization Report'!$A$4:$U$1800,6,FALSE)</f>
        <v>#N/A</v>
      </c>
      <c r="Y1649" s="320" t="e">
        <f>VLOOKUP(H1649,'Fund Utilization Report'!$A$4:$U$1800,7,FALSE)</f>
        <v>#N/A</v>
      </c>
      <c r="Z1649" s="425" t="e">
        <f>VLOOKUP(H1649,'Fund Utilization Report'!$A$4:$U$1800,8,FALSE)</f>
        <v>#N/A</v>
      </c>
      <c r="AA1649" s="428" t="e">
        <f>VLOOKUP(H1649,'Fund Utilization Report'!$A$4:$U$1800,14,FALSE)</f>
        <v>#N/A</v>
      </c>
      <c r="AB1649" s="349" t="e">
        <f>VLOOKUP(H1649,'Fund Utilization Report'!$A$4:$U$1800,15,FALSE)</f>
        <v>#N/A</v>
      </c>
      <c r="AC1649" s="39"/>
      <c r="AD1649" s="34"/>
      <c r="AE1649" s="39"/>
      <c r="AF1649" s="51"/>
      <c r="AG1649" s="442"/>
      <c r="AH1649" s="442"/>
      <c r="AI1649" s="443"/>
    </row>
    <row r="1650" spans="1:35" s="32" customFormat="1">
      <c r="A1650" s="338"/>
      <c r="B1650" s="338"/>
      <c r="C1650" s="358"/>
      <c r="D1650" s="351"/>
      <c r="E1650" s="366"/>
      <c r="F1650" s="338"/>
      <c r="G1650" s="338"/>
      <c r="H1650" s="338"/>
      <c r="I1650" s="353"/>
      <c r="J1650" s="338" t="str">
        <f>IFERROR(VLOOKUP(I1650,'Chart of accounts'!A:H,2,FALSE),"")</f>
        <v/>
      </c>
      <c r="K1650" s="338" t="str">
        <f>IFERROR(VLOOKUP(I1650,'Chart of accounts'!A:H,3,FALSE),"")</f>
        <v/>
      </c>
      <c r="L1650" s="338" t="str">
        <f>IFERROR(VLOOKUP(I1650,'Chart of accounts'!A:H,4,FALSE),"")</f>
        <v/>
      </c>
      <c r="M1650" s="361"/>
      <c r="N1650" s="355"/>
      <c r="O1650" s="355"/>
      <c r="P1650" s="355"/>
      <c r="Q1650" s="363"/>
      <c r="R1650" s="428">
        <f t="shared" si="72"/>
        <v>0</v>
      </c>
      <c r="S1650" s="428" t="e">
        <f>VLOOKUP(H1650,'Fund Utilization Report'!$A$4:$U$1800,13,FALSE)</f>
        <v>#N/A</v>
      </c>
      <c r="T1650" s="428" t="e">
        <f>VLOOKUP(H1650,'Fund Utilization Report'!$A$4:$U$1800,2,FALSE)</f>
        <v>#N/A</v>
      </c>
      <c r="U1650" s="428" t="e">
        <f>VLOOKUP(H1650,'Fund Utilization Report'!$A$4:$U$1800,3,FALSE)</f>
        <v>#N/A</v>
      </c>
      <c r="V1650" s="428" t="e">
        <f>VLOOKUP(H1650,'Fund Utilization Report'!$A$4:$U$1800,4,FALSE)</f>
        <v>#N/A</v>
      </c>
      <c r="W1650" s="428" t="e">
        <f>VLOOKUP(H1650,'Fund Utilization Report'!$A$4:$U$1800,5,FALSE)</f>
        <v>#N/A</v>
      </c>
      <c r="X1650" s="428" t="e">
        <f>VLOOKUP(H1650,'Fund Utilization Report'!$A$4:$U$1800,6,FALSE)</f>
        <v>#N/A</v>
      </c>
      <c r="Y1650" s="320" t="e">
        <f>VLOOKUP(H1650,'Fund Utilization Report'!$A$4:$U$1800,7,FALSE)</f>
        <v>#N/A</v>
      </c>
      <c r="Z1650" s="425" t="e">
        <f>VLOOKUP(H1650,'Fund Utilization Report'!$A$4:$U$1800,8,FALSE)</f>
        <v>#N/A</v>
      </c>
      <c r="AA1650" s="428" t="e">
        <f>VLOOKUP(H1650,'Fund Utilization Report'!$A$4:$U$1800,14,FALSE)</f>
        <v>#N/A</v>
      </c>
      <c r="AB1650" s="349" t="e">
        <f>VLOOKUP(H1650,'Fund Utilization Report'!$A$4:$U$1800,15,FALSE)</f>
        <v>#N/A</v>
      </c>
      <c r="AC1650" s="39"/>
      <c r="AD1650" s="34"/>
      <c r="AE1650" s="39"/>
      <c r="AF1650" s="51"/>
      <c r="AG1650" s="442"/>
      <c r="AH1650" s="442"/>
      <c r="AI1650" s="443"/>
    </row>
    <row r="1651" spans="1:35" s="32" customFormat="1">
      <c r="A1651" s="338"/>
      <c r="B1651" s="338"/>
      <c r="C1651" s="358"/>
      <c r="D1651" s="351"/>
      <c r="E1651" s="366"/>
      <c r="F1651" s="338"/>
      <c r="G1651" s="338"/>
      <c r="H1651" s="338"/>
      <c r="I1651" s="353"/>
      <c r="J1651" s="338" t="str">
        <f>IFERROR(VLOOKUP(I1651,'Chart of accounts'!A:H,2,FALSE),"")</f>
        <v/>
      </c>
      <c r="K1651" s="338" t="str">
        <f>IFERROR(VLOOKUP(I1651,'Chart of accounts'!A:H,3,FALSE),"")</f>
        <v/>
      </c>
      <c r="L1651" s="338" t="str">
        <f>IFERROR(VLOOKUP(I1651,'Chart of accounts'!A:H,4,FALSE),"")</f>
        <v/>
      </c>
      <c r="M1651" s="361"/>
      <c r="N1651" s="355"/>
      <c r="O1651" s="355"/>
      <c r="P1651" s="355"/>
      <c r="Q1651" s="363"/>
      <c r="R1651" s="428">
        <f t="shared" si="72"/>
        <v>0</v>
      </c>
      <c r="S1651" s="428" t="e">
        <f>VLOOKUP(H1651,'Fund Utilization Report'!$A$4:$U$1800,13,FALSE)</f>
        <v>#N/A</v>
      </c>
      <c r="T1651" s="428" t="e">
        <f>VLOOKUP(H1651,'Fund Utilization Report'!$A$4:$U$1800,2,FALSE)</f>
        <v>#N/A</v>
      </c>
      <c r="U1651" s="428" t="e">
        <f>VLOOKUP(H1651,'Fund Utilization Report'!$A$4:$U$1800,3,FALSE)</f>
        <v>#N/A</v>
      </c>
      <c r="V1651" s="428" t="e">
        <f>VLOOKUP(H1651,'Fund Utilization Report'!$A$4:$U$1800,4,FALSE)</f>
        <v>#N/A</v>
      </c>
      <c r="W1651" s="428" t="e">
        <f>VLOOKUP(H1651,'Fund Utilization Report'!$A$4:$U$1800,5,FALSE)</f>
        <v>#N/A</v>
      </c>
      <c r="X1651" s="428" t="e">
        <f>VLOOKUP(H1651,'Fund Utilization Report'!$A$4:$U$1800,6,FALSE)</f>
        <v>#N/A</v>
      </c>
      <c r="Y1651" s="320" t="e">
        <f>VLOOKUP(H1651,'Fund Utilization Report'!$A$4:$U$1800,7,FALSE)</f>
        <v>#N/A</v>
      </c>
      <c r="Z1651" s="425" t="e">
        <f>VLOOKUP(H1651,'Fund Utilization Report'!$A$4:$U$1800,8,FALSE)</f>
        <v>#N/A</v>
      </c>
      <c r="AA1651" s="428" t="e">
        <f>VLOOKUP(H1651,'Fund Utilization Report'!$A$4:$U$1800,14,FALSE)</f>
        <v>#N/A</v>
      </c>
      <c r="AB1651" s="349" t="e">
        <f>VLOOKUP(H1651,'Fund Utilization Report'!$A$4:$U$1800,15,FALSE)</f>
        <v>#N/A</v>
      </c>
      <c r="AC1651" s="39"/>
      <c r="AD1651" s="34"/>
      <c r="AE1651" s="39"/>
      <c r="AF1651" s="51"/>
      <c r="AG1651" s="442"/>
      <c r="AH1651" s="442"/>
      <c r="AI1651" s="443"/>
    </row>
    <row r="1652" spans="1:35" s="32" customFormat="1">
      <c r="A1652" s="338"/>
      <c r="B1652" s="338"/>
      <c r="C1652" s="358"/>
      <c r="D1652" s="351"/>
      <c r="E1652" s="366"/>
      <c r="F1652" s="338"/>
      <c r="G1652" s="338"/>
      <c r="H1652" s="338"/>
      <c r="I1652" s="353"/>
      <c r="J1652" s="338" t="str">
        <f>IFERROR(VLOOKUP(I1652,'Chart of accounts'!A:H,2,FALSE),"")</f>
        <v/>
      </c>
      <c r="K1652" s="338" t="str">
        <f>IFERROR(VLOOKUP(I1652,'Chart of accounts'!A:H,3,FALSE),"")</f>
        <v/>
      </c>
      <c r="L1652" s="338" t="str">
        <f>IFERROR(VLOOKUP(I1652,'Chart of accounts'!A:H,4,FALSE),"")</f>
        <v/>
      </c>
      <c r="M1652" s="361"/>
      <c r="N1652" s="355"/>
      <c r="O1652" s="355"/>
      <c r="P1652" s="355"/>
      <c r="Q1652" s="363"/>
      <c r="R1652" s="428">
        <f t="shared" si="72"/>
        <v>0</v>
      </c>
      <c r="S1652" s="428" t="e">
        <f>VLOOKUP(H1652,'Fund Utilization Report'!$A$4:$U$1800,13,FALSE)</f>
        <v>#N/A</v>
      </c>
      <c r="T1652" s="428" t="e">
        <f>VLOOKUP(H1652,'Fund Utilization Report'!$A$4:$U$1800,2,FALSE)</f>
        <v>#N/A</v>
      </c>
      <c r="U1652" s="428" t="e">
        <f>VLOOKUP(H1652,'Fund Utilization Report'!$A$4:$U$1800,3,FALSE)</f>
        <v>#N/A</v>
      </c>
      <c r="V1652" s="428" t="e">
        <f>VLOOKUP(H1652,'Fund Utilization Report'!$A$4:$U$1800,4,FALSE)</f>
        <v>#N/A</v>
      </c>
      <c r="W1652" s="428" t="e">
        <f>VLOOKUP(H1652,'Fund Utilization Report'!$A$4:$U$1800,5,FALSE)</f>
        <v>#N/A</v>
      </c>
      <c r="X1652" s="428" t="e">
        <f>VLOOKUP(H1652,'Fund Utilization Report'!$A$4:$U$1800,6,FALSE)</f>
        <v>#N/A</v>
      </c>
      <c r="Y1652" s="320" t="e">
        <f>VLOOKUP(H1652,'Fund Utilization Report'!$A$4:$U$1800,7,FALSE)</f>
        <v>#N/A</v>
      </c>
      <c r="Z1652" s="425" t="e">
        <f>VLOOKUP(H1652,'Fund Utilization Report'!$A$4:$U$1800,8,FALSE)</f>
        <v>#N/A</v>
      </c>
      <c r="AA1652" s="428" t="e">
        <f>VLOOKUP(H1652,'Fund Utilization Report'!$A$4:$U$1800,14,FALSE)</f>
        <v>#N/A</v>
      </c>
      <c r="AB1652" s="349" t="e">
        <f>VLOOKUP(H1652,'Fund Utilization Report'!$A$4:$U$1800,15,FALSE)</f>
        <v>#N/A</v>
      </c>
      <c r="AC1652" s="39"/>
      <c r="AD1652" s="34"/>
      <c r="AE1652" s="39"/>
      <c r="AF1652" s="51"/>
      <c r="AG1652" s="442"/>
      <c r="AH1652" s="442"/>
      <c r="AI1652" s="443"/>
    </row>
    <row r="1653" spans="1:35" s="32" customFormat="1">
      <c r="A1653" s="338"/>
      <c r="B1653" s="338"/>
      <c r="C1653" s="358"/>
      <c r="D1653" s="351"/>
      <c r="E1653" s="366"/>
      <c r="F1653" s="338"/>
      <c r="G1653" s="338"/>
      <c r="H1653" s="338"/>
      <c r="I1653" s="353"/>
      <c r="J1653" s="338" t="str">
        <f>IFERROR(VLOOKUP(I1653,'Chart of accounts'!A:H,2,FALSE),"")</f>
        <v/>
      </c>
      <c r="K1653" s="338" t="str">
        <f>IFERROR(VLOOKUP(I1653,'Chart of accounts'!A:H,3,FALSE),"")</f>
        <v/>
      </c>
      <c r="L1653" s="338" t="str">
        <f>IFERROR(VLOOKUP(I1653,'Chart of accounts'!A:H,4,FALSE),"")</f>
        <v/>
      </c>
      <c r="M1653" s="361"/>
      <c r="N1653" s="355"/>
      <c r="O1653" s="355"/>
      <c r="P1653" s="355"/>
      <c r="Q1653" s="363"/>
      <c r="R1653" s="428">
        <f t="shared" si="72"/>
        <v>0</v>
      </c>
      <c r="S1653" s="428" t="e">
        <f>VLOOKUP(H1653,'Fund Utilization Report'!$A$4:$U$1800,13,FALSE)</f>
        <v>#N/A</v>
      </c>
      <c r="T1653" s="428" t="e">
        <f>VLOOKUP(H1653,'Fund Utilization Report'!$A$4:$U$1800,2,FALSE)</f>
        <v>#N/A</v>
      </c>
      <c r="U1653" s="428" t="e">
        <f>VLOOKUP(H1653,'Fund Utilization Report'!$A$4:$U$1800,3,FALSE)</f>
        <v>#N/A</v>
      </c>
      <c r="V1653" s="428" t="e">
        <f>VLOOKUP(H1653,'Fund Utilization Report'!$A$4:$U$1800,4,FALSE)</f>
        <v>#N/A</v>
      </c>
      <c r="W1653" s="428" t="e">
        <f>VLOOKUP(H1653,'Fund Utilization Report'!$A$4:$U$1800,5,FALSE)</f>
        <v>#N/A</v>
      </c>
      <c r="X1653" s="428" t="e">
        <f>VLOOKUP(H1653,'Fund Utilization Report'!$A$4:$U$1800,6,FALSE)</f>
        <v>#N/A</v>
      </c>
      <c r="Y1653" s="320" t="e">
        <f>VLOOKUP(H1653,'Fund Utilization Report'!$A$4:$U$1800,7,FALSE)</f>
        <v>#N/A</v>
      </c>
      <c r="Z1653" s="425" t="e">
        <f>VLOOKUP(H1653,'Fund Utilization Report'!$A$4:$U$1800,8,FALSE)</f>
        <v>#N/A</v>
      </c>
      <c r="AA1653" s="428" t="e">
        <f>VLOOKUP(H1653,'Fund Utilization Report'!$A$4:$U$1800,14,FALSE)</f>
        <v>#N/A</v>
      </c>
      <c r="AB1653" s="349" t="e">
        <f>VLOOKUP(H1653,'Fund Utilization Report'!$A$4:$U$1800,15,FALSE)</f>
        <v>#N/A</v>
      </c>
      <c r="AC1653" s="39"/>
      <c r="AD1653" s="34"/>
      <c r="AE1653" s="39"/>
      <c r="AF1653" s="51"/>
      <c r="AG1653" s="442"/>
      <c r="AH1653" s="442"/>
      <c r="AI1653" s="443"/>
    </row>
    <row r="1654" spans="1:35" s="32" customFormat="1">
      <c r="A1654" s="338"/>
      <c r="B1654" s="338"/>
      <c r="C1654" s="358"/>
      <c r="D1654" s="351"/>
      <c r="E1654" s="366"/>
      <c r="F1654" s="338"/>
      <c r="G1654" s="338"/>
      <c r="H1654" s="338"/>
      <c r="I1654" s="353"/>
      <c r="J1654" s="338" t="str">
        <f>IFERROR(VLOOKUP(I1654,'Chart of accounts'!A:H,2,FALSE),"")</f>
        <v/>
      </c>
      <c r="K1654" s="338" t="str">
        <f>IFERROR(VLOOKUP(I1654,'Chart of accounts'!A:H,3,FALSE),"")</f>
        <v/>
      </c>
      <c r="L1654" s="338" t="str">
        <f>IFERROR(VLOOKUP(I1654,'Chart of accounts'!A:H,4,FALSE),"")</f>
        <v/>
      </c>
      <c r="M1654" s="361"/>
      <c r="N1654" s="355"/>
      <c r="O1654" s="355"/>
      <c r="P1654" s="355"/>
      <c r="Q1654" s="363"/>
      <c r="R1654" s="428">
        <f t="shared" si="72"/>
        <v>0</v>
      </c>
      <c r="S1654" s="428" t="e">
        <f>VLOOKUP(H1654,'Fund Utilization Report'!$A$4:$U$1800,13,FALSE)</f>
        <v>#N/A</v>
      </c>
      <c r="T1654" s="428" t="e">
        <f>VLOOKUP(H1654,'Fund Utilization Report'!$A$4:$U$1800,2,FALSE)</f>
        <v>#N/A</v>
      </c>
      <c r="U1654" s="428" t="e">
        <f>VLOOKUP(H1654,'Fund Utilization Report'!$A$4:$U$1800,3,FALSE)</f>
        <v>#N/A</v>
      </c>
      <c r="V1654" s="428" t="e">
        <f>VLOOKUP(H1654,'Fund Utilization Report'!$A$4:$U$1800,4,FALSE)</f>
        <v>#N/A</v>
      </c>
      <c r="W1654" s="428" t="e">
        <f>VLOOKUP(H1654,'Fund Utilization Report'!$A$4:$U$1800,5,FALSE)</f>
        <v>#N/A</v>
      </c>
      <c r="X1654" s="428" t="e">
        <f>VLOOKUP(H1654,'Fund Utilization Report'!$A$4:$U$1800,6,FALSE)</f>
        <v>#N/A</v>
      </c>
      <c r="Y1654" s="320" t="e">
        <f>VLOOKUP(H1654,'Fund Utilization Report'!$A$4:$U$1800,7,FALSE)</f>
        <v>#N/A</v>
      </c>
      <c r="Z1654" s="425" t="e">
        <f>VLOOKUP(H1654,'Fund Utilization Report'!$A$4:$U$1800,8,FALSE)</f>
        <v>#N/A</v>
      </c>
      <c r="AA1654" s="428" t="e">
        <f>VLOOKUP(H1654,'Fund Utilization Report'!$A$4:$U$1800,14,FALSE)</f>
        <v>#N/A</v>
      </c>
      <c r="AB1654" s="349" t="e">
        <f>VLOOKUP(H1654,'Fund Utilization Report'!$A$4:$U$1800,15,FALSE)</f>
        <v>#N/A</v>
      </c>
      <c r="AC1654" s="39"/>
      <c r="AD1654" s="34"/>
      <c r="AE1654" s="39"/>
      <c r="AF1654" s="51"/>
      <c r="AG1654" s="442"/>
      <c r="AH1654" s="442"/>
      <c r="AI1654" s="443"/>
    </row>
    <row r="1655" spans="1:35" s="32" customFormat="1">
      <c r="A1655" s="338"/>
      <c r="B1655" s="338"/>
      <c r="C1655" s="358"/>
      <c r="D1655" s="351"/>
      <c r="E1655" s="366"/>
      <c r="F1655" s="338"/>
      <c r="G1655" s="338"/>
      <c r="H1655" s="338"/>
      <c r="I1655" s="353"/>
      <c r="J1655" s="338" t="str">
        <f>IFERROR(VLOOKUP(I1655,'Chart of accounts'!A:H,2,FALSE),"")</f>
        <v/>
      </c>
      <c r="K1655" s="338" t="str">
        <f>IFERROR(VLOOKUP(I1655,'Chart of accounts'!A:H,3,FALSE),"")</f>
        <v/>
      </c>
      <c r="L1655" s="338" t="str">
        <f>IFERROR(VLOOKUP(I1655,'Chart of accounts'!A:H,4,FALSE),"")</f>
        <v/>
      </c>
      <c r="M1655" s="361"/>
      <c r="N1655" s="355"/>
      <c r="O1655" s="355"/>
      <c r="P1655" s="355"/>
      <c r="Q1655" s="363"/>
      <c r="R1655" s="428">
        <f t="shared" si="72"/>
        <v>0</v>
      </c>
      <c r="S1655" s="428" t="e">
        <f>VLOOKUP(H1655,'Fund Utilization Report'!$A$4:$U$1800,13,FALSE)</f>
        <v>#N/A</v>
      </c>
      <c r="T1655" s="428" t="e">
        <f>VLOOKUP(H1655,'Fund Utilization Report'!$A$4:$U$1800,2,FALSE)</f>
        <v>#N/A</v>
      </c>
      <c r="U1655" s="428" t="e">
        <f>VLOOKUP(H1655,'Fund Utilization Report'!$A$4:$U$1800,3,FALSE)</f>
        <v>#N/A</v>
      </c>
      <c r="V1655" s="428" t="e">
        <f>VLOOKUP(H1655,'Fund Utilization Report'!$A$4:$U$1800,4,FALSE)</f>
        <v>#N/A</v>
      </c>
      <c r="W1655" s="428" t="e">
        <f>VLOOKUP(H1655,'Fund Utilization Report'!$A$4:$U$1800,5,FALSE)</f>
        <v>#N/A</v>
      </c>
      <c r="X1655" s="428" t="e">
        <f>VLOOKUP(H1655,'Fund Utilization Report'!$A$4:$U$1800,6,FALSE)</f>
        <v>#N/A</v>
      </c>
      <c r="Y1655" s="320" t="e">
        <f>VLOOKUP(H1655,'Fund Utilization Report'!$A$4:$U$1800,7,FALSE)</f>
        <v>#N/A</v>
      </c>
      <c r="Z1655" s="425" t="e">
        <f>VLOOKUP(H1655,'Fund Utilization Report'!$A$4:$U$1800,8,FALSE)</f>
        <v>#N/A</v>
      </c>
      <c r="AA1655" s="428" t="e">
        <f>VLOOKUP(H1655,'Fund Utilization Report'!$A$4:$U$1800,14,FALSE)</f>
        <v>#N/A</v>
      </c>
      <c r="AB1655" s="349" t="e">
        <f>VLOOKUP(H1655,'Fund Utilization Report'!$A$4:$U$1800,15,FALSE)</f>
        <v>#N/A</v>
      </c>
      <c r="AC1655" s="39"/>
      <c r="AD1655" s="34"/>
      <c r="AE1655" s="39"/>
      <c r="AF1655" s="51"/>
      <c r="AG1655" s="442"/>
      <c r="AH1655" s="442"/>
      <c r="AI1655" s="443"/>
    </row>
    <row r="1656" spans="1:35" s="32" customFormat="1">
      <c r="A1656" s="338"/>
      <c r="B1656" s="338"/>
      <c r="C1656" s="358"/>
      <c r="D1656" s="351"/>
      <c r="E1656" s="366"/>
      <c r="F1656" s="338"/>
      <c r="G1656" s="338"/>
      <c r="H1656" s="338"/>
      <c r="I1656" s="353"/>
      <c r="J1656" s="338" t="str">
        <f>IFERROR(VLOOKUP(I1656,'Chart of accounts'!A:H,2,FALSE),"")</f>
        <v/>
      </c>
      <c r="K1656" s="338" t="str">
        <f>IFERROR(VLOOKUP(I1656,'Chart of accounts'!A:H,3,FALSE),"")</f>
        <v/>
      </c>
      <c r="L1656" s="338" t="str">
        <f>IFERROR(VLOOKUP(I1656,'Chart of accounts'!A:H,4,FALSE),"")</f>
        <v/>
      </c>
      <c r="M1656" s="361"/>
      <c r="N1656" s="355"/>
      <c r="O1656" s="355"/>
      <c r="P1656" s="355"/>
      <c r="Q1656" s="363"/>
      <c r="R1656" s="428">
        <f t="shared" si="72"/>
        <v>0</v>
      </c>
      <c r="S1656" s="428" t="e">
        <f>VLOOKUP(H1656,'Fund Utilization Report'!$A$4:$U$1800,13,FALSE)</f>
        <v>#N/A</v>
      </c>
      <c r="T1656" s="428" t="e">
        <f>VLOOKUP(H1656,'Fund Utilization Report'!$A$4:$U$1800,2,FALSE)</f>
        <v>#N/A</v>
      </c>
      <c r="U1656" s="428" t="e">
        <f>VLOOKUP(H1656,'Fund Utilization Report'!$A$4:$U$1800,3,FALSE)</f>
        <v>#N/A</v>
      </c>
      <c r="V1656" s="428" t="e">
        <f>VLOOKUP(H1656,'Fund Utilization Report'!$A$4:$U$1800,4,FALSE)</f>
        <v>#N/A</v>
      </c>
      <c r="W1656" s="428" t="e">
        <f>VLOOKUP(H1656,'Fund Utilization Report'!$A$4:$U$1800,5,FALSE)</f>
        <v>#N/A</v>
      </c>
      <c r="X1656" s="428" t="e">
        <f>VLOOKUP(H1656,'Fund Utilization Report'!$A$4:$U$1800,6,FALSE)</f>
        <v>#N/A</v>
      </c>
      <c r="Y1656" s="320" t="e">
        <f>VLOOKUP(H1656,'Fund Utilization Report'!$A$4:$U$1800,7,FALSE)</f>
        <v>#N/A</v>
      </c>
      <c r="Z1656" s="425" t="e">
        <f>VLOOKUP(H1656,'Fund Utilization Report'!$A$4:$U$1800,8,FALSE)</f>
        <v>#N/A</v>
      </c>
      <c r="AA1656" s="428" t="e">
        <f>VLOOKUP(H1656,'Fund Utilization Report'!$A$4:$U$1800,14,FALSE)</f>
        <v>#N/A</v>
      </c>
      <c r="AB1656" s="349" t="e">
        <f>VLOOKUP(H1656,'Fund Utilization Report'!$A$4:$U$1800,15,FALSE)</f>
        <v>#N/A</v>
      </c>
      <c r="AC1656" s="39"/>
      <c r="AD1656" s="34"/>
      <c r="AE1656" s="39"/>
      <c r="AF1656" s="51"/>
      <c r="AG1656" s="442"/>
      <c r="AH1656" s="442"/>
      <c r="AI1656" s="443"/>
    </row>
    <row r="1657" spans="1:35" s="32" customFormat="1">
      <c r="A1657" s="338"/>
      <c r="B1657" s="338"/>
      <c r="C1657" s="358"/>
      <c r="D1657" s="351"/>
      <c r="E1657" s="366"/>
      <c r="F1657" s="338"/>
      <c r="G1657" s="338"/>
      <c r="H1657" s="338"/>
      <c r="I1657" s="353"/>
      <c r="J1657" s="338" t="str">
        <f>IFERROR(VLOOKUP(I1657,'Chart of accounts'!A:H,2,FALSE),"")</f>
        <v/>
      </c>
      <c r="K1657" s="338" t="str">
        <f>IFERROR(VLOOKUP(I1657,'Chart of accounts'!A:H,3,FALSE),"")</f>
        <v/>
      </c>
      <c r="L1657" s="338" t="str">
        <f>IFERROR(VLOOKUP(I1657,'Chart of accounts'!A:H,4,FALSE),"")</f>
        <v/>
      </c>
      <c r="M1657" s="361"/>
      <c r="N1657" s="355"/>
      <c r="O1657" s="355"/>
      <c r="P1657" s="355"/>
      <c r="Q1657" s="363"/>
      <c r="R1657" s="428">
        <f t="shared" ref="R1657:R1667" si="73">P1657-Q1657</f>
        <v>0</v>
      </c>
      <c r="S1657" s="428" t="e">
        <f>VLOOKUP(H1657,'Fund Utilization Report'!$A$4:$U$1800,13,FALSE)</f>
        <v>#N/A</v>
      </c>
      <c r="T1657" s="428" t="e">
        <f>VLOOKUP(H1657,'Fund Utilization Report'!$A$4:$U$1800,2,FALSE)</f>
        <v>#N/A</v>
      </c>
      <c r="U1657" s="428" t="e">
        <f>VLOOKUP(H1657,'Fund Utilization Report'!$A$4:$U$1800,3,FALSE)</f>
        <v>#N/A</v>
      </c>
      <c r="V1657" s="428" t="e">
        <f>VLOOKUP(H1657,'Fund Utilization Report'!$A$4:$U$1800,4,FALSE)</f>
        <v>#N/A</v>
      </c>
      <c r="W1657" s="428" t="e">
        <f>VLOOKUP(H1657,'Fund Utilization Report'!$A$4:$U$1800,5,FALSE)</f>
        <v>#N/A</v>
      </c>
      <c r="X1657" s="428" t="e">
        <f>VLOOKUP(H1657,'Fund Utilization Report'!$A$4:$U$1800,6,FALSE)</f>
        <v>#N/A</v>
      </c>
      <c r="Y1657" s="320" t="e">
        <f>VLOOKUP(H1657,'Fund Utilization Report'!$A$4:$U$1800,7,FALSE)</f>
        <v>#N/A</v>
      </c>
      <c r="Z1657" s="425" t="e">
        <f>VLOOKUP(H1657,'Fund Utilization Report'!$A$4:$U$1800,8,FALSE)</f>
        <v>#N/A</v>
      </c>
      <c r="AA1657" s="428" t="e">
        <f>VLOOKUP(H1657,'Fund Utilization Report'!$A$4:$U$1800,14,FALSE)</f>
        <v>#N/A</v>
      </c>
      <c r="AB1657" s="349" t="e">
        <f>VLOOKUP(H1657,'Fund Utilization Report'!$A$4:$U$1800,15,FALSE)</f>
        <v>#N/A</v>
      </c>
      <c r="AC1657" s="39"/>
      <c r="AD1657" s="34"/>
      <c r="AE1657" s="39"/>
      <c r="AF1657" s="51"/>
      <c r="AG1657" s="442"/>
      <c r="AH1657" s="442"/>
      <c r="AI1657" s="443"/>
    </row>
    <row r="1658" spans="1:35" s="32" customFormat="1">
      <c r="A1658" s="338"/>
      <c r="B1658" s="338"/>
      <c r="C1658" s="358"/>
      <c r="D1658" s="351"/>
      <c r="E1658" s="366"/>
      <c r="F1658" s="338"/>
      <c r="G1658" s="338"/>
      <c r="H1658" s="338"/>
      <c r="I1658" s="353"/>
      <c r="J1658" s="338" t="str">
        <f>IFERROR(VLOOKUP(I1658,'Chart of accounts'!A:H,2,FALSE),"")</f>
        <v/>
      </c>
      <c r="K1658" s="338" t="str">
        <f>IFERROR(VLOOKUP(I1658,'Chart of accounts'!A:H,3,FALSE),"")</f>
        <v/>
      </c>
      <c r="L1658" s="338" t="str">
        <f>IFERROR(VLOOKUP(I1658,'Chart of accounts'!A:H,4,FALSE),"")</f>
        <v/>
      </c>
      <c r="M1658" s="361"/>
      <c r="N1658" s="355"/>
      <c r="O1658" s="355"/>
      <c r="P1658" s="355"/>
      <c r="Q1658" s="363"/>
      <c r="R1658" s="428">
        <f t="shared" si="73"/>
        <v>0</v>
      </c>
      <c r="S1658" s="428" t="e">
        <f>VLOOKUP(H1658,'Fund Utilization Report'!$A$4:$U$1800,13,FALSE)</f>
        <v>#N/A</v>
      </c>
      <c r="T1658" s="428" t="e">
        <f>VLOOKUP(H1658,'Fund Utilization Report'!$A$4:$U$1800,2,FALSE)</f>
        <v>#N/A</v>
      </c>
      <c r="U1658" s="428" t="e">
        <f>VLOOKUP(H1658,'Fund Utilization Report'!$A$4:$U$1800,3,FALSE)</f>
        <v>#N/A</v>
      </c>
      <c r="V1658" s="428" t="e">
        <f>VLOOKUP(H1658,'Fund Utilization Report'!$A$4:$U$1800,4,FALSE)</f>
        <v>#N/A</v>
      </c>
      <c r="W1658" s="428" t="e">
        <f>VLOOKUP(H1658,'Fund Utilization Report'!$A$4:$U$1800,5,FALSE)</f>
        <v>#N/A</v>
      </c>
      <c r="X1658" s="428" t="e">
        <f>VLOOKUP(H1658,'Fund Utilization Report'!$A$4:$U$1800,6,FALSE)</f>
        <v>#N/A</v>
      </c>
      <c r="Y1658" s="320" t="e">
        <f>VLOOKUP(H1658,'Fund Utilization Report'!$A$4:$U$1800,7,FALSE)</f>
        <v>#N/A</v>
      </c>
      <c r="Z1658" s="425" t="e">
        <f>VLOOKUP(H1658,'Fund Utilization Report'!$A$4:$U$1800,8,FALSE)</f>
        <v>#N/A</v>
      </c>
      <c r="AA1658" s="428" t="e">
        <f>VLOOKUP(H1658,'Fund Utilization Report'!$A$4:$U$1800,14,FALSE)</f>
        <v>#N/A</v>
      </c>
      <c r="AB1658" s="349" t="e">
        <f>VLOOKUP(H1658,'Fund Utilization Report'!$A$4:$U$1800,15,FALSE)</f>
        <v>#N/A</v>
      </c>
      <c r="AC1658" s="39"/>
      <c r="AD1658" s="34"/>
      <c r="AE1658" s="39"/>
      <c r="AF1658" s="51"/>
      <c r="AG1658" s="442"/>
      <c r="AH1658" s="442"/>
      <c r="AI1658" s="443"/>
    </row>
    <row r="1659" spans="1:35" s="32" customFormat="1">
      <c r="A1659" s="338"/>
      <c r="B1659" s="338"/>
      <c r="C1659" s="358"/>
      <c r="D1659" s="351"/>
      <c r="E1659" s="366"/>
      <c r="F1659" s="338"/>
      <c r="G1659" s="338"/>
      <c r="H1659" s="338"/>
      <c r="I1659" s="353"/>
      <c r="J1659" s="338" t="str">
        <f>IFERROR(VLOOKUP(I1659,'Chart of accounts'!A:H,2,FALSE),"")</f>
        <v/>
      </c>
      <c r="K1659" s="338" t="str">
        <f>IFERROR(VLOOKUP(I1659,'Chart of accounts'!A:H,3,FALSE),"")</f>
        <v/>
      </c>
      <c r="L1659" s="338" t="str">
        <f>IFERROR(VLOOKUP(I1659,'Chart of accounts'!A:H,4,FALSE),"")</f>
        <v/>
      </c>
      <c r="M1659" s="361"/>
      <c r="N1659" s="355"/>
      <c r="O1659" s="355"/>
      <c r="P1659" s="355"/>
      <c r="Q1659" s="363"/>
      <c r="R1659" s="428">
        <f t="shared" si="73"/>
        <v>0</v>
      </c>
      <c r="S1659" s="428" t="e">
        <f>VLOOKUP(H1659,'Fund Utilization Report'!$A$4:$U$1800,13,FALSE)</f>
        <v>#N/A</v>
      </c>
      <c r="T1659" s="428" t="e">
        <f>VLOOKUP(H1659,'Fund Utilization Report'!$A$4:$U$1800,2,FALSE)</f>
        <v>#N/A</v>
      </c>
      <c r="U1659" s="428" t="e">
        <f>VLOOKUP(H1659,'Fund Utilization Report'!$A$4:$U$1800,3,FALSE)</f>
        <v>#N/A</v>
      </c>
      <c r="V1659" s="428" t="e">
        <f>VLOOKUP(H1659,'Fund Utilization Report'!$A$4:$U$1800,4,FALSE)</f>
        <v>#N/A</v>
      </c>
      <c r="W1659" s="428" t="e">
        <f>VLOOKUP(H1659,'Fund Utilization Report'!$A$4:$U$1800,5,FALSE)</f>
        <v>#N/A</v>
      </c>
      <c r="X1659" s="428" t="e">
        <f>VLOOKUP(H1659,'Fund Utilization Report'!$A$4:$U$1800,6,FALSE)</f>
        <v>#N/A</v>
      </c>
      <c r="Y1659" s="320" t="e">
        <f>VLOOKUP(H1659,'Fund Utilization Report'!$A$4:$U$1800,7,FALSE)</f>
        <v>#N/A</v>
      </c>
      <c r="Z1659" s="425" t="e">
        <f>VLOOKUP(H1659,'Fund Utilization Report'!$A$4:$U$1800,8,FALSE)</f>
        <v>#N/A</v>
      </c>
      <c r="AA1659" s="428" t="e">
        <f>VLOOKUP(H1659,'Fund Utilization Report'!$A$4:$U$1800,14,FALSE)</f>
        <v>#N/A</v>
      </c>
      <c r="AB1659" s="349" t="e">
        <f>VLOOKUP(H1659,'Fund Utilization Report'!$A$4:$U$1800,15,FALSE)</f>
        <v>#N/A</v>
      </c>
      <c r="AC1659" s="39"/>
      <c r="AD1659" s="34"/>
      <c r="AE1659" s="39"/>
      <c r="AF1659" s="51"/>
      <c r="AG1659" s="442"/>
      <c r="AH1659" s="442"/>
      <c r="AI1659" s="443"/>
    </row>
    <row r="1660" spans="1:35" s="32" customFormat="1">
      <c r="A1660" s="338"/>
      <c r="B1660" s="338"/>
      <c r="C1660" s="358"/>
      <c r="D1660" s="351"/>
      <c r="E1660" s="366"/>
      <c r="F1660" s="338"/>
      <c r="G1660" s="338"/>
      <c r="H1660" s="338"/>
      <c r="I1660" s="353"/>
      <c r="J1660" s="338" t="str">
        <f>IFERROR(VLOOKUP(I1660,'Chart of accounts'!A:H,2,FALSE),"")</f>
        <v/>
      </c>
      <c r="K1660" s="338" t="str">
        <f>IFERROR(VLOOKUP(I1660,'Chart of accounts'!A:H,3,FALSE),"")</f>
        <v/>
      </c>
      <c r="L1660" s="338" t="str">
        <f>IFERROR(VLOOKUP(I1660,'Chart of accounts'!A:H,4,FALSE),"")</f>
        <v/>
      </c>
      <c r="M1660" s="361"/>
      <c r="N1660" s="355"/>
      <c r="O1660" s="355"/>
      <c r="P1660" s="355"/>
      <c r="Q1660" s="363"/>
      <c r="R1660" s="428">
        <f t="shared" si="73"/>
        <v>0</v>
      </c>
      <c r="S1660" s="428" t="e">
        <f>VLOOKUP(H1660,'Fund Utilization Report'!$A$4:$U$1800,13,FALSE)</f>
        <v>#N/A</v>
      </c>
      <c r="T1660" s="428" t="e">
        <f>VLOOKUP(H1660,'Fund Utilization Report'!$A$4:$U$1800,2,FALSE)</f>
        <v>#N/A</v>
      </c>
      <c r="U1660" s="428" t="e">
        <f>VLOOKUP(H1660,'Fund Utilization Report'!$A$4:$U$1800,3,FALSE)</f>
        <v>#N/A</v>
      </c>
      <c r="V1660" s="428" t="e">
        <f>VLOOKUP(H1660,'Fund Utilization Report'!$A$4:$U$1800,4,FALSE)</f>
        <v>#N/A</v>
      </c>
      <c r="W1660" s="428" t="e">
        <f>VLOOKUP(H1660,'Fund Utilization Report'!$A$4:$U$1800,5,FALSE)</f>
        <v>#N/A</v>
      </c>
      <c r="X1660" s="428" t="e">
        <f>VLOOKUP(H1660,'Fund Utilization Report'!$A$4:$U$1800,6,FALSE)</f>
        <v>#N/A</v>
      </c>
      <c r="Y1660" s="320" t="e">
        <f>VLOOKUP(H1660,'Fund Utilization Report'!$A$4:$U$1800,7,FALSE)</f>
        <v>#N/A</v>
      </c>
      <c r="Z1660" s="425" t="e">
        <f>VLOOKUP(H1660,'Fund Utilization Report'!$A$4:$U$1800,8,FALSE)</f>
        <v>#N/A</v>
      </c>
      <c r="AA1660" s="428" t="e">
        <f>VLOOKUP(H1660,'Fund Utilization Report'!$A$4:$U$1800,14,FALSE)</f>
        <v>#N/A</v>
      </c>
      <c r="AB1660" s="349" t="e">
        <f>VLOOKUP(H1660,'Fund Utilization Report'!$A$4:$U$1800,15,FALSE)</f>
        <v>#N/A</v>
      </c>
      <c r="AC1660" s="39"/>
      <c r="AD1660" s="34"/>
      <c r="AE1660" s="39"/>
      <c r="AF1660" s="51"/>
      <c r="AG1660" s="442"/>
      <c r="AH1660" s="442"/>
      <c r="AI1660" s="443"/>
    </row>
    <row r="1661" spans="1:35" s="32" customFormat="1">
      <c r="A1661" s="338"/>
      <c r="B1661" s="338"/>
      <c r="C1661" s="358"/>
      <c r="D1661" s="351"/>
      <c r="E1661" s="366"/>
      <c r="F1661" s="338"/>
      <c r="G1661" s="338"/>
      <c r="H1661" s="338"/>
      <c r="I1661" s="353"/>
      <c r="J1661" s="338" t="str">
        <f>IFERROR(VLOOKUP(I1661,'Chart of accounts'!A:H,2,FALSE),"")</f>
        <v/>
      </c>
      <c r="K1661" s="338" t="str">
        <f>IFERROR(VLOOKUP(I1661,'Chart of accounts'!A:H,3,FALSE),"")</f>
        <v/>
      </c>
      <c r="L1661" s="338" t="str">
        <f>IFERROR(VLOOKUP(I1661,'Chart of accounts'!A:H,4,FALSE),"")</f>
        <v/>
      </c>
      <c r="M1661" s="361"/>
      <c r="N1661" s="355"/>
      <c r="O1661" s="355"/>
      <c r="P1661" s="355"/>
      <c r="Q1661" s="363"/>
      <c r="R1661" s="428">
        <f t="shared" si="73"/>
        <v>0</v>
      </c>
      <c r="S1661" s="428" t="e">
        <f>VLOOKUP(H1661,'Fund Utilization Report'!$A$4:$U$1800,13,FALSE)</f>
        <v>#N/A</v>
      </c>
      <c r="T1661" s="428" t="e">
        <f>VLOOKUP(H1661,'Fund Utilization Report'!$A$4:$U$1800,2,FALSE)</f>
        <v>#N/A</v>
      </c>
      <c r="U1661" s="428" t="e">
        <f>VLOOKUP(H1661,'Fund Utilization Report'!$A$4:$U$1800,3,FALSE)</f>
        <v>#N/A</v>
      </c>
      <c r="V1661" s="428" t="e">
        <f>VLOOKUP(H1661,'Fund Utilization Report'!$A$4:$U$1800,4,FALSE)</f>
        <v>#N/A</v>
      </c>
      <c r="W1661" s="428" t="e">
        <f>VLOOKUP(H1661,'Fund Utilization Report'!$A$4:$U$1800,5,FALSE)</f>
        <v>#N/A</v>
      </c>
      <c r="X1661" s="428" t="e">
        <f>VLOOKUP(H1661,'Fund Utilization Report'!$A$4:$U$1800,6,FALSE)</f>
        <v>#N/A</v>
      </c>
      <c r="Y1661" s="320" t="e">
        <f>VLOOKUP(H1661,'Fund Utilization Report'!$A$4:$U$1800,7,FALSE)</f>
        <v>#N/A</v>
      </c>
      <c r="Z1661" s="425" t="e">
        <f>VLOOKUP(H1661,'Fund Utilization Report'!$A$4:$U$1800,8,FALSE)</f>
        <v>#N/A</v>
      </c>
      <c r="AA1661" s="428" t="e">
        <f>VLOOKUP(H1661,'Fund Utilization Report'!$A$4:$U$1800,14,FALSE)</f>
        <v>#N/A</v>
      </c>
      <c r="AB1661" s="349" t="e">
        <f>VLOOKUP(H1661,'Fund Utilization Report'!$A$4:$U$1800,15,FALSE)</f>
        <v>#N/A</v>
      </c>
      <c r="AC1661" s="39"/>
      <c r="AD1661" s="34"/>
      <c r="AE1661" s="39"/>
      <c r="AF1661" s="51"/>
      <c r="AG1661" s="442"/>
      <c r="AH1661" s="442"/>
      <c r="AI1661" s="443"/>
    </row>
    <row r="1662" spans="1:35" s="32" customFormat="1">
      <c r="A1662" s="338"/>
      <c r="B1662" s="338"/>
      <c r="C1662" s="358"/>
      <c r="D1662" s="351"/>
      <c r="E1662" s="366"/>
      <c r="F1662" s="338"/>
      <c r="G1662" s="338"/>
      <c r="H1662" s="338"/>
      <c r="I1662" s="353"/>
      <c r="J1662" s="338" t="str">
        <f>IFERROR(VLOOKUP(I1662,'Chart of accounts'!A:H,2,FALSE),"")</f>
        <v/>
      </c>
      <c r="K1662" s="338" t="str">
        <f>IFERROR(VLOOKUP(I1662,'Chart of accounts'!A:H,3,FALSE),"")</f>
        <v/>
      </c>
      <c r="L1662" s="338" t="str">
        <f>IFERROR(VLOOKUP(I1662,'Chart of accounts'!A:H,4,FALSE),"")</f>
        <v/>
      </c>
      <c r="M1662" s="361"/>
      <c r="N1662" s="355"/>
      <c r="O1662" s="355"/>
      <c r="P1662" s="355"/>
      <c r="Q1662" s="363"/>
      <c r="R1662" s="428">
        <f t="shared" si="73"/>
        <v>0</v>
      </c>
      <c r="S1662" s="428" t="e">
        <f>VLOOKUP(H1662,'Fund Utilization Report'!$A$4:$U$1800,13,FALSE)</f>
        <v>#N/A</v>
      </c>
      <c r="T1662" s="428" t="e">
        <f>VLOOKUP(H1662,'Fund Utilization Report'!$A$4:$U$1800,2,FALSE)</f>
        <v>#N/A</v>
      </c>
      <c r="U1662" s="428" t="e">
        <f>VLOOKUP(H1662,'Fund Utilization Report'!$A$4:$U$1800,3,FALSE)</f>
        <v>#N/A</v>
      </c>
      <c r="V1662" s="428" t="e">
        <f>VLOOKUP(H1662,'Fund Utilization Report'!$A$4:$U$1800,4,FALSE)</f>
        <v>#N/A</v>
      </c>
      <c r="W1662" s="428" t="e">
        <f>VLOOKUP(H1662,'Fund Utilization Report'!$A$4:$U$1800,5,FALSE)</f>
        <v>#N/A</v>
      </c>
      <c r="X1662" s="428" t="e">
        <f>VLOOKUP(H1662,'Fund Utilization Report'!$A$4:$U$1800,6,FALSE)</f>
        <v>#N/A</v>
      </c>
      <c r="Y1662" s="320" t="e">
        <f>VLOOKUP(H1662,'Fund Utilization Report'!$A$4:$U$1800,7,FALSE)</f>
        <v>#N/A</v>
      </c>
      <c r="Z1662" s="425" t="e">
        <f>VLOOKUP(H1662,'Fund Utilization Report'!$A$4:$U$1800,8,FALSE)</f>
        <v>#N/A</v>
      </c>
      <c r="AA1662" s="428" t="e">
        <f>VLOOKUP(H1662,'Fund Utilization Report'!$A$4:$U$1800,14,FALSE)</f>
        <v>#N/A</v>
      </c>
      <c r="AB1662" s="349" t="e">
        <f>VLOOKUP(H1662,'Fund Utilization Report'!$A$4:$U$1800,15,FALSE)</f>
        <v>#N/A</v>
      </c>
      <c r="AC1662" s="39"/>
      <c r="AD1662" s="34"/>
      <c r="AE1662" s="39"/>
      <c r="AF1662" s="51"/>
      <c r="AG1662" s="442"/>
      <c r="AH1662" s="442"/>
      <c r="AI1662" s="443"/>
    </row>
    <row r="1663" spans="1:35" s="32" customFormat="1">
      <c r="A1663" s="338"/>
      <c r="B1663" s="338"/>
      <c r="C1663" s="358"/>
      <c r="D1663" s="351"/>
      <c r="E1663" s="366"/>
      <c r="F1663" s="338"/>
      <c r="G1663" s="338"/>
      <c r="H1663" s="338"/>
      <c r="I1663" s="353"/>
      <c r="J1663" s="338" t="str">
        <f>IFERROR(VLOOKUP(I1663,'Chart of accounts'!A:H,2,FALSE),"")</f>
        <v/>
      </c>
      <c r="K1663" s="338" t="str">
        <f>IFERROR(VLOOKUP(I1663,'Chart of accounts'!A:H,3,FALSE),"")</f>
        <v/>
      </c>
      <c r="L1663" s="338" t="str">
        <f>IFERROR(VLOOKUP(I1663,'Chart of accounts'!A:H,4,FALSE),"")</f>
        <v/>
      </c>
      <c r="M1663" s="361"/>
      <c r="N1663" s="355"/>
      <c r="O1663" s="355"/>
      <c r="P1663" s="355"/>
      <c r="Q1663" s="363"/>
      <c r="R1663" s="428">
        <f t="shared" si="73"/>
        <v>0</v>
      </c>
      <c r="S1663" s="428" t="e">
        <f>VLOOKUP(H1663,'Fund Utilization Report'!$A$4:$U$1800,13,FALSE)</f>
        <v>#N/A</v>
      </c>
      <c r="T1663" s="428" t="e">
        <f>VLOOKUP(H1663,'Fund Utilization Report'!$A$4:$U$1800,2,FALSE)</f>
        <v>#N/A</v>
      </c>
      <c r="U1663" s="428" t="e">
        <f>VLOOKUP(H1663,'Fund Utilization Report'!$A$4:$U$1800,3,FALSE)</f>
        <v>#N/A</v>
      </c>
      <c r="V1663" s="428" t="e">
        <f>VLOOKUP(H1663,'Fund Utilization Report'!$A$4:$U$1800,4,FALSE)</f>
        <v>#N/A</v>
      </c>
      <c r="W1663" s="428" t="e">
        <f>VLOOKUP(H1663,'Fund Utilization Report'!$A$4:$U$1800,5,FALSE)</f>
        <v>#N/A</v>
      </c>
      <c r="X1663" s="428" t="e">
        <f>VLOOKUP(H1663,'Fund Utilization Report'!$A$4:$U$1800,6,FALSE)</f>
        <v>#N/A</v>
      </c>
      <c r="Y1663" s="320" t="e">
        <f>VLOOKUP(H1663,'Fund Utilization Report'!$A$4:$U$1800,7,FALSE)</f>
        <v>#N/A</v>
      </c>
      <c r="Z1663" s="425" t="e">
        <f>VLOOKUP(H1663,'Fund Utilization Report'!$A$4:$U$1800,8,FALSE)</f>
        <v>#N/A</v>
      </c>
      <c r="AA1663" s="428" t="e">
        <f>VLOOKUP(H1663,'Fund Utilization Report'!$A$4:$U$1800,14,FALSE)</f>
        <v>#N/A</v>
      </c>
      <c r="AB1663" s="349" t="e">
        <f>VLOOKUP(H1663,'Fund Utilization Report'!$A$4:$U$1800,15,FALSE)</f>
        <v>#N/A</v>
      </c>
      <c r="AC1663" s="39"/>
      <c r="AD1663" s="34"/>
      <c r="AE1663" s="39"/>
      <c r="AF1663" s="51"/>
      <c r="AG1663" s="442"/>
      <c r="AH1663" s="442"/>
      <c r="AI1663" s="443"/>
    </row>
    <row r="1664" spans="1:35" s="32" customFormat="1">
      <c r="A1664" s="338"/>
      <c r="B1664" s="338"/>
      <c r="C1664" s="358"/>
      <c r="D1664" s="351"/>
      <c r="E1664" s="366"/>
      <c r="F1664" s="338"/>
      <c r="G1664" s="338"/>
      <c r="H1664" s="338"/>
      <c r="I1664" s="353"/>
      <c r="J1664" s="338" t="str">
        <f>IFERROR(VLOOKUP(I1664,'Chart of accounts'!A:H,2,FALSE),"")</f>
        <v/>
      </c>
      <c r="K1664" s="338" t="str">
        <f>IFERROR(VLOOKUP(I1664,'Chart of accounts'!A:H,3,FALSE),"")</f>
        <v/>
      </c>
      <c r="L1664" s="338" t="str">
        <f>IFERROR(VLOOKUP(I1664,'Chart of accounts'!A:H,4,FALSE),"")</f>
        <v/>
      </c>
      <c r="M1664" s="361"/>
      <c r="N1664" s="355"/>
      <c r="O1664" s="355"/>
      <c r="P1664" s="355"/>
      <c r="Q1664" s="363"/>
      <c r="R1664" s="428">
        <f t="shared" si="73"/>
        <v>0</v>
      </c>
      <c r="S1664" s="428" t="e">
        <f>VLOOKUP(H1664,'Fund Utilization Report'!$A$4:$U$1800,13,FALSE)</f>
        <v>#N/A</v>
      </c>
      <c r="T1664" s="428" t="e">
        <f>VLOOKUP(H1664,'Fund Utilization Report'!$A$4:$U$1800,2,FALSE)</f>
        <v>#N/A</v>
      </c>
      <c r="U1664" s="428" t="e">
        <f>VLOOKUP(H1664,'Fund Utilization Report'!$A$4:$U$1800,3,FALSE)</f>
        <v>#N/A</v>
      </c>
      <c r="V1664" s="428" t="e">
        <f>VLOOKUP(H1664,'Fund Utilization Report'!$A$4:$U$1800,4,FALSE)</f>
        <v>#N/A</v>
      </c>
      <c r="W1664" s="428" t="e">
        <f>VLOOKUP(H1664,'Fund Utilization Report'!$A$4:$U$1800,5,FALSE)</f>
        <v>#N/A</v>
      </c>
      <c r="X1664" s="428" t="e">
        <f>VLOOKUP(H1664,'Fund Utilization Report'!$A$4:$U$1800,6,FALSE)</f>
        <v>#N/A</v>
      </c>
      <c r="Y1664" s="320" t="e">
        <f>VLOOKUP(H1664,'Fund Utilization Report'!$A$4:$U$1800,7,FALSE)</f>
        <v>#N/A</v>
      </c>
      <c r="Z1664" s="425" t="e">
        <f>VLOOKUP(H1664,'Fund Utilization Report'!$A$4:$U$1800,8,FALSE)</f>
        <v>#N/A</v>
      </c>
      <c r="AA1664" s="428" t="e">
        <f>VLOOKUP(H1664,'Fund Utilization Report'!$A$4:$U$1800,14,FALSE)</f>
        <v>#N/A</v>
      </c>
      <c r="AB1664" s="349" t="e">
        <f>VLOOKUP(H1664,'Fund Utilization Report'!$A$4:$U$1800,15,FALSE)</f>
        <v>#N/A</v>
      </c>
      <c r="AC1664" s="39"/>
      <c r="AD1664" s="34"/>
      <c r="AE1664" s="39"/>
      <c r="AF1664" s="51"/>
      <c r="AG1664" s="442"/>
      <c r="AH1664" s="442"/>
      <c r="AI1664" s="443"/>
    </row>
    <row r="1665" spans="1:35" s="32" customFormat="1">
      <c r="A1665" s="338"/>
      <c r="B1665" s="338"/>
      <c r="C1665" s="358"/>
      <c r="D1665" s="351"/>
      <c r="E1665" s="366"/>
      <c r="F1665" s="338"/>
      <c r="G1665" s="338"/>
      <c r="H1665" s="338"/>
      <c r="I1665" s="353"/>
      <c r="J1665" s="338" t="str">
        <f>IFERROR(VLOOKUP(I1665,'Chart of accounts'!A:H,2,FALSE),"")</f>
        <v/>
      </c>
      <c r="K1665" s="338" t="str">
        <f>IFERROR(VLOOKUP(I1665,'Chart of accounts'!A:H,3,FALSE),"")</f>
        <v/>
      </c>
      <c r="L1665" s="338" t="str">
        <f>IFERROR(VLOOKUP(I1665,'Chart of accounts'!A:H,4,FALSE),"")</f>
        <v/>
      </c>
      <c r="M1665" s="361"/>
      <c r="N1665" s="355"/>
      <c r="O1665" s="355"/>
      <c r="P1665" s="355"/>
      <c r="Q1665" s="363"/>
      <c r="R1665" s="428">
        <f t="shared" si="73"/>
        <v>0</v>
      </c>
      <c r="S1665" s="428" t="e">
        <f>VLOOKUP(H1665,'Fund Utilization Report'!$A$4:$U$1800,13,FALSE)</f>
        <v>#N/A</v>
      </c>
      <c r="T1665" s="428" t="e">
        <f>VLOOKUP(H1665,'Fund Utilization Report'!$A$4:$U$1800,2,FALSE)</f>
        <v>#N/A</v>
      </c>
      <c r="U1665" s="428" t="e">
        <f>VLOOKUP(H1665,'Fund Utilization Report'!$A$4:$U$1800,3,FALSE)</f>
        <v>#N/A</v>
      </c>
      <c r="V1665" s="428" t="e">
        <f>VLOOKUP(H1665,'Fund Utilization Report'!$A$4:$U$1800,4,FALSE)</f>
        <v>#N/A</v>
      </c>
      <c r="W1665" s="428" t="e">
        <f>VLOOKUP(H1665,'Fund Utilization Report'!$A$4:$U$1800,5,FALSE)</f>
        <v>#N/A</v>
      </c>
      <c r="X1665" s="428" t="e">
        <f>VLOOKUP(H1665,'Fund Utilization Report'!$A$4:$U$1800,6,FALSE)</f>
        <v>#N/A</v>
      </c>
      <c r="Y1665" s="320" t="e">
        <f>VLOOKUP(H1665,'Fund Utilization Report'!$A$4:$U$1800,7,FALSE)</f>
        <v>#N/A</v>
      </c>
      <c r="Z1665" s="425" t="e">
        <f>VLOOKUP(H1665,'Fund Utilization Report'!$A$4:$U$1800,8,FALSE)</f>
        <v>#N/A</v>
      </c>
      <c r="AA1665" s="428" t="e">
        <f>VLOOKUP(H1665,'Fund Utilization Report'!$A$4:$U$1800,14,FALSE)</f>
        <v>#N/A</v>
      </c>
      <c r="AB1665" s="349" t="e">
        <f>VLOOKUP(H1665,'Fund Utilization Report'!$A$4:$U$1800,15,FALSE)</f>
        <v>#N/A</v>
      </c>
      <c r="AC1665" s="39"/>
      <c r="AD1665" s="34"/>
      <c r="AE1665" s="39"/>
      <c r="AF1665" s="51"/>
      <c r="AG1665" s="442"/>
      <c r="AH1665" s="442"/>
      <c r="AI1665" s="443"/>
    </row>
    <row r="1666" spans="1:35" s="32" customFormat="1">
      <c r="A1666" s="338"/>
      <c r="B1666" s="338"/>
      <c r="C1666" s="358"/>
      <c r="D1666" s="351"/>
      <c r="E1666" s="366"/>
      <c r="F1666" s="338"/>
      <c r="G1666" s="338"/>
      <c r="H1666" s="338"/>
      <c r="I1666" s="353"/>
      <c r="J1666" s="338" t="str">
        <f>IFERROR(VLOOKUP(I1666,'Chart of accounts'!A:H,2,FALSE),"")</f>
        <v/>
      </c>
      <c r="K1666" s="338" t="str">
        <f>IFERROR(VLOOKUP(I1666,'Chart of accounts'!A:H,3,FALSE),"")</f>
        <v/>
      </c>
      <c r="L1666" s="338" t="str">
        <f>IFERROR(VLOOKUP(I1666,'Chart of accounts'!A:H,4,FALSE),"")</f>
        <v/>
      </c>
      <c r="M1666" s="361"/>
      <c r="N1666" s="355"/>
      <c r="O1666" s="355"/>
      <c r="P1666" s="355"/>
      <c r="Q1666" s="363"/>
      <c r="R1666" s="428">
        <f t="shared" si="73"/>
        <v>0</v>
      </c>
      <c r="S1666" s="428" t="e">
        <f>VLOOKUP(H1666,'Fund Utilization Report'!$A$4:$U$1800,13,FALSE)</f>
        <v>#N/A</v>
      </c>
      <c r="T1666" s="428" t="e">
        <f>VLOOKUP(H1666,'Fund Utilization Report'!$A$4:$U$1800,2,FALSE)</f>
        <v>#N/A</v>
      </c>
      <c r="U1666" s="428" t="e">
        <f>VLOOKUP(H1666,'Fund Utilization Report'!$A$4:$U$1800,3,FALSE)</f>
        <v>#N/A</v>
      </c>
      <c r="V1666" s="428" t="e">
        <f>VLOOKUP(H1666,'Fund Utilization Report'!$A$4:$U$1800,4,FALSE)</f>
        <v>#N/A</v>
      </c>
      <c r="W1666" s="428" t="e">
        <f>VLOOKUP(H1666,'Fund Utilization Report'!$A$4:$U$1800,5,FALSE)</f>
        <v>#N/A</v>
      </c>
      <c r="X1666" s="428" t="e">
        <f>VLOOKUP(H1666,'Fund Utilization Report'!$A$4:$U$1800,6,FALSE)</f>
        <v>#N/A</v>
      </c>
      <c r="Y1666" s="320" t="e">
        <f>VLOOKUP(H1666,'Fund Utilization Report'!$A$4:$U$1800,7,FALSE)</f>
        <v>#N/A</v>
      </c>
      <c r="Z1666" s="425" t="e">
        <f>VLOOKUP(H1666,'Fund Utilization Report'!$A$4:$U$1800,8,FALSE)</f>
        <v>#N/A</v>
      </c>
      <c r="AA1666" s="428" t="e">
        <f>VLOOKUP(H1666,'Fund Utilization Report'!$A$4:$U$1800,14,FALSE)</f>
        <v>#N/A</v>
      </c>
      <c r="AB1666" s="349" t="e">
        <f>VLOOKUP(H1666,'Fund Utilization Report'!$A$4:$U$1800,15,FALSE)</f>
        <v>#N/A</v>
      </c>
      <c r="AC1666" s="39"/>
      <c r="AD1666" s="34"/>
      <c r="AE1666" s="39"/>
      <c r="AF1666" s="51"/>
      <c r="AG1666" s="442"/>
      <c r="AH1666" s="442"/>
      <c r="AI1666" s="443"/>
    </row>
    <row r="1667" spans="1:35" s="32" customFormat="1">
      <c r="A1667" s="338"/>
      <c r="B1667" s="338"/>
      <c r="C1667" s="358"/>
      <c r="D1667" s="351"/>
      <c r="E1667" s="366"/>
      <c r="F1667" s="338"/>
      <c r="G1667" s="338"/>
      <c r="H1667" s="338"/>
      <c r="I1667" s="353"/>
      <c r="J1667" s="338" t="str">
        <f>IFERROR(VLOOKUP(I1667,'Chart of accounts'!A:H,2,FALSE),"")</f>
        <v/>
      </c>
      <c r="K1667" s="338" t="str">
        <f>IFERROR(VLOOKUP(I1667,'Chart of accounts'!A:H,3,FALSE),"")</f>
        <v/>
      </c>
      <c r="L1667" s="338" t="str">
        <f>IFERROR(VLOOKUP(I1667,'Chart of accounts'!A:H,4,FALSE),"")</f>
        <v/>
      </c>
      <c r="M1667" s="361"/>
      <c r="N1667" s="355"/>
      <c r="O1667" s="355"/>
      <c r="P1667" s="355"/>
      <c r="Q1667" s="363"/>
      <c r="R1667" s="428">
        <f t="shared" si="73"/>
        <v>0</v>
      </c>
      <c r="S1667" s="428" t="e">
        <f>VLOOKUP(H1667,'Fund Utilization Report'!$A$4:$U$1800,13,FALSE)</f>
        <v>#N/A</v>
      </c>
      <c r="T1667" s="428" t="e">
        <f>VLOOKUP(H1667,'Fund Utilization Report'!$A$4:$U$1800,2,FALSE)</f>
        <v>#N/A</v>
      </c>
      <c r="U1667" s="428" t="e">
        <f>VLOOKUP(H1667,'Fund Utilization Report'!$A$4:$U$1800,3,FALSE)</f>
        <v>#N/A</v>
      </c>
      <c r="V1667" s="428" t="e">
        <f>VLOOKUP(H1667,'Fund Utilization Report'!$A$4:$U$1800,4,FALSE)</f>
        <v>#N/A</v>
      </c>
      <c r="W1667" s="428" t="e">
        <f>VLOOKUP(H1667,'Fund Utilization Report'!$A$4:$U$1800,5,FALSE)</f>
        <v>#N/A</v>
      </c>
      <c r="X1667" s="428" t="e">
        <f>VLOOKUP(H1667,'Fund Utilization Report'!$A$4:$U$1800,6,FALSE)</f>
        <v>#N/A</v>
      </c>
      <c r="Y1667" s="320" t="e">
        <f>VLOOKUP(H1667,'Fund Utilization Report'!$A$4:$U$1800,7,FALSE)</f>
        <v>#N/A</v>
      </c>
      <c r="Z1667" s="425" t="e">
        <f>VLOOKUP(H1667,'Fund Utilization Report'!$A$4:$U$1800,8,FALSE)</f>
        <v>#N/A</v>
      </c>
      <c r="AA1667" s="428" t="e">
        <f>VLOOKUP(H1667,'Fund Utilization Report'!$A$4:$U$1800,14,FALSE)</f>
        <v>#N/A</v>
      </c>
      <c r="AB1667" s="349" t="e">
        <f>VLOOKUP(H1667,'Fund Utilization Report'!$A$4:$U$1800,15,FALSE)</f>
        <v>#N/A</v>
      </c>
      <c r="AC1667" s="39"/>
      <c r="AD1667" s="34"/>
      <c r="AE1667" s="39"/>
      <c r="AF1667" s="51"/>
      <c r="AG1667" s="442"/>
      <c r="AH1667" s="442"/>
      <c r="AI1667" s="443"/>
    </row>
    <row r="1668" spans="1:35" s="32" customFormat="1">
      <c r="A1668" s="338"/>
      <c r="B1668" s="338"/>
      <c r="C1668" s="358"/>
      <c r="D1668" s="351"/>
      <c r="E1668" s="366"/>
      <c r="F1668" s="338"/>
      <c r="G1668" s="338"/>
      <c r="H1668" s="338"/>
      <c r="I1668" s="353"/>
      <c r="J1668" s="338" t="str">
        <f>IFERROR(VLOOKUP(I1668,'Chart of accounts'!A:H,2,FALSE),"")</f>
        <v/>
      </c>
      <c r="K1668" s="338" t="str">
        <f>IFERROR(VLOOKUP(I1668,'Chart of accounts'!A:H,3,FALSE),"")</f>
        <v/>
      </c>
      <c r="L1668" s="338" t="str">
        <f>IFERROR(VLOOKUP(I1668,'Chart of accounts'!A:H,4,FALSE),"")</f>
        <v/>
      </c>
      <c r="M1668" s="361"/>
      <c r="N1668" s="355"/>
      <c r="O1668" s="355"/>
      <c r="P1668" s="355"/>
      <c r="Q1668" s="363"/>
      <c r="R1668" s="428">
        <f t="shared" ref="R1668:R1678" si="74">P1668-Q1668</f>
        <v>0</v>
      </c>
      <c r="S1668" s="428" t="e">
        <f>VLOOKUP(H1668,'Fund Utilization Report'!$A$4:$U$1800,13,FALSE)</f>
        <v>#N/A</v>
      </c>
      <c r="T1668" s="428" t="e">
        <f>VLOOKUP(H1668,'Fund Utilization Report'!$A$4:$U$1800,2,FALSE)</f>
        <v>#N/A</v>
      </c>
      <c r="U1668" s="428" t="e">
        <f>VLOOKUP(H1668,'Fund Utilization Report'!$A$4:$U$1800,3,FALSE)</f>
        <v>#N/A</v>
      </c>
      <c r="V1668" s="428" t="e">
        <f>VLOOKUP(H1668,'Fund Utilization Report'!$A$4:$U$1800,4,FALSE)</f>
        <v>#N/A</v>
      </c>
      <c r="W1668" s="428" t="e">
        <f>VLOOKUP(H1668,'Fund Utilization Report'!$A$4:$U$1800,5,FALSE)</f>
        <v>#N/A</v>
      </c>
      <c r="X1668" s="428" t="e">
        <f>VLOOKUP(H1668,'Fund Utilization Report'!$A$4:$U$1800,6,FALSE)</f>
        <v>#N/A</v>
      </c>
      <c r="Y1668" s="320" t="e">
        <f>VLOOKUP(H1668,'Fund Utilization Report'!$A$4:$U$1800,7,FALSE)</f>
        <v>#N/A</v>
      </c>
      <c r="Z1668" s="425" t="e">
        <f>VLOOKUP(H1668,'Fund Utilization Report'!$A$4:$U$1800,8,FALSE)</f>
        <v>#N/A</v>
      </c>
      <c r="AA1668" s="428" t="e">
        <f>VLOOKUP(H1668,'Fund Utilization Report'!$A$4:$U$1800,14,FALSE)</f>
        <v>#N/A</v>
      </c>
      <c r="AB1668" s="349" t="e">
        <f>VLOOKUP(H1668,'Fund Utilization Report'!$A$4:$U$1800,15,FALSE)</f>
        <v>#N/A</v>
      </c>
      <c r="AC1668" s="39"/>
      <c r="AD1668" s="34"/>
      <c r="AE1668" s="39"/>
      <c r="AF1668" s="51"/>
      <c r="AG1668" s="442"/>
      <c r="AH1668" s="442"/>
      <c r="AI1668" s="443"/>
    </row>
    <row r="1669" spans="1:35" s="32" customFormat="1">
      <c r="A1669" s="338"/>
      <c r="B1669" s="338"/>
      <c r="C1669" s="358"/>
      <c r="D1669" s="351"/>
      <c r="E1669" s="366"/>
      <c r="F1669" s="338"/>
      <c r="G1669" s="338"/>
      <c r="H1669" s="338"/>
      <c r="I1669" s="353"/>
      <c r="J1669" s="338" t="str">
        <f>IFERROR(VLOOKUP(I1669,'Chart of accounts'!A:H,2,FALSE),"")</f>
        <v/>
      </c>
      <c r="K1669" s="338" t="str">
        <f>IFERROR(VLOOKUP(I1669,'Chart of accounts'!A:H,3,FALSE),"")</f>
        <v/>
      </c>
      <c r="L1669" s="338" t="str">
        <f>IFERROR(VLOOKUP(I1669,'Chart of accounts'!A:H,4,FALSE),"")</f>
        <v/>
      </c>
      <c r="M1669" s="361"/>
      <c r="N1669" s="355"/>
      <c r="O1669" s="355"/>
      <c r="P1669" s="355"/>
      <c r="Q1669" s="363"/>
      <c r="R1669" s="428">
        <f t="shared" si="74"/>
        <v>0</v>
      </c>
      <c r="S1669" s="428" t="e">
        <f>VLOOKUP(H1669,'Fund Utilization Report'!$A$4:$U$1800,13,FALSE)</f>
        <v>#N/A</v>
      </c>
      <c r="T1669" s="428" t="e">
        <f>VLOOKUP(H1669,'Fund Utilization Report'!$A$4:$U$1800,2,FALSE)</f>
        <v>#N/A</v>
      </c>
      <c r="U1669" s="428" t="e">
        <f>VLOOKUP(H1669,'Fund Utilization Report'!$A$4:$U$1800,3,FALSE)</f>
        <v>#N/A</v>
      </c>
      <c r="V1669" s="428" t="e">
        <f>VLOOKUP(H1669,'Fund Utilization Report'!$A$4:$U$1800,4,FALSE)</f>
        <v>#N/A</v>
      </c>
      <c r="W1669" s="428" t="e">
        <f>VLOOKUP(H1669,'Fund Utilization Report'!$A$4:$U$1800,5,FALSE)</f>
        <v>#N/A</v>
      </c>
      <c r="X1669" s="428" t="e">
        <f>VLOOKUP(H1669,'Fund Utilization Report'!$A$4:$U$1800,6,FALSE)</f>
        <v>#N/A</v>
      </c>
      <c r="Y1669" s="320" t="e">
        <f>VLOOKUP(H1669,'Fund Utilization Report'!$A$4:$U$1800,7,FALSE)</f>
        <v>#N/A</v>
      </c>
      <c r="Z1669" s="425" t="e">
        <f>VLOOKUP(H1669,'Fund Utilization Report'!$A$4:$U$1800,8,FALSE)</f>
        <v>#N/A</v>
      </c>
      <c r="AA1669" s="428" t="e">
        <f>VLOOKUP(H1669,'Fund Utilization Report'!$A$4:$U$1800,14,FALSE)</f>
        <v>#N/A</v>
      </c>
      <c r="AB1669" s="349" t="e">
        <f>VLOOKUP(H1669,'Fund Utilization Report'!$A$4:$U$1800,15,FALSE)</f>
        <v>#N/A</v>
      </c>
      <c r="AC1669" s="39"/>
      <c r="AD1669" s="34"/>
      <c r="AE1669" s="39"/>
      <c r="AF1669" s="51"/>
      <c r="AG1669" s="442"/>
      <c r="AH1669" s="442"/>
      <c r="AI1669" s="443"/>
    </row>
    <row r="1670" spans="1:35" s="32" customFormat="1">
      <c r="A1670" s="338"/>
      <c r="B1670" s="338"/>
      <c r="C1670" s="358"/>
      <c r="D1670" s="351"/>
      <c r="E1670" s="366"/>
      <c r="F1670" s="338"/>
      <c r="G1670" s="338"/>
      <c r="H1670" s="338"/>
      <c r="I1670" s="353"/>
      <c r="J1670" s="338" t="str">
        <f>IFERROR(VLOOKUP(I1670,'Chart of accounts'!A:H,2,FALSE),"")</f>
        <v/>
      </c>
      <c r="K1670" s="338" t="str">
        <f>IFERROR(VLOOKUP(I1670,'Chart of accounts'!A:H,3,FALSE),"")</f>
        <v/>
      </c>
      <c r="L1670" s="338" t="str">
        <f>IFERROR(VLOOKUP(I1670,'Chart of accounts'!A:H,4,FALSE),"")</f>
        <v/>
      </c>
      <c r="M1670" s="361"/>
      <c r="N1670" s="355"/>
      <c r="O1670" s="355"/>
      <c r="P1670" s="355"/>
      <c r="Q1670" s="363"/>
      <c r="R1670" s="428">
        <f t="shared" si="74"/>
        <v>0</v>
      </c>
      <c r="S1670" s="428" t="e">
        <f>VLOOKUP(H1670,'Fund Utilization Report'!$A$4:$U$1800,13,FALSE)</f>
        <v>#N/A</v>
      </c>
      <c r="T1670" s="428" t="e">
        <f>VLOOKUP(H1670,'Fund Utilization Report'!$A$4:$U$1800,2,FALSE)</f>
        <v>#N/A</v>
      </c>
      <c r="U1670" s="428" t="e">
        <f>VLOOKUP(H1670,'Fund Utilization Report'!$A$4:$U$1800,3,FALSE)</f>
        <v>#N/A</v>
      </c>
      <c r="V1670" s="428" t="e">
        <f>VLOOKUP(H1670,'Fund Utilization Report'!$A$4:$U$1800,4,FALSE)</f>
        <v>#N/A</v>
      </c>
      <c r="W1670" s="428" t="e">
        <f>VLOOKUP(H1670,'Fund Utilization Report'!$A$4:$U$1800,5,FALSE)</f>
        <v>#N/A</v>
      </c>
      <c r="X1670" s="428" t="e">
        <f>VLOOKUP(H1670,'Fund Utilization Report'!$A$4:$U$1800,6,FALSE)</f>
        <v>#N/A</v>
      </c>
      <c r="Y1670" s="320" t="e">
        <f>VLOOKUP(H1670,'Fund Utilization Report'!$A$4:$U$1800,7,FALSE)</f>
        <v>#N/A</v>
      </c>
      <c r="Z1670" s="425" t="e">
        <f>VLOOKUP(H1670,'Fund Utilization Report'!$A$4:$U$1800,8,FALSE)</f>
        <v>#N/A</v>
      </c>
      <c r="AA1670" s="428" t="e">
        <f>VLOOKUP(H1670,'Fund Utilization Report'!$A$4:$U$1800,14,FALSE)</f>
        <v>#N/A</v>
      </c>
      <c r="AB1670" s="349" t="e">
        <f>VLOOKUP(H1670,'Fund Utilization Report'!$A$4:$U$1800,15,FALSE)</f>
        <v>#N/A</v>
      </c>
      <c r="AC1670" s="39"/>
      <c r="AD1670" s="34"/>
      <c r="AE1670" s="39"/>
      <c r="AF1670" s="51"/>
      <c r="AG1670" s="442"/>
      <c r="AH1670" s="442"/>
      <c r="AI1670" s="443"/>
    </row>
    <row r="1671" spans="1:35" s="32" customFormat="1">
      <c r="A1671" s="338"/>
      <c r="B1671" s="338"/>
      <c r="C1671" s="358"/>
      <c r="D1671" s="351"/>
      <c r="E1671" s="366"/>
      <c r="F1671" s="338"/>
      <c r="G1671" s="338"/>
      <c r="H1671" s="338"/>
      <c r="I1671" s="353"/>
      <c r="J1671" s="338" t="str">
        <f>IFERROR(VLOOKUP(I1671,'Chart of accounts'!A:H,2,FALSE),"")</f>
        <v/>
      </c>
      <c r="K1671" s="338" t="str">
        <f>IFERROR(VLOOKUP(I1671,'Chart of accounts'!A:H,3,FALSE),"")</f>
        <v/>
      </c>
      <c r="L1671" s="338" t="str">
        <f>IFERROR(VLOOKUP(I1671,'Chart of accounts'!A:H,4,FALSE),"")</f>
        <v/>
      </c>
      <c r="M1671" s="361"/>
      <c r="N1671" s="355"/>
      <c r="O1671" s="355"/>
      <c r="P1671" s="355"/>
      <c r="Q1671" s="363"/>
      <c r="R1671" s="428">
        <f t="shared" si="74"/>
        <v>0</v>
      </c>
      <c r="S1671" s="428" t="e">
        <f>VLOOKUP(H1671,'Fund Utilization Report'!$A$4:$U$1800,13,FALSE)</f>
        <v>#N/A</v>
      </c>
      <c r="T1671" s="428" t="e">
        <f>VLOOKUP(H1671,'Fund Utilization Report'!$A$4:$U$1800,2,FALSE)</f>
        <v>#N/A</v>
      </c>
      <c r="U1671" s="428" t="e">
        <f>VLOOKUP(H1671,'Fund Utilization Report'!$A$4:$U$1800,3,FALSE)</f>
        <v>#N/A</v>
      </c>
      <c r="V1671" s="428" t="e">
        <f>VLOOKUP(H1671,'Fund Utilization Report'!$A$4:$U$1800,4,FALSE)</f>
        <v>#N/A</v>
      </c>
      <c r="W1671" s="428" t="e">
        <f>VLOOKUP(H1671,'Fund Utilization Report'!$A$4:$U$1800,5,FALSE)</f>
        <v>#N/A</v>
      </c>
      <c r="X1671" s="428" t="e">
        <f>VLOOKUP(H1671,'Fund Utilization Report'!$A$4:$U$1800,6,FALSE)</f>
        <v>#N/A</v>
      </c>
      <c r="Y1671" s="320" t="e">
        <f>VLOOKUP(H1671,'Fund Utilization Report'!$A$4:$U$1800,7,FALSE)</f>
        <v>#N/A</v>
      </c>
      <c r="Z1671" s="425" t="e">
        <f>VLOOKUP(H1671,'Fund Utilization Report'!$A$4:$U$1800,8,FALSE)</f>
        <v>#N/A</v>
      </c>
      <c r="AA1671" s="428" t="e">
        <f>VLOOKUP(H1671,'Fund Utilization Report'!$A$4:$U$1800,14,FALSE)</f>
        <v>#N/A</v>
      </c>
      <c r="AB1671" s="349" t="e">
        <f>VLOOKUP(H1671,'Fund Utilization Report'!$A$4:$U$1800,15,FALSE)</f>
        <v>#N/A</v>
      </c>
      <c r="AC1671" s="39"/>
      <c r="AD1671" s="34"/>
      <c r="AE1671" s="39"/>
      <c r="AF1671" s="51"/>
      <c r="AG1671" s="442"/>
      <c r="AH1671" s="442"/>
      <c r="AI1671" s="443"/>
    </row>
    <row r="1672" spans="1:35" s="32" customFormat="1">
      <c r="A1672" s="338"/>
      <c r="B1672" s="338"/>
      <c r="C1672" s="358"/>
      <c r="D1672" s="351"/>
      <c r="E1672" s="366"/>
      <c r="F1672" s="338"/>
      <c r="G1672" s="338"/>
      <c r="H1672" s="338"/>
      <c r="I1672" s="353"/>
      <c r="J1672" s="338" t="str">
        <f>IFERROR(VLOOKUP(I1672,'Chart of accounts'!A:H,2,FALSE),"")</f>
        <v/>
      </c>
      <c r="K1672" s="338" t="str">
        <f>IFERROR(VLOOKUP(I1672,'Chart of accounts'!A:H,3,FALSE),"")</f>
        <v/>
      </c>
      <c r="L1672" s="338" t="str">
        <f>IFERROR(VLOOKUP(I1672,'Chart of accounts'!A:H,4,FALSE),"")</f>
        <v/>
      </c>
      <c r="M1672" s="361"/>
      <c r="N1672" s="355"/>
      <c r="O1672" s="355"/>
      <c r="P1672" s="355"/>
      <c r="Q1672" s="363"/>
      <c r="R1672" s="428">
        <f t="shared" si="74"/>
        <v>0</v>
      </c>
      <c r="S1672" s="428" t="e">
        <f>VLOOKUP(H1672,'Fund Utilization Report'!$A$4:$U$1800,13,FALSE)</f>
        <v>#N/A</v>
      </c>
      <c r="T1672" s="428" t="e">
        <f>VLOOKUP(H1672,'Fund Utilization Report'!$A$4:$U$1800,2,FALSE)</f>
        <v>#N/A</v>
      </c>
      <c r="U1672" s="428" t="e">
        <f>VLOOKUP(H1672,'Fund Utilization Report'!$A$4:$U$1800,3,FALSE)</f>
        <v>#N/A</v>
      </c>
      <c r="V1672" s="428" t="e">
        <f>VLOOKUP(H1672,'Fund Utilization Report'!$A$4:$U$1800,4,FALSE)</f>
        <v>#N/A</v>
      </c>
      <c r="W1672" s="428" t="e">
        <f>VLOOKUP(H1672,'Fund Utilization Report'!$A$4:$U$1800,5,FALSE)</f>
        <v>#N/A</v>
      </c>
      <c r="X1672" s="428" t="e">
        <f>VLOOKUP(H1672,'Fund Utilization Report'!$A$4:$U$1800,6,FALSE)</f>
        <v>#N/A</v>
      </c>
      <c r="Y1672" s="320" t="e">
        <f>VLOOKUP(H1672,'Fund Utilization Report'!$A$4:$U$1800,7,FALSE)</f>
        <v>#N/A</v>
      </c>
      <c r="Z1672" s="425" t="e">
        <f>VLOOKUP(H1672,'Fund Utilization Report'!$A$4:$U$1800,8,FALSE)</f>
        <v>#N/A</v>
      </c>
      <c r="AA1672" s="428" t="e">
        <f>VLOOKUP(H1672,'Fund Utilization Report'!$A$4:$U$1800,14,FALSE)</f>
        <v>#N/A</v>
      </c>
      <c r="AB1672" s="349" t="e">
        <f>VLOOKUP(H1672,'Fund Utilization Report'!$A$4:$U$1800,15,FALSE)</f>
        <v>#N/A</v>
      </c>
      <c r="AC1672" s="39"/>
      <c r="AD1672" s="34"/>
      <c r="AE1672" s="39"/>
      <c r="AF1672" s="51"/>
      <c r="AG1672" s="442"/>
      <c r="AH1672" s="442"/>
      <c r="AI1672" s="443"/>
    </row>
    <row r="1673" spans="1:35" s="32" customFormat="1">
      <c r="A1673" s="338"/>
      <c r="B1673" s="338"/>
      <c r="C1673" s="358"/>
      <c r="D1673" s="351"/>
      <c r="E1673" s="366"/>
      <c r="F1673" s="338"/>
      <c r="G1673" s="338"/>
      <c r="H1673" s="338"/>
      <c r="I1673" s="353"/>
      <c r="J1673" s="338" t="str">
        <f>IFERROR(VLOOKUP(I1673,'Chart of accounts'!A:H,2,FALSE),"")</f>
        <v/>
      </c>
      <c r="K1673" s="338" t="str">
        <f>IFERROR(VLOOKUP(I1673,'Chart of accounts'!A:H,3,FALSE),"")</f>
        <v/>
      </c>
      <c r="L1673" s="338" t="str">
        <f>IFERROR(VLOOKUP(I1673,'Chart of accounts'!A:H,4,FALSE),"")</f>
        <v/>
      </c>
      <c r="M1673" s="361"/>
      <c r="N1673" s="355"/>
      <c r="O1673" s="355"/>
      <c r="P1673" s="355"/>
      <c r="Q1673" s="363"/>
      <c r="R1673" s="428">
        <f t="shared" si="74"/>
        <v>0</v>
      </c>
      <c r="S1673" s="428" t="e">
        <f>VLOOKUP(H1673,'Fund Utilization Report'!$A$4:$U$1800,13,FALSE)</f>
        <v>#N/A</v>
      </c>
      <c r="T1673" s="428" t="e">
        <f>VLOOKUP(H1673,'Fund Utilization Report'!$A$4:$U$1800,2,FALSE)</f>
        <v>#N/A</v>
      </c>
      <c r="U1673" s="428" t="e">
        <f>VLOOKUP(H1673,'Fund Utilization Report'!$A$4:$U$1800,3,FALSE)</f>
        <v>#N/A</v>
      </c>
      <c r="V1673" s="428" t="e">
        <f>VLOOKUP(H1673,'Fund Utilization Report'!$A$4:$U$1800,4,FALSE)</f>
        <v>#N/A</v>
      </c>
      <c r="W1673" s="428" t="e">
        <f>VLOOKUP(H1673,'Fund Utilization Report'!$A$4:$U$1800,5,FALSE)</f>
        <v>#N/A</v>
      </c>
      <c r="X1673" s="428" t="e">
        <f>VLOOKUP(H1673,'Fund Utilization Report'!$A$4:$U$1800,6,FALSE)</f>
        <v>#N/A</v>
      </c>
      <c r="Y1673" s="320" t="e">
        <f>VLOOKUP(H1673,'Fund Utilization Report'!$A$4:$U$1800,7,FALSE)</f>
        <v>#N/A</v>
      </c>
      <c r="Z1673" s="425" t="e">
        <f>VLOOKUP(H1673,'Fund Utilization Report'!$A$4:$U$1800,8,FALSE)</f>
        <v>#N/A</v>
      </c>
      <c r="AA1673" s="428" t="e">
        <f>VLOOKUP(H1673,'Fund Utilization Report'!$A$4:$U$1800,14,FALSE)</f>
        <v>#N/A</v>
      </c>
      <c r="AB1673" s="349" t="e">
        <f>VLOOKUP(H1673,'Fund Utilization Report'!$A$4:$U$1800,15,FALSE)</f>
        <v>#N/A</v>
      </c>
      <c r="AC1673" s="39"/>
      <c r="AD1673" s="34"/>
      <c r="AE1673" s="39"/>
      <c r="AF1673" s="51"/>
      <c r="AG1673" s="442"/>
      <c r="AH1673" s="442"/>
      <c r="AI1673" s="443"/>
    </row>
    <row r="1674" spans="1:35" s="32" customFormat="1">
      <c r="A1674" s="338"/>
      <c r="B1674" s="338"/>
      <c r="C1674" s="358"/>
      <c r="D1674" s="351"/>
      <c r="E1674" s="366"/>
      <c r="F1674" s="338"/>
      <c r="G1674" s="338"/>
      <c r="H1674" s="338"/>
      <c r="I1674" s="353"/>
      <c r="J1674" s="338" t="str">
        <f>IFERROR(VLOOKUP(I1674,'Chart of accounts'!A:H,2,FALSE),"")</f>
        <v/>
      </c>
      <c r="K1674" s="338" t="str">
        <f>IFERROR(VLOOKUP(I1674,'Chart of accounts'!A:H,3,FALSE),"")</f>
        <v/>
      </c>
      <c r="L1674" s="338" t="str">
        <f>IFERROR(VLOOKUP(I1674,'Chart of accounts'!A:H,4,FALSE),"")</f>
        <v/>
      </c>
      <c r="M1674" s="361"/>
      <c r="N1674" s="355"/>
      <c r="O1674" s="355"/>
      <c r="P1674" s="355"/>
      <c r="Q1674" s="363"/>
      <c r="R1674" s="428">
        <f t="shared" si="74"/>
        <v>0</v>
      </c>
      <c r="S1674" s="428" t="e">
        <f>VLOOKUP(H1674,'Fund Utilization Report'!$A$4:$U$1800,13,FALSE)</f>
        <v>#N/A</v>
      </c>
      <c r="T1674" s="428" t="e">
        <f>VLOOKUP(H1674,'Fund Utilization Report'!$A$4:$U$1800,2,FALSE)</f>
        <v>#N/A</v>
      </c>
      <c r="U1674" s="428" t="e">
        <f>VLOOKUP(H1674,'Fund Utilization Report'!$A$4:$U$1800,3,FALSE)</f>
        <v>#N/A</v>
      </c>
      <c r="V1674" s="428" t="e">
        <f>VLOOKUP(H1674,'Fund Utilization Report'!$A$4:$U$1800,4,FALSE)</f>
        <v>#N/A</v>
      </c>
      <c r="W1674" s="428" t="e">
        <f>VLOOKUP(H1674,'Fund Utilization Report'!$A$4:$U$1800,5,FALSE)</f>
        <v>#N/A</v>
      </c>
      <c r="X1674" s="428" t="e">
        <f>VLOOKUP(H1674,'Fund Utilization Report'!$A$4:$U$1800,6,FALSE)</f>
        <v>#N/A</v>
      </c>
      <c r="Y1674" s="320" t="e">
        <f>VLOOKUP(H1674,'Fund Utilization Report'!$A$4:$U$1800,7,FALSE)</f>
        <v>#N/A</v>
      </c>
      <c r="Z1674" s="425" t="e">
        <f>VLOOKUP(H1674,'Fund Utilization Report'!$A$4:$U$1800,8,FALSE)</f>
        <v>#N/A</v>
      </c>
      <c r="AA1674" s="428" t="e">
        <f>VLOOKUP(H1674,'Fund Utilization Report'!$A$4:$U$1800,14,FALSE)</f>
        <v>#N/A</v>
      </c>
      <c r="AB1674" s="349" t="e">
        <f>VLOOKUP(H1674,'Fund Utilization Report'!$A$4:$U$1800,15,FALSE)</f>
        <v>#N/A</v>
      </c>
      <c r="AC1674" s="39"/>
      <c r="AD1674" s="34"/>
      <c r="AE1674" s="39"/>
      <c r="AF1674" s="51"/>
      <c r="AG1674" s="442"/>
      <c r="AH1674" s="442"/>
      <c r="AI1674" s="443"/>
    </row>
    <row r="1675" spans="1:35" s="32" customFormat="1">
      <c r="A1675" s="338"/>
      <c r="B1675" s="338"/>
      <c r="C1675" s="358"/>
      <c r="D1675" s="351"/>
      <c r="E1675" s="366"/>
      <c r="F1675" s="338"/>
      <c r="G1675" s="338"/>
      <c r="H1675" s="338"/>
      <c r="I1675" s="353"/>
      <c r="J1675" s="338" t="str">
        <f>IFERROR(VLOOKUP(I1675,'Chart of accounts'!A:H,2,FALSE),"")</f>
        <v/>
      </c>
      <c r="K1675" s="338" t="str">
        <f>IFERROR(VLOOKUP(I1675,'Chart of accounts'!A:H,3,FALSE),"")</f>
        <v/>
      </c>
      <c r="L1675" s="338" t="str">
        <f>IFERROR(VLOOKUP(I1675,'Chart of accounts'!A:H,4,FALSE),"")</f>
        <v/>
      </c>
      <c r="M1675" s="361"/>
      <c r="N1675" s="355"/>
      <c r="O1675" s="355"/>
      <c r="P1675" s="355"/>
      <c r="Q1675" s="363"/>
      <c r="R1675" s="428">
        <f t="shared" si="74"/>
        <v>0</v>
      </c>
      <c r="S1675" s="428" t="e">
        <f>VLOOKUP(H1675,'Fund Utilization Report'!$A$4:$U$1800,13,FALSE)</f>
        <v>#N/A</v>
      </c>
      <c r="T1675" s="428" t="e">
        <f>VLOOKUP(H1675,'Fund Utilization Report'!$A$4:$U$1800,2,FALSE)</f>
        <v>#N/A</v>
      </c>
      <c r="U1675" s="428" t="e">
        <f>VLOOKUP(H1675,'Fund Utilization Report'!$A$4:$U$1800,3,FALSE)</f>
        <v>#N/A</v>
      </c>
      <c r="V1675" s="428" t="e">
        <f>VLOOKUP(H1675,'Fund Utilization Report'!$A$4:$U$1800,4,FALSE)</f>
        <v>#N/A</v>
      </c>
      <c r="W1675" s="428" t="e">
        <f>VLOOKUP(H1675,'Fund Utilization Report'!$A$4:$U$1800,5,FALSE)</f>
        <v>#N/A</v>
      </c>
      <c r="X1675" s="428" t="e">
        <f>VLOOKUP(H1675,'Fund Utilization Report'!$A$4:$U$1800,6,FALSE)</f>
        <v>#N/A</v>
      </c>
      <c r="Y1675" s="320" t="e">
        <f>VLOOKUP(H1675,'Fund Utilization Report'!$A$4:$U$1800,7,FALSE)</f>
        <v>#N/A</v>
      </c>
      <c r="Z1675" s="425" t="e">
        <f>VLOOKUP(H1675,'Fund Utilization Report'!$A$4:$U$1800,8,FALSE)</f>
        <v>#N/A</v>
      </c>
      <c r="AA1675" s="428" t="e">
        <f>VLOOKUP(H1675,'Fund Utilization Report'!$A$4:$U$1800,14,FALSE)</f>
        <v>#N/A</v>
      </c>
      <c r="AB1675" s="349" t="e">
        <f>VLOOKUP(H1675,'Fund Utilization Report'!$A$4:$U$1800,15,FALSE)</f>
        <v>#N/A</v>
      </c>
      <c r="AC1675" s="39"/>
      <c r="AD1675" s="34"/>
      <c r="AE1675" s="39"/>
      <c r="AF1675" s="51"/>
      <c r="AG1675" s="442"/>
      <c r="AH1675" s="442"/>
      <c r="AI1675" s="443"/>
    </row>
    <row r="1676" spans="1:35" s="32" customFormat="1">
      <c r="A1676" s="338"/>
      <c r="B1676" s="338"/>
      <c r="C1676" s="358"/>
      <c r="D1676" s="351"/>
      <c r="E1676" s="366"/>
      <c r="F1676" s="338"/>
      <c r="G1676" s="338"/>
      <c r="H1676" s="338"/>
      <c r="I1676" s="353"/>
      <c r="J1676" s="338" t="str">
        <f>IFERROR(VLOOKUP(I1676,'Chart of accounts'!A:H,2,FALSE),"")</f>
        <v/>
      </c>
      <c r="K1676" s="338" t="str">
        <f>IFERROR(VLOOKUP(I1676,'Chart of accounts'!A:H,3,FALSE),"")</f>
        <v/>
      </c>
      <c r="L1676" s="338" t="str">
        <f>IFERROR(VLOOKUP(I1676,'Chart of accounts'!A:H,4,FALSE),"")</f>
        <v/>
      </c>
      <c r="M1676" s="361"/>
      <c r="N1676" s="355"/>
      <c r="O1676" s="355"/>
      <c r="P1676" s="355"/>
      <c r="Q1676" s="363"/>
      <c r="R1676" s="428">
        <f t="shared" si="74"/>
        <v>0</v>
      </c>
      <c r="S1676" s="428" t="e">
        <f>VLOOKUP(H1676,'Fund Utilization Report'!$A$4:$U$1800,13,FALSE)</f>
        <v>#N/A</v>
      </c>
      <c r="T1676" s="428" t="e">
        <f>VLOOKUP(H1676,'Fund Utilization Report'!$A$4:$U$1800,2,FALSE)</f>
        <v>#N/A</v>
      </c>
      <c r="U1676" s="428" t="e">
        <f>VLOOKUP(H1676,'Fund Utilization Report'!$A$4:$U$1800,3,FALSE)</f>
        <v>#N/A</v>
      </c>
      <c r="V1676" s="428" t="e">
        <f>VLOOKUP(H1676,'Fund Utilization Report'!$A$4:$U$1800,4,FALSE)</f>
        <v>#N/A</v>
      </c>
      <c r="W1676" s="428" t="e">
        <f>VLOOKUP(H1676,'Fund Utilization Report'!$A$4:$U$1800,5,FALSE)</f>
        <v>#N/A</v>
      </c>
      <c r="X1676" s="428" t="e">
        <f>VLOOKUP(H1676,'Fund Utilization Report'!$A$4:$U$1800,6,FALSE)</f>
        <v>#N/A</v>
      </c>
      <c r="Y1676" s="320" t="e">
        <f>VLOOKUP(H1676,'Fund Utilization Report'!$A$4:$U$1800,7,FALSE)</f>
        <v>#N/A</v>
      </c>
      <c r="Z1676" s="425" t="e">
        <f>VLOOKUP(H1676,'Fund Utilization Report'!$A$4:$U$1800,8,FALSE)</f>
        <v>#N/A</v>
      </c>
      <c r="AA1676" s="428" t="e">
        <f>VLOOKUP(H1676,'Fund Utilization Report'!$A$4:$U$1800,14,FALSE)</f>
        <v>#N/A</v>
      </c>
      <c r="AB1676" s="349" t="e">
        <f>VLOOKUP(H1676,'Fund Utilization Report'!$A$4:$U$1800,15,FALSE)</f>
        <v>#N/A</v>
      </c>
      <c r="AC1676" s="39"/>
      <c r="AD1676" s="34"/>
      <c r="AE1676" s="39"/>
      <c r="AF1676" s="51"/>
      <c r="AG1676" s="442"/>
      <c r="AH1676" s="442"/>
      <c r="AI1676" s="443"/>
    </row>
    <row r="1677" spans="1:35" s="32" customFormat="1">
      <c r="A1677" s="338"/>
      <c r="B1677" s="338"/>
      <c r="C1677" s="358"/>
      <c r="D1677" s="351"/>
      <c r="E1677" s="366"/>
      <c r="F1677" s="338"/>
      <c r="G1677" s="338"/>
      <c r="H1677" s="338"/>
      <c r="I1677" s="353"/>
      <c r="J1677" s="338" t="str">
        <f>IFERROR(VLOOKUP(I1677,'Chart of accounts'!A:H,2,FALSE),"")</f>
        <v/>
      </c>
      <c r="K1677" s="338" t="str">
        <f>IFERROR(VLOOKUP(I1677,'Chart of accounts'!A:H,3,FALSE),"")</f>
        <v/>
      </c>
      <c r="L1677" s="338" t="str">
        <f>IFERROR(VLOOKUP(I1677,'Chart of accounts'!A:H,4,FALSE),"")</f>
        <v/>
      </c>
      <c r="M1677" s="361"/>
      <c r="N1677" s="355"/>
      <c r="O1677" s="355"/>
      <c r="P1677" s="355"/>
      <c r="Q1677" s="363"/>
      <c r="R1677" s="428">
        <f t="shared" si="74"/>
        <v>0</v>
      </c>
      <c r="S1677" s="428" t="e">
        <f>VLOOKUP(H1677,'Fund Utilization Report'!$A$4:$U$1800,13,FALSE)</f>
        <v>#N/A</v>
      </c>
      <c r="T1677" s="428" t="e">
        <f>VLOOKUP(H1677,'Fund Utilization Report'!$A$4:$U$1800,2,FALSE)</f>
        <v>#N/A</v>
      </c>
      <c r="U1677" s="428" t="e">
        <f>VLOOKUP(H1677,'Fund Utilization Report'!$A$4:$U$1800,3,FALSE)</f>
        <v>#N/A</v>
      </c>
      <c r="V1677" s="428" t="e">
        <f>VLOOKUP(H1677,'Fund Utilization Report'!$A$4:$U$1800,4,FALSE)</f>
        <v>#N/A</v>
      </c>
      <c r="W1677" s="428" t="e">
        <f>VLOOKUP(H1677,'Fund Utilization Report'!$A$4:$U$1800,5,FALSE)</f>
        <v>#N/A</v>
      </c>
      <c r="X1677" s="428" t="e">
        <f>VLOOKUP(H1677,'Fund Utilization Report'!$A$4:$U$1800,6,FALSE)</f>
        <v>#N/A</v>
      </c>
      <c r="Y1677" s="320" t="e">
        <f>VLOOKUP(H1677,'Fund Utilization Report'!$A$4:$U$1800,7,FALSE)</f>
        <v>#N/A</v>
      </c>
      <c r="Z1677" s="425" t="e">
        <f>VLOOKUP(H1677,'Fund Utilization Report'!$A$4:$U$1800,8,FALSE)</f>
        <v>#N/A</v>
      </c>
      <c r="AA1677" s="428" t="e">
        <f>VLOOKUP(H1677,'Fund Utilization Report'!$A$4:$U$1800,14,FALSE)</f>
        <v>#N/A</v>
      </c>
      <c r="AB1677" s="349" t="e">
        <f>VLOOKUP(H1677,'Fund Utilization Report'!$A$4:$U$1800,15,FALSE)</f>
        <v>#N/A</v>
      </c>
      <c r="AC1677" s="39"/>
      <c r="AD1677" s="34"/>
      <c r="AE1677" s="39"/>
      <c r="AF1677" s="51"/>
      <c r="AG1677" s="442"/>
      <c r="AH1677" s="442"/>
      <c r="AI1677" s="443"/>
    </row>
    <row r="1678" spans="1:35" s="32" customFormat="1">
      <c r="A1678" s="338"/>
      <c r="B1678" s="338"/>
      <c r="C1678" s="358"/>
      <c r="D1678" s="351"/>
      <c r="E1678" s="366"/>
      <c r="F1678" s="338"/>
      <c r="G1678" s="338"/>
      <c r="H1678" s="338"/>
      <c r="I1678" s="353"/>
      <c r="J1678" s="338" t="str">
        <f>IFERROR(VLOOKUP(I1678,'Chart of accounts'!A:H,2,FALSE),"")</f>
        <v/>
      </c>
      <c r="K1678" s="338" t="str">
        <f>IFERROR(VLOOKUP(I1678,'Chart of accounts'!A:H,3,FALSE),"")</f>
        <v/>
      </c>
      <c r="L1678" s="338" t="str">
        <f>IFERROR(VLOOKUP(I1678,'Chart of accounts'!A:H,4,FALSE),"")</f>
        <v/>
      </c>
      <c r="M1678" s="361"/>
      <c r="N1678" s="355"/>
      <c r="O1678" s="355"/>
      <c r="P1678" s="355"/>
      <c r="Q1678" s="363"/>
      <c r="R1678" s="428">
        <f t="shared" si="74"/>
        <v>0</v>
      </c>
      <c r="S1678" s="428" t="e">
        <f>VLOOKUP(H1678,'Fund Utilization Report'!$A$4:$U$1800,13,FALSE)</f>
        <v>#N/A</v>
      </c>
      <c r="T1678" s="428" t="e">
        <f>VLOOKUP(H1678,'Fund Utilization Report'!$A$4:$U$1800,2,FALSE)</f>
        <v>#N/A</v>
      </c>
      <c r="U1678" s="428" t="e">
        <f>VLOOKUP(H1678,'Fund Utilization Report'!$A$4:$U$1800,3,FALSE)</f>
        <v>#N/A</v>
      </c>
      <c r="V1678" s="428" t="e">
        <f>VLOOKUP(H1678,'Fund Utilization Report'!$A$4:$U$1800,4,FALSE)</f>
        <v>#N/A</v>
      </c>
      <c r="W1678" s="428" t="e">
        <f>VLOOKUP(H1678,'Fund Utilization Report'!$A$4:$U$1800,5,FALSE)</f>
        <v>#N/A</v>
      </c>
      <c r="X1678" s="428" t="e">
        <f>VLOOKUP(H1678,'Fund Utilization Report'!$A$4:$U$1800,6,FALSE)</f>
        <v>#N/A</v>
      </c>
      <c r="Y1678" s="320" t="e">
        <f>VLOOKUP(H1678,'Fund Utilization Report'!$A$4:$U$1800,7,FALSE)</f>
        <v>#N/A</v>
      </c>
      <c r="Z1678" s="425" t="e">
        <f>VLOOKUP(H1678,'Fund Utilization Report'!$A$4:$U$1800,8,FALSE)</f>
        <v>#N/A</v>
      </c>
      <c r="AA1678" s="428" t="e">
        <f>VLOOKUP(H1678,'Fund Utilization Report'!$A$4:$U$1800,14,FALSE)</f>
        <v>#N/A</v>
      </c>
      <c r="AB1678" s="349" t="e">
        <f>VLOOKUP(H1678,'Fund Utilization Report'!$A$4:$U$1800,15,FALSE)</f>
        <v>#N/A</v>
      </c>
      <c r="AC1678" s="39"/>
      <c r="AD1678" s="34"/>
      <c r="AE1678" s="39"/>
      <c r="AF1678" s="51"/>
      <c r="AG1678" s="442"/>
      <c r="AH1678" s="442"/>
      <c r="AI1678" s="443"/>
    </row>
    <row r="1679" spans="1:35" s="32" customFormat="1">
      <c r="A1679" s="338"/>
      <c r="B1679" s="338"/>
      <c r="C1679" s="358"/>
      <c r="D1679" s="351"/>
      <c r="E1679" s="366"/>
      <c r="F1679" s="338"/>
      <c r="G1679" s="338"/>
      <c r="H1679" s="338"/>
      <c r="I1679" s="353"/>
      <c r="J1679" s="338" t="str">
        <f>IFERROR(VLOOKUP(I1679,'Chart of accounts'!A:H,2,FALSE),"")</f>
        <v/>
      </c>
      <c r="K1679" s="338" t="str">
        <f>IFERROR(VLOOKUP(I1679,'Chart of accounts'!A:H,3,FALSE),"")</f>
        <v/>
      </c>
      <c r="L1679" s="338" t="str">
        <f>IFERROR(VLOOKUP(I1679,'Chart of accounts'!A:H,4,FALSE),"")</f>
        <v/>
      </c>
      <c r="M1679" s="361"/>
      <c r="N1679" s="355"/>
      <c r="O1679" s="355"/>
      <c r="P1679" s="355"/>
      <c r="Q1679" s="363"/>
      <c r="R1679" s="428">
        <f t="shared" ref="R1679:R1694" si="75">P1679-Q1679</f>
        <v>0</v>
      </c>
      <c r="S1679" s="428" t="e">
        <f>VLOOKUP(H1679,'Fund Utilization Report'!$A$4:$U$1800,13,FALSE)</f>
        <v>#N/A</v>
      </c>
      <c r="T1679" s="428" t="e">
        <f>VLOOKUP(H1679,'Fund Utilization Report'!$A$4:$U$1800,2,FALSE)</f>
        <v>#N/A</v>
      </c>
      <c r="U1679" s="428" t="e">
        <f>VLOOKUP(H1679,'Fund Utilization Report'!$A$4:$U$1800,3,FALSE)</f>
        <v>#N/A</v>
      </c>
      <c r="V1679" s="428" t="e">
        <f>VLOOKUP(H1679,'Fund Utilization Report'!$A$4:$U$1800,4,FALSE)</f>
        <v>#N/A</v>
      </c>
      <c r="W1679" s="428" t="e">
        <f>VLOOKUP(H1679,'Fund Utilization Report'!$A$4:$U$1800,5,FALSE)</f>
        <v>#N/A</v>
      </c>
      <c r="X1679" s="428" t="e">
        <f>VLOOKUP(H1679,'Fund Utilization Report'!$A$4:$U$1800,6,FALSE)</f>
        <v>#N/A</v>
      </c>
      <c r="Y1679" s="320" t="e">
        <f>VLOOKUP(H1679,'Fund Utilization Report'!$A$4:$U$1800,7,FALSE)</f>
        <v>#N/A</v>
      </c>
      <c r="Z1679" s="425" t="e">
        <f>VLOOKUP(H1679,'Fund Utilization Report'!$A$4:$U$1800,8,FALSE)</f>
        <v>#N/A</v>
      </c>
      <c r="AA1679" s="428" t="e">
        <f>VLOOKUP(H1679,'Fund Utilization Report'!$A$4:$U$1800,14,FALSE)</f>
        <v>#N/A</v>
      </c>
      <c r="AB1679" s="349" t="e">
        <f>VLOOKUP(H1679,'Fund Utilization Report'!$A$4:$U$1800,15,FALSE)</f>
        <v>#N/A</v>
      </c>
      <c r="AC1679" s="39"/>
      <c r="AD1679" s="34"/>
      <c r="AE1679" s="39"/>
      <c r="AF1679" s="51"/>
      <c r="AG1679" s="442"/>
      <c r="AH1679" s="442"/>
      <c r="AI1679" s="443"/>
    </row>
    <row r="1680" spans="1:35" s="32" customFormat="1">
      <c r="A1680" s="338"/>
      <c r="B1680" s="338"/>
      <c r="C1680" s="358"/>
      <c r="D1680" s="351"/>
      <c r="E1680" s="366"/>
      <c r="F1680" s="338"/>
      <c r="G1680" s="338"/>
      <c r="H1680" s="338"/>
      <c r="I1680" s="353"/>
      <c r="J1680" s="338" t="str">
        <f>IFERROR(VLOOKUP(I1680,'Chart of accounts'!A:H,2,FALSE),"")</f>
        <v/>
      </c>
      <c r="K1680" s="338" t="str">
        <f>IFERROR(VLOOKUP(I1680,'Chart of accounts'!A:H,3,FALSE),"")</f>
        <v/>
      </c>
      <c r="L1680" s="338" t="str">
        <f>IFERROR(VLOOKUP(I1680,'Chart of accounts'!A:H,4,FALSE),"")</f>
        <v/>
      </c>
      <c r="M1680" s="361"/>
      <c r="N1680" s="355"/>
      <c r="O1680" s="355"/>
      <c r="P1680" s="355"/>
      <c r="Q1680" s="363"/>
      <c r="R1680" s="428">
        <f t="shared" si="75"/>
        <v>0</v>
      </c>
      <c r="S1680" s="428" t="e">
        <f>VLOOKUP(H1680,'Fund Utilization Report'!$A$4:$U$1800,13,FALSE)</f>
        <v>#N/A</v>
      </c>
      <c r="T1680" s="428" t="e">
        <f>VLOOKUP(H1680,'Fund Utilization Report'!$A$4:$U$1800,2,FALSE)</f>
        <v>#N/A</v>
      </c>
      <c r="U1680" s="428" t="e">
        <f>VLOOKUP(H1680,'Fund Utilization Report'!$A$4:$U$1800,3,FALSE)</f>
        <v>#N/A</v>
      </c>
      <c r="V1680" s="428" t="e">
        <f>VLOOKUP(H1680,'Fund Utilization Report'!$A$4:$U$1800,4,FALSE)</f>
        <v>#N/A</v>
      </c>
      <c r="W1680" s="428" t="e">
        <f>VLOOKUP(H1680,'Fund Utilization Report'!$A$4:$U$1800,5,FALSE)</f>
        <v>#N/A</v>
      </c>
      <c r="X1680" s="428" t="e">
        <f>VLOOKUP(H1680,'Fund Utilization Report'!$A$4:$U$1800,6,FALSE)</f>
        <v>#N/A</v>
      </c>
      <c r="Y1680" s="320" t="e">
        <f>VLOOKUP(H1680,'Fund Utilization Report'!$A$4:$U$1800,7,FALSE)</f>
        <v>#N/A</v>
      </c>
      <c r="Z1680" s="425" t="e">
        <f>VLOOKUP(H1680,'Fund Utilization Report'!$A$4:$U$1800,8,FALSE)</f>
        <v>#N/A</v>
      </c>
      <c r="AA1680" s="428" t="e">
        <f>VLOOKUP(H1680,'Fund Utilization Report'!$A$4:$U$1800,14,FALSE)</f>
        <v>#N/A</v>
      </c>
      <c r="AB1680" s="349" t="e">
        <f>VLOOKUP(H1680,'Fund Utilization Report'!$A$4:$U$1800,15,FALSE)</f>
        <v>#N/A</v>
      </c>
      <c r="AC1680" s="39"/>
      <c r="AD1680" s="34"/>
      <c r="AE1680" s="39"/>
      <c r="AF1680" s="51"/>
      <c r="AG1680" s="442"/>
      <c r="AH1680" s="442"/>
      <c r="AI1680" s="443"/>
    </row>
    <row r="1681" spans="1:35" s="32" customFormat="1">
      <c r="A1681" s="338"/>
      <c r="B1681" s="338"/>
      <c r="C1681" s="358"/>
      <c r="D1681" s="351"/>
      <c r="E1681" s="366"/>
      <c r="F1681" s="338"/>
      <c r="G1681" s="338"/>
      <c r="H1681" s="338"/>
      <c r="I1681" s="353"/>
      <c r="J1681" s="338" t="str">
        <f>IFERROR(VLOOKUP(I1681,'Chart of accounts'!A:H,2,FALSE),"")</f>
        <v/>
      </c>
      <c r="K1681" s="338" t="str">
        <f>IFERROR(VLOOKUP(I1681,'Chart of accounts'!A:H,3,FALSE),"")</f>
        <v/>
      </c>
      <c r="L1681" s="338" t="str">
        <f>IFERROR(VLOOKUP(I1681,'Chart of accounts'!A:H,4,FALSE),"")</f>
        <v/>
      </c>
      <c r="M1681" s="361"/>
      <c r="N1681" s="355"/>
      <c r="O1681" s="355"/>
      <c r="P1681" s="355"/>
      <c r="Q1681" s="363"/>
      <c r="R1681" s="428">
        <f t="shared" si="75"/>
        <v>0</v>
      </c>
      <c r="S1681" s="428" t="e">
        <f>VLOOKUP(H1681,'Fund Utilization Report'!$A$4:$U$1800,13,FALSE)</f>
        <v>#N/A</v>
      </c>
      <c r="T1681" s="428" t="e">
        <f>VLOOKUP(H1681,'Fund Utilization Report'!$A$4:$U$1800,2,FALSE)</f>
        <v>#N/A</v>
      </c>
      <c r="U1681" s="428" t="e">
        <f>VLOOKUP(H1681,'Fund Utilization Report'!$A$4:$U$1800,3,FALSE)</f>
        <v>#N/A</v>
      </c>
      <c r="V1681" s="428" t="e">
        <f>VLOOKUP(H1681,'Fund Utilization Report'!$A$4:$U$1800,4,FALSE)</f>
        <v>#N/A</v>
      </c>
      <c r="W1681" s="428" t="e">
        <f>VLOOKUP(H1681,'Fund Utilization Report'!$A$4:$U$1800,5,FALSE)</f>
        <v>#N/A</v>
      </c>
      <c r="X1681" s="428" t="e">
        <f>VLOOKUP(H1681,'Fund Utilization Report'!$A$4:$U$1800,6,FALSE)</f>
        <v>#N/A</v>
      </c>
      <c r="Y1681" s="320" t="e">
        <f>VLOOKUP(H1681,'Fund Utilization Report'!$A$4:$U$1800,7,FALSE)</f>
        <v>#N/A</v>
      </c>
      <c r="Z1681" s="425" t="e">
        <f>VLOOKUP(H1681,'Fund Utilization Report'!$A$4:$U$1800,8,FALSE)</f>
        <v>#N/A</v>
      </c>
      <c r="AA1681" s="428" t="e">
        <f>VLOOKUP(H1681,'Fund Utilization Report'!$A$4:$U$1800,14,FALSE)</f>
        <v>#N/A</v>
      </c>
      <c r="AB1681" s="349" t="e">
        <f>VLOOKUP(H1681,'Fund Utilization Report'!$A$4:$U$1800,15,FALSE)</f>
        <v>#N/A</v>
      </c>
      <c r="AC1681" s="39"/>
      <c r="AD1681" s="34"/>
      <c r="AE1681" s="39"/>
      <c r="AF1681" s="51"/>
      <c r="AG1681" s="442"/>
      <c r="AH1681" s="442"/>
      <c r="AI1681" s="443"/>
    </row>
    <row r="1682" spans="1:35" s="32" customFormat="1">
      <c r="A1682" s="338"/>
      <c r="B1682" s="338"/>
      <c r="C1682" s="358"/>
      <c r="D1682" s="351"/>
      <c r="E1682" s="366"/>
      <c r="F1682" s="338"/>
      <c r="G1682" s="338"/>
      <c r="H1682" s="338"/>
      <c r="I1682" s="353"/>
      <c r="J1682" s="338" t="str">
        <f>IFERROR(VLOOKUP(I1682,'Chart of accounts'!A:H,2,FALSE),"")</f>
        <v/>
      </c>
      <c r="K1682" s="338" t="str">
        <f>IFERROR(VLOOKUP(I1682,'Chart of accounts'!A:H,3,FALSE),"")</f>
        <v/>
      </c>
      <c r="L1682" s="338" t="str">
        <f>IFERROR(VLOOKUP(I1682,'Chart of accounts'!A:H,4,FALSE),"")</f>
        <v/>
      </c>
      <c r="M1682" s="361"/>
      <c r="N1682" s="355"/>
      <c r="O1682" s="355"/>
      <c r="P1682" s="355"/>
      <c r="Q1682" s="363"/>
      <c r="R1682" s="428">
        <f t="shared" si="75"/>
        <v>0</v>
      </c>
      <c r="S1682" s="428" t="e">
        <f>VLOOKUP(H1682,'Fund Utilization Report'!$A$4:$U$1800,13,FALSE)</f>
        <v>#N/A</v>
      </c>
      <c r="T1682" s="428" t="e">
        <f>VLOOKUP(H1682,'Fund Utilization Report'!$A$4:$U$1800,2,FALSE)</f>
        <v>#N/A</v>
      </c>
      <c r="U1682" s="428" t="e">
        <f>VLOOKUP(H1682,'Fund Utilization Report'!$A$4:$U$1800,3,FALSE)</f>
        <v>#N/A</v>
      </c>
      <c r="V1682" s="428" t="e">
        <f>VLOOKUP(H1682,'Fund Utilization Report'!$A$4:$U$1800,4,FALSE)</f>
        <v>#N/A</v>
      </c>
      <c r="W1682" s="428" t="e">
        <f>VLOOKUP(H1682,'Fund Utilization Report'!$A$4:$U$1800,5,FALSE)</f>
        <v>#N/A</v>
      </c>
      <c r="X1682" s="428" t="e">
        <f>VLOOKUP(H1682,'Fund Utilization Report'!$A$4:$U$1800,6,FALSE)</f>
        <v>#N/A</v>
      </c>
      <c r="Y1682" s="320" t="e">
        <f>VLOOKUP(H1682,'Fund Utilization Report'!$A$4:$U$1800,7,FALSE)</f>
        <v>#N/A</v>
      </c>
      <c r="Z1682" s="425" t="e">
        <f>VLOOKUP(H1682,'Fund Utilization Report'!$A$4:$U$1800,8,FALSE)</f>
        <v>#N/A</v>
      </c>
      <c r="AA1682" s="428" t="e">
        <f>VLOOKUP(H1682,'Fund Utilization Report'!$A$4:$U$1800,14,FALSE)</f>
        <v>#N/A</v>
      </c>
      <c r="AB1682" s="349" t="e">
        <f>VLOOKUP(H1682,'Fund Utilization Report'!$A$4:$U$1800,15,FALSE)</f>
        <v>#N/A</v>
      </c>
      <c r="AC1682" s="39"/>
      <c r="AD1682" s="34"/>
      <c r="AE1682" s="39"/>
      <c r="AF1682" s="51"/>
      <c r="AG1682" s="442"/>
      <c r="AH1682" s="442"/>
      <c r="AI1682" s="443"/>
    </row>
    <row r="1683" spans="1:35" s="32" customFormat="1">
      <c r="A1683" s="338"/>
      <c r="B1683" s="338"/>
      <c r="C1683" s="358"/>
      <c r="D1683" s="351"/>
      <c r="E1683" s="366"/>
      <c r="F1683" s="338"/>
      <c r="G1683" s="338"/>
      <c r="H1683" s="338"/>
      <c r="I1683" s="353"/>
      <c r="J1683" s="338" t="str">
        <f>IFERROR(VLOOKUP(I1683,'Chart of accounts'!A:H,2,FALSE),"")</f>
        <v/>
      </c>
      <c r="K1683" s="338" t="str">
        <f>IFERROR(VLOOKUP(I1683,'Chart of accounts'!A:H,3,FALSE),"")</f>
        <v/>
      </c>
      <c r="L1683" s="338" t="str">
        <f>IFERROR(VLOOKUP(I1683,'Chart of accounts'!A:H,4,FALSE),"")</f>
        <v/>
      </c>
      <c r="M1683" s="361"/>
      <c r="N1683" s="355"/>
      <c r="O1683" s="355"/>
      <c r="P1683" s="355"/>
      <c r="Q1683" s="363"/>
      <c r="R1683" s="428">
        <f t="shared" si="75"/>
        <v>0</v>
      </c>
      <c r="S1683" s="428" t="e">
        <f>VLOOKUP(H1683,'Fund Utilization Report'!$A$4:$U$1800,13,FALSE)</f>
        <v>#N/A</v>
      </c>
      <c r="T1683" s="428" t="e">
        <f>VLOOKUP(H1683,'Fund Utilization Report'!$A$4:$U$1800,2,FALSE)</f>
        <v>#N/A</v>
      </c>
      <c r="U1683" s="428" t="e">
        <f>VLOOKUP(H1683,'Fund Utilization Report'!$A$4:$U$1800,3,FALSE)</f>
        <v>#N/A</v>
      </c>
      <c r="V1683" s="428" t="e">
        <f>VLOOKUP(H1683,'Fund Utilization Report'!$A$4:$U$1800,4,FALSE)</f>
        <v>#N/A</v>
      </c>
      <c r="W1683" s="428" t="e">
        <f>VLOOKUP(H1683,'Fund Utilization Report'!$A$4:$U$1800,5,FALSE)</f>
        <v>#N/A</v>
      </c>
      <c r="X1683" s="428" t="e">
        <f>VLOOKUP(H1683,'Fund Utilization Report'!$A$4:$U$1800,6,FALSE)</f>
        <v>#N/A</v>
      </c>
      <c r="Y1683" s="320" t="e">
        <f>VLOOKUP(H1683,'Fund Utilization Report'!$A$4:$U$1800,7,FALSE)</f>
        <v>#N/A</v>
      </c>
      <c r="Z1683" s="425" t="e">
        <f>VLOOKUP(H1683,'Fund Utilization Report'!$A$4:$U$1800,8,FALSE)</f>
        <v>#N/A</v>
      </c>
      <c r="AA1683" s="428" t="e">
        <f>VLOOKUP(H1683,'Fund Utilization Report'!$A$4:$U$1800,14,FALSE)</f>
        <v>#N/A</v>
      </c>
      <c r="AB1683" s="349" t="e">
        <f>VLOOKUP(H1683,'Fund Utilization Report'!$A$4:$U$1800,15,FALSE)</f>
        <v>#N/A</v>
      </c>
      <c r="AC1683" s="39"/>
      <c r="AD1683" s="34"/>
      <c r="AE1683" s="39"/>
      <c r="AF1683" s="51"/>
      <c r="AG1683" s="442"/>
      <c r="AH1683" s="442"/>
      <c r="AI1683" s="443"/>
    </row>
    <row r="1684" spans="1:35" s="32" customFormat="1">
      <c r="A1684" s="338"/>
      <c r="B1684" s="338"/>
      <c r="C1684" s="358"/>
      <c r="D1684" s="351"/>
      <c r="E1684" s="366"/>
      <c r="F1684" s="338"/>
      <c r="G1684" s="338"/>
      <c r="H1684" s="338"/>
      <c r="I1684" s="353"/>
      <c r="J1684" s="338" t="str">
        <f>IFERROR(VLOOKUP(I1684,'Chart of accounts'!A:H,2,FALSE),"")</f>
        <v/>
      </c>
      <c r="K1684" s="338" t="str">
        <f>IFERROR(VLOOKUP(I1684,'Chart of accounts'!A:H,3,FALSE),"")</f>
        <v/>
      </c>
      <c r="L1684" s="338" t="str">
        <f>IFERROR(VLOOKUP(I1684,'Chart of accounts'!A:H,4,FALSE),"")</f>
        <v/>
      </c>
      <c r="M1684" s="361"/>
      <c r="N1684" s="355"/>
      <c r="O1684" s="355"/>
      <c r="P1684" s="355"/>
      <c r="Q1684" s="363"/>
      <c r="R1684" s="428">
        <f t="shared" si="75"/>
        <v>0</v>
      </c>
      <c r="S1684" s="428" t="e">
        <f>VLOOKUP(H1684,'Fund Utilization Report'!$A$4:$U$1800,13,FALSE)</f>
        <v>#N/A</v>
      </c>
      <c r="T1684" s="428" t="e">
        <f>VLOOKUP(H1684,'Fund Utilization Report'!$A$4:$U$1800,2,FALSE)</f>
        <v>#N/A</v>
      </c>
      <c r="U1684" s="428" t="e">
        <f>VLOOKUP(H1684,'Fund Utilization Report'!$A$4:$U$1800,3,FALSE)</f>
        <v>#N/A</v>
      </c>
      <c r="V1684" s="428" t="e">
        <f>VLOOKUP(H1684,'Fund Utilization Report'!$A$4:$U$1800,4,FALSE)</f>
        <v>#N/A</v>
      </c>
      <c r="W1684" s="428" t="e">
        <f>VLOOKUP(H1684,'Fund Utilization Report'!$A$4:$U$1800,5,FALSE)</f>
        <v>#N/A</v>
      </c>
      <c r="X1684" s="428" t="e">
        <f>VLOOKUP(H1684,'Fund Utilization Report'!$A$4:$U$1800,6,FALSE)</f>
        <v>#N/A</v>
      </c>
      <c r="Y1684" s="320" t="e">
        <f>VLOOKUP(H1684,'Fund Utilization Report'!$A$4:$U$1800,7,FALSE)</f>
        <v>#N/A</v>
      </c>
      <c r="Z1684" s="425" t="e">
        <f>VLOOKUP(H1684,'Fund Utilization Report'!$A$4:$U$1800,8,FALSE)</f>
        <v>#N/A</v>
      </c>
      <c r="AA1684" s="428" t="e">
        <f>VLOOKUP(H1684,'Fund Utilization Report'!$A$4:$U$1800,14,FALSE)</f>
        <v>#N/A</v>
      </c>
      <c r="AB1684" s="349" t="e">
        <f>VLOOKUP(H1684,'Fund Utilization Report'!$A$4:$U$1800,15,FALSE)</f>
        <v>#N/A</v>
      </c>
      <c r="AC1684" s="39"/>
      <c r="AD1684" s="34"/>
      <c r="AE1684" s="39"/>
      <c r="AF1684" s="51"/>
      <c r="AG1684" s="442"/>
      <c r="AH1684" s="442"/>
      <c r="AI1684" s="443"/>
    </row>
    <row r="1685" spans="1:35" s="32" customFormat="1">
      <c r="A1685" s="338"/>
      <c r="B1685" s="338"/>
      <c r="C1685" s="358"/>
      <c r="D1685" s="351"/>
      <c r="E1685" s="366"/>
      <c r="F1685" s="338"/>
      <c r="G1685" s="338"/>
      <c r="H1685" s="338"/>
      <c r="I1685" s="353"/>
      <c r="J1685" s="338" t="str">
        <f>IFERROR(VLOOKUP(I1685,'Chart of accounts'!A:H,2,FALSE),"")</f>
        <v/>
      </c>
      <c r="K1685" s="338" t="str">
        <f>IFERROR(VLOOKUP(I1685,'Chart of accounts'!A:H,3,FALSE),"")</f>
        <v/>
      </c>
      <c r="L1685" s="338" t="str">
        <f>IFERROR(VLOOKUP(I1685,'Chart of accounts'!A:H,4,FALSE),"")</f>
        <v/>
      </c>
      <c r="M1685" s="361"/>
      <c r="N1685" s="355"/>
      <c r="O1685" s="355"/>
      <c r="P1685" s="355"/>
      <c r="Q1685" s="363"/>
      <c r="R1685" s="428">
        <f t="shared" si="75"/>
        <v>0</v>
      </c>
      <c r="S1685" s="428" t="e">
        <f>VLOOKUP(H1685,'Fund Utilization Report'!$A$4:$U$1800,13,FALSE)</f>
        <v>#N/A</v>
      </c>
      <c r="T1685" s="428" t="e">
        <f>VLOOKUP(H1685,'Fund Utilization Report'!$A$4:$U$1800,2,FALSE)</f>
        <v>#N/A</v>
      </c>
      <c r="U1685" s="428" t="e">
        <f>VLOOKUP(H1685,'Fund Utilization Report'!$A$4:$U$1800,3,FALSE)</f>
        <v>#N/A</v>
      </c>
      <c r="V1685" s="428" t="e">
        <f>VLOOKUP(H1685,'Fund Utilization Report'!$A$4:$U$1800,4,FALSE)</f>
        <v>#N/A</v>
      </c>
      <c r="W1685" s="428" t="e">
        <f>VLOOKUP(H1685,'Fund Utilization Report'!$A$4:$U$1800,5,FALSE)</f>
        <v>#N/A</v>
      </c>
      <c r="X1685" s="428" t="e">
        <f>VLOOKUP(H1685,'Fund Utilization Report'!$A$4:$U$1800,6,FALSE)</f>
        <v>#N/A</v>
      </c>
      <c r="Y1685" s="320" t="e">
        <f>VLOOKUP(H1685,'Fund Utilization Report'!$A$4:$U$1800,7,FALSE)</f>
        <v>#N/A</v>
      </c>
      <c r="Z1685" s="425" t="e">
        <f>VLOOKUP(H1685,'Fund Utilization Report'!$A$4:$U$1800,8,FALSE)</f>
        <v>#N/A</v>
      </c>
      <c r="AA1685" s="428" t="e">
        <f>VLOOKUP(H1685,'Fund Utilization Report'!$A$4:$U$1800,14,FALSE)</f>
        <v>#N/A</v>
      </c>
      <c r="AB1685" s="349" t="e">
        <f>VLOOKUP(H1685,'Fund Utilization Report'!$A$4:$U$1800,15,FALSE)</f>
        <v>#N/A</v>
      </c>
      <c r="AC1685" s="39"/>
      <c r="AD1685" s="34"/>
      <c r="AE1685" s="39"/>
      <c r="AF1685" s="51"/>
      <c r="AG1685" s="442"/>
      <c r="AH1685" s="442"/>
      <c r="AI1685" s="443"/>
    </row>
    <row r="1686" spans="1:35" s="32" customFormat="1">
      <c r="A1686" s="338"/>
      <c r="B1686" s="338"/>
      <c r="C1686" s="358"/>
      <c r="D1686" s="351"/>
      <c r="E1686" s="366"/>
      <c r="F1686" s="338"/>
      <c r="G1686" s="338"/>
      <c r="H1686" s="338"/>
      <c r="I1686" s="353"/>
      <c r="J1686" s="338" t="str">
        <f>IFERROR(VLOOKUP(I1686,'Chart of accounts'!A:H,2,FALSE),"")</f>
        <v/>
      </c>
      <c r="K1686" s="338" t="str">
        <f>IFERROR(VLOOKUP(I1686,'Chart of accounts'!A:H,3,FALSE),"")</f>
        <v/>
      </c>
      <c r="L1686" s="338" t="str">
        <f>IFERROR(VLOOKUP(I1686,'Chart of accounts'!A:H,4,FALSE),"")</f>
        <v/>
      </c>
      <c r="M1686" s="361"/>
      <c r="N1686" s="355"/>
      <c r="O1686" s="355"/>
      <c r="P1686" s="355"/>
      <c r="Q1686" s="363"/>
      <c r="R1686" s="428">
        <f t="shared" si="75"/>
        <v>0</v>
      </c>
      <c r="S1686" s="428" t="e">
        <f>VLOOKUP(H1686,'Fund Utilization Report'!$A$4:$U$1800,13,FALSE)</f>
        <v>#N/A</v>
      </c>
      <c r="T1686" s="428" t="e">
        <f>VLOOKUP(H1686,'Fund Utilization Report'!$A$4:$U$1800,2,FALSE)</f>
        <v>#N/A</v>
      </c>
      <c r="U1686" s="428" t="e">
        <f>VLOOKUP(H1686,'Fund Utilization Report'!$A$4:$U$1800,3,FALSE)</f>
        <v>#N/A</v>
      </c>
      <c r="V1686" s="428" t="e">
        <f>VLOOKUP(H1686,'Fund Utilization Report'!$A$4:$U$1800,4,FALSE)</f>
        <v>#N/A</v>
      </c>
      <c r="W1686" s="428" t="e">
        <f>VLOOKUP(H1686,'Fund Utilization Report'!$A$4:$U$1800,5,FALSE)</f>
        <v>#N/A</v>
      </c>
      <c r="X1686" s="428" t="e">
        <f>VLOOKUP(H1686,'Fund Utilization Report'!$A$4:$U$1800,6,FALSE)</f>
        <v>#N/A</v>
      </c>
      <c r="Y1686" s="320" t="e">
        <f>VLOOKUP(H1686,'Fund Utilization Report'!$A$4:$U$1800,7,FALSE)</f>
        <v>#N/A</v>
      </c>
      <c r="Z1686" s="425" t="e">
        <f>VLOOKUP(H1686,'Fund Utilization Report'!$A$4:$U$1800,8,FALSE)</f>
        <v>#N/A</v>
      </c>
      <c r="AA1686" s="428" t="e">
        <f>VLOOKUP(H1686,'Fund Utilization Report'!$A$4:$U$1800,14,FALSE)</f>
        <v>#N/A</v>
      </c>
      <c r="AB1686" s="349" t="e">
        <f>VLOOKUP(H1686,'Fund Utilization Report'!$A$4:$U$1800,15,FALSE)</f>
        <v>#N/A</v>
      </c>
      <c r="AC1686" s="39"/>
      <c r="AD1686" s="34"/>
      <c r="AE1686" s="39"/>
      <c r="AF1686" s="51"/>
      <c r="AG1686" s="442"/>
      <c r="AH1686" s="442"/>
      <c r="AI1686" s="443"/>
    </row>
    <row r="1687" spans="1:35" s="32" customFormat="1">
      <c r="A1687" s="338"/>
      <c r="B1687" s="338"/>
      <c r="C1687" s="358"/>
      <c r="D1687" s="351"/>
      <c r="E1687" s="366"/>
      <c r="F1687" s="338"/>
      <c r="G1687" s="338"/>
      <c r="H1687" s="338"/>
      <c r="I1687" s="353"/>
      <c r="J1687" s="338" t="str">
        <f>IFERROR(VLOOKUP(I1687,'Chart of accounts'!A:H,2,FALSE),"")</f>
        <v/>
      </c>
      <c r="K1687" s="338" t="str">
        <f>IFERROR(VLOOKUP(I1687,'Chart of accounts'!A:H,3,FALSE),"")</f>
        <v/>
      </c>
      <c r="L1687" s="338" t="str">
        <f>IFERROR(VLOOKUP(I1687,'Chart of accounts'!A:H,4,FALSE),"")</f>
        <v/>
      </c>
      <c r="M1687" s="361"/>
      <c r="N1687" s="355"/>
      <c r="O1687" s="355"/>
      <c r="P1687" s="355"/>
      <c r="Q1687" s="363"/>
      <c r="R1687" s="428">
        <f t="shared" si="75"/>
        <v>0</v>
      </c>
      <c r="S1687" s="428" t="e">
        <f>VLOOKUP(H1687,'Fund Utilization Report'!$A$4:$U$1800,13,FALSE)</f>
        <v>#N/A</v>
      </c>
      <c r="T1687" s="428" t="e">
        <f>VLOOKUP(H1687,'Fund Utilization Report'!$A$4:$U$1800,2,FALSE)</f>
        <v>#N/A</v>
      </c>
      <c r="U1687" s="428" t="e">
        <f>VLOOKUP(H1687,'Fund Utilization Report'!$A$4:$U$1800,3,FALSE)</f>
        <v>#N/A</v>
      </c>
      <c r="V1687" s="428" t="e">
        <f>VLOOKUP(H1687,'Fund Utilization Report'!$A$4:$U$1800,4,FALSE)</f>
        <v>#N/A</v>
      </c>
      <c r="W1687" s="428" t="e">
        <f>VLOOKUP(H1687,'Fund Utilization Report'!$A$4:$U$1800,5,FALSE)</f>
        <v>#N/A</v>
      </c>
      <c r="X1687" s="428" t="e">
        <f>VLOOKUP(H1687,'Fund Utilization Report'!$A$4:$U$1800,6,FALSE)</f>
        <v>#N/A</v>
      </c>
      <c r="Y1687" s="320" t="e">
        <f>VLOOKUP(H1687,'Fund Utilization Report'!$A$4:$U$1800,7,FALSE)</f>
        <v>#N/A</v>
      </c>
      <c r="Z1687" s="425" t="e">
        <f>VLOOKUP(H1687,'Fund Utilization Report'!$A$4:$U$1800,8,FALSE)</f>
        <v>#N/A</v>
      </c>
      <c r="AA1687" s="428" t="e">
        <f>VLOOKUP(H1687,'Fund Utilization Report'!$A$4:$U$1800,14,FALSE)</f>
        <v>#N/A</v>
      </c>
      <c r="AB1687" s="349" t="e">
        <f>VLOOKUP(H1687,'Fund Utilization Report'!$A$4:$U$1800,15,FALSE)</f>
        <v>#N/A</v>
      </c>
      <c r="AC1687" s="39"/>
      <c r="AD1687" s="34"/>
      <c r="AE1687" s="39"/>
      <c r="AF1687" s="51"/>
      <c r="AG1687" s="442"/>
      <c r="AH1687" s="442"/>
      <c r="AI1687" s="443"/>
    </row>
    <row r="1688" spans="1:35" s="32" customFormat="1">
      <c r="A1688" s="338"/>
      <c r="B1688" s="338"/>
      <c r="C1688" s="358"/>
      <c r="D1688" s="351"/>
      <c r="E1688" s="366"/>
      <c r="F1688" s="338"/>
      <c r="G1688" s="338"/>
      <c r="H1688" s="338"/>
      <c r="I1688" s="353"/>
      <c r="J1688" s="338" t="str">
        <f>IFERROR(VLOOKUP(I1688,'Chart of accounts'!A:H,2,FALSE),"")</f>
        <v/>
      </c>
      <c r="K1688" s="338" t="str">
        <f>IFERROR(VLOOKUP(I1688,'Chart of accounts'!A:H,3,FALSE),"")</f>
        <v/>
      </c>
      <c r="L1688" s="338" t="str">
        <f>IFERROR(VLOOKUP(I1688,'Chart of accounts'!A:H,4,FALSE),"")</f>
        <v/>
      </c>
      <c r="M1688" s="361"/>
      <c r="N1688" s="355"/>
      <c r="O1688" s="355"/>
      <c r="P1688" s="355"/>
      <c r="Q1688" s="363"/>
      <c r="R1688" s="428">
        <f t="shared" si="75"/>
        <v>0</v>
      </c>
      <c r="S1688" s="428" t="e">
        <f>VLOOKUP(H1688,'Fund Utilization Report'!$A$4:$U$1800,13,FALSE)</f>
        <v>#N/A</v>
      </c>
      <c r="T1688" s="428" t="e">
        <f>VLOOKUP(H1688,'Fund Utilization Report'!$A$4:$U$1800,2,FALSE)</f>
        <v>#N/A</v>
      </c>
      <c r="U1688" s="428" t="e">
        <f>VLOOKUP(H1688,'Fund Utilization Report'!$A$4:$U$1800,3,FALSE)</f>
        <v>#N/A</v>
      </c>
      <c r="V1688" s="428" t="e">
        <f>VLOOKUP(H1688,'Fund Utilization Report'!$A$4:$U$1800,4,FALSE)</f>
        <v>#N/A</v>
      </c>
      <c r="W1688" s="428" t="e">
        <f>VLOOKUP(H1688,'Fund Utilization Report'!$A$4:$U$1800,5,FALSE)</f>
        <v>#N/A</v>
      </c>
      <c r="X1688" s="428" t="e">
        <f>VLOOKUP(H1688,'Fund Utilization Report'!$A$4:$U$1800,6,FALSE)</f>
        <v>#N/A</v>
      </c>
      <c r="Y1688" s="320" t="e">
        <f>VLOOKUP(H1688,'Fund Utilization Report'!$A$4:$U$1800,7,FALSE)</f>
        <v>#N/A</v>
      </c>
      <c r="Z1688" s="425" t="e">
        <f>VLOOKUP(H1688,'Fund Utilization Report'!$A$4:$U$1800,8,FALSE)</f>
        <v>#N/A</v>
      </c>
      <c r="AA1688" s="428" t="e">
        <f>VLOOKUP(H1688,'Fund Utilization Report'!$A$4:$U$1800,14,FALSE)</f>
        <v>#N/A</v>
      </c>
      <c r="AB1688" s="349" t="e">
        <f>VLOOKUP(H1688,'Fund Utilization Report'!$A$4:$U$1800,15,FALSE)</f>
        <v>#N/A</v>
      </c>
      <c r="AC1688" s="39"/>
      <c r="AD1688" s="34"/>
      <c r="AE1688" s="39"/>
      <c r="AF1688" s="51"/>
      <c r="AG1688" s="442"/>
      <c r="AH1688" s="442"/>
      <c r="AI1688" s="443"/>
    </row>
    <row r="1689" spans="1:35" s="32" customFormat="1">
      <c r="A1689" s="338"/>
      <c r="B1689" s="338"/>
      <c r="C1689" s="358"/>
      <c r="D1689" s="351"/>
      <c r="E1689" s="366"/>
      <c r="F1689" s="338"/>
      <c r="G1689" s="338"/>
      <c r="H1689" s="338"/>
      <c r="I1689" s="353"/>
      <c r="J1689" s="338" t="str">
        <f>IFERROR(VLOOKUP(I1689,'Chart of accounts'!A:H,2,FALSE),"")</f>
        <v/>
      </c>
      <c r="K1689" s="338" t="str">
        <f>IFERROR(VLOOKUP(I1689,'Chart of accounts'!A:H,3,FALSE),"")</f>
        <v/>
      </c>
      <c r="L1689" s="338" t="str">
        <f>IFERROR(VLOOKUP(I1689,'Chart of accounts'!A:H,4,FALSE),"")</f>
        <v/>
      </c>
      <c r="M1689" s="361"/>
      <c r="N1689" s="355"/>
      <c r="O1689" s="355"/>
      <c r="P1689" s="355"/>
      <c r="Q1689" s="363"/>
      <c r="R1689" s="428">
        <f t="shared" si="75"/>
        <v>0</v>
      </c>
      <c r="S1689" s="428" t="e">
        <f>VLOOKUP(H1689,'Fund Utilization Report'!$A$4:$U$1800,13,FALSE)</f>
        <v>#N/A</v>
      </c>
      <c r="T1689" s="428" t="e">
        <f>VLOOKUP(H1689,'Fund Utilization Report'!$A$4:$U$1800,2,FALSE)</f>
        <v>#N/A</v>
      </c>
      <c r="U1689" s="428" t="e">
        <f>VLOOKUP(H1689,'Fund Utilization Report'!$A$4:$U$1800,3,FALSE)</f>
        <v>#N/A</v>
      </c>
      <c r="V1689" s="428" t="e">
        <f>VLOOKUP(H1689,'Fund Utilization Report'!$A$4:$U$1800,4,FALSE)</f>
        <v>#N/A</v>
      </c>
      <c r="W1689" s="428" t="e">
        <f>VLOOKUP(H1689,'Fund Utilization Report'!$A$4:$U$1800,5,FALSE)</f>
        <v>#N/A</v>
      </c>
      <c r="X1689" s="428" t="e">
        <f>VLOOKUP(H1689,'Fund Utilization Report'!$A$4:$U$1800,6,FALSE)</f>
        <v>#N/A</v>
      </c>
      <c r="Y1689" s="320" t="e">
        <f>VLOOKUP(H1689,'Fund Utilization Report'!$A$4:$U$1800,7,FALSE)</f>
        <v>#N/A</v>
      </c>
      <c r="Z1689" s="425" t="e">
        <f>VLOOKUP(H1689,'Fund Utilization Report'!$A$4:$U$1800,8,FALSE)</f>
        <v>#N/A</v>
      </c>
      <c r="AA1689" s="428" t="e">
        <f>VLOOKUP(H1689,'Fund Utilization Report'!$A$4:$U$1800,14,FALSE)</f>
        <v>#N/A</v>
      </c>
      <c r="AB1689" s="349" t="e">
        <f>VLOOKUP(H1689,'Fund Utilization Report'!$A$4:$U$1800,15,FALSE)</f>
        <v>#N/A</v>
      </c>
      <c r="AC1689" s="39"/>
      <c r="AD1689" s="34"/>
      <c r="AE1689" s="39"/>
      <c r="AF1689" s="51"/>
      <c r="AG1689" s="442"/>
      <c r="AH1689" s="442"/>
      <c r="AI1689" s="443"/>
    </row>
    <row r="1690" spans="1:35" s="32" customFormat="1">
      <c r="A1690" s="338"/>
      <c r="B1690" s="338"/>
      <c r="C1690" s="358"/>
      <c r="D1690" s="351"/>
      <c r="E1690" s="366"/>
      <c r="F1690" s="338"/>
      <c r="G1690" s="338"/>
      <c r="H1690" s="338"/>
      <c r="I1690" s="353"/>
      <c r="J1690" s="338" t="str">
        <f>IFERROR(VLOOKUP(I1690,'Chart of accounts'!A:H,2,FALSE),"")</f>
        <v/>
      </c>
      <c r="K1690" s="338" t="str">
        <f>IFERROR(VLOOKUP(I1690,'Chart of accounts'!A:H,3,FALSE),"")</f>
        <v/>
      </c>
      <c r="L1690" s="338" t="str">
        <f>IFERROR(VLOOKUP(I1690,'Chart of accounts'!A:H,4,FALSE),"")</f>
        <v/>
      </c>
      <c r="M1690" s="361"/>
      <c r="N1690" s="355"/>
      <c r="O1690" s="355"/>
      <c r="P1690" s="355"/>
      <c r="Q1690" s="363"/>
      <c r="R1690" s="428">
        <f t="shared" si="75"/>
        <v>0</v>
      </c>
      <c r="S1690" s="428" t="e">
        <f>VLOOKUP(H1690,'Fund Utilization Report'!$A$4:$U$1800,13,FALSE)</f>
        <v>#N/A</v>
      </c>
      <c r="T1690" s="428" t="e">
        <f>VLOOKUP(H1690,'Fund Utilization Report'!$A$4:$U$1800,2,FALSE)</f>
        <v>#N/A</v>
      </c>
      <c r="U1690" s="428" t="e">
        <f>VLOOKUP(H1690,'Fund Utilization Report'!$A$4:$U$1800,3,FALSE)</f>
        <v>#N/A</v>
      </c>
      <c r="V1690" s="428" t="e">
        <f>VLOOKUP(H1690,'Fund Utilization Report'!$A$4:$U$1800,4,FALSE)</f>
        <v>#N/A</v>
      </c>
      <c r="W1690" s="428" t="e">
        <f>VLOOKUP(H1690,'Fund Utilization Report'!$A$4:$U$1800,5,FALSE)</f>
        <v>#N/A</v>
      </c>
      <c r="X1690" s="428" t="e">
        <f>VLOOKUP(H1690,'Fund Utilization Report'!$A$4:$U$1800,6,FALSE)</f>
        <v>#N/A</v>
      </c>
      <c r="Y1690" s="320" t="e">
        <f>VLOOKUP(H1690,'Fund Utilization Report'!$A$4:$U$1800,7,FALSE)</f>
        <v>#N/A</v>
      </c>
      <c r="Z1690" s="425" t="e">
        <f>VLOOKUP(H1690,'Fund Utilization Report'!$A$4:$U$1800,8,FALSE)</f>
        <v>#N/A</v>
      </c>
      <c r="AA1690" s="428" t="e">
        <f>VLOOKUP(H1690,'Fund Utilization Report'!$A$4:$U$1800,14,FALSE)</f>
        <v>#N/A</v>
      </c>
      <c r="AB1690" s="349" t="e">
        <f>VLOOKUP(H1690,'Fund Utilization Report'!$A$4:$U$1800,15,FALSE)</f>
        <v>#N/A</v>
      </c>
      <c r="AC1690" s="39"/>
      <c r="AD1690" s="34"/>
      <c r="AE1690" s="39"/>
      <c r="AF1690" s="51"/>
      <c r="AG1690" s="442"/>
      <c r="AH1690" s="442"/>
      <c r="AI1690" s="443"/>
    </row>
    <row r="1691" spans="1:35" s="32" customFormat="1">
      <c r="A1691" s="338"/>
      <c r="B1691" s="338"/>
      <c r="C1691" s="358"/>
      <c r="D1691" s="351"/>
      <c r="E1691" s="366"/>
      <c r="F1691" s="338"/>
      <c r="G1691" s="338"/>
      <c r="H1691" s="338"/>
      <c r="I1691" s="353"/>
      <c r="J1691" s="338" t="str">
        <f>IFERROR(VLOOKUP(I1691,'Chart of accounts'!A:H,2,FALSE),"")</f>
        <v/>
      </c>
      <c r="K1691" s="338" t="str">
        <f>IFERROR(VLOOKUP(I1691,'Chart of accounts'!A:H,3,FALSE),"")</f>
        <v/>
      </c>
      <c r="L1691" s="338" t="str">
        <f>IFERROR(VLOOKUP(I1691,'Chart of accounts'!A:H,4,FALSE),"")</f>
        <v/>
      </c>
      <c r="M1691" s="361"/>
      <c r="N1691" s="355"/>
      <c r="O1691" s="355"/>
      <c r="P1691" s="355"/>
      <c r="Q1691" s="363"/>
      <c r="R1691" s="319">
        <f t="shared" si="75"/>
        <v>0</v>
      </c>
      <c r="S1691" s="428" t="e">
        <f>VLOOKUP(H1691,'Fund Utilization Report'!$A$4:$U$1800,13,FALSE)</f>
        <v>#N/A</v>
      </c>
      <c r="T1691" s="428" t="e">
        <f>VLOOKUP(H1691,'Fund Utilization Report'!$A$4:$U$1800,2,FALSE)</f>
        <v>#N/A</v>
      </c>
      <c r="U1691" s="428" t="e">
        <f>VLOOKUP(H1691,'Fund Utilization Report'!$A$4:$U$1800,3,FALSE)</f>
        <v>#N/A</v>
      </c>
      <c r="V1691" s="428" t="e">
        <f>VLOOKUP(H1691,'Fund Utilization Report'!$A$4:$U$1800,4,FALSE)</f>
        <v>#N/A</v>
      </c>
      <c r="W1691" s="428" t="e">
        <f>VLOOKUP(H1691,'Fund Utilization Report'!$A$4:$U$1800,5,FALSE)</f>
        <v>#N/A</v>
      </c>
      <c r="X1691" s="428" t="e">
        <f>VLOOKUP(H1691,'Fund Utilization Report'!$A$4:$U$1800,6,FALSE)</f>
        <v>#N/A</v>
      </c>
      <c r="Y1691" s="320" t="e">
        <f>VLOOKUP(H1691,'Fund Utilization Report'!$A$4:$U$1800,7,FALSE)</f>
        <v>#N/A</v>
      </c>
      <c r="Z1691" s="425" t="e">
        <f>VLOOKUP(H1691,'Fund Utilization Report'!$A$4:$U$1800,8,FALSE)</f>
        <v>#N/A</v>
      </c>
      <c r="AA1691" s="428" t="e">
        <f>VLOOKUP(H1691,'Fund Utilization Report'!$A$4:$U$1800,14,FALSE)</f>
        <v>#N/A</v>
      </c>
      <c r="AB1691" s="349" t="e">
        <f>VLOOKUP(H1691,'Fund Utilization Report'!$A$4:$U$1800,15,FALSE)</f>
        <v>#N/A</v>
      </c>
      <c r="AC1691" s="39"/>
      <c r="AD1691" s="34"/>
      <c r="AE1691" s="39"/>
      <c r="AF1691" s="51"/>
      <c r="AG1691" s="442"/>
      <c r="AH1691" s="442"/>
      <c r="AI1691" s="443"/>
    </row>
    <row r="1692" spans="1:35" s="32" customFormat="1">
      <c r="A1692" s="338"/>
      <c r="B1692" s="338"/>
      <c r="C1692" s="358"/>
      <c r="D1692" s="351"/>
      <c r="E1692" s="366"/>
      <c r="F1692" s="338"/>
      <c r="G1692" s="338"/>
      <c r="H1692" s="338"/>
      <c r="I1692" s="353"/>
      <c r="J1692" s="338" t="str">
        <f>IFERROR(VLOOKUP(I1692,'Chart of accounts'!A:H,2,FALSE),"")</f>
        <v/>
      </c>
      <c r="K1692" s="338" t="str">
        <f>IFERROR(VLOOKUP(I1692,'Chart of accounts'!A:H,3,FALSE),"")</f>
        <v/>
      </c>
      <c r="L1692" s="338" t="str">
        <f>IFERROR(VLOOKUP(I1692,'Chart of accounts'!A:H,4,FALSE),"")</f>
        <v/>
      </c>
      <c r="M1692" s="361"/>
      <c r="N1692" s="355"/>
      <c r="O1692" s="355"/>
      <c r="P1692" s="355"/>
      <c r="Q1692" s="363"/>
      <c r="R1692" s="319">
        <f t="shared" si="75"/>
        <v>0</v>
      </c>
      <c r="S1692" s="428" t="e">
        <f>VLOOKUP(H1692,'Fund Utilization Report'!$A$4:$U$1800,13,FALSE)</f>
        <v>#N/A</v>
      </c>
      <c r="T1692" s="428" t="e">
        <f>VLOOKUP(H1692,'Fund Utilization Report'!$A$4:$U$1800,2,FALSE)</f>
        <v>#N/A</v>
      </c>
      <c r="U1692" s="428" t="e">
        <f>VLOOKUP(H1692,'Fund Utilization Report'!$A$4:$U$1800,3,FALSE)</f>
        <v>#N/A</v>
      </c>
      <c r="V1692" s="428" t="e">
        <f>VLOOKUP(H1692,'Fund Utilization Report'!$A$4:$U$1800,4,FALSE)</f>
        <v>#N/A</v>
      </c>
      <c r="W1692" s="428" t="e">
        <f>VLOOKUP(H1692,'Fund Utilization Report'!$A$4:$U$1800,5,FALSE)</f>
        <v>#N/A</v>
      </c>
      <c r="X1692" s="428" t="e">
        <f>VLOOKUP(H1692,'Fund Utilization Report'!$A$4:$U$1800,6,FALSE)</f>
        <v>#N/A</v>
      </c>
      <c r="Y1692" s="320" t="e">
        <f>VLOOKUP(H1692,'Fund Utilization Report'!$A$4:$U$1800,7,FALSE)</f>
        <v>#N/A</v>
      </c>
      <c r="Z1692" s="425" t="e">
        <f>VLOOKUP(H1692,'Fund Utilization Report'!$A$4:$U$1800,8,FALSE)</f>
        <v>#N/A</v>
      </c>
      <c r="AA1692" s="428" t="e">
        <f>VLOOKUP(H1692,'Fund Utilization Report'!$A$4:$U$1800,14,FALSE)</f>
        <v>#N/A</v>
      </c>
      <c r="AB1692" s="349" t="e">
        <f>VLOOKUP(H1692,'Fund Utilization Report'!$A$4:$U$1800,15,FALSE)</f>
        <v>#N/A</v>
      </c>
      <c r="AC1692" s="39"/>
      <c r="AD1692" s="34"/>
      <c r="AE1692" s="39"/>
      <c r="AF1692" s="51"/>
      <c r="AG1692" s="442"/>
      <c r="AH1692" s="442"/>
      <c r="AI1692" s="443"/>
    </row>
    <row r="1693" spans="1:35" s="32" customFormat="1">
      <c r="A1693" s="338"/>
      <c r="B1693" s="338"/>
      <c r="C1693" s="358"/>
      <c r="D1693" s="351"/>
      <c r="E1693" s="366"/>
      <c r="F1693" s="338"/>
      <c r="G1693" s="338"/>
      <c r="H1693" s="338"/>
      <c r="I1693" s="353"/>
      <c r="J1693" s="338" t="str">
        <f>IFERROR(VLOOKUP(I1693,'Chart of accounts'!A:H,2,FALSE),"")</f>
        <v/>
      </c>
      <c r="K1693" s="338" t="str">
        <f>IFERROR(VLOOKUP(I1693,'Chart of accounts'!A:H,3,FALSE),"")</f>
        <v/>
      </c>
      <c r="L1693" s="338" t="str">
        <f>IFERROR(VLOOKUP(I1693,'Chart of accounts'!A:H,4,FALSE),"")</f>
        <v/>
      </c>
      <c r="M1693" s="361"/>
      <c r="N1693" s="355"/>
      <c r="O1693" s="355"/>
      <c r="P1693" s="355"/>
      <c r="Q1693" s="363"/>
      <c r="R1693" s="319">
        <f t="shared" si="75"/>
        <v>0</v>
      </c>
      <c r="S1693" s="428" t="e">
        <f>VLOOKUP(H1693,'Fund Utilization Report'!$A$4:$U$1800,13,FALSE)</f>
        <v>#N/A</v>
      </c>
      <c r="T1693" s="428" t="e">
        <f>VLOOKUP(H1693,'Fund Utilization Report'!$A$4:$U$1800,2,FALSE)</f>
        <v>#N/A</v>
      </c>
      <c r="U1693" s="428" t="e">
        <f>VLOOKUP(H1693,'Fund Utilization Report'!$A$4:$U$1800,3,FALSE)</f>
        <v>#N/A</v>
      </c>
      <c r="V1693" s="428" t="e">
        <f>VLOOKUP(H1693,'Fund Utilization Report'!$A$4:$U$1800,4,FALSE)</f>
        <v>#N/A</v>
      </c>
      <c r="W1693" s="428" t="e">
        <f>VLOOKUP(H1693,'Fund Utilization Report'!$A$4:$U$1800,5,FALSE)</f>
        <v>#N/A</v>
      </c>
      <c r="X1693" s="428" t="e">
        <f>VLOOKUP(H1693,'Fund Utilization Report'!$A$4:$U$1800,6,FALSE)</f>
        <v>#N/A</v>
      </c>
      <c r="Y1693" s="320" t="e">
        <f>VLOOKUP(H1693,'Fund Utilization Report'!$A$4:$U$1800,7,FALSE)</f>
        <v>#N/A</v>
      </c>
      <c r="Z1693" s="425" t="e">
        <f>VLOOKUP(H1693,'Fund Utilization Report'!$A$4:$U$1800,8,FALSE)</f>
        <v>#N/A</v>
      </c>
      <c r="AA1693" s="428" t="e">
        <f>VLOOKUP(H1693,'Fund Utilization Report'!$A$4:$U$1800,14,FALSE)</f>
        <v>#N/A</v>
      </c>
      <c r="AB1693" s="349" t="e">
        <f>VLOOKUP(H1693,'Fund Utilization Report'!$A$4:$U$1800,15,FALSE)</f>
        <v>#N/A</v>
      </c>
      <c r="AC1693" s="39"/>
      <c r="AD1693" s="34"/>
      <c r="AE1693" s="39"/>
      <c r="AF1693" s="51"/>
      <c r="AG1693" s="442"/>
      <c r="AH1693" s="442"/>
      <c r="AI1693" s="443"/>
    </row>
    <row r="1694" spans="1:35" s="32" customFormat="1">
      <c r="A1694" s="458"/>
      <c r="B1694" s="458"/>
      <c r="C1694" s="464"/>
      <c r="D1694" s="465"/>
      <c r="E1694" s="466"/>
      <c r="F1694" s="458"/>
      <c r="G1694" s="458"/>
      <c r="H1694" s="458"/>
      <c r="I1694" s="459"/>
      <c r="J1694" s="338" t="str">
        <f>IFERROR(VLOOKUP(I1694,'Chart of accounts'!A:H,2,FALSE),"")</f>
        <v/>
      </c>
      <c r="K1694" s="338" t="str">
        <f>IFERROR(VLOOKUP(I1694,'Chart of accounts'!A:H,3,FALSE),"")</f>
        <v/>
      </c>
      <c r="L1694" s="338" t="str">
        <f>IFERROR(VLOOKUP(I1694,'Chart of accounts'!A:H,4,FALSE),"")</f>
        <v/>
      </c>
      <c r="M1694" s="467"/>
      <c r="N1694" s="463"/>
      <c r="O1694" s="463"/>
      <c r="P1694" s="463"/>
      <c r="Q1694" s="468"/>
      <c r="R1694" s="462">
        <f t="shared" si="75"/>
        <v>0</v>
      </c>
      <c r="S1694" s="462"/>
      <c r="T1694" s="462"/>
      <c r="U1694" s="462"/>
      <c r="V1694" s="462"/>
      <c r="W1694" s="462"/>
      <c r="X1694" s="462"/>
      <c r="Y1694" s="469"/>
      <c r="Z1694" s="470"/>
      <c r="AA1694" s="462"/>
      <c r="AB1694" s="471"/>
      <c r="AC1694" s="39"/>
      <c r="AD1694" s="34"/>
      <c r="AE1694" s="39"/>
      <c r="AF1694" s="39"/>
      <c r="AG1694" s="40"/>
      <c r="AH1694" s="40"/>
    </row>
    <row r="1695" spans="1:35" s="32" customFormat="1" ht="15" thickBot="1">
      <c r="A1695" s="338"/>
      <c r="B1695" s="338"/>
      <c r="C1695" s="350"/>
      <c r="D1695" s="351"/>
      <c r="E1695" s="366"/>
      <c r="F1695" s="338"/>
      <c r="G1695" s="338"/>
      <c r="H1695" s="338"/>
      <c r="I1695" s="353"/>
      <c r="J1695" s="338"/>
      <c r="K1695" s="338"/>
      <c r="L1695" s="338"/>
      <c r="M1695" s="361"/>
      <c r="N1695" s="355"/>
      <c r="O1695" s="355"/>
      <c r="P1695" s="355"/>
      <c r="Q1695" s="367"/>
      <c r="R1695" s="363"/>
      <c r="S1695" s="363"/>
      <c r="T1695" s="363"/>
      <c r="U1695" s="363"/>
      <c r="V1695" s="363"/>
      <c r="W1695" s="363"/>
      <c r="X1695" s="363"/>
      <c r="Y1695" s="368"/>
      <c r="Z1695" s="353"/>
      <c r="AA1695" s="363"/>
      <c r="AB1695" s="363"/>
      <c r="AC1695" s="91"/>
      <c r="AD1695" s="88"/>
      <c r="AE1695" s="91"/>
      <c r="AF1695" s="91"/>
      <c r="AG1695" s="92"/>
      <c r="AH1695" s="92"/>
    </row>
    <row r="1696" spans="1:35" s="32" customFormat="1" ht="15.6" thickTop="1" thickBot="1">
      <c r="A1696" s="369"/>
      <c r="B1696" s="369"/>
      <c r="C1696" s="370"/>
      <c r="D1696" s="371"/>
      <c r="E1696" s="372"/>
      <c r="F1696" s="369"/>
      <c r="G1696" s="369"/>
      <c r="H1696" s="369"/>
      <c r="I1696" s="373"/>
      <c r="J1696" s="369"/>
      <c r="K1696" s="369"/>
      <c r="L1696" s="369"/>
      <c r="M1696" s="374"/>
      <c r="N1696" s="375"/>
      <c r="O1696" s="375"/>
      <c r="P1696" s="375"/>
      <c r="Q1696" s="376"/>
      <c r="R1696" s="376"/>
      <c r="S1696" s="376"/>
      <c r="T1696" s="376"/>
      <c r="U1696" s="376"/>
      <c r="V1696" s="376"/>
      <c r="W1696" s="376"/>
      <c r="X1696" s="376"/>
      <c r="Y1696" s="377"/>
      <c r="Z1696" s="373"/>
      <c r="AA1696" s="376"/>
      <c r="AB1696" s="376"/>
      <c r="AC1696" s="39"/>
      <c r="AD1696" s="34"/>
      <c r="AE1696" s="39"/>
      <c r="AF1696" s="39"/>
      <c r="AG1696" s="40"/>
      <c r="AH1696" s="40"/>
    </row>
    <row r="1697" spans="1:34" s="32" customFormat="1" ht="15" thickTop="1">
      <c r="A1697" s="338"/>
      <c r="B1697" s="338"/>
      <c r="C1697" s="350"/>
      <c r="D1697" s="351"/>
      <c r="E1697" s="366"/>
      <c r="F1697" s="338"/>
      <c r="G1697" s="338"/>
      <c r="H1697" s="338"/>
      <c r="I1697" s="353"/>
      <c r="J1697" s="338"/>
      <c r="K1697" s="338"/>
      <c r="L1697" s="338"/>
      <c r="M1697" s="361"/>
      <c r="N1697" s="355"/>
      <c r="O1697" s="355"/>
      <c r="P1697" s="355"/>
      <c r="Q1697" s="378"/>
      <c r="R1697" s="379"/>
      <c r="S1697" s="379"/>
      <c r="T1697" s="379"/>
      <c r="U1697" s="379"/>
      <c r="V1697" s="379"/>
      <c r="W1697" s="379"/>
      <c r="X1697" s="379"/>
      <c r="Y1697" s="380"/>
      <c r="Z1697" s="381"/>
      <c r="AA1697" s="379"/>
      <c r="AB1697" s="379"/>
      <c r="AC1697" s="103"/>
      <c r="AD1697" s="100"/>
      <c r="AE1697" s="103"/>
      <c r="AF1697" s="103"/>
      <c r="AG1697" s="104"/>
      <c r="AH1697" s="104"/>
    </row>
    <row r="1698" spans="1:34" s="32" customFormat="1">
      <c r="A1698" s="382"/>
      <c r="B1698" s="382"/>
      <c r="C1698" s="383"/>
      <c r="D1698" s="384"/>
      <c r="E1698" s="385"/>
      <c r="F1698" s="382"/>
      <c r="G1698" s="382"/>
      <c r="H1698" s="382"/>
      <c r="I1698" s="386"/>
      <c r="J1698" s="382"/>
      <c r="K1698" s="382"/>
      <c r="L1698" s="382"/>
      <c r="M1698" s="387"/>
      <c r="N1698" s="388"/>
      <c r="O1698" s="388"/>
      <c r="P1698" s="389"/>
      <c r="Q1698" s="390"/>
      <c r="R1698" s="390"/>
      <c r="S1698" s="390"/>
      <c r="T1698" s="390"/>
      <c r="U1698" s="390"/>
      <c r="V1698" s="390"/>
      <c r="W1698" s="390"/>
      <c r="X1698" s="390"/>
      <c r="Y1698" s="391"/>
      <c r="Z1698" s="392"/>
      <c r="AA1698" s="390"/>
      <c r="AB1698" s="390"/>
      <c r="AC1698" s="116"/>
      <c r="AD1698" s="113"/>
      <c r="AE1698" s="116"/>
      <c r="AF1698" s="116"/>
      <c r="AG1698" s="117"/>
      <c r="AH1698" s="117"/>
    </row>
    <row r="1699" spans="1:34">
      <c r="A1699" s="306"/>
      <c r="B1699" s="306"/>
      <c r="C1699" s="393"/>
      <c r="D1699" s="308"/>
      <c r="E1699" s="309"/>
      <c r="F1699" s="306"/>
      <c r="G1699" s="306"/>
      <c r="H1699" s="306"/>
      <c r="I1699" s="310"/>
      <c r="J1699" s="306"/>
      <c r="K1699" s="306"/>
      <c r="L1699" s="306"/>
      <c r="M1699" s="311"/>
      <c r="N1699" s="312"/>
      <c r="O1699" s="312"/>
      <c r="P1699" s="312"/>
      <c r="Q1699" s="394"/>
      <c r="R1699" s="394"/>
      <c r="S1699" s="394"/>
      <c r="T1699" s="394"/>
      <c r="U1699" s="394"/>
      <c r="V1699" s="394"/>
      <c r="W1699" s="394"/>
      <c r="X1699" s="394"/>
      <c r="Y1699" s="316"/>
      <c r="Z1699" s="310"/>
      <c r="AA1699" s="394"/>
      <c r="AB1699" s="394"/>
    </row>
    <row r="1700" spans="1:34">
      <c r="Q1700" s="398"/>
      <c r="R1700" s="398"/>
      <c r="S1700" s="398"/>
      <c r="T1700" s="398"/>
      <c r="U1700" s="398"/>
      <c r="V1700" s="398"/>
      <c r="W1700" s="398"/>
      <c r="X1700" s="398"/>
      <c r="AA1700" s="398"/>
      <c r="AB1700" s="398"/>
    </row>
    <row r="1701" spans="1:34">
      <c r="Q1701" s="398"/>
      <c r="R1701" s="398"/>
      <c r="S1701" s="398"/>
      <c r="T1701" s="398"/>
      <c r="U1701" s="398"/>
      <c r="V1701" s="398"/>
      <c r="W1701" s="398"/>
      <c r="X1701" s="398"/>
      <c r="AA1701" s="398"/>
      <c r="AB1701" s="398"/>
    </row>
    <row r="1703" spans="1:34">
      <c r="O1703" s="400"/>
      <c r="P1703" s="400"/>
      <c r="Q1703" s="400"/>
      <c r="R1703" s="400"/>
      <c r="S1703" s="400"/>
      <c r="T1703" s="400"/>
      <c r="U1703" s="400"/>
      <c r="V1703" s="400"/>
      <c r="W1703" s="400"/>
      <c r="X1703" s="400"/>
      <c r="Z1703" s="399"/>
      <c r="AA1703" s="400"/>
      <c r="AB1703" s="400"/>
    </row>
    <row r="1706" spans="1:34">
      <c r="O1706" s="400"/>
      <c r="P1706" s="400"/>
      <c r="Q1706" s="400"/>
    </row>
    <row r="1707" spans="1:34">
      <c r="O1707" s="400"/>
    </row>
    <row r="1708" spans="1:34">
      <c r="O1708" s="398"/>
    </row>
    <row r="1709" spans="1:34">
      <c r="O1709" s="400"/>
    </row>
    <row r="1710" spans="1:34">
      <c r="O1710" s="398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0" t="s">
        <v>1642</v>
      </c>
      <c r="B2" s="333" t="s">
        <v>155</v>
      </c>
      <c r="C2" s="333" t="s">
        <v>156</v>
      </c>
      <c r="D2" s="549"/>
      <c r="E2" s="549" t="s">
        <v>1991</v>
      </c>
      <c r="J2" t="s">
        <v>1990</v>
      </c>
    </row>
    <row r="3" spans="1:20">
      <c r="A3" s="352" t="s">
        <v>11</v>
      </c>
      <c r="B3" s="463" t="s">
        <v>1643</v>
      </c>
      <c r="C3" s="463" t="s">
        <v>760</v>
      </c>
      <c r="D3" s="550">
        <f>SUMIFS('Revised RAO'!Q:Q,'Revised RAO'!E:E,'Transactions for Import (2)'!A3)</f>
        <v>150000</v>
      </c>
      <c r="E3" s="550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2" t="s">
        <v>8</v>
      </c>
      <c r="B4" s="463" t="s">
        <v>6</v>
      </c>
      <c r="C4" s="463" t="s">
        <v>761</v>
      </c>
      <c r="D4" s="550">
        <f>SUMIFS('Revised RAO'!Q:Q,'Revised RAO'!E:E,'Transactions for Import (2)'!A4)</f>
        <v>10000</v>
      </c>
      <c r="E4" s="55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2" t="s">
        <v>4</v>
      </c>
      <c r="B5" s="463" t="s">
        <v>10</v>
      </c>
      <c r="C5" s="463" t="s">
        <v>762</v>
      </c>
      <c r="D5" s="550">
        <f>SUMIFS('Revised RAO'!Q:Q,'Revised RAO'!E:E,'Transactions for Import (2)'!A5)</f>
        <v>1935301.23</v>
      </c>
      <c r="E5" s="550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2" t="s">
        <v>763</v>
      </c>
      <c r="B6" s="427" t="s">
        <v>764</v>
      </c>
      <c r="C6" s="463" t="s">
        <v>762</v>
      </c>
      <c r="D6" s="550">
        <f>SUMIFS('Revised RAO'!Q:Q,'Revised RAO'!E:E,'Transactions for Import (2)'!A6)</f>
        <v>452644.64</v>
      </c>
      <c r="E6" s="550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2" t="s">
        <v>766</v>
      </c>
      <c r="B7" s="463" t="s">
        <v>765</v>
      </c>
      <c r="C7" s="463" t="s">
        <v>762</v>
      </c>
      <c r="D7" s="550">
        <f>SUMIFS('Revised RAO'!Q:Q,'Revised RAO'!E:E,'Transactions for Import (2)'!A7)</f>
        <v>325034.35000000003</v>
      </c>
      <c r="E7" s="55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2" t="s">
        <v>767</v>
      </c>
      <c r="B8" s="463" t="s">
        <v>768</v>
      </c>
      <c r="C8" s="463" t="s">
        <v>762</v>
      </c>
      <c r="D8" s="550">
        <f>SUMIFS('Revised RAO'!Q:Q,'Revised RAO'!E:E,'Transactions for Import (2)'!A8)</f>
        <v>666774.09000000008</v>
      </c>
      <c r="E8" s="55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2" t="s">
        <v>772</v>
      </c>
      <c r="B9" s="463" t="s">
        <v>773</v>
      </c>
      <c r="C9" s="463" t="s">
        <v>774</v>
      </c>
      <c r="D9" s="550">
        <f>SUMIFS('Revised RAO'!Q:Q,'Revised RAO'!E:E,'Transactions for Import (2)'!A9)</f>
        <v>5000</v>
      </c>
      <c r="E9" s="550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2" t="s">
        <v>775</v>
      </c>
      <c r="B10" s="463" t="s">
        <v>777</v>
      </c>
      <c r="C10" s="463" t="s">
        <v>762</v>
      </c>
      <c r="D10" s="550">
        <f>SUMIFS('Revised RAO'!Q:Q,'Revised RAO'!E:E,'Transactions for Import (2)'!A10)</f>
        <v>452126.62</v>
      </c>
      <c r="E10" s="550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5" t="s">
        <v>778</v>
      </c>
      <c r="B11" s="427" t="s">
        <v>779</v>
      </c>
      <c r="C11" s="427" t="s">
        <v>850</v>
      </c>
      <c r="D11" s="550">
        <f>SUMIFS('Revised RAO'!Q:Q,'Revised RAO'!E:E,'Transactions for Import (2)'!A11)</f>
        <v>160190.04</v>
      </c>
      <c r="E11" s="550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2" t="s">
        <v>849</v>
      </c>
      <c r="B12" s="463" t="s">
        <v>779</v>
      </c>
      <c r="C12" s="463" t="s">
        <v>780</v>
      </c>
      <c r="D12" s="550">
        <f>SUMIFS('Revised RAO'!Q:Q,'Revised RAO'!E:E,'Transactions for Import (2)'!A12)</f>
        <v>10311.43</v>
      </c>
      <c r="E12" s="55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2" t="s">
        <v>781</v>
      </c>
      <c r="B13" s="463" t="s">
        <v>782</v>
      </c>
      <c r="C13" s="463" t="s">
        <v>783</v>
      </c>
      <c r="D13" s="550">
        <f>SUMIFS('Revised RAO'!Q:Q,'Revised RAO'!E:E,'Transactions for Import (2)'!A13)</f>
        <v>11250</v>
      </c>
      <c r="E13" s="550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2" t="s">
        <v>787</v>
      </c>
      <c r="B14" s="463" t="s">
        <v>789</v>
      </c>
      <c r="C14" s="463" t="s">
        <v>762</v>
      </c>
      <c r="D14" s="550">
        <f>SUMIFS('Revised RAO'!Q:Q,'Revised RAO'!E:E,'Transactions for Import (2)'!A14)</f>
        <v>574114.94999999995</v>
      </c>
      <c r="E14" s="55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2" t="s">
        <v>790</v>
      </c>
      <c r="B15" s="463" t="s">
        <v>791</v>
      </c>
      <c r="C15" s="463" t="s">
        <v>792</v>
      </c>
      <c r="D15" s="550">
        <f>SUMIFS('Revised RAO'!Q:Q,'Revised RAO'!E:E,'Transactions for Import (2)'!A15)</f>
        <v>2500</v>
      </c>
      <c r="E15" s="55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2" t="s">
        <v>793</v>
      </c>
      <c r="B16" s="463" t="s">
        <v>794</v>
      </c>
      <c r="C16" s="463" t="s">
        <v>795</v>
      </c>
      <c r="D16" s="550">
        <f>SUMIFS('Revised RAO'!Q:Q,'Revised RAO'!E:E,'Transactions for Import (2)'!A16)</f>
        <v>0</v>
      </c>
      <c r="E16" s="550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2" t="s">
        <v>807</v>
      </c>
      <c r="B17" s="463" t="s">
        <v>773</v>
      </c>
      <c r="C17" s="463" t="s">
        <v>808</v>
      </c>
      <c r="D17" s="550">
        <f>SUMIFS('Revised RAO'!Q:Q,'Revised RAO'!E:E,'Transactions for Import (2)'!A17)</f>
        <v>4313.25</v>
      </c>
      <c r="E17" s="550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2" t="s">
        <v>809</v>
      </c>
      <c r="B18" s="463" t="s">
        <v>810</v>
      </c>
      <c r="C18" s="463" t="s">
        <v>811</v>
      </c>
      <c r="D18" s="550">
        <f>SUMIFS('Revised RAO'!Q:Q,'Revised RAO'!E:E,'Transactions for Import (2)'!A18)</f>
        <v>22550.49</v>
      </c>
      <c r="E18" s="55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2" t="s">
        <v>817</v>
      </c>
      <c r="B19" s="463" t="s">
        <v>818</v>
      </c>
      <c r="C19" s="463" t="s">
        <v>819</v>
      </c>
      <c r="D19" s="550">
        <f>SUMIFS('Revised RAO'!Q:Q,'Revised RAO'!E:E,'Transactions for Import (2)'!A19)</f>
        <v>7800</v>
      </c>
      <c r="E19" s="55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2" t="s">
        <v>824</v>
      </c>
      <c r="B20" s="463" t="s">
        <v>820</v>
      </c>
      <c r="C20" s="463" t="s">
        <v>819</v>
      </c>
      <c r="D20" s="550">
        <f>SUMIFS('Revised RAO'!Q:Q,'Revised RAO'!E:E,'Transactions for Import (2)'!A20)</f>
        <v>7800</v>
      </c>
      <c r="E20" s="550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2" t="s">
        <v>825</v>
      </c>
      <c r="B21" s="463" t="s">
        <v>821</v>
      </c>
      <c r="C21" s="463" t="s">
        <v>819</v>
      </c>
      <c r="D21" s="550">
        <f>SUMIFS('Revised RAO'!Q:Q,'Revised RAO'!E:E,'Transactions for Import (2)'!A21)</f>
        <v>7800</v>
      </c>
      <c r="E21" s="550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2" t="s">
        <v>826</v>
      </c>
      <c r="B22" s="463" t="s">
        <v>822</v>
      </c>
      <c r="C22" s="463" t="s">
        <v>819</v>
      </c>
      <c r="D22" s="550">
        <f>SUMIFS('Revised RAO'!Q:Q,'Revised RAO'!E:E,'Transactions for Import (2)'!A22)</f>
        <v>7800</v>
      </c>
      <c r="E22" s="550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2" t="s">
        <v>827</v>
      </c>
      <c r="B23" s="463" t="s">
        <v>823</v>
      </c>
      <c r="C23" s="463" t="s">
        <v>819</v>
      </c>
      <c r="D23" s="550">
        <f>SUMIFS('Revised RAO'!Q:Q,'Revised RAO'!E:E,'Transactions for Import (2)'!A23)</f>
        <v>7800</v>
      </c>
      <c r="E23" s="55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2" t="s">
        <v>829</v>
      </c>
      <c r="B24" s="463" t="s">
        <v>830</v>
      </c>
      <c r="C24" s="463" t="s">
        <v>831</v>
      </c>
      <c r="D24" s="550">
        <f>SUMIFS('Revised RAO'!Q:Q,'Revised RAO'!E:E,'Transactions for Import (2)'!A24)</f>
        <v>59500</v>
      </c>
      <c r="E24" s="55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2" t="s">
        <v>832</v>
      </c>
      <c r="B25" s="463" t="s">
        <v>833</v>
      </c>
      <c r="C25" s="463" t="s">
        <v>834</v>
      </c>
      <c r="D25" s="550">
        <f>SUMIFS('Revised RAO'!Q:Q,'Revised RAO'!E:E,'Transactions for Import (2)'!A25)</f>
        <v>18046.37</v>
      </c>
      <c r="E25" s="550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2" t="s">
        <v>835</v>
      </c>
      <c r="B26" s="463" t="s">
        <v>836</v>
      </c>
      <c r="C26" s="463" t="s">
        <v>837</v>
      </c>
      <c r="D26" s="550">
        <f>SUMIFS('Revised RAO'!Q:Q,'Revised RAO'!E:E,'Transactions for Import (2)'!A26)</f>
        <v>3675</v>
      </c>
      <c r="E26" s="55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2" t="s">
        <v>838</v>
      </c>
      <c r="B27" s="463" t="s">
        <v>839</v>
      </c>
      <c r="C27" s="463" t="s">
        <v>840</v>
      </c>
      <c r="D27" s="550">
        <f>SUMIFS('Revised RAO'!Q:Q,'Revised RAO'!E:E,'Transactions for Import (2)'!A27)</f>
        <v>10895.41</v>
      </c>
      <c r="E27" s="55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2" t="s">
        <v>841</v>
      </c>
      <c r="B28" s="463" t="s">
        <v>843</v>
      </c>
      <c r="C28" s="463" t="s">
        <v>855</v>
      </c>
      <c r="D28" s="550">
        <f>SUMIFS('Revised RAO'!Q:Q,'Revised RAO'!E:E,'Transactions for Import (2)'!A28)</f>
        <v>14080</v>
      </c>
      <c r="E28" s="550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2" t="s">
        <v>846</v>
      </c>
      <c r="B29" s="463" t="s">
        <v>847</v>
      </c>
      <c r="C29" s="463" t="s">
        <v>848</v>
      </c>
      <c r="D29" s="550">
        <f>SUMIFS('Revised RAO'!Q:Q,'Revised RAO'!E:E,'Transactions for Import (2)'!A29)</f>
        <v>1880</v>
      </c>
      <c r="E29" s="55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4" t="s">
        <v>851</v>
      </c>
      <c r="B30" s="409" t="s">
        <v>852</v>
      </c>
      <c r="C30" s="409" t="s">
        <v>853</v>
      </c>
      <c r="D30" s="550">
        <f>SUMIFS('Revised RAO'!Q:Q,'Revised RAO'!E:E,'Transactions for Import (2)'!A30)</f>
        <v>0</v>
      </c>
      <c r="E30" s="550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2" t="s">
        <v>854</v>
      </c>
      <c r="B31" s="463" t="s">
        <v>843</v>
      </c>
      <c r="C31" s="463" t="s">
        <v>855</v>
      </c>
      <c r="D31" s="550">
        <f>SUMIFS('Revised RAO'!Q:Q,'Revised RAO'!E:E,'Transactions for Import (2)'!A31)</f>
        <v>20061.82</v>
      </c>
      <c r="E31" s="55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2" t="s">
        <v>856</v>
      </c>
      <c r="B32" s="463" t="s">
        <v>843</v>
      </c>
      <c r="C32" s="463" t="s">
        <v>855</v>
      </c>
      <c r="D32" s="550">
        <f>SUMIFS('Revised RAO'!Q:Q,'Revised RAO'!E:E,'Transactions for Import (2)'!A32)</f>
        <v>33474</v>
      </c>
      <c r="E32" s="550"/>
      <c r="F32">
        <f t="shared" si="0"/>
        <v>1</v>
      </c>
      <c r="J32" s="548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4" t="s">
        <v>858</v>
      </c>
      <c r="B33" s="409" t="s">
        <v>859</v>
      </c>
      <c r="C33" s="409" t="s">
        <v>860</v>
      </c>
      <c r="D33" s="550">
        <f>SUMIFS('Revised RAO'!Q:Q,'Revised RAO'!E:E,'Transactions for Import (2)'!A33)</f>
        <v>0</v>
      </c>
      <c r="E33" s="550"/>
      <c r="F33">
        <f t="shared" si="0"/>
        <v>1</v>
      </c>
      <c r="J33" s="548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2" t="s">
        <v>861</v>
      </c>
      <c r="B34" s="463" t="s">
        <v>863</v>
      </c>
      <c r="C34" s="463" t="s">
        <v>864</v>
      </c>
      <c r="D34" s="550">
        <f>SUMIFS('Revised RAO'!Q:Q,'Revised RAO'!E:E,'Transactions for Import (2)'!A34)</f>
        <v>51777.94</v>
      </c>
      <c r="E34" s="55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2" t="s">
        <v>865</v>
      </c>
      <c r="B35" s="463" t="s">
        <v>789</v>
      </c>
      <c r="C35" s="463" t="s">
        <v>864</v>
      </c>
      <c r="D35" s="550">
        <f>SUMIFS('Revised RAO'!Q:Q,'Revised RAO'!E:E,'Transactions for Import (2)'!A35)</f>
        <v>92085.57</v>
      </c>
      <c r="E35" s="550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2" t="s">
        <v>866</v>
      </c>
      <c r="B36" s="463" t="s">
        <v>867</v>
      </c>
      <c r="C36" s="463" t="s">
        <v>864</v>
      </c>
      <c r="D36" s="550">
        <f>SUMIFS('Revised RAO'!Q:Q,'Revised RAO'!E:E,'Transactions for Import (2)'!A36)</f>
        <v>40307.629999999997</v>
      </c>
      <c r="E36" s="550"/>
      <c r="F36">
        <f t="shared" si="0"/>
        <v>1</v>
      </c>
      <c r="J36" s="548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2" t="s">
        <v>868</v>
      </c>
      <c r="B37" s="463" t="s">
        <v>869</v>
      </c>
      <c r="C37" s="463" t="s">
        <v>864</v>
      </c>
      <c r="D37" s="550">
        <f>SUMIFS('Revised RAO'!Q:Q,'Revised RAO'!E:E,'Transactions for Import (2)'!A37)</f>
        <v>40307.629999999997</v>
      </c>
      <c r="E37" s="550"/>
      <c r="F37">
        <f t="shared" si="0"/>
        <v>1</v>
      </c>
      <c r="J37" s="548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2" t="s">
        <v>870</v>
      </c>
      <c r="B38" s="463" t="s">
        <v>768</v>
      </c>
      <c r="C38" s="463" t="s">
        <v>864</v>
      </c>
      <c r="D38" s="550">
        <f>SUMIFS('Revised RAO'!Q:Q,'Revised RAO'!E:E,'Transactions for Import (2)'!A38)</f>
        <v>92085.57</v>
      </c>
      <c r="E38" s="55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2" t="s">
        <v>871</v>
      </c>
      <c r="B39" s="463" t="s">
        <v>872</v>
      </c>
      <c r="C39" s="463" t="s">
        <v>864</v>
      </c>
      <c r="D39" s="550">
        <f>SUMIFS('Revised RAO'!Q:Q,'Revised RAO'!E:E,'Transactions for Import (2)'!A39)</f>
        <v>40307.629999999997</v>
      </c>
      <c r="E39" s="55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2" t="s">
        <v>1029</v>
      </c>
      <c r="B40" s="463" t="s">
        <v>1030</v>
      </c>
      <c r="C40" s="463" t="s">
        <v>1031</v>
      </c>
      <c r="D40" s="550">
        <f>SUMIFS('Revised RAO'!Q:Q,'Revised RAO'!E:E,'Transactions for Import (2)'!A40)</f>
        <v>150000</v>
      </c>
      <c r="E40" s="550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2" t="s">
        <v>1032</v>
      </c>
      <c r="B41" s="463" t="s">
        <v>6</v>
      </c>
      <c r="C41" s="463" t="s">
        <v>1033</v>
      </c>
      <c r="D41" s="550">
        <f>SUMIFS('Revised RAO'!Q:Q,'Revised RAO'!E:E,'Transactions for Import (2)'!A41)</f>
        <v>10000</v>
      </c>
      <c r="E41" s="55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2" t="s">
        <v>1034</v>
      </c>
      <c r="B42" s="463" t="s">
        <v>1030</v>
      </c>
      <c r="C42" s="463" t="s">
        <v>1035</v>
      </c>
      <c r="D42" s="550">
        <f>SUMIFS('Revised RAO'!Q:Q,'Revised RAO'!E:E,'Transactions for Import (2)'!A42)</f>
        <v>28636.36</v>
      </c>
      <c r="E42" s="550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2" t="s">
        <v>1046</v>
      </c>
      <c r="B43" s="463" t="s">
        <v>1036</v>
      </c>
      <c r="C43" s="463" t="s">
        <v>1037</v>
      </c>
      <c r="D43" s="550">
        <f>SUMIFS('Revised RAO'!Q:Q,'Revised RAO'!E:E,'Transactions for Import (2)'!A43)</f>
        <v>2073.09</v>
      </c>
      <c r="E43" s="550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4" t="s">
        <v>1047</v>
      </c>
      <c r="B44" s="409" t="s">
        <v>1038</v>
      </c>
      <c r="C44" s="409" t="s">
        <v>1039</v>
      </c>
      <c r="D44" s="550">
        <f>SUMIFS('Revised RAO'!Q:Q,'Revised RAO'!E:E,'Transactions for Import (2)'!A44)</f>
        <v>0</v>
      </c>
      <c r="E44" s="550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6" t="s">
        <v>1264</v>
      </c>
      <c r="B45" s="439" t="s">
        <v>852</v>
      </c>
      <c r="C45" s="439" t="s">
        <v>853</v>
      </c>
      <c r="D45" s="550">
        <f>SUMIFS('Revised RAO'!Q:Q,'Revised RAO'!E:E,'Transactions for Import (2)'!A45)</f>
        <v>17600</v>
      </c>
      <c r="E45" s="55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2" t="s">
        <v>1048</v>
      </c>
      <c r="B46" s="463" t="s">
        <v>818</v>
      </c>
      <c r="C46" s="463" t="s">
        <v>1040</v>
      </c>
      <c r="D46" s="550">
        <f>SUMIFS('Revised RAO'!Q:Q,'Revised RAO'!E:E,'Transactions for Import (2)'!A46)</f>
        <v>80000</v>
      </c>
      <c r="E46" s="55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2" t="s">
        <v>1049</v>
      </c>
      <c r="B47" s="463" t="s">
        <v>1062</v>
      </c>
      <c r="C47" s="463" t="s">
        <v>1041</v>
      </c>
      <c r="D47" s="550">
        <f>SUMIFS('Revised RAO'!Q:Q,'Revised RAO'!E:E,'Transactions for Import (2)'!A47)</f>
        <v>750</v>
      </c>
      <c r="E47" s="55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2" t="s">
        <v>1050</v>
      </c>
      <c r="B48" s="463" t="s">
        <v>1042</v>
      </c>
      <c r="C48" s="463" t="s">
        <v>1041</v>
      </c>
      <c r="D48" s="550">
        <f>SUMIFS('Revised RAO'!Q:Q,'Revised RAO'!E:E,'Transactions for Import (2)'!A48)</f>
        <v>750</v>
      </c>
      <c r="E48" s="55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2" t="s">
        <v>1051</v>
      </c>
      <c r="B49" s="463" t="s">
        <v>1043</v>
      </c>
      <c r="C49" s="463" t="s">
        <v>1041</v>
      </c>
      <c r="D49" s="550">
        <f>SUMIFS('Revised RAO'!Q:Q,'Revised RAO'!E:E,'Transactions for Import (2)'!A49)</f>
        <v>750</v>
      </c>
      <c r="E49" s="55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2" t="s">
        <v>1052</v>
      </c>
      <c r="B50" s="463" t="s">
        <v>818</v>
      </c>
      <c r="C50" s="463" t="s">
        <v>1044</v>
      </c>
      <c r="D50" s="550">
        <f>SUMIFS('Revised RAO'!Q:Q,'Revised RAO'!E:E,'Transactions for Import (2)'!A50)</f>
        <v>97200</v>
      </c>
      <c r="E50" s="55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2" t="s">
        <v>1053</v>
      </c>
      <c r="B51" s="463" t="s">
        <v>820</v>
      </c>
      <c r="C51" s="463" t="s">
        <v>1044</v>
      </c>
      <c r="D51" s="550">
        <f>SUMIFS('Revised RAO'!Q:Q,'Revised RAO'!E:E,'Transactions for Import (2)'!A51)</f>
        <v>97200</v>
      </c>
      <c r="E51" s="550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2" t="s">
        <v>1054</v>
      </c>
      <c r="B52" s="463" t="s">
        <v>821</v>
      </c>
      <c r="C52" s="463" t="s">
        <v>1044</v>
      </c>
      <c r="D52" s="550">
        <f>SUMIFS('Revised RAO'!Q:Q,'Revised RAO'!E:E,'Transactions for Import (2)'!A52)</f>
        <v>97200</v>
      </c>
      <c r="E52" s="55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2" t="s">
        <v>1055</v>
      </c>
      <c r="B53" s="463" t="s">
        <v>822</v>
      </c>
      <c r="C53" s="463" t="s">
        <v>1044</v>
      </c>
      <c r="D53" s="550">
        <f>SUMIFS('Revised RAO'!Q:Q,'Revised RAO'!E:E,'Transactions for Import (2)'!A53)</f>
        <v>97200</v>
      </c>
      <c r="E53" s="55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2" t="s">
        <v>1056</v>
      </c>
      <c r="B54" s="463" t="s">
        <v>823</v>
      </c>
      <c r="C54" s="463" t="s">
        <v>1044</v>
      </c>
      <c r="D54" s="550">
        <f>SUMIFS('Revised RAO'!Q:Q,'Revised RAO'!E:E,'Transactions for Import (2)'!A54)</f>
        <v>97200</v>
      </c>
      <c r="E54" s="55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2" t="s">
        <v>1057</v>
      </c>
      <c r="B55" s="463" t="s">
        <v>818</v>
      </c>
      <c r="C55" s="463" t="s">
        <v>1045</v>
      </c>
      <c r="D55" s="550">
        <f>SUMIFS('Revised RAO'!Q:Q,'Revised RAO'!E:E,'Transactions for Import (2)'!A55)</f>
        <v>62500</v>
      </c>
      <c r="E55" s="55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2" t="s">
        <v>1058</v>
      </c>
      <c r="B56" s="463" t="s">
        <v>820</v>
      </c>
      <c r="C56" s="463" t="s">
        <v>1045</v>
      </c>
      <c r="D56" s="550">
        <f>SUMIFS('Revised RAO'!Q:Q,'Revised RAO'!E:E,'Transactions for Import (2)'!A56)</f>
        <v>50000</v>
      </c>
      <c r="E56" s="550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2" t="s">
        <v>1059</v>
      </c>
      <c r="B57" s="463" t="s">
        <v>821</v>
      </c>
      <c r="C57" s="463" t="s">
        <v>1045</v>
      </c>
      <c r="D57" s="550">
        <f>SUMIFS('Revised RAO'!Q:Q,'Revised RAO'!E:E,'Transactions for Import (2)'!A57)</f>
        <v>50000</v>
      </c>
      <c r="E57" s="550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2" t="s">
        <v>1060</v>
      </c>
      <c r="B58" s="463" t="s">
        <v>822</v>
      </c>
      <c r="C58" s="463" t="s">
        <v>1045</v>
      </c>
      <c r="D58" s="550">
        <f>SUMIFS('Revised RAO'!Q:Q,'Revised RAO'!E:E,'Transactions for Import (2)'!A58)</f>
        <v>50000</v>
      </c>
      <c r="E58" s="55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2" t="s">
        <v>1061</v>
      </c>
      <c r="B59" s="463" t="s">
        <v>823</v>
      </c>
      <c r="C59" s="463" t="s">
        <v>1045</v>
      </c>
      <c r="D59" s="550">
        <f>SUMIFS('Revised RAO'!Q:Q,'Revised RAO'!E:E,'Transactions for Import (2)'!A59)</f>
        <v>50000</v>
      </c>
      <c r="E59" s="55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2" t="s">
        <v>1063</v>
      </c>
      <c r="B60" s="463" t="s">
        <v>773</v>
      </c>
      <c r="C60" s="463" t="s">
        <v>1064</v>
      </c>
      <c r="D60" s="550">
        <f>SUMIFS('Revised RAO'!Q:Q,'Revised RAO'!E:E,'Transactions for Import (2)'!A60)</f>
        <v>4734.25</v>
      </c>
      <c r="E60" s="55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2" t="s">
        <v>1077</v>
      </c>
      <c r="B61" s="463" t="s">
        <v>1072</v>
      </c>
      <c r="C61" s="463" t="s">
        <v>1073</v>
      </c>
      <c r="D61" s="550">
        <f>SUMIFS('Revised RAO'!Q:Q,'Revised RAO'!E:E,'Transactions for Import (2)'!A61)</f>
        <v>1350</v>
      </c>
      <c r="E61" s="55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2" t="s">
        <v>1078</v>
      </c>
      <c r="B62" s="460" t="s">
        <v>818</v>
      </c>
      <c r="C62" s="460" t="s">
        <v>1074</v>
      </c>
      <c r="D62" s="550">
        <f>SUMIFS('Revised RAO'!Q:Q,'Revised RAO'!E:E,'Transactions for Import (2)'!A62)</f>
        <v>528841.48</v>
      </c>
      <c r="E62" s="55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2" t="s">
        <v>1079</v>
      </c>
      <c r="B63" s="460" t="s">
        <v>820</v>
      </c>
      <c r="C63" s="460" t="s">
        <v>1074</v>
      </c>
      <c r="D63" s="550">
        <f>SUMIFS('Revised RAO'!Q:Q,'Revised RAO'!E:E,'Transactions for Import (2)'!A63)</f>
        <v>241528.69</v>
      </c>
      <c r="E63" s="55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2" t="s">
        <v>1080</v>
      </c>
      <c r="B64" s="460" t="s">
        <v>821</v>
      </c>
      <c r="C64" s="460" t="s">
        <v>1074</v>
      </c>
      <c r="D64" s="550">
        <f>SUMIFS('Revised RAO'!Q:Q,'Revised RAO'!E:E,'Transactions for Import (2)'!A64)</f>
        <v>337586.4</v>
      </c>
      <c r="E64" s="55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2" t="s">
        <v>1081</v>
      </c>
      <c r="B65" s="460" t="s">
        <v>822</v>
      </c>
      <c r="C65" s="460" t="s">
        <v>1074</v>
      </c>
      <c r="D65" s="550">
        <f>SUMIFS('Revised RAO'!Q:Q,'Revised RAO'!E:E,'Transactions for Import (2)'!A65)</f>
        <v>355426.3600000001</v>
      </c>
      <c r="E65" s="55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2" t="s">
        <v>1082</v>
      </c>
      <c r="B66" s="460" t="s">
        <v>823</v>
      </c>
      <c r="C66" s="460" t="s">
        <v>1074</v>
      </c>
      <c r="D66" s="550">
        <f>SUMIFS('Revised RAO'!Q:Q,'Revised RAO'!E:E,'Transactions for Import (2)'!A66)</f>
        <v>230967.52</v>
      </c>
      <c r="E66" s="55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2" t="s">
        <v>1083</v>
      </c>
      <c r="B67" s="463" t="s">
        <v>1075</v>
      </c>
      <c r="C67" s="463" t="s">
        <v>1076</v>
      </c>
      <c r="D67" s="550">
        <f>SUMIFS('Revised RAO'!Q:Q,'Revised RAO'!E:E,'Transactions for Import (2)'!A67)</f>
        <v>65016.91</v>
      </c>
      <c r="E67" s="550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2" t="s">
        <v>1084</v>
      </c>
      <c r="B68" s="463" t="s">
        <v>1075</v>
      </c>
      <c r="C68" s="463" t="s">
        <v>1076</v>
      </c>
      <c r="D68" s="550">
        <f>SUMIFS('Revised RAO'!Q:Q,'Revised RAO'!E:E,'Transactions for Import (2)'!A68)</f>
        <v>16881.330000000002</v>
      </c>
      <c r="E68" s="55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2" t="s">
        <v>1085</v>
      </c>
      <c r="B69" s="463" t="s">
        <v>796</v>
      </c>
      <c r="C69" s="463" t="s">
        <v>1086</v>
      </c>
      <c r="D69" s="550">
        <f>SUMIFS('Revised RAO'!Q:Q,'Revised RAO'!E:E,'Transactions for Import (2)'!A69)</f>
        <v>4194.7300000000005</v>
      </c>
      <c r="E69" s="55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2" t="s">
        <v>1087</v>
      </c>
      <c r="B70" s="463" t="s">
        <v>843</v>
      </c>
      <c r="C70" s="463" t="s">
        <v>1076</v>
      </c>
      <c r="D70" s="550">
        <f>SUMIFS('Revised RAO'!Q:Q,'Revised RAO'!E:E,'Transactions for Import (2)'!A70)</f>
        <v>36158</v>
      </c>
      <c r="E70" s="55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2" t="s">
        <v>1088</v>
      </c>
      <c r="B71" s="463" t="s">
        <v>818</v>
      </c>
      <c r="C71" s="463" t="s">
        <v>1089</v>
      </c>
      <c r="D71" s="550">
        <f>SUMIFS('Revised RAO'!Q:Q,'Revised RAO'!E:E,'Transactions for Import (2)'!A71)</f>
        <v>1046300</v>
      </c>
      <c r="E71" s="550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2" t="s">
        <v>1090</v>
      </c>
      <c r="B72" s="463" t="s">
        <v>820</v>
      </c>
      <c r="C72" s="463" t="s">
        <v>1089</v>
      </c>
      <c r="D72" s="550">
        <f>SUMIFS('Revised RAO'!Q:Q,'Revised RAO'!E:E,'Transactions for Import (2)'!A72)</f>
        <v>535050</v>
      </c>
      <c r="E72" s="55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2" t="s">
        <v>1091</v>
      </c>
      <c r="B73" s="463" t="s">
        <v>821</v>
      </c>
      <c r="C73" s="463" t="s">
        <v>1089</v>
      </c>
      <c r="D73" s="550">
        <f>SUMIFS('Revised RAO'!Q:Q,'Revised RAO'!E:E,'Transactions for Import (2)'!A73)</f>
        <v>963500</v>
      </c>
      <c r="E73" s="550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2" t="s">
        <v>1092</v>
      </c>
      <c r="B74" s="463" t="s">
        <v>822</v>
      </c>
      <c r="C74" s="463" t="s">
        <v>1089</v>
      </c>
      <c r="D74" s="550">
        <f>SUMIFS('Revised RAO'!Q:Q,'Revised RAO'!E:E,'Transactions for Import (2)'!A74)</f>
        <v>870350</v>
      </c>
      <c r="E74" s="55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2" t="s">
        <v>1093</v>
      </c>
      <c r="B75" s="463" t="s">
        <v>823</v>
      </c>
      <c r="C75" s="463" t="s">
        <v>1089</v>
      </c>
      <c r="D75" s="550">
        <f>SUMIFS('Revised RAO'!Q:Q,'Revised RAO'!E:E,'Transactions for Import (2)'!A75)</f>
        <v>815900</v>
      </c>
      <c r="E75" s="550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2" t="s">
        <v>1094</v>
      </c>
      <c r="B76" s="463" t="s">
        <v>10</v>
      </c>
      <c r="C76" s="463" t="s">
        <v>1095</v>
      </c>
      <c r="D76" s="550">
        <f>SUMIFS('Revised RAO'!Q:Q,'Revised RAO'!E:E,'Transactions for Import (2)'!A76)</f>
        <v>62014.22</v>
      </c>
      <c r="E76" s="550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2" t="s">
        <v>1096</v>
      </c>
      <c r="B77" s="463" t="s">
        <v>789</v>
      </c>
      <c r="C77" s="463" t="s">
        <v>1095</v>
      </c>
      <c r="D77" s="550">
        <f>SUMIFS('Revised RAO'!Q:Q,'Revised RAO'!E:E,'Transactions for Import (2)'!A77)</f>
        <v>17167.73</v>
      </c>
      <c r="E77" s="550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2" t="s">
        <v>1097</v>
      </c>
      <c r="B78" s="463" t="s">
        <v>777</v>
      </c>
      <c r="C78" s="463" t="s">
        <v>1095</v>
      </c>
      <c r="D78" s="550">
        <f>SUMIFS('Revised RAO'!Q:Q,'Revised RAO'!E:E,'Transactions for Import (2)'!A78)</f>
        <v>17698.68</v>
      </c>
      <c r="E78" s="55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2" t="s">
        <v>1098</v>
      </c>
      <c r="B79" s="463" t="s">
        <v>764</v>
      </c>
      <c r="C79" s="463" t="s">
        <v>1095</v>
      </c>
      <c r="D79" s="550">
        <f>SUMIFS('Revised RAO'!Q:Q,'Revised RAO'!E:E,'Transactions for Import (2)'!A79)</f>
        <v>18167.440000000002</v>
      </c>
      <c r="E79" s="55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2" t="s">
        <v>1099</v>
      </c>
      <c r="B80" s="463" t="s">
        <v>768</v>
      </c>
      <c r="C80" s="463" t="s">
        <v>1095</v>
      </c>
      <c r="D80" s="550">
        <f>SUMIFS('Revised RAO'!Q:Q,'Revised RAO'!E:E,'Transactions for Import (2)'!A80)</f>
        <v>21594.01</v>
      </c>
      <c r="E80" s="550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2" t="s">
        <v>1100</v>
      </c>
      <c r="B81" s="463" t="s">
        <v>765</v>
      </c>
      <c r="C81" s="463" t="s">
        <v>1095</v>
      </c>
      <c r="D81" s="550">
        <f>SUMIFS('Revised RAO'!Q:Q,'Revised RAO'!E:E,'Transactions for Import (2)'!A81)</f>
        <v>12904.51</v>
      </c>
      <c r="E81" s="55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2" t="s">
        <v>1101</v>
      </c>
      <c r="B82" s="463" t="s">
        <v>1102</v>
      </c>
      <c r="C82" s="463" t="s">
        <v>1103</v>
      </c>
      <c r="D82" s="550">
        <f>SUMIFS('Revised RAO'!Q:Q,'Revised RAO'!E:E,'Transactions for Import (2)'!A82)</f>
        <v>1200</v>
      </c>
      <c r="E82" s="550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2" t="s">
        <v>1104</v>
      </c>
      <c r="B83" s="463" t="s">
        <v>1105</v>
      </c>
      <c r="C83" s="463" t="s">
        <v>1106</v>
      </c>
      <c r="D83" s="550">
        <f>SUMIFS('Revised RAO'!Q:Q,'Revised RAO'!E:E,'Transactions for Import (2)'!A83)</f>
        <v>8885.08</v>
      </c>
      <c r="E83" s="550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2" t="s">
        <v>1107</v>
      </c>
      <c r="B84" s="463" t="s">
        <v>1108</v>
      </c>
      <c r="C84" s="463" t="s">
        <v>1109</v>
      </c>
      <c r="D84" s="550">
        <f>SUMIFS('Revised RAO'!Q:Q,'Revised RAO'!E:E,'Transactions for Import (2)'!A84)</f>
        <v>10600</v>
      </c>
      <c r="E84" s="550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2" t="s">
        <v>1110</v>
      </c>
      <c r="B85" s="463" t="s">
        <v>1102</v>
      </c>
      <c r="C85" s="463" t="s">
        <v>1111</v>
      </c>
      <c r="D85" s="550">
        <f>SUMIFS('Revised RAO'!Q:Q,'Revised RAO'!E:E,'Transactions for Import (2)'!A85)</f>
        <v>2400</v>
      </c>
      <c r="E85" s="55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2" t="s">
        <v>1112</v>
      </c>
      <c r="B86" s="463" t="s">
        <v>10</v>
      </c>
      <c r="C86" s="463" t="s">
        <v>1113</v>
      </c>
      <c r="D86" s="550">
        <f>SUMIFS('Revised RAO'!Q:Q,'Revised RAO'!E:E,'Transactions for Import (2)'!A86)</f>
        <v>2049964.0999999999</v>
      </c>
      <c r="E86" s="550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2" t="s">
        <v>1114</v>
      </c>
      <c r="B87" s="463" t="s">
        <v>777</v>
      </c>
      <c r="C87" s="463" t="s">
        <v>1113</v>
      </c>
      <c r="D87" s="550">
        <f>SUMIFS('Revised RAO'!Q:Q,'Revised RAO'!E:E,'Transactions for Import (2)'!A87)</f>
        <v>429402.37</v>
      </c>
      <c r="E87" s="55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2" t="s">
        <v>1115</v>
      </c>
      <c r="B88" s="463" t="s">
        <v>765</v>
      </c>
      <c r="C88" s="463" t="s">
        <v>1113</v>
      </c>
      <c r="D88" s="550">
        <f>SUMIFS('Revised RAO'!Q:Q,'Revised RAO'!E:E,'Transactions for Import (2)'!A88)</f>
        <v>389716.8</v>
      </c>
      <c r="E88" s="55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2" t="s">
        <v>1116</v>
      </c>
      <c r="B89" s="463" t="s">
        <v>847</v>
      </c>
      <c r="C89" s="463" t="s">
        <v>1117</v>
      </c>
      <c r="D89" s="550">
        <f>SUMIFS('Revised RAO'!Q:Q,'Revised RAO'!E:E,'Transactions for Import (2)'!A89)</f>
        <v>457.27</v>
      </c>
      <c r="E89" s="55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2" t="s">
        <v>1118</v>
      </c>
      <c r="B90" s="463" t="s">
        <v>1119</v>
      </c>
      <c r="C90" s="463" t="s">
        <v>1117</v>
      </c>
      <c r="D90" s="550">
        <f>SUMIFS('Revised RAO'!Q:Q,'Revised RAO'!E:E,'Transactions for Import (2)'!A90)</f>
        <v>258.18000000000006</v>
      </c>
      <c r="E90" s="55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2" t="s">
        <v>1120</v>
      </c>
      <c r="B91" s="463" t="s">
        <v>833</v>
      </c>
      <c r="C91" s="463" t="s">
        <v>1121</v>
      </c>
      <c r="D91" s="550">
        <f>SUMIFS('Revised RAO'!Q:Q,'Revised RAO'!E:E,'Transactions for Import (2)'!A91)</f>
        <v>614.54999999999995</v>
      </c>
      <c r="E91" s="55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2" t="s">
        <v>1122</v>
      </c>
      <c r="B92" s="463" t="s">
        <v>1030</v>
      </c>
      <c r="C92" s="463" t="s">
        <v>1123</v>
      </c>
      <c r="D92" s="550">
        <f>SUMIFS('Revised RAO'!Q:Q,'Revised RAO'!E:E,'Transactions for Import (2)'!A92)</f>
        <v>105049.54</v>
      </c>
      <c r="E92" s="550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2" t="s">
        <v>1124</v>
      </c>
      <c r="B93" s="463" t="s">
        <v>872</v>
      </c>
      <c r="C93" s="463" t="s">
        <v>1125</v>
      </c>
      <c r="D93" s="550">
        <f>SUMIFS('Revised RAO'!Q:Q,'Revised RAO'!E:E,'Transactions for Import (2)'!A93)</f>
        <v>40307.629999999997</v>
      </c>
      <c r="E93" s="55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2" t="s">
        <v>1126</v>
      </c>
      <c r="B94" s="463" t="s">
        <v>863</v>
      </c>
      <c r="C94" s="463" t="s">
        <v>1125</v>
      </c>
      <c r="D94" s="550">
        <f>SUMIFS('Revised RAO'!Q:Q,'Revised RAO'!E:E,'Transactions for Import (2)'!A94)</f>
        <v>51777.93</v>
      </c>
      <c r="E94" s="55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4" t="s">
        <v>1127</v>
      </c>
      <c r="B95" s="409" t="s">
        <v>1128</v>
      </c>
      <c r="C95" s="409" t="s">
        <v>1129</v>
      </c>
      <c r="D95" s="550">
        <f>SUMIFS('Revised RAO'!Q:Q,'Revised RAO'!E:E,'Transactions for Import (2)'!A95)</f>
        <v>0</v>
      </c>
      <c r="E95" s="55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2" t="s">
        <v>1130</v>
      </c>
      <c r="B96" s="463" t="s">
        <v>1131</v>
      </c>
      <c r="C96" s="463" t="s">
        <v>1132</v>
      </c>
      <c r="D96" s="550">
        <f>SUMIFS('Revised RAO'!Q:Q,'Revised RAO'!E:E,'Transactions for Import (2)'!A96)</f>
        <v>25000</v>
      </c>
      <c r="E96" s="55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2" t="s">
        <v>1133</v>
      </c>
      <c r="B97" s="463" t="s">
        <v>1134</v>
      </c>
      <c r="C97" s="463" t="s">
        <v>1135</v>
      </c>
      <c r="D97" s="550">
        <f>SUMIFS('Revised RAO'!Q:Q,'Revised RAO'!E:E,'Transactions for Import (2)'!A97)</f>
        <v>1990</v>
      </c>
      <c r="E97" s="55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2" t="s">
        <v>1136</v>
      </c>
      <c r="B98" s="463" t="s">
        <v>779</v>
      </c>
      <c r="C98" s="463" t="s">
        <v>1137</v>
      </c>
      <c r="D98" s="550">
        <f>SUMIFS('Revised RAO'!Q:Q,'Revised RAO'!E:E,'Transactions for Import (2)'!A98)</f>
        <v>170501.47</v>
      </c>
      <c r="E98" s="550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4" t="s">
        <v>1138</v>
      </c>
      <c r="B99" s="409" t="s">
        <v>818</v>
      </c>
      <c r="C99" s="409" t="s">
        <v>1139</v>
      </c>
      <c r="D99" s="550">
        <f>SUMIFS('Revised RAO'!Q:Q,'Revised RAO'!E:E,'Transactions for Import (2)'!A99)</f>
        <v>0</v>
      </c>
      <c r="E99" s="55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2" t="s">
        <v>1140</v>
      </c>
      <c r="B100" s="463" t="s">
        <v>820</v>
      </c>
      <c r="C100" s="463" t="s">
        <v>1139</v>
      </c>
      <c r="D100" s="550">
        <f>SUMIFS('Revised RAO'!Q:Q,'Revised RAO'!E:E,'Transactions for Import (2)'!A100)</f>
        <v>640000</v>
      </c>
      <c r="E100" s="55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4" t="s">
        <v>1141</v>
      </c>
      <c r="B101" s="409" t="s">
        <v>821</v>
      </c>
      <c r="C101" s="409" t="s">
        <v>1139</v>
      </c>
      <c r="D101" s="550">
        <f>SUMIFS('Revised RAO'!Q:Q,'Revised RAO'!E:E,'Transactions for Import (2)'!A101)</f>
        <v>0</v>
      </c>
      <c r="E101" s="55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4" t="s">
        <v>1142</v>
      </c>
      <c r="B102" s="409" t="s">
        <v>822</v>
      </c>
      <c r="C102" s="409" t="s">
        <v>1139</v>
      </c>
      <c r="D102" s="550">
        <f>SUMIFS('Revised RAO'!Q:Q,'Revised RAO'!E:E,'Transactions for Import (2)'!A102)</f>
        <v>0</v>
      </c>
      <c r="E102" s="550"/>
      <c r="F102">
        <f t="shared" si="1"/>
        <v>1</v>
      </c>
      <c r="J102" s="548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4" t="s">
        <v>1143</v>
      </c>
      <c r="B103" s="409" t="s">
        <v>823</v>
      </c>
      <c r="C103" s="409" t="s">
        <v>1139</v>
      </c>
      <c r="D103" s="550">
        <f>SUMIFS('Revised RAO'!Q:Q,'Revised RAO'!E:E,'Transactions for Import (2)'!A103)</f>
        <v>0</v>
      </c>
      <c r="E103" s="550"/>
      <c r="F103">
        <f t="shared" si="1"/>
        <v>1</v>
      </c>
      <c r="J103" s="548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4" t="s">
        <v>1144</v>
      </c>
      <c r="B104" s="409" t="s">
        <v>818</v>
      </c>
      <c r="C104" s="409" t="s">
        <v>1145</v>
      </c>
      <c r="D104" s="550">
        <f>SUMIFS('Revised RAO'!Q:Q,'Revised RAO'!E:E,'Transactions for Import (2)'!A104)</f>
        <v>0</v>
      </c>
      <c r="E104" s="550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4" t="s">
        <v>1146</v>
      </c>
      <c r="B105" s="409" t="s">
        <v>820</v>
      </c>
      <c r="C105" s="409" t="s">
        <v>1145</v>
      </c>
      <c r="D105" s="550">
        <f>SUMIFS('Revised RAO'!Q:Q,'Revised RAO'!E:E,'Transactions for Import (2)'!A105)</f>
        <v>0</v>
      </c>
      <c r="E105" s="550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2" t="s">
        <v>1147</v>
      </c>
      <c r="B106" s="463" t="s">
        <v>821</v>
      </c>
      <c r="C106" s="463" t="s">
        <v>1145</v>
      </c>
      <c r="D106" s="550">
        <f>SUMIFS('Revised RAO'!Q:Q,'Revised RAO'!E:E,'Transactions for Import (2)'!A106)</f>
        <v>80335.709999999992</v>
      </c>
      <c r="E106" s="550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4" t="s">
        <v>1148</v>
      </c>
      <c r="B107" s="409" t="s">
        <v>822</v>
      </c>
      <c r="C107" s="409" t="s">
        <v>1145</v>
      </c>
      <c r="D107" s="550">
        <f>SUMIFS('Revised RAO'!Q:Q,'Revised RAO'!E:E,'Transactions for Import (2)'!A107)</f>
        <v>0</v>
      </c>
      <c r="E107" s="550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4" t="s">
        <v>1149</v>
      </c>
      <c r="B108" s="409" t="s">
        <v>823</v>
      </c>
      <c r="C108" s="409" t="s">
        <v>1145</v>
      </c>
      <c r="D108" s="550">
        <f>SUMIFS('Revised RAO'!Q:Q,'Revised RAO'!E:E,'Transactions for Import (2)'!A108)</f>
        <v>0</v>
      </c>
      <c r="E108" s="55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4" t="s">
        <v>1151</v>
      </c>
      <c r="B109" s="409" t="s">
        <v>818</v>
      </c>
      <c r="C109" s="409" t="s">
        <v>1150</v>
      </c>
      <c r="D109" s="550">
        <f>SUMIFS('Revised RAO'!Q:Q,'Revised RAO'!E:E,'Transactions for Import (2)'!A109)</f>
        <v>0</v>
      </c>
      <c r="E109" s="550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2" t="s">
        <v>1152</v>
      </c>
      <c r="B110" s="463" t="s">
        <v>820</v>
      </c>
      <c r="C110" s="463" t="s">
        <v>1150</v>
      </c>
      <c r="D110" s="550">
        <f>SUMIFS('Revised RAO'!Q:Q,'Revised RAO'!E:E,'Transactions for Import (2)'!A110)</f>
        <v>31356</v>
      </c>
      <c r="E110" s="55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4" t="s">
        <v>1153</v>
      </c>
      <c r="B111" s="409" t="s">
        <v>823</v>
      </c>
      <c r="C111" s="409" t="s">
        <v>1150</v>
      </c>
      <c r="D111" s="550">
        <f>SUMIFS('Revised RAO'!Q:Q,'Revised RAO'!E:E,'Transactions for Import (2)'!A111)</f>
        <v>0</v>
      </c>
      <c r="E111" s="55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4" t="s">
        <v>1154</v>
      </c>
      <c r="B112" s="409" t="s">
        <v>821</v>
      </c>
      <c r="C112" s="409" t="s">
        <v>1150</v>
      </c>
      <c r="D112" s="550">
        <f>SUMIFS('Revised RAO'!Q:Q,'Revised RAO'!E:E,'Transactions for Import (2)'!A112)</f>
        <v>0</v>
      </c>
      <c r="E112" s="55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4" t="s">
        <v>1155</v>
      </c>
      <c r="B113" s="409" t="s">
        <v>822</v>
      </c>
      <c r="C113" s="409" t="s">
        <v>1150</v>
      </c>
      <c r="D113" s="550">
        <f>SUMIFS('Revised RAO'!Q:Q,'Revised RAO'!E:E,'Transactions for Import (2)'!A113)</f>
        <v>0</v>
      </c>
      <c r="E113" s="55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2" t="s">
        <v>1156</v>
      </c>
      <c r="B114" s="463" t="s">
        <v>1157</v>
      </c>
      <c r="C114" s="463" t="s">
        <v>1158</v>
      </c>
      <c r="D114" s="550">
        <f>SUMIFS('Revised RAO'!Q:Q,'Revised RAO'!E:E,'Transactions for Import (2)'!A114)</f>
        <v>11500</v>
      </c>
      <c r="E114" s="55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2" t="s">
        <v>1159</v>
      </c>
      <c r="B115" s="463" t="s">
        <v>789</v>
      </c>
      <c r="C115" s="463" t="s">
        <v>1113</v>
      </c>
      <c r="D115" s="550">
        <f>SUMIFS('Revised RAO'!Q:Q,'Revised RAO'!E:E,'Transactions for Import (2)'!A115)</f>
        <v>666486.65999999992</v>
      </c>
      <c r="E115" s="550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2" t="s">
        <v>1160</v>
      </c>
      <c r="B116" s="463" t="s">
        <v>789</v>
      </c>
      <c r="C116" s="463" t="s">
        <v>1125</v>
      </c>
      <c r="D116" s="550">
        <f>SUMIFS('Revised RAO'!Q:Q,'Revised RAO'!E:E,'Transactions for Import (2)'!A116)</f>
        <v>92085.57</v>
      </c>
      <c r="E116" s="550"/>
      <c r="F116">
        <f t="shared" si="1"/>
        <v>1</v>
      </c>
    </row>
    <row r="117" spans="1:21" ht="41.4" hidden="1">
      <c r="A117" s="352" t="s">
        <v>1161</v>
      </c>
      <c r="B117" s="463" t="s">
        <v>768</v>
      </c>
      <c r="C117" s="463" t="s">
        <v>1113</v>
      </c>
      <c r="D117" s="550">
        <f>SUMIFS('Revised RAO'!Q:Q,'Revised RAO'!E:E,'Transactions for Import (2)'!A117)</f>
        <v>688368.09</v>
      </c>
      <c r="E117" s="550"/>
      <c r="F117">
        <f t="shared" si="1"/>
        <v>1</v>
      </c>
    </row>
    <row r="118" spans="1:21" ht="27.6" hidden="1">
      <c r="A118" s="352" t="s">
        <v>1162</v>
      </c>
      <c r="B118" s="463" t="s">
        <v>768</v>
      </c>
      <c r="C118" s="463" t="s">
        <v>1125</v>
      </c>
      <c r="D118" s="550">
        <f>SUMIFS('Revised RAO'!Q:Q,'Revised RAO'!E:E,'Transactions for Import (2)'!A118)</f>
        <v>92085.57</v>
      </c>
      <c r="E118" s="550"/>
      <c r="F118">
        <f t="shared" si="1"/>
        <v>1</v>
      </c>
    </row>
    <row r="119" spans="1:21" ht="27.6" hidden="1">
      <c r="A119" s="352" t="s">
        <v>1163</v>
      </c>
      <c r="B119" s="463" t="s">
        <v>867</v>
      </c>
      <c r="C119" s="463" t="s">
        <v>1125</v>
      </c>
      <c r="D119" s="550">
        <f>SUMIFS('Revised RAO'!Q:Q,'Revised RAO'!E:E,'Transactions for Import (2)'!A119)</f>
        <v>40307.629999999997</v>
      </c>
      <c r="E119" s="550"/>
      <c r="F119">
        <f t="shared" si="1"/>
        <v>1</v>
      </c>
    </row>
    <row r="120" spans="1:21" ht="41.4" hidden="1">
      <c r="A120" s="352" t="s">
        <v>1164</v>
      </c>
      <c r="B120" s="463" t="s">
        <v>764</v>
      </c>
      <c r="C120" s="463" t="s">
        <v>1113</v>
      </c>
      <c r="D120" s="550">
        <f>SUMIFS('Revised RAO'!Q:Q,'Revised RAO'!E:E,'Transactions for Import (2)'!A120)</f>
        <v>470812.07</v>
      </c>
      <c r="E120" s="550"/>
      <c r="F120">
        <f t="shared" si="1"/>
        <v>1</v>
      </c>
    </row>
    <row r="121" spans="1:21" ht="27.6" hidden="1">
      <c r="A121" s="352" t="s">
        <v>1167</v>
      </c>
      <c r="B121" s="463" t="s">
        <v>869</v>
      </c>
      <c r="C121" s="463" t="s">
        <v>1125</v>
      </c>
      <c r="D121" s="550">
        <f>SUMIFS('Revised RAO'!Q:Q,'Revised RAO'!E:E,'Transactions for Import (2)'!A121)</f>
        <v>40307.629999999997</v>
      </c>
      <c r="E121" s="550"/>
      <c r="F121">
        <f t="shared" si="1"/>
        <v>1</v>
      </c>
    </row>
    <row r="122" spans="1:21" ht="27.6" hidden="1">
      <c r="A122" s="352" t="s">
        <v>1168</v>
      </c>
      <c r="B122" s="463" t="s">
        <v>1165</v>
      </c>
      <c r="C122" s="463" t="s">
        <v>1166</v>
      </c>
      <c r="D122" s="550">
        <f>SUMIFS('Revised RAO'!Q:Q,'Revised RAO'!E:E,'Transactions for Import (2)'!A122)</f>
        <v>13614.41</v>
      </c>
      <c r="E122" s="550"/>
      <c r="F122">
        <f t="shared" si="1"/>
        <v>1</v>
      </c>
    </row>
    <row r="123" spans="1:21" ht="27.6" hidden="1">
      <c r="A123" s="352" t="s">
        <v>1169</v>
      </c>
      <c r="B123" s="463" t="s">
        <v>1170</v>
      </c>
      <c r="C123" s="463" t="s">
        <v>1166</v>
      </c>
      <c r="D123" s="550">
        <f>SUMIFS('Revised RAO'!Q:Q,'Revised RAO'!E:E,'Transactions for Import (2)'!A123)</f>
        <v>13614.41</v>
      </c>
      <c r="E123" s="550"/>
      <c r="F123">
        <f t="shared" si="1"/>
        <v>1</v>
      </c>
    </row>
    <row r="124" spans="1:21" ht="27.6" hidden="1">
      <c r="A124" s="352" t="s">
        <v>1171</v>
      </c>
      <c r="B124" s="463" t="s">
        <v>1172</v>
      </c>
      <c r="C124" s="463" t="s">
        <v>1166</v>
      </c>
      <c r="D124" s="550">
        <f>SUMIFS('Revised RAO'!Q:Q,'Revised RAO'!E:E,'Transactions for Import (2)'!A124)</f>
        <v>13614.41</v>
      </c>
      <c r="E124" s="550"/>
      <c r="F124">
        <f t="shared" si="1"/>
        <v>1</v>
      </c>
    </row>
    <row r="125" spans="1:21" ht="27.6" hidden="1">
      <c r="A125" s="352" t="s">
        <v>1173</v>
      </c>
      <c r="B125" s="463" t="s">
        <v>1174</v>
      </c>
      <c r="C125" s="463" t="s">
        <v>1166</v>
      </c>
      <c r="D125" s="550">
        <f>SUMIFS('Revised RAO'!Q:Q,'Revised RAO'!E:E,'Transactions for Import (2)'!A125)</f>
        <v>13614.41</v>
      </c>
      <c r="E125" s="550"/>
      <c r="F125">
        <f t="shared" si="1"/>
        <v>1</v>
      </c>
    </row>
    <row r="126" spans="1:21" ht="27.6" hidden="1">
      <c r="A126" s="352" t="s">
        <v>1175</v>
      </c>
      <c r="B126" s="463" t="s">
        <v>1176</v>
      </c>
      <c r="C126" s="463" t="s">
        <v>1166</v>
      </c>
      <c r="D126" s="550">
        <f>SUMIFS('Revised RAO'!Q:Q,'Revised RAO'!E:E,'Transactions for Import (2)'!A126)</f>
        <v>13614.41</v>
      </c>
      <c r="E126" s="550"/>
      <c r="F126">
        <f t="shared" si="1"/>
        <v>1</v>
      </c>
    </row>
    <row r="127" spans="1:21" ht="27.6" hidden="1">
      <c r="A127" s="352" t="s">
        <v>1177</v>
      </c>
      <c r="B127" s="463" t="s">
        <v>1165</v>
      </c>
      <c r="C127" s="463" t="s">
        <v>1178</v>
      </c>
      <c r="D127" s="550">
        <f>SUMIFS('Revised RAO'!Q:Q,'Revised RAO'!E:E,'Transactions for Import (2)'!A127)</f>
        <v>29300.399999999998</v>
      </c>
      <c r="E127" s="550"/>
      <c r="F127">
        <f t="shared" si="1"/>
        <v>1</v>
      </c>
    </row>
    <row r="128" spans="1:21" ht="41.4" hidden="1">
      <c r="A128" s="352" t="s">
        <v>1179</v>
      </c>
      <c r="B128" s="463" t="s">
        <v>1180</v>
      </c>
      <c r="C128" s="463" t="s">
        <v>1181</v>
      </c>
      <c r="D128" s="550">
        <f>SUMIFS('Revised RAO'!Q:Q,'Revised RAO'!E:E,'Transactions for Import (2)'!A128)</f>
        <v>28839.81</v>
      </c>
      <c r="E128" s="550"/>
      <c r="F128">
        <f t="shared" si="1"/>
        <v>1</v>
      </c>
    </row>
    <row r="129" spans="1:6" ht="41.4" hidden="1">
      <c r="A129" s="352" t="s">
        <v>1182</v>
      </c>
      <c r="B129" s="463" t="s">
        <v>1180</v>
      </c>
      <c r="C129" s="463" t="s">
        <v>1183</v>
      </c>
      <c r="D129" s="550">
        <f>SUMIFS('Revised RAO'!Q:Q,'Revised RAO'!E:E,'Transactions for Import (2)'!A129)</f>
        <v>18000</v>
      </c>
      <c r="E129" s="550"/>
      <c r="F129">
        <f t="shared" si="1"/>
        <v>1</v>
      </c>
    </row>
    <row r="130" spans="1:6" ht="41.4" hidden="1">
      <c r="A130" s="352" t="s">
        <v>1184</v>
      </c>
      <c r="B130" s="463" t="s">
        <v>1180</v>
      </c>
      <c r="C130" s="463" t="s">
        <v>1185</v>
      </c>
      <c r="D130" s="550">
        <f>SUMIFS('Revised RAO'!Q:Q,'Revised RAO'!E:E,'Transactions for Import (2)'!A130)</f>
        <v>560</v>
      </c>
      <c r="E130" s="550"/>
      <c r="F130">
        <f t="shared" si="1"/>
        <v>1</v>
      </c>
    </row>
    <row r="131" spans="1:6" ht="41.4" hidden="1">
      <c r="A131" s="352" t="s">
        <v>1186</v>
      </c>
      <c r="B131" s="463" t="s">
        <v>1180</v>
      </c>
      <c r="C131" s="463" t="s">
        <v>1187</v>
      </c>
      <c r="D131" s="550">
        <f>SUMIFS('Revised RAO'!Q:Q,'Revised RAO'!E:E,'Transactions for Import (2)'!A131)</f>
        <v>918.4</v>
      </c>
      <c r="E131" s="550"/>
      <c r="F131">
        <f t="shared" ref="F131:F194" si="2">COUNTIFS($A$3:$A$357,A131)</f>
        <v>1</v>
      </c>
    </row>
    <row r="132" spans="1:6" ht="55.2" hidden="1">
      <c r="A132" s="352" t="s">
        <v>1188</v>
      </c>
      <c r="B132" s="463" t="s">
        <v>1189</v>
      </c>
      <c r="C132" s="463" t="s">
        <v>1190</v>
      </c>
      <c r="D132" s="550">
        <f>SUMIFS('Revised RAO'!Q:Q,'Revised RAO'!E:E,'Transactions for Import (2)'!A132)</f>
        <v>14000</v>
      </c>
      <c r="E132" s="550"/>
      <c r="F132">
        <f t="shared" si="2"/>
        <v>1</v>
      </c>
    </row>
    <row r="133" spans="1:6" ht="27.6" hidden="1">
      <c r="A133" s="352" t="s">
        <v>1191</v>
      </c>
      <c r="B133" s="463" t="s">
        <v>1192</v>
      </c>
      <c r="C133" s="463" t="s">
        <v>1193</v>
      </c>
      <c r="D133" s="550">
        <f>SUMIFS('Revised RAO'!Q:Q,'Revised RAO'!E:E,'Transactions for Import (2)'!A133)</f>
        <v>8774</v>
      </c>
      <c r="E133" s="550"/>
      <c r="F133">
        <f t="shared" si="2"/>
        <v>1</v>
      </c>
    </row>
    <row r="134" spans="1:6" ht="55.2" hidden="1">
      <c r="A134" s="352" t="s">
        <v>1194</v>
      </c>
      <c r="B134" s="463" t="s">
        <v>1195</v>
      </c>
      <c r="C134" s="463" t="s">
        <v>1196</v>
      </c>
      <c r="D134" s="550">
        <f>SUMIFS('Revised RAO'!Q:Q,'Revised RAO'!E:E,'Transactions for Import (2)'!A134)</f>
        <v>2850</v>
      </c>
      <c r="E134" s="550"/>
      <c r="F134">
        <f t="shared" si="2"/>
        <v>1</v>
      </c>
    </row>
    <row r="135" spans="1:6" ht="55.2" hidden="1">
      <c r="A135" s="352" t="s">
        <v>1197</v>
      </c>
      <c r="B135" s="463" t="s">
        <v>1195</v>
      </c>
      <c r="C135" s="463" t="s">
        <v>1205</v>
      </c>
      <c r="D135" s="550">
        <f>SUMIFS('Revised RAO'!Q:Q,'Revised RAO'!E:E,'Transactions for Import (2)'!A135)</f>
        <v>500</v>
      </c>
      <c r="E135" s="550"/>
      <c r="F135">
        <f t="shared" si="2"/>
        <v>1</v>
      </c>
    </row>
    <row r="136" spans="1:6" ht="27.6" hidden="1">
      <c r="A136" s="352" t="s">
        <v>1198</v>
      </c>
      <c r="B136" s="463" t="s">
        <v>823</v>
      </c>
      <c r="C136" s="463" t="s">
        <v>1206</v>
      </c>
      <c r="D136" s="550">
        <f>SUMIFS('Revised RAO'!Q:Q,'Revised RAO'!E:E,'Transactions for Import (2)'!A136)</f>
        <v>100000</v>
      </c>
      <c r="E136" s="550"/>
      <c r="F136">
        <f t="shared" si="2"/>
        <v>1</v>
      </c>
    </row>
    <row r="137" spans="1:6" ht="27.6" hidden="1">
      <c r="A137" s="404" t="s">
        <v>1199</v>
      </c>
      <c r="B137" s="409" t="s">
        <v>822</v>
      </c>
      <c r="C137" s="409" t="s">
        <v>1206</v>
      </c>
      <c r="D137" s="550">
        <f>SUMIFS('Revised RAO'!Q:Q,'Revised RAO'!E:E,'Transactions for Import (2)'!A137)</f>
        <v>0</v>
      </c>
      <c r="E137" s="550"/>
      <c r="F137">
        <f t="shared" si="2"/>
        <v>1</v>
      </c>
    </row>
    <row r="138" spans="1:6" ht="27.6" hidden="1">
      <c r="A138" s="404" t="s">
        <v>1200</v>
      </c>
      <c r="B138" s="409" t="s">
        <v>821</v>
      </c>
      <c r="C138" s="409" t="s">
        <v>1206</v>
      </c>
      <c r="D138" s="550">
        <f>SUMIFS('Revised RAO'!Q:Q,'Revised RAO'!E:E,'Transactions for Import (2)'!A138)</f>
        <v>0</v>
      </c>
      <c r="E138" s="550"/>
      <c r="F138">
        <f t="shared" si="2"/>
        <v>1</v>
      </c>
    </row>
    <row r="139" spans="1:6" ht="27.6" hidden="1">
      <c r="A139" s="352" t="s">
        <v>1201</v>
      </c>
      <c r="B139" s="463" t="s">
        <v>820</v>
      </c>
      <c r="C139" s="463" t="s">
        <v>1206</v>
      </c>
      <c r="D139" s="550">
        <f>SUMIFS('Revised RAO'!Q:Q,'Revised RAO'!E:E,'Transactions for Import (2)'!A139)</f>
        <v>135125</v>
      </c>
      <c r="E139" s="550"/>
      <c r="F139">
        <f t="shared" si="2"/>
        <v>1</v>
      </c>
    </row>
    <row r="140" spans="1:6" ht="27.6" hidden="1">
      <c r="A140" s="404" t="s">
        <v>1202</v>
      </c>
      <c r="B140" s="409" t="s">
        <v>818</v>
      </c>
      <c r="C140" s="409" t="s">
        <v>1206</v>
      </c>
      <c r="D140" s="550">
        <f>SUMIFS('Revised RAO'!Q:Q,'Revised RAO'!E:E,'Transactions for Import (2)'!A140)</f>
        <v>0</v>
      </c>
      <c r="E140" s="550"/>
      <c r="F140">
        <f t="shared" si="2"/>
        <v>1</v>
      </c>
    </row>
    <row r="141" spans="1:6" ht="27.6" hidden="1">
      <c r="A141" s="404" t="s">
        <v>1203</v>
      </c>
      <c r="B141" s="409" t="s">
        <v>1036</v>
      </c>
      <c r="C141" s="409" t="s">
        <v>1207</v>
      </c>
      <c r="D141" s="550">
        <f>SUMIFS('Revised RAO'!Q:Q,'Revised RAO'!E:E,'Transactions for Import (2)'!A141)</f>
        <v>0</v>
      </c>
      <c r="E141" s="550"/>
      <c r="F141">
        <f t="shared" si="2"/>
        <v>1</v>
      </c>
    </row>
    <row r="142" spans="1:6" ht="27.6" hidden="1">
      <c r="A142" s="404" t="s">
        <v>1204</v>
      </c>
      <c r="B142" s="409" t="s">
        <v>823</v>
      </c>
      <c r="C142" s="409" t="s">
        <v>1213</v>
      </c>
      <c r="D142" s="550">
        <f>SUMIFS('Revised RAO'!Q:Q,'Revised RAO'!E:E,'Transactions for Import (2)'!A142)</f>
        <v>0</v>
      </c>
      <c r="E142" s="550"/>
      <c r="F142">
        <f t="shared" si="2"/>
        <v>1</v>
      </c>
    </row>
    <row r="143" spans="1:6" ht="27.6" hidden="1">
      <c r="A143" s="404" t="s">
        <v>1208</v>
      </c>
      <c r="B143" s="409" t="s">
        <v>822</v>
      </c>
      <c r="C143" s="409" t="s">
        <v>1213</v>
      </c>
      <c r="D143" s="550">
        <f>SUMIFS('Revised RAO'!Q:Q,'Revised RAO'!E:E,'Transactions for Import (2)'!A143)</f>
        <v>0</v>
      </c>
      <c r="E143" s="550"/>
      <c r="F143">
        <f t="shared" si="2"/>
        <v>1</v>
      </c>
    </row>
    <row r="144" spans="1:6" ht="27.6" hidden="1">
      <c r="A144" s="404" t="s">
        <v>1209</v>
      </c>
      <c r="B144" s="409" t="s">
        <v>821</v>
      </c>
      <c r="C144" s="409" t="s">
        <v>1213</v>
      </c>
      <c r="D144" s="550">
        <f>SUMIFS('Revised RAO'!Q:Q,'Revised RAO'!E:E,'Transactions for Import (2)'!A144)</f>
        <v>0</v>
      </c>
      <c r="E144" s="550"/>
      <c r="F144">
        <f t="shared" si="2"/>
        <v>1</v>
      </c>
    </row>
    <row r="145" spans="1:6" ht="27.6" hidden="1">
      <c r="A145" s="404" t="s">
        <v>1210</v>
      </c>
      <c r="B145" s="409" t="s">
        <v>820</v>
      </c>
      <c r="C145" s="409" t="s">
        <v>1213</v>
      </c>
      <c r="D145" s="550">
        <f>SUMIFS('Revised RAO'!Q:Q,'Revised RAO'!E:E,'Transactions for Import (2)'!A145)</f>
        <v>0</v>
      </c>
      <c r="E145" s="550"/>
      <c r="F145">
        <f t="shared" si="2"/>
        <v>1</v>
      </c>
    </row>
    <row r="146" spans="1:6" ht="27.6" hidden="1">
      <c r="A146" s="404" t="s">
        <v>1211</v>
      </c>
      <c r="B146" s="409" t="s">
        <v>818</v>
      </c>
      <c r="C146" s="409" t="s">
        <v>1213</v>
      </c>
      <c r="D146" s="550">
        <f>SUMIFS('Revised RAO'!Q:Q,'Revised RAO'!E:E,'Transactions for Import (2)'!A146)</f>
        <v>0</v>
      </c>
      <c r="E146" s="550"/>
      <c r="F146">
        <f t="shared" si="2"/>
        <v>1</v>
      </c>
    </row>
    <row r="147" spans="1:6" ht="27.6" hidden="1">
      <c r="A147" s="352" t="s">
        <v>1212</v>
      </c>
      <c r="B147" s="463" t="s">
        <v>1214</v>
      </c>
      <c r="C147" s="463" t="s">
        <v>1215</v>
      </c>
      <c r="D147" s="550">
        <f>SUMIFS('Revised RAO'!Q:Q,'Revised RAO'!E:E,'Transactions for Import (2)'!A147)</f>
        <v>22320</v>
      </c>
      <c r="E147" s="550"/>
      <c r="F147">
        <f t="shared" si="2"/>
        <v>1</v>
      </c>
    </row>
    <row r="148" spans="1:6" ht="27.6">
      <c r="A148" s="352" t="s">
        <v>1222</v>
      </c>
      <c r="B148" s="463" t="s">
        <v>1030</v>
      </c>
      <c r="C148" s="463" t="s">
        <v>1223</v>
      </c>
      <c r="D148" s="550">
        <f>SUMIFS('Revised RAO'!Q:Q,'Revised RAO'!E:E,'Transactions for Import (2)'!A148)</f>
        <v>144603.29</v>
      </c>
      <c r="E148" s="550"/>
      <c r="F148">
        <f t="shared" si="2"/>
        <v>1</v>
      </c>
    </row>
    <row r="149" spans="1:6" ht="27.6">
      <c r="A149" s="352" t="s">
        <v>1224</v>
      </c>
      <c r="B149" s="463" t="s">
        <v>1030</v>
      </c>
      <c r="C149" s="463" t="s">
        <v>1225</v>
      </c>
      <c r="D149" s="550">
        <f>SUMIFS('Revised RAO'!Q:Q,'Revised RAO'!E:E,'Transactions for Import (2)'!A149)</f>
        <v>119889.07</v>
      </c>
      <c r="E149" s="550"/>
      <c r="F149">
        <f t="shared" si="2"/>
        <v>1</v>
      </c>
    </row>
    <row r="150" spans="1:6" ht="27.6">
      <c r="A150" s="352" t="s">
        <v>1226</v>
      </c>
      <c r="B150" s="463" t="s">
        <v>1030</v>
      </c>
      <c r="C150" s="463" t="s">
        <v>1227</v>
      </c>
      <c r="D150" s="550">
        <f>SUMIFS('Revised RAO'!Q:Q,'Revised RAO'!E:E,'Transactions for Import (2)'!A150)</f>
        <v>83142.720000000001</v>
      </c>
      <c r="E150" s="550"/>
      <c r="F150">
        <f t="shared" si="2"/>
        <v>1</v>
      </c>
    </row>
    <row r="151" spans="1:6" ht="27.6">
      <c r="A151" s="352" t="s">
        <v>1228</v>
      </c>
      <c r="B151" s="463" t="s">
        <v>1030</v>
      </c>
      <c r="C151" s="463" t="s">
        <v>1227</v>
      </c>
      <c r="D151" s="550">
        <f>SUMIFS('Revised RAO'!Q:Q,'Revised RAO'!E:E,'Transactions for Import (2)'!A151)</f>
        <v>106531.33</v>
      </c>
      <c r="E151" s="550"/>
      <c r="F151">
        <f t="shared" si="2"/>
        <v>1</v>
      </c>
    </row>
    <row r="152" spans="1:6" ht="27.6" hidden="1">
      <c r="A152" s="404" t="s">
        <v>1229</v>
      </c>
      <c r="B152" s="409" t="s">
        <v>1230</v>
      </c>
      <c r="C152" s="409" t="s">
        <v>1231</v>
      </c>
      <c r="D152" s="550">
        <f>SUMIFS('Revised RAO'!Q:Q,'Revised RAO'!E:E,'Transactions for Import (2)'!A152)</f>
        <v>0</v>
      </c>
      <c r="E152" s="550"/>
      <c r="F152">
        <f t="shared" si="2"/>
        <v>1</v>
      </c>
    </row>
    <row r="153" spans="1:6" ht="27.6" hidden="1">
      <c r="A153" s="404" t="s">
        <v>1232</v>
      </c>
      <c r="B153" s="409" t="s">
        <v>1102</v>
      </c>
      <c r="C153" s="409" t="s">
        <v>1233</v>
      </c>
      <c r="D153" s="550">
        <f>SUMIFS('Revised RAO'!Q:Q,'Revised RAO'!E:E,'Transactions for Import (2)'!A153)</f>
        <v>0</v>
      </c>
      <c r="E153" s="550"/>
      <c r="F153">
        <f t="shared" si="2"/>
        <v>1</v>
      </c>
    </row>
    <row r="154" spans="1:6" ht="27.6" hidden="1">
      <c r="A154" s="352" t="s">
        <v>1234</v>
      </c>
      <c r="B154" s="463" t="s">
        <v>1235</v>
      </c>
      <c r="C154" s="463" t="s">
        <v>1236</v>
      </c>
      <c r="D154" s="550">
        <f>SUMIFS('Revised RAO'!Q:Q,'Revised RAO'!E:E,'Transactions for Import (2)'!A154)</f>
        <v>10000</v>
      </c>
      <c r="E154" s="550"/>
      <c r="F154">
        <f t="shared" si="2"/>
        <v>1</v>
      </c>
    </row>
    <row r="155" spans="1:6" ht="27.6" hidden="1">
      <c r="A155" s="352" t="s">
        <v>1237</v>
      </c>
      <c r="B155" s="463" t="s">
        <v>1075</v>
      </c>
      <c r="C155" s="463" t="s">
        <v>1236</v>
      </c>
      <c r="D155" s="550">
        <f>SUMIFS('Revised RAO'!Q:Q,'Revised RAO'!E:E,'Transactions for Import (2)'!A155)</f>
        <v>10790</v>
      </c>
      <c r="E155" s="550"/>
      <c r="F155">
        <f t="shared" si="2"/>
        <v>1</v>
      </c>
    </row>
    <row r="156" spans="1:6" ht="27.6" hidden="1">
      <c r="A156" s="352" t="s">
        <v>1238</v>
      </c>
      <c r="B156" s="463" t="s">
        <v>1075</v>
      </c>
      <c r="C156" s="463" t="s">
        <v>1236</v>
      </c>
      <c r="D156" s="550">
        <f>SUMIFS('Revised RAO'!Q:Q,'Revised RAO'!E:E,'Transactions for Import (2)'!A156)</f>
        <v>12352.18</v>
      </c>
      <c r="E156" s="550"/>
      <c r="F156">
        <f t="shared" si="2"/>
        <v>1</v>
      </c>
    </row>
    <row r="157" spans="1:6" ht="27.6" hidden="1">
      <c r="A157" s="352" t="s">
        <v>1239</v>
      </c>
      <c r="B157" s="463" t="s">
        <v>1075</v>
      </c>
      <c r="C157" s="463" t="s">
        <v>1236</v>
      </c>
      <c r="D157" s="550">
        <f>SUMIFS('Revised RAO'!Q:Q,'Revised RAO'!E:E,'Transactions for Import (2)'!A157)</f>
        <v>23474</v>
      </c>
      <c r="E157" s="550"/>
      <c r="F157">
        <f t="shared" si="2"/>
        <v>1</v>
      </c>
    </row>
    <row r="158" spans="1:6" ht="27.6" hidden="1">
      <c r="A158" s="352" t="s">
        <v>1240</v>
      </c>
      <c r="B158" s="463" t="s">
        <v>1075</v>
      </c>
      <c r="C158" s="463" t="s">
        <v>1236</v>
      </c>
      <c r="D158" s="550">
        <f>SUMIFS('Revised RAO'!Q:Q,'Revised RAO'!E:E,'Transactions for Import (2)'!A158)</f>
        <v>27256.91</v>
      </c>
      <c r="E158" s="550"/>
      <c r="F158">
        <f t="shared" si="2"/>
        <v>1</v>
      </c>
    </row>
    <row r="159" spans="1:6" ht="27.6" hidden="1">
      <c r="A159" s="352" t="s">
        <v>1241</v>
      </c>
      <c r="B159" s="463" t="s">
        <v>1242</v>
      </c>
      <c r="C159" s="463" t="s">
        <v>1243</v>
      </c>
      <c r="D159" s="550">
        <f>SUMIFS('Revised RAO'!Q:Q,'Revised RAO'!E:E,'Transactions for Import (2)'!A159)</f>
        <v>7321.62</v>
      </c>
      <c r="E159" s="550"/>
      <c r="F159">
        <f t="shared" si="2"/>
        <v>1</v>
      </c>
    </row>
    <row r="160" spans="1:6" ht="27.6" hidden="1">
      <c r="A160" s="404" t="s">
        <v>1244</v>
      </c>
      <c r="B160" s="409" t="s">
        <v>1245</v>
      </c>
      <c r="C160" s="409" t="s">
        <v>1246</v>
      </c>
      <c r="D160" s="550">
        <f>SUMIFS('Revised RAO'!Q:Q,'Revised RAO'!E:E,'Transactions for Import (2)'!A160)</f>
        <v>0</v>
      </c>
      <c r="E160" s="550"/>
      <c r="F160">
        <f t="shared" si="2"/>
        <v>1</v>
      </c>
    </row>
    <row r="161" spans="1:6" ht="27.6" hidden="1">
      <c r="A161" s="404" t="s">
        <v>1247</v>
      </c>
      <c r="B161" s="409" t="s">
        <v>1245</v>
      </c>
      <c r="C161" s="409" t="s">
        <v>1248</v>
      </c>
      <c r="D161" s="550">
        <f>SUMIFS('Revised RAO'!Q:Q,'Revised RAO'!E:E,'Transactions for Import (2)'!A161)</f>
        <v>0</v>
      </c>
      <c r="E161" s="550"/>
      <c r="F161">
        <f t="shared" si="2"/>
        <v>1</v>
      </c>
    </row>
    <row r="162" spans="1:6" ht="27.6" hidden="1">
      <c r="A162" s="352" t="s">
        <v>1249</v>
      </c>
      <c r="B162" s="463" t="s">
        <v>863</v>
      </c>
      <c r="C162" s="463" t="s">
        <v>1250</v>
      </c>
      <c r="D162" s="550">
        <f>SUMIFS('Revised RAO'!Q:Q,'Revised RAO'!E:E,'Transactions for Import (2)'!A162)</f>
        <v>0.01</v>
      </c>
      <c r="E162" s="550"/>
      <c r="F162">
        <f t="shared" si="2"/>
        <v>1</v>
      </c>
    </row>
    <row r="163" spans="1:6" ht="41.4" hidden="1">
      <c r="A163" s="404" t="s">
        <v>1251</v>
      </c>
      <c r="B163" s="409" t="s">
        <v>818</v>
      </c>
      <c r="C163" s="409" t="s">
        <v>1252</v>
      </c>
      <c r="D163" s="550">
        <f>SUMIFS('Revised RAO'!Q:Q,'Revised RAO'!E:E,'Transactions for Import (2)'!A163)</f>
        <v>0</v>
      </c>
      <c r="E163" s="550"/>
      <c r="F163">
        <f t="shared" si="2"/>
        <v>1</v>
      </c>
    </row>
    <row r="164" spans="1:6" ht="41.4" hidden="1">
      <c r="A164" s="404" t="s">
        <v>1253</v>
      </c>
      <c r="B164" s="409" t="s">
        <v>820</v>
      </c>
      <c r="C164" s="409" t="s">
        <v>1252</v>
      </c>
      <c r="D164" s="550">
        <f>SUMIFS('Revised RAO'!Q:Q,'Revised RAO'!E:E,'Transactions for Import (2)'!A164)</f>
        <v>0</v>
      </c>
      <c r="E164" s="550"/>
      <c r="F164">
        <f t="shared" si="2"/>
        <v>1</v>
      </c>
    </row>
    <row r="165" spans="1:6" ht="41.4" hidden="1">
      <c r="A165" s="404" t="s">
        <v>1254</v>
      </c>
      <c r="B165" s="409" t="s">
        <v>822</v>
      </c>
      <c r="C165" s="409" t="s">
        <v>1252</v>
      </c>
      <c r="D165" s="550">
        <f>SUMIFS('Revised RAO'!Q:Q,'Revised RAO'!E:E,'Transactions for Import (2)'!A165)</f>
        <v>0</v>
      </c>
      <c r="E165" s="550"/>
      <c r="F165">
        <f t="shared" si="2"/>
        <v>1</v>
      </c>
    </row>
    <row r="166" spans="1:6" ht="69" hidden="1">
      <c r="A166" s="404" t="s">
        <v>1255</v>
      </c>
      <c r="B166" s="409" t="s">
        <v>1257</v>
      </c>
      <c r="C166" s="409" t="s">
        <v>1258</v>
      </c>
      <c r="D166" s="550">
        <f>SUMIFS('Revised RAO'!Q:Q,'Revised RAO'!E:E,'Transactions for Import (2)'!A166)</f>
        <v>0</v>
      </c>
      <c r="E166" s="550"/>
      <c r="F166">
        <f t="shared" si="2"/>
        <v>1</v>
      </c>
    </row>
    <row r="167" spans="1:6" ht="27.6" hidden="1">
      <c r="A167" s="404" t="s">
        <v>1259</v>
      </c>
      <c r="B167" s="409" t="s">
        <v>1172</v>
      </c>
      <c r="C167" s="409" t="s">
        <v>1260</v>
      </c>
      <c r="D167" s="550">
        <f>SUMIFS('Revised RAO'!Q:Q,'Revised RAO'!E:E,'Transactions for Import (2)'!A167)</f>
        <v>0</v>
      </c>
      <c r="E167" s="550"/>
      <c r="F167">
        <f t="shared" si="2"/>
        <v>1</v>
      </c>
    </row>
    <row r="168" spans="1:6" ht="27.6" hidden="1">
      <c r="A168" s="404" t="s">
        <v>1261</v>
      </c>
      <c r="B168" s="409" t="s">
        <v>1174</v>
      </c>
      <c r="C168" s="409" t="s">
        <v>1260</v>
      </c>
      <c r="D168" s="550">
        <f>SUMIFS('Revised RAO'!Q:Q,'Revised RAO'!E:E,'Transactions for Import (2)'!A168)</f>
        <v>0</v>
      </c>
      <c r="E168" s="550"/>
      <c r="F168">
        <f t="shared" si="2"/>
        <v>1</v>
      </c>
    </row>
    <row r="169" spans="1:6" ht="27.6">
      <c r="A169" s="404" t="s">
        <v>1262</v>
      </c>
      <c r="B169" s="409" t="s">
        <v>1030</v>
      </c>
      <c r="C169" s="409" t="s">
        <v>1263</v>
      </c>
      <c r="D169" s="550">
        <f>SUMIFS('Revised RAO'!Q:Q,'Revised RAO'!E:E,'Transactions for Import (2)'!A169)</f>
        <v>0</v>
      </c>
      <c r="E169" s="550"/>
      <c r="F169">
        <f t="shared" si="2"/>
        <v>1</v>
      </c>
    </row>
    <row r="170" spans="1:6" ht="27.6">
      <c r="A170" s="436" t="s">
        <v>1268</v>
      </c>
      <c r="B170" s="439" t="s">
        <v>1030</v>
      </c>
      <c r="C170" s="439" t="s">
        <v>1263</v>
      </c>
      <c r="D170" s="550">
        <f>SUMIFS('Revised RAO'!Q:Q,'Revised RAO'!E:E,'Transactions for Import (2)'!A170)</f>
        <v>83842.210000000006</v>
      </c>
      <c r="E170" s="550"/>
      <c r="F170">
        <f t="shared" si="2"/>
        <v>1</v>
      </c>
    </row>
    <row r="171" spans="1:6" ht="27.6">
      <c r="A171" s="436" t="s">
        <v>1269</v>
      </c>
      <c r="B171" s="439" t="s">
        <v>1030</v>
      </c>
      <c r="C171" s="439" t="s">
        <v>1263</v>
      </c>
      <c r="D171" s="550">
        <f>SUMIFS('Revised RAO'!Q:Q,'Revised RAO'!E:E,'Transactions for Import (2)'!A171)</f>
        <v>83842.210000000006</v>
      </c>
      <c r="E171" s="550"/>
      <c r="F171">
        <f t="shared" si="2"/>
        <v>1</v>
      </c>
    </row>
    <row r="172" spans="1:6" ht="27.6" hidden="1">
      <c r="A172" s="436" t="s">
        <v>1270</v>
      </c>
      <c r="B172" s="463" t="s">
        <v>1176</v>
      </c>
      <c r="C172" s="463" t="s">
        <v>1260</v>
      </c>
      <c r="D172" s="550">
        <f>SUMIFS('Revised RAO'!Q:Q,'Revised RAO'!E:E,'Transactions for Import (2)'!A172)</f>
        <v>29300.399999999998</v>
      </c>
      <c r="E172" s="550"/>
      <c r="F172">
        <f t="shared" si="2"/>
        <v>1</v>
      </c>
    </row>
    <row r="173" spans="1:6" ht="27.6" hidden="1">
      <c r="A173" s="436" t="s">
        <v>1271</v>
      </c>
      <c r="B173" s="463" t="s">
        <v>1272</v>
      </c>
      <c r="C173" s="463" t="s">
        <v>1273</v>
      </c>
      <c r="D173" s="550">
        <f>SUMIFS('Revised RAO'!Q:Q,'Revised RAO'!E:E,'Transactions for Import (2)'!A173)</f>
        <v>9170</v>
      </c>
      <c r="E173" s="550"/>
      <c r="F173">
        <f t="shared" si="2"/>
        <v>1</v>
      </c>
    </row>
    <row r="174" spans="1:6" ht="41.4" hidden="1">
      <c r="A174" s="436" t="s">
        <v>1274</v>
      </c>
      <c r="B174" s="463" t="s">
        <v>1275</v>
      </c>
      <c r="C174" s="463" t="s">
        <v>1276</v>
      </c>
      <c r="D174" s="550">
        <f>SUMIFS('Revised RAO'!Q:Q,'Revised RAO'!E:E,'Transactions for Import (2)'!A174)</f>
        <v>1200</v>
      </c>
      <c r="E174" s="550"/>
      <c r="F174">
        <f t="shared" si="2"/>
        <v>1</v>
      </c>
    </row>
    <row r="175" spans="1:6" ht="27.6" hidden="1">
      <c r="A175" s="436" t="s">
        <v>1277</v>
      </c>
      <c r="B175" s="463" t="s">
        <v>1036</v>
      </c>
      <c r="C175" s="463" t="s">
        <v>1207</v>
      </c>
      <c r="D175" s="550">
        <f>SUMIFS('Revised RAO'!Q:Q,'Revised RAO'!E:E,'Transactions for Import (2)'!A175)</f>
        <v>2404.7800000000002</v>
      </c>
      <c r="E175" s="550"/>
      <c r="F175">
        <f t="shared" si="2"/>
        <v>1</v>
      </c>
    </row>
    <row r="176" spans="1:6" ht="69" hidden="1">
      <c r="A176" s="436" t="s">
        <v>1278</v>
      </c>
      <c r="B176" s="439" t="s">
        <v>1257</v>
      </c>
      <c r="C176" s="439" t="s">
        <v>1258</v>
      </c>
      <c r="D176" s="550">
        <f>SUMIFS('Revised RAO'!Q:Q,'Revised RAO'!E:E,'Transactions for Import (2)'!A176)</f>
        <v>2800</v>
      </c>
      <c r="E176" s="550"/>
      <c r="F176">
        <f t="shared" si="2"/>
        <v>1</v>
      </c>
    </row>
    <row r="177" spans="1:6" ht="27.6" hidden="1">
      <c r="A177" s="436" t="s">
        <v>1279</v>
      </c>
      <c r="B177" s="439" t="s">
        <v>1172</v>
      </c>
      <c r="C177" s="439" t="s">
        <v>1260</v>
      </c>
      <c r="D177" s="550">
        <f>SUMIFS('Revised RAO'!Q:Q,'Revised RAO'!E:E,'Transactions for Import (2)'!A177)</f>
        <v>29300.399999999998</v>
      </c>
      <c r="E177" s="550"/>
      <c r="F177">
        <f t="shared" si="2"/>
        <v>1</v>
      </c>
    </row>
    <row r="178" spans="1:6" ht="27.6" hidden="1">
      <c r="A178" s="436" t="s">
        <v>1280</v>
      </c>
      <c r="B178" s="439" t="s">
        <v>1174</v>
      </c>
      <c r="C178" s="439" t="s">
        <v>1260</v>
      </c>
      <c r="D178" s="550">
        <f>SUMIFS('Revised RAO'!Q:Q,'Revised RAO'!E:E,'Transactions for Import (2)'!A178)</f>
        <v>29300.399999999998</v>
      </c>
      <c r="E178" s="550"/>
      <c r="F178">
        <f t="shared" si="2"/>
        <v>1</v>
      </c>
    </row>
    <row r="179" spans="1:6" ht="27.6" hidden="1">
      <c r="A179" s="436" t="s">
        <v>1281</v>
      </c>
      <c r="B179" s="439" t="s">
        <v>1230</v>
      </c>
      <c r="C179" s="439" t="s">
        <v>1231</v>
      </c>
      <c r="D179" s="550">
        <f>SUMIFS('Revised RAO'!Q:Q,'Revised RAO'!E:E,'Transactions for Import (2)'!A179)</f>
        <v>11000</v>
      </c>
      <c r="E179" s="550"/>
      <c r="F179">
        <f t="shared" si="2"/>
        <v>1</v>
      </c>
    </row>
    <row r="180" spans="1:6" ht="41.4" hidden="1">
      <c r="A180" s="436" t="s">
        <v>1282</v>
      </c>
      <c r="B180" s="439" t="s">
        <v>1102</v>
      </c>
      <c r="C180" s="439" t="s">
        <v>1283</v>
      </c>
      <c r="D180" s="550">
        <f>SUMIFS('Revised RAO'!Q:Q,'Revised RAO'!E:E,'Transactions for Import (2)'!A180)</f>
        <v>2500</v>
      </c>
      <c r="E180" s="550"/>
      <c r="F180">
        <f t="shared" si="2"/>
        <v>1</v>
      </c>
    </row>
    <row r="181" spans="1:6" ht="27.6" hidden="1">
      <c r="A181" s="436" t="s">
        <v>1284</v>
      </c>
      <c r="B181" s="463" t="s">
        <v>773</v>
      </c>
      <c r="C181" s="463" t="s">
        <v>1285</v>
      </c>
      <c r="D181" s="550">
        <f>SUMIFS('Revised RAO'!Q:Q,'Revised RAO'!E:E,'Transactions for Import (2)'!A181)</f>
        <v>4223.5</v>
      </c>
      <c r="E181" s="550"/>
      <c r="F181">
        <f t="shared" si="2"/>
        <v>1</v>
      </c>
    </row>
    <row r="182" spans="1:6" ht="27.6" hidden="1">
      <c r="A182" s="436" t="s">
        <v>1286</v>
      </c>
      <c r="B182" s="463" t="s">
        <v>1235</v>
      </c>
      <c r="C182" s="463" t="s">
        <v>1288</v>
      </c>
      <c r="D182" s="550">
        <f>SUMIFS('Revised RAO'!Q:Q,'Revised RAO'!E:E,'Transactions for Import (2)'!A182)</f>
        <v>10000</v>
      </c>
      <c r="E182" s="550"/>
      <c r="F182">
        <f t="shared" si="2"/>
        <v>1</v>
      </c>
    </row>
    <row r="183" spans="1:6" ht="27.6" hidden="1">
      <c r="A183" s="436" t="s">
        <v>1287</v>
      </c>
      <c r="B183" s="463" t="s">
        <v>1075</v>
      </c>
      <c r="C183" s="463" t="s">
        <v>1288</v>
      </c>
      <c r="D183" s="550">
        <f>SUMIFS('Revised RAO'!Q:Q,'Revised RAO'!E:E,'Transactions for Import (2)'!A183)</f>
        <v>27760</v>
      </c>
      <c r="E183" s="550"/>
      <c r="F183">
        <f t="shared" si="2"/>
        <v>1</v>
      </c>
    </row>
    <row r="184" spans="1:6" ht="27.6" hidden="1">
      <c r="A184" s="436" t="s">
        <v>1289</v>
      </c>
      <c r="B184" s="463" t="s">
        <v>1290</v>
      </c>
      <c r="C184" s="463" t="s">
        <v>1291</v>
      </c>
      <c r="D184" s="550">
        <f>SUMIFS('Revised RAO'!Q:Q,'Revised RAO'!E:E,'Transactions for Import (2)'!A184)</f>
        <v>16332.5</v>
      </c>
      <c r="E184" s="550"/>
      <c r="F184">
        <f t="shared" si="2"/>
        <v>1</v>
      </c>
    </row>
    <row r="185" spans="1:6" ht="27.6" hidden="1">
      <c r="A185" s="436" t="s">
        <v>1292</v>
      </c>
      <c r="B185" s="463" t="s">
        <v>1075</v>
      </c>
      <c r="C185" s="463" t="s">
        <v>1288</v>
      </c>
      <c r="D185" s="550">
        <f>SUMIFS('Revised RAO'!Q:Q,'Revised RAO'!E:E,'Transactions for Import (2)'!A185)</f>
        <v>22316</v>
      </c>
      <c r="E185" s="550"/>
      <c r="F185">
        <f t="shared" si="2"/>
        <v>1</v>
      </c>
    </row>
    <row r="186" spans="1:6" ht="27.6" hidden="1">
      <c r="A186" s="436" t="s">
        <v>1293</v>
      </c>
      <c r="B186" s="463" t="s">
        <v>1075</v>
      </c>
      <c r="C186" s="463" t="s">
        <v>1288</v>
      </c>
      <c r="D186" s="550">
        <f>SUMIFS('Revised RAO'!Q:Q,'Revised RAO'!E:E,'Transactions for Import (2)'!A186)</f>
        <v>13034</v>
      </c>
      <c r="E186" s="550"/>
      <c r="F186">
        <f t="shared" si="2"/>
        <v>1</v>
      </c>
    </row>
    <row r="187" spans="1:6">
      <c r="A187" s="436" t="s">
        <v>1294</v>
      </c>
      <c r="B187" s="463" t="s">
        <v>1643</v>
      </c>
      <c r="C187" s="463" t="s">
        <v>1295</v>
      </c>
      <c r="D187" s="550">
        <f>SUMIFS('Revised RAO'!Q:Q,'Revised RAO'!E:E,'Transactions for Import (2)'!A187)</f>
        <v>150000</v>
      </c>
      <c r="E187" s="550"/>
      <c r="F187">
        <f t="shared" si="2"/>
        <v>1</v>
      </c>
    </row>
    <row r="188" spans="1:6" ht="27.6" hidden="1">
      <c r="A188" s="436" t="s">
        <v>1296</v>
      </c>
      <c r="B188" s="463" t="s">
        <v>1297</v>
      </c>
      <c r="C188" s="463" t="s">
        <v>1298</v>
      </c>
      <c r="D188" s="550">
        <f>SUMIFS('Revised RAO'!Q:Q,'Revised RAO'!E:E,'Transactions for Import (2)'!A188)</f>
        <v>64106</v>
      </c>
      <c r="E188" s="550"/>
      <c r="F188">
        <f t="shared" si="2"/>
        <v>1</v>
      </c>
    </row>
    <row r="189" spans="1:6" ht="27.6" hidden="1">
      <c r="A189" s="436" t="s">
        <v>1299</v>
      </c>
      <c r="B189" s="463" t="s">
        <v>1300</v>
      </c>
      <c r="C189" s="463" t="s">
        <v>1301</v>
      </c>
      <c r="D189" s="550">
        <f>SUMIFS('Revised RAO'!Q:Q,'Revised RAO'!E:E,'Transactions for Import (2)'!A189)</f>
        <v>16332.5</v>
      </c>
      <c r="E189" s="550"/>
      <c r="F189">
        <f t="shared" si="2"/>
        <v>1</v>
      </c>
    </row>
    <row r="190" spans="1:6" ht="41.4" hidden="1">
      <c r="A190" s="436" t="s">
        <v>1302</v>
      </c>
      <c r="B190" s="463" t="s">
        <v>1303</v>
      </c>
      <c r="C190" s="463" t="s">
        <v>1304</v>
      </c>
      <c r="D190" s="550">
        <f>SUMIFS('Revised RAO'!Q:Q,'Revised RAO'!E:E,'Transactions for Import (2)'!A190)</f>
        <v>9900</v>
      </c>
      <c r="E190" s="550"/>
      <c r="F190">
        <f t="shared" si="2"/>
        <v>1</v>
      </c>
    </row>
    <row r="191" spans="1:6" ht="27.6" hidden="1">
      <c r="A191" s="436" t="s">
        <v>1305</v>
      </c>
      <c r="B191" s="463" t="s">
        <v>1105</v>
      </c>
      <c r="C191" s="463" t="s">
        <v>1309</v>
      </c>
      <c r="D191" s="550">
        <f>SUMIFS('Revised RAO'!Q:Q,'Revised RAO'!E:E,'Transactions for Import (2)'!A191)</f>
        <v>6617.76</v>
      </c>
      <c r="E191" s="550"/>
      <c r="F191">
        <f t="shared" si="2"/>
        <v>1</v>
      </c>
    </row>
    <row r="192" spans="1:6" ht="27.6" hidden="1">
      <c r="A192" s="436" t="s">
        <v>1306</v>
      </c>
      <c r="B192" s="463" t="s">
        <v>1307</v>
      </c>
      <c r="C192" s="463" t="s">
        <v>1308</v>
      </c>
      <c r="D192" s="550">
        <f>SUMIFS('Revised RAO'!Q:Q,'Revised RAO'!E:E,'Transactions for Import (2)'!A192)</f>
        <v>2179.06</v>
      </c>
      <c r="E192" s="550"/>
      <c r="F192">
        <f t="shared" si="2"/>
        <v>1</v>
      </c>
    </row>
    <row r="193" spans="1:6" ht="27.6" hidden="1">
      <c r="A193" s="436" t="s">
        <v>1310</v>
      </c>
      <c r="B193" s="463" t="s">
        <v>1038</v>
      </c>
      <c r="C193" s="463" t="s">
        <v>1311</v>
      </c>
      <c r="D193" s="550">
        <f>SUMIFS('Revised RAO'!Q:Q,'Revised RAO'!E:E,'Transactions for Import (2)'!A193)</f>
        <v>3075</v>
      </c>
      <c r="E193" s="550"/>
      <c r="F193">
        <f t="shared" si="2"/>
        <v>1</v>
      </c>
    </row>
    <row r="194" spans="1:6" ht="27.6" hidden="1">
      <c r="A194" s="436" t="s">
        <v>1312</v>
      </c>
      <c r="B194" s="463" t="s">
        <v>1245</v>
      </c>
      <c r="C194" s="463" t="s">
        <v>1313</v>
      </c>
      <c r="D194" s="550">
        <f>SUMIFS('Revised RAO'!Q:Q,'Revised RAO'!E:E,'Transactions for Import (2)'!A194)</f>
        <v>3048</v>
      </c>
      <c r="E194" s="550"/>
      <c r="F194">
        <f t="shared" si="2"/>
        <v>1</v>
      </c>
    </row>
    <row r="195" spans="1:6" ht="27.6" hidden="1">
      <c r="A195" s="404" t="s">
        <v>1314</v>
      </c>
      <c r="B195" s="409" t="s">
        <v>1315</v>
      </c>
      <c r="C195" s="409" t="s">
        <v>1316</v>
      </c>
      <c r="D195" s="550">
        <f>SUMIFS('Revised RAO'!Q:Q,'Revised RAO'!E:E,'Transactions for Import (2)'!A195)</f>
        <v>0</v>
      </c>
      <c r="E195" s="550"/>
      <c r="F195">
        <f t="shared" ref="F195:F258" si="3">COUNTIFS($A$3:$A$357,A195)</f>
        <v>1</v>
      </c>
    </row>
    <row r="196" spans="1:6" ht="27.6" hidden="1">
      <c r="A196" s="436" t="s">
        <v>1317</v>
      </c>
      <c r="B196" s="463" t="s">
        <v>794</v>
      </c>
      <c r="C196" s="463" t="s">
        <v>1318</v>
      </c>
      <c r="D196" s="550">
        <f>SUMIFS('Revised RAO'!Q:Q,'Revised RAO'!E:E,'Transactions for Import (2)'!A196)</f>
        <v>1080</v>
      </c>
      <c r="E196" s="550"/>
      <c r="F196">
        <f t="shared" si="3"/>
        <v>1</v>
      </c>
    </row>
    <row r="197" spans="1:6" ht="27.6" hidden="1">
      <c r="A197" s="436" t="s">
        <v>1319</v>
      </c>
      <c r="B197" s="463" t="s">
        <v>852</v>
      </c>
      <c r="C197" s="463" t="s">
        <v>1320</v>
      </c>
      <c r="D197" s="550">
        <f>SUMIFS('Revised RAO'!Q:Q,'Revised RAO'!E:E,'Transactions for Import (2)'!A197)</f>
        <v>8800</v>
      </c>
      <c r="E197" s="550"/>
      <c r="F197">
        <f t="shared" si="3"/>
        <v>1</v>
      </c>
    </row>
    <row r="198" spans="1:6" ht="27.6">
      <c r="A198" s="436" t="s">
        <v>1321</v>
      </c>
      <c r="B198" s="463" t="s">
        <v>1030</v>
      </c>
      <c r="C198" s="463" t="s">
        <v>1031</v>
      </c>
      <c r="D198" s="550">
        <f>SUMIFS('Revised RAO'!Q:Q,'Revised RAO'!E:E,'Transactions for Import (2)'!A198)</f>
        <v>29318.18</v>
      </c>
      <c r="E198" s="550"/>
      <c r="F198">
        <f t="shared" si="3"/>
        <v>1</v>
      </c>
    </row>
    <row r="199" spans="1:6" ht="27.6" hidden="1">
      <c r="A199" s="436" t="s">
        <v>1322</v>
      </c>
      <c r="B199" s="463" t="s">
        <v>1323</v>
      </c>
      <c r="C199" s="463" t="s">
        <v>1207</v>
      </c>
      <c r="D199" s="550">
        <f>SUMIFS('Revised RAO'!Q:Q,'Revised RAO'!E:E,'Transactions for Import (2)'!A199)</f>
        <v>9565</v>
      </c>
      <c r="E199" s="550"/>
      <c r="F199">
        <f t="shared" si="3"/>
        <v>1</v>
      </c>
    </row>
    <row r="200" spans="1:6" ht="27.6" hidden="1">
      <c r="A200" s="436" t="s">
        <v>1324</v>
      </c>
      <c r="B200" s="463" t="s">
        <v>1325</v>
      </c>
      <c r="C200" s="463" t="s">
        <v>1207</v>
      </c>
      <c r="D200" s="550">
        <f>SUMIFS('Revised RAO'!Q:Q,'Revised RAO'!E:E,'Transactions for Import (2)'!A200)</f>
        <v>1560</v>
      </c>
      <c r="E200" s="550"/>
      <c r="F200">
        <f t="shared" si="3"/>
        <v>1</v>
      </c>
    </row>
    <row r="201" spans="1:6" ht="27.6" hidden="1">
      <c r="A201" s="436" t="s">
        <v>1326</v>
      </c>
      <c r="B201" s="463" t="s">
        <v>1327</v>
      </c>
      <c r="C201" s="463" t="s">
        <v>1207</v>
      </c>
      <c r="D201" s="550">
        <f>SUMIFS('Revised RAO'!Q:Q,'Revised RAO'!E:E,'Transactions for Import (2)'!A201)</f>
        <v>17820</v>
      </c>
      <c r="E201" s="550"/>
      <c r="F201">
        <f t="shared" si="3"/>
        <v>1</v>
      </c>
    </row>
    <row r="202" spans="1:6" ht="27.6" hidden="1">
      <c r="A202" s="436" t="s">
        <v>1328</v>
      </c>
      <c r="B202" s="463" t="s">
        <v>1329</v>
      </c>
      <c r="C202" s="463" t="s">
        <v>1330</v>
      </c>
      <c r="D202" s="550">
        <f>SUMIFS('Revised RAO'!Q:Q,'Revised RAO'!E:E,'Transactions for Import (2)'!A202)</f>
        <v>11547.23</v>
      </c>
      <c r="E202" s="550"/>
      <c r="F202">
        <f t="shared" si="3"/>
        <v>1</v>
      </c>
    </row>
    <row r="203" spans="1:6" ht="27.6" hidden="1">
      <c r="A203" s="436" t="s">
        <v>1331</v>
      </c>
      <c r="B203" s="463" t="s">
        <v>859</v>
      </c>
      <c r="C203" s="463" t="s">
        <v>1332</v>
      </c>
      <c r="D203" s="550">
        <f>SUMIFS('Revised RAO'!Q:Q,'Revised RAO'!E:E,'Transactions for Import (2)'!A203)</f>
        <v>1840</v>
      </c>
      <c r="E203" s="550"/>
      <c r="F203">
        <f t="shared" si="3"/>
        <v>1</v>
      </c>
    </row>
    <row r="204" spans="1:6" ht="27.6" hidden="1">
      <c r="A204" s="436" t="s">
        <v>1333</v>
      </c>
      <c r="B204" s="463" t="s">
        <v>1334</v>
      </c>
      <c r="C204" s="463" t="s">
        <v>1335</v>
      </c>
      <c r="D204" s="550">
        <f>SUMIFS('Revised RAO'!Q:Q,'Revised RAO'!E:E,'Transactions for Import (2)'!A204)</f>
        <v>17500</v>
      </c>
      <c r="E204" s="550"/>
      <c r="F204">
        <f t="shared" si="3"/>
        <v>1</v>
      </c>
    </row>
    <row r="205" spans="1:6" ht="41.4" hidden="1">
      <c r="A205" s="436" t="s">
        <v>1336</v>
      </c>
      <c r="B205" s="463" t="s">
        <v>1337</v>
      </c>
      <c r="C205" s="463" t="s">
        <v>1276</v>
      </c>
      <c r="D205" s="550">
        <f>SUMIFS('Revised RAO'!Q:Q,'Revised RAO'!E:E,'Transactions for Import (2)'!A205)</f>
        <v>1800</v>
      </c>
      <c r="E205" s="550"/>
      <c r="F205">
        <f t="shared" si="3"/>
        <v>1</v>
      </c>
    </row>
    <row r="206" spans="1:6" ht="27.6" hidden="1">
      <c r="A206" s="436" t="s">
        <v>1338</v>
      </c>
      <c r="B206" s="463" t="s">
        <v>1339</v>
      </c>
      <c r="C206" s="463" t="s">
        <v>1340</v>
      </c>
      <c r="D206" s="550">
        <f>SUMIFS('Revised RAO'!Q:Q,'Revised RAO'!E:E,'Transactions for Import (2)'!A206)</f>
        <v>20626.73</v>
      </c>
      <c r="E206" s="550"/>
      <c r="F206">
        <f t="shared" si="3"/>
        <v>1</v>
      </c>
    </row>
    <row r="207" spans="1:6" ht="27.6" hidden="1">
      <c r="A207" s="436" t="s">
        <v>1341</v>
      </c>
      <c r="B207" s="463" t="s">
        <v>1342</v>
      </c>
      <c r="C207" s="463" t="s">
        <v>1301</v>
      </c>
      <c r="D207" s="550">
        <f>SUMIFS('Revised RAO'!Q:Q,'Revised RAO'!E:E,'Transactions for Import (2)'!A207)</f>
        <v>16308.47</v>
      </c>
      <c r="E207" s="550"/>
      <c r="F207">
        <f t="shared" si="3"/>
        <v>1</v>
      </c>
    </row>
    <row r="208" spans="1:6" ht="55.2" hidden="1">
      <c r="A208" s="436" t="s">
        <v>1343</v>
      </c>
      <c r="B208" s="463" t="s">
        <v>1344</v>
      </c>
      <c r="C208" s="463" t="s">
        <v>1345</v>
      </c>
      <c r="D208" s="550">
        <f>SUMIFS('Revised RAO'!Q:Q,'Revised RAO'!E:E,'Transactions for Import (2)'!A208)</f>
        <v>7200</v>
      </c>
      <c r="E208" s="550"/>
      <c r="F208">
        <f t="shared" si="3"/>
        <v>1</v>
      </c>
    </row>
    <row r="209" spans="1:6" ht="27.6" hidden="1">
      <c r="A209" s="436" t="s">
        <v>1364</v>
      </c>
      <c r="B209" s="463" t="s">
        <v>1108</v>
      </c>
      <c r="C209" s="463" t="s">
        <v>1346</v>
      </c>
      <c r="D209" s="550">
        <f>SUMIFS('Revised RAO'!Q:Q,'Revised RAO'!E:E,'Transactions for Import (2)'!A209)</f>
        <v>12900</v>
      </c>
      <c r="E209" s="550"/>
      <c r="F209">
        <f t="shared" si="3"/>
        <v>1</v>
      </c>
    </row>
    <row r="210" spans="1:6" ht="41.4" hidden="1">
      <c r="A210" s="436" t="s">
        <v>1365</v>
      </c>
      <c r="B210" s="463" t="s">
        <v>1108</v>
      </c>
      <c r="C210" s="463" t="s">
        <v>1347</v>
      </c>
      <c r="D210" s="550">
        <f>SUMIFS('Revised RAO'!Q:Q,'Revised RAO'!E:E,'Transactions for Import (2)'!A210)</f>
        <v>4950</v>
      </c>
      <c r="E210" s="550"/>
      <c r="F210">
        <f t="shared" si="3"/>
        <v>1</v>
      </c>
    </row>
    <row r="211" spans="1:6" ht="27.6" hidden="1">
      <c r="A211" s="436" t="s">
        <v>1367</v>
      </c>
      <c r="B211" s="463" t="s">
        <v>1327</v>
      </c>
      <c r="C211" s="463" t="s">
        <v>1037</v>
      </c>
      <c r="D211" s="550">
        <f>SUMIFS('Revised RAO'!Q:Q,'Revised RAO'!E:E,'Transactions for Import (2)'!A211)</f>
        <v>7830</v>
      </c>
      <c r="E211" s="550"/>
      <c r="F211">
        <f t="shared" si="3"/>
        <v>1</v>
      </c>
    </row>
    <row r="212" spans="1:6" ht="27.6" hidden="1">
      <c r="A212" s="436" t="s">
        <v>1368</v>
      </c>
      <c r="B212" s="463" t="s">
        <v>1214</v>
      </c>
      <c r="C212" s="463" t="s">
        <v>1348</v>
      </c>
      <c r="D212" s="550">
        <f>SUMIFS('Revised RAO'!Q:Q,'Revised RAO'!E:E,'Transactions for Import (2)'!A212)</f>
        <v>27000</v>
      </c>
      <c r="E212" s="550"/>
      <c r="F212">
        <f t="shared" si="3"/>
        <v>1</v>
      </c>
    </row>
    <row r="213" spans="1:6" ht="27.6" hidden="1">
      <c r="A213" s="436" t="s">
        <v>1370</v>
      </c>
      <c r="B213" s="463" t="s">
        <v>1349</v>
      </c>
      <c r="C213" s="463" t="s">
        <v>1350</v>
      </c>
      <c r="D213" s="550">
        <f>SUMIFS('Revised RAO'!Q:Q,'Revised RAO'!E:E,'Transactions for Import (2)'!A213)</f>
        <v>3400</v>
      </c>
      <c r="E213" s="550"/>
      <c r="F213">
        <f t="shared" si="3"/>
        <v>1</v>
      </c>
    </row>
    <row r="214" spans="1:6" ht="55.2" hidden="1">
      <c r="A214" s="436" t="s">
        <v>1371</v>
      </c>
      <c r="B214" s="463" t="s">
        <v>1038</v>
      </c>
      <c r="C214" s="463" t="s">
        <v>1351</v>
      </c>
      <c r="D214" s="550">
        <f>SUMIFS('Revised RAO'!Q:Q,'Revised RAO'!E:E,'Transactions for Import (2)'!A214)</f>
        <v>1800</v>
      </c>
      <c r="E214" s="550"/>
      <c r="F214">
        <f t="shared" si="3"/>
        <v>1</v>
      </c>
    </row>
    <row r="215" spans="1:6" ht="27.6" hidden="1">
      <c r="A215" s="436" t="s">
        <v>1372</v>
      </c>
      <c r="B215" s="463" t="s">
        <v>1352</v>
      </c>
      <c r="C215" s="463" t="s">
        <v>1353</v>
      </c>
      <c r="D215" s="550">
        <f>SUMIFS('Revised RAO'!Q:Q,'Revised RAO'!E:E,'Transactions for Import (2)'!A215)</f>
        <v>39600</v>
      </c>
      <c r="E215" s="550"/>
      <c r="F215">
        <f t="shared" si="3"/>
        <v>1</v>
      </c>
    </row>
    <row r="216" spans="1:6" ht="41.4" hidden="1">
      <c r="A216" s="436" t="s">
        <v>1373</v>
      </c>
      <c r="B216" s="463" t="s">
        <v>1354</v>
      </c>
      <c r="C216" s="463" t="s">
        <v>1355</v>
      </c>
      <c r="D216" s="550">
        <f>SUMIFS('Revised RAO'!Q:Q,'Revised RAO'!E:E,'Transactions for Import (2)'!A216)</f>
        <v>5600</v>
      </c>
      <c r="E216" s="550"/>
      <c r="F216">
        <f t="shared" si="3"/>
        <v>1</v>
      </c>
    </row>
    <row r="217" spans="1:6" ht="27.6" hidden="1">
      <c r="A217" s="436" t="s">
        <v>1374</v>
      </c>
      <c r="B217" s="463" t="s">
        <v>1245</v>
      </c>
      <c r="C217" s="463" t="s">
        <v>1356</v>
      </c>
      <c r="D217" s="550">
        <f>SUMIFS('Revised RAO'!Q:Q,'Revised RAO'!E:E,'Transactions for Import (2)'!A217)</f>
        <v>4032</v>
      </c>
      <c r="E217" s="550"/>
      <c r="F217">
        <f t="shared" si="3"/>
        <v>1</v>
      </c>
    </row>
    <row r="218" spans="1:6" ht="27.6" hidden="1">
      <c r="A218" s="436" t="s">
        <v>1375</v>
      </c>
      <c r="B218" s="463" t="s">
        <v>810</v>
      </c>
      <c r="C218" s="463" t="s">
        <v>1357</v>
      </c>
      <c r="D218" s="550">
        <f>SUMIFS('Revised RAO'!Q:Q,'Revised RAO'!E:E,'Transactions for Import (2)'!A218)</f>
        <v>22882.229999999996</v>
      </c>
      <c r="E218" s="550"/>
      <c r="F218">
        <f t="shared" si="3"/>
        <v>1</v>
      </c>
    </row>
    <row r="219" spans="1:6" ht="27.6" hidden="1">
      <c r="A219" s="436" t="s">
        <v>1376</v>
      </c>
      <c r="B219" s="463" t="s">
        <v>836</v>
      </c>
      <c r="C219" s="463" t="s">
        <v>1358</v>
      </c>
      <c r="D219" s="550">
        <f>SUMIFS('Revised RAO'!Q:Q,'Revised RAO'!E:E,'Transactions for Import (2)'!A219)</f>
        <v>2275</v>
      </c>
      <c r="E219" s="550"/>
      <c r="F219">
        <f t="shared" si="3"/>
        <v>1</v>
      </c>
    </row>
    <row r="220" spans="1:6" ht="27.6" hidden="1">
      <c r="A220" s="436" t="s">
        <v>1377</v>
      </c>
      <c r="B220" s="463" t="s">
        <v>1359</v>
      </c>
      <c r="C220" s="463" t="s">
        <v>1360</v>
      </c>
      <c r="D220" s="550">
        <f>SUMIFS('Revised RAO'!Q:Q,'Revised RAO'!E:E,'Transactions for Import (2)'!A220)</f>
        <v>6323</v>
      </c>
      <c r="E220" s="550"/>
      <c r="F220">
        <f t="shared" si="3"/>
        <v>1</v>
      </c>
    </row>
    <row r="221" spans="1:6" ht="27.6" hidden="1">
      <c r="A221" s="436" t="s">
        <v>1378</v>
      </c>
      <c r="B221" s="463" t="s">
        <v>1072</v>
      </c>
      <c r="C221" s="463" t="s">
        <v>1361</v>
      </c>
      <c r="D221" s="550">
        <f>SUMIFS('Revised RAO'!Q:Q,'Revised RAO'!E:E,'Transactions for Import (2)'!A221)</f>
        <v>1242</v>
      </c>
      <c r="E221" s="550"/>
      <c r="F221">
        <f t="shared" si="3"/>
        <v>1</v>
      </c>
    </row>
    <row r="222" spans="1:6" ht="27.6" hidden="1">
      <c r="A222" s="436" t="s">
        <v>1379</v>
      </c>
      <c r="B222" s="463" t="s">
        <v>1362</v>
      </c>
      <c r="C222" s="463" t="s">
        <v>1363</v>
      </c>
      <c r="D222" s="550">
        <f>SUMIFS('Revised RAO'!Q:Q,'Revised RAO'!E:E,'Transactions for Import (2)'!A222)</f>
        <v>170501.47</v>
      </c>
      <c r="E222" s="550"/>
      <c r="F222">
        <f t="shared" si="3"/>
        <v>1</v>
      </c>
    </row>
    <row r="223" spans="1:6" ht="41.4" hidden="1">
      <c r="A223" s="436" t="s">
        <v>1383</v>
      </c>
      <c r="B223" s="463" t="s">
        <v>1380</v>
      </c>
      <c r="C223" s="463" t="s">
        <v>1381</v>
      </c>
      <c r="D223" s="550">
        <f>SUMIFS('Revised RAO'!Q:Q,'Revised RAO'!E:E,'Transactions for Import (2)'!A223)</f>
        <v>7635</v>
      </c>
      <c r="E223" s="550"/>
      <c r="F223">
        <f t="shared" si="3"/>
        <v>1</v>
      </c>
    </row>
    <row r="224" spans="1:6" ht="41.4" hidden="1">
      <c r="A224" s="436" t="s">
        <v>1385</v>
      </c>
      <c r="B224" s="463" t="s">
        <v>777</v>
      </c>
      <c r="C224" s="463" t="s">
        <v>1384</v>
      </c>
      <c r="D224" s="550">
        <f>SUMIFS('Revised RAO'!Q:Q,'Revised RAO'!E:E,'Transactions for Import (2)'!A224)</f>
        <v>429402.37</v>
      </c>
      <c r="E224" s="550"/>
      <c r="F224">
        <f t="shared" si="3"/>
        <v>1</v>
      </c>
    </row>
    <row r="225" spans="1:6" ht="41.4" hidden="1">
      <c r="A225" s="436" t="s">
        <v>1386</v>
      </c>
      <c r="B225" s="463" t="s">
        <v>768</v>
      </c>
      <c r="C225" s="463" t="s">
        <v>1384</v>
      </c>
      <c r="D225" s="550">
        <f>SUMIFS('Revised RAO'!Q:Q,'Revised RAO'!E:E,'Transactions for Import (2)'!A225)</f>
        <v>688368.09</v>
      </c>
      <c r="E225" s="550"/>
      <c r="F225">
        <f t="shared" si="3"/>
        <v>1</v>
      </c>
    </row>
    <row r="226" spans="1:6" ht="41.4" hidden="1">
      <c r="A226" s="436" t="s">
        <v>1387</v>
      </c>
      <c r="B226" s="463" t="s">
        <v>765</v>
      </c>
      <c r="C226" s="463" t="s">
        <v>1384</v>
      </c>
      <c r="D226" s="550">
        <f>SUMIFS('Revised RAO'!Q:Q,'Revised RAO'!E:E,'Transactions for Import (2)'!A226)</f>
        <v>389716.8</v>
      </c>
      <c r="E226" s="550"/>
      <c r="F226">
        <f t="shared" si="3"/>
        <v>1</v>
      </c>
    </row>
    <row r="227" spans="1:6" ht="27.6" hidden="1">
      <c r="A227" s="436" t="s">
        <v>1388</v>
      </c>
      <c r="B227" s="463" t="s">
        <v>872</v>
      </c>
      <c r="C227" s="463" t="s">
        <v>1390</v>
      </c>
      <c r="D227" s="550">
        <f>SUMIFS('Revised RAO'!Q:Q,'Revised RAO'!E:E,'Transactions for Import (2)'!A227)</f>
        <v>40307.629999999997</v>
      </c>
      <c r="E227" s="550"/>
      <c r="F227">
        <f t="shared" si="3"/>
        <v>1</v>
      </c>
    </row>
    <row r="228" spans="1:6" ht="27.6" hidden="1">
      <c r="A228" s="436" t="s">
        <v>1389</v>
      </c>
      <c r="B228" s="463" t="s">
        <v>863</v>
      </c>
      <c r="C228" s="463" t="s">
        <v>1390</v>
      </c>
      <c r="D228" s="550">
        <f>SUMIFS('Revised RAO'!Q:Q,'Revised RAO'!E:E,'Transactions for Import (2)'!A228)</f>
        <v>51777.94</v>
      </c>
      <c r="E228" s="550"/>
      <c r="F228">
        <f t="shared" si="3"/>
        <v>1</v>
      </c>
    </row>
    <row r="229" spans="1:6" ht="27.6" hidden="1">
      <c r="A229" s="436" t="s">
        <v>1391</v>
      </c>
      <c r="B229" s="463" t="s">
        <v>768</v>
      </c>
      <c r="C229" s="463" t="s">
        <v>1390</v>
      </c>
      <c r="D229" s="550">
        <f>SUMIFS('Revised RAO'!Q:Q,'Revised RAO'!E:E,'Transactions for Import (2)'!A229)</f>
        <v>92085.57</v>
      </c>
      <c r="E229" s="550"/>
      <c r="F229">
        <f t="shared" si="3"/>
        <v>1</v>
      </c>
    </row>
    <row r="230" spans="1:6" ht="27.6" hidden="1">
      <c r="A230" s="436" t="s">
        <v>1392</v>
      </c>
      <c r="B230" s="463" t="s">
        <v>867</v>
      </c>
      <c r="C230" s="463" t="s">
        <v>1390</v>
      </c>
      <c r="D230" s="550">
        <f>SUMIFS('Revised RAO'!Q:Q,'Revised RAO'!E:E,'Transactions for Import (2)'!A230)</f>
        <v>40307.629999999997</v>
      </c>
      <c r="E230" s="550"/>
      <c r="F230">
        <f t="shared" si="3"/>
        <v>1</v>
      </c>
    </row>
    <row r="231" spans="1:6" ht="41.4" hidden="1">
      <c r="A231" s="436" t="s">
        <v>1393</v>
      </c>
      <c r="B231" s="463" t="s">
        <v>1165</v>
      </c>
      <c r="C231" s="463" t="s">
        <v>1394</v>
      </c>
      <c r="D231" s="550">
        <f>SUMIFS('Revised RAO'!Q:Q,'Revised RAO'!E:E,'Transactions for Import (2)'!A231)</f>
        <v>29300.399999999998</v>
      </c>
      <c r="E231" s="550"/>
      <c r="F231">
        <f t="shared" si="3"/>
        <v>1</v>
      </c>
    </row>
    <row r="232" spans="1:6" ht="41.4" hidden="1">
      <c r="A232" s="436" t="s">
        <v>1395</v>
      </c>
      <c r="B232" s="463" t="s">
        <v>1170</v>
      </c>
      <c r="C232" s="463" t="s">
        <v>1394</v>
      </c>
      <c r="D232" s="550">
        <f>SUMIFS('Revised RAO'!Q:Q,'Revised RAO'!E:E,'Transactions for Import (2)'!A232)</f>
        <v>29300.399999999998</v>
      </c>
      <c r="E232" s="550"/>
      <c r="F232">
        <f t="shared" si="3"/>
        <v>1</v>
      </c>
    </row>
    <row r="233" spans="1:6" ht="41.4" hidden="1">
      <c r="A233" s="436" t="s">
        <v>1396</v>
      </c>
      <c r="B233" s="463" t="s">
        <v>1174</v>
      </c>
      <c r="C233" s="463" t="s">
        <v>1394</v>
      </c>
      <c r="D233" s="550">
        <f>SUMIFS('Revised RAO'!Q:Q,'Revised RAO'!E:E,'Transactions for Import (2)'!A233)</f>
        <v>29300.399999999998</v>
      </c>
      <c r="E233" s="550"/>
      <c r="F233">
        <f t="shared" si="3"/>
        <v>1</v>
      </c>
    </row>
    <row r="234" spans="1:6" ht="41.4" hidden="1">
      <c r="A234" s="436" t="s">
        <v>1397</v>
      </c>
      <c r="B234" s="463" t="s">
        <v>1176</v>
      </c>
      <c r="C234" s="463" t="s">
        <v>1394</v>
      </c>
      <c r="D234" s="550">
        <f>SUMIFS('Revised RAO'!Q:Q,'Revised RAO'!E:E,'Transactions for Import (2)'!A234)</f>
        <v>29300.399999999998</v>
      </c>
      <c r="E234" s="550"/>
      <c r="F234">
        <f t="shared" si="3"/>
        <v>1</v>
      </c>
    </row>
    <row r="235" spans="1:6" ht="41.4" hidden="1">
      <c r="A235" s="436" t="s">
        <v>1398</v>
      </c>
      <c r="B235" s="463" t="s">
        <v>1382</v>
      </c>
      <c r="C235" s="463" t="s">
        <v>1399</v>
      </c>
      <c r="D235" s="550">
        <f>SUMIFS('Revised RAO'!Q:Q,'Revised RAO'!E:E,'Transactions for Import (2)'!A235)</f>
        <v>29300.399999999998</v>
      </c>
      <c r="E235" s="550"/>
      <c r="F235">
        <f t="shared" si="3"/>
        <v>1</v>
      </c>
    </row>
    <row r="236" spans="1:6" ht="41.4" hidden="1">
      <c r="A236" s="436" t="s">
        <v>1400</v>
      </c>
      <c r="B236" s="463" t="s">
        <v>1382</v>
      </c>
      <c r="C236" s="463" t="s">
        <v>1394</v>
      </c>
      <c r="D236" s="550">
        <f>SUMIFS('Revised RAO'!Q:Q,'Revised RAO'!E:E,'Transactions for Import (2)'!A236)</f>
        <v>29300.399999999998</v>
      </c>
      <c r="E236" s="550"/>
      <c r="F236">
        <f t="shared" si="3"/>
        <v>1</v>
      </c>
    </row>
    <row r="237" spans="1:6" ht="41.4" hidden="1">
      <c r="A237" s="436" t="s">
        <v>1401</v>
      </c>
      <c r="B237" s="463" t="s">
        <v>10</v>
      </c>
      <c r="C237" s="463" t="s">
        <v>1384</v>
      </c>
      <c r="D237" s="550">
        <f>SUMIFS('Revised RAO'!Q:Q,'Revised RAO'!E:E,'Transactions for Import (2)'!A237)</f>
        <v>2049964.0999999999</v>
      </c>
      <c r="E237" s="550"/>
      <c r="F237">
        <f t="shared" si="3"/>
        <v>1</v>
      </c>
    </row>
    <row r="238" spans="1:6" ht="41.4" hidden="1">
      <c r="A238" s="436" t="s">
        <v>1402</v>
      </c>
      <c r="B238" s="463" t="s">
        <v>764</v>
      </c>
      <c r="C238" s="463" t="s">
        <v>1384</v>
      </c>
      <c r="D238" s="550">
        <f>SUMIFS('Revised RAO'!Q:Q,'Revised RAO'!E:E,'Transactions for Import (2)'!A238)</f>
        <v>470812.07</v>
      </c>
      <c r="E238" s="550"/>
      <c r="F238">
        <f t="shared" si="3"/>
        <v>1</v>
      </c>
    </row>
    <row r="239" spans="1:6" ht="27.6" hidden="1">
      <c r="A239" s="436" t="s">
        <v>1403</v>
      </c>
      <c r="B239" s="463" t="s">
        <v>869</v>
      </c>
      <c r="C239" s="463" t="s">
        <v>1390</v>
      </c>
      <c r="D239" s="550">
        <f>SUMIFS('Revised RAO'!Q:Q,'Revised RAO'!E:E,'Transactions for Import (2)'!A239)</f>
        <v>40307.629999999997</v>
      </c>
      <c r="E239" s="550"/>
      <c r="F239">
        <f t="shared" si="3"/>
        <v>1</v>
      </c>
    </row>
    <row r="240" spans="1:6" ht="41.4" hidden="1">
      <c r="A240" s="436" t="s">
        <v>1405</v>
      </c>
      <c r="B240" s="463" t="s">
        <v>1170</v>
      </c>
      <c r="C240" s="463" t="s">
        <v>1406</v>
      </c>
      <c r="D240" s="550">
        <f>SUMIFS('Revised RAO'!Q:Q,'Revised RAO'!E:E,'Transactions for Import (2)'!A240)</f>
        <v>29300.399999999998</v>
      </c>
      <c r="E240" s="550"/>
      <c r="F240">
        <f t="shared" si="3"/>
        <v>1</v>
      </c>
    </row>
    <row r="241" spans="1:6" ht="27.6" hidden="1">
      <c r="A241" s="436" t="s">
        <v>1407</v>
      </c>
      <c r="B241" s="463" t="s">
        <v>1245</v>
      </c>
      <c r="C241" s="463" t="s">
        <v>1408</v>
      </c>
      <c r="D241" s="550">
        <f>SUMIFS('Revised RAO'!Q:Q,'Revised RAO'!E:E,'Transactions for Import (2)'!A241)</f>
        <v>2016</v>
      </c>
      <c r="E241" s="550"/>
      <c r="F241">
        <f t="shared" si="3"/>
        <v>1</v>
      </c>
    </row>
    <row r="242" spans="1:6" ht="27.6" hidden="1">
      <c r="A242" s="436" t="s">
        <v>1409</v>
      </c>
      <c r="B242" s="463" t="s">
        <v>1245</v>
      </c>
      <c r="C242" s="463" t="s">
        <v>1248</v>
      </c>
      <c r="D242" s="550">
        <f>SUMIFS('Revised RAO'!Q:Q,'Revised RAO'!E:E,'Transactions for Import (2)'!A242)</f>
        <v>1344</v>
      </c>
      <c r="E242" s="550"/>
      <c r="F242">
        <f t="shared" si="3"/>
        <v>1</v>
      </c>
    </row>
    <row r="243" spans="1:6" ht="27.6" hidden="1">
      <c r="A243" s="436" t="s">
        <v>1410</v>
      </c>
      <c r="B243" s="463" t="s">
        <v>1036</v>
      </c>
      <c r="C243" s="463" t="s">
        <v>1411</v>
      </c>
      <c r="D243" s="550">
        <f>SUMIFS('Revised RAO'!Q:Q,'Revised RAO'!E:E,'Transactions for Import (2)'!A243)</f>
        <v>1651.12</v>
      </c>
      <c r="E243" s="550"/>
      <c r="F243">
        <f t="shared" si="3"/>
        <v>1</v>
      </c>
    </row>
    <row r="244" spans="1:6" ht="41.4" hidden="1">
      <c r="A244" s="436" t="s">
        <v>1412</v>
      </c>
      <c r="B244" s="463" t="s">
        <v>1172</v>
      </c>
      <c r="C244" s="463" t="s">
        <v>1394</v>
      </c>
      <c r="D244" s="550">
        <f>SUMIFS('Revised RAO'!Q:Q,'Revised RAO'!E:E,'Transactions for Import (2)'!A244)</f>
        <v>29300.399999999998</v>
      </c>
      <c r="E244" s="550"/>
      <c r="F244">
        <f t="shared" si="3"/>
        <v>1</v>
      </c>
    </row>
    <row r="245" spans="1:6" ht="27.6" hidden="1">
      <c r="A245" s="436" t="s">
        <v>1413</v>
      </c>
      <c r="B245" s="463" t="s">
        <v>789</v>
      </c>
      <c r="C245" s="463" t="s">
        <v>1390</v>
      </c>
      <c r="D245" s="550">
        <f>SUMIFS('Revised RAO'!Q:Q,'Revised RAO'!E:E,'Transactions for Import (2)'!A245)</f>
        <v>92085.57</v>
      </c>
      <c r="E245" s="550"/>
      <c r="F245">
        <f t="shared" si="3"/>
        <v>1</v>
      </c>
    </row>
    <row r="246" spans="1:6" ht="41.4" hidden="1">
      <c r="A246" s="436" t="s">
        <v>1414</v>
      </c>
      <c r="B246" s="463" t="s">
        <v>789</v>
      </c>
      <c r="C246" s="463" t="s">
        <v>1384</v>
      </c>
      <c r="D246" s="550">
        <f>SUMIFS('Revised RAO'!Q:Q,'Revised RAO'!E:E,'Transactions for Import (2)'!A246)</f>
        <v>666486.65999999992</v>
      </c>
      <c r="E246" s="550"/>
      <c r="F246">
        <f t="shared" si="3"/>
        <v>1</v>
      </c>
    </row>
    <row r="247" spans="1:6" ht="27.6" hidden="1">
      <c r="A247" s="404" t="s">
        <v>1415</v>
      </c>
      <c r="B247" s="409" t="s">
        <v>822</v>
      </c>
      <c r="C247" s="409" t="s">
        <v>1416</v>
      </c>
      <c r="D247" s="550">
        <f>SUMIFS('Revised RAO'!Q:Q,'Revised RAO'!E:E,'Transactions for Import (2)'!A247)</f>
        <v>0</v>
      </c>
      <c r="E247" s="550"/>
      <c r="F247">
        <f t="shared" si="3"/>
        <v>1</v>
      </c>
    </row>
    <row r="248" spans="1:6" ht="27.6" hidden="1">
      <c r="A248" s="436" t="s">
        <v>1417</v>
      </c>
      <c r="B248" s="463" t="s">
        <v>1418</v>
      </c>
      <c r="C248" s="463" t="s">
        <v>1419</v>
      </c>
      <c r="D248" s="550">
        <f>SUMIFS('Revised RAO'!Q:Q,'Revised RAO'!E:E,'Transactions for Import (2)'!A248)</f>
        <v>22000</v>
      </c>
      <c r="E248" s="550"/>
      <c r="F248">
        <f t="shared" si="3"/>
        <v>1</v>
      </c>
    </row>
    <row r="249" spans="1:6" ht="41.4" hidden="1">
      <c r="A249" s="436" t="s">
        <v>1420</v>
      </c>
      <c r="B249" s="463" t="s">
        <v>1344</v>
      </c>
      <c r="C249" s="463" t="s">
        <v>1421</v>
      </c>
      <c r="D249" s="550">
        <f>SUMIFS('Revised RAO'!Q:Q,'Revised RAO'!E:E,'Transactions for Import (2)'!A249)</f>
        <v>14000</v>
      </c>
      <c r="E249" s="550"/>
      <c r="F249">
        <f t="shared" si="3"/>
        <v>1</v>
      </c>
    </row>
    <row r="250" spans="1:6" ht="27.6" hidden="1">
      <c r="A250" s="436" t="s">
        <v>1422</v>
      </c>
      <c r="B250" s="463" t="s">
        <v>1359</v>
      </c>
      <c r="C250" s="463" t="s">
        <v>1423</v>
      </c>
      <c r="D250" s="550">
        <f>SUMIFS('Revised RAO'!Q:Q,'Revised RAO'!E:E,'Transactions for Import (2)'!A250)</f>
        <v>7873</v>
      </c>
      <c r="E250" s="550"/>
      <c r="F250">
        <f t="shared" si="3"/>
        <v>1</v>
      </c>
    </row>
    <row r="251" spans="1:6" ht="27.6" hidden="1">
      <c r="A251" s="436" t="s">
        <v>1424</v>
      </c>
      <c r="B251" s="439" t="s">
        <v>823</v>
      </c>
      <c r="C251" s="439" t="s">
        <v>1139</v>
      </c>
      <c r="D251" s="550">
        <f>SUMIFS('Revised RAO'!Q:Q,'Revised RAO'!E:E,'Transactions for Import (2)'!A251)</f>
        <v>640000</v>
      </c>
      <c r="E251" s="550"/>
      <c r="F251">
        <f t="shared" si="3"/>
        <v>1</v>
      </c>
    </row>
    <row r="252" spans="1:6" ht="27.6" hidden="1">
      <c r="A252" s="436" t="s">
        <v>1425</v>
      </c>
      <c r="B252" s="439" t="s">
        <v>818</v>
      </c>
      <c r="C252" s="439" t="s">
        <v>1206</v>
      </c>
      <c r="D252" s="550">
        <f>SUMIFS('Revised RAO'!Q:Q,'Revised RAO'!E:E,'Transactions for Import (2)'!A252)</f>
        <v>160000</v>
      </c>
      <c r="E252" s="550"/>
      <c r="F252">
        <f t="shared" si="3"/>
        <v>1</v>
      </c>
    </row>
    <row r="253" spans="1:6" ht="27.6" hidden="1">
      <c r="A253" s="436" t="s">
        <v>1426</v>
      </c>
      <c r="B253" s="439" t="s">
        <v>818</v>
      </c>
      <c r="C253" s="439" t="s">
        <v>1150</v>
      </c>
      <c r="D253" s="550">
        <f>SUMIFS('Revised RAO'!Q:Q,'Revised RAO'!E:E,'Transactions for Import (2)'!A253)</f>
        <v>119634</v>
      </c>
      <c r="E253" s="550"/>
      <c r="F253">
        <f t="shared" si="3"/>
        <v>1</v>
      </c>
    </row>
    <row r="254" spans="1:6" hidden="1">
      <c r="A254" s="436" t="s">
        <v>1427</v>
      </c>
      <c r="B254" s="439" t="s">
        <v>820</v>
      </c>
      <c r="C254" s="439" t="s">
        <v>1145</v>
      </c>
      <c r="D254" s="550">
        <f>SUMIFS('Revised RAO'!Q:Q,'Revised RAO'!E:E,'Transactions for Import (2)'!A254)</f>
        <v>94707.14</v>
      </c>
      <c r="E254" s="550"/>
      <c r="F254">
        <f t="shared" si="3"/>
        <v>1</v>
      </c>
    </row>
    <row r="255" spans="1:6" ht="27.6" hidden="1">
      <c r="A255" s="436" t="s">
        <v>1428</v>
      </c>
      <c r="B255" s="439" t="s">
        <v>1189</v>
      </c>
      <c r="C255" s="439" t="s">
        <v>1429</v>
      </c>
      <c r="D255" s="550">
        <f>SUMIFS('Revised RAO'!Q:Q,'Revised RAO'!E:E,'Transactions for Import (2)'!A255)</f>
        <v>11000</v>
      </c>
      <c r="E255" s="550"/>
      <c r="F255">
        <f t="shared" si="3"/>
        <v>1</v>
      </c>
    </row>
    <row r="256" spans="1:6" ht="41.4" hidden="1">
      <c r="A256" s="436" t="s">
        <v>1430</v>
      </c>
      <c r="B256" s="439" t="s">
        <v>1325</v>
      </c>
      <c r="C256" s="439" t="s">
        <v>1431</v>
      </c>
      <c r="D256" s="550">
        <f>SUMIFS('Revised RAO'!Q:Q,'Revised RAO'!E:E,'Transactions for Import (2)'!A256)</f>
        <v>3760</v>
      </c>
      <c r="E256" s="550"/>
      <c r="F256">
        <f t="shared" si="3"/>
        <v>1</v>
      </c>
    </row>
    <row r="257" spans="1:6" ht="27.6" hidden="1">
      <c r="A257" s="436" t="s">
        <v>1432</v>
      </c>
      <c r="B257" s="439" t="s">
        <v>1433</v>
      </c>
      <c r="C257" s="439" t="s">
        <v>1434</v>
      </c>
      <c r="D257" s="550">
        <f>SUMIFS('Revised RAO'!Q:Q,'Revised RAO'!E:E,'Transactions for Import (2)'!A257)</f>
        <v>800</v>
      </c>
      <c r="E257" s="550"/>
      <c r="F257">
        <f t="shared" si="3"/>
        <v>1</v>
      </c>
    </row>
    <row r="258" spans="1:6" ht="27.6" hidden="1">
      <c r="A258" s="436" t="s">
        <v>1435</v>
      </c>
      <c r="B258" s="463" t="s">
        <v>1436</v>
      </c>
      <c r="C258" s="439" t="s">
        <v>1437</v>
      </c>
      <c r="D258" s="550">
        <f>SUMIFS('Revised RAO'!Q:Q,'Revised RAO'!E:E,'Transactions for Import (2)'!A258)</f>
        <v>30000</v>
      </c>
      <c r="E258" s="550"/>
      <c r="F258">
        <f t="shared" si="3"/>
        <v>1</v>
      </c>
    </row>
    <row r="259" spans="1:6" hidden="1">
      <c r="A259" s="436" t="s">
        <v>1438</v>
      </c>
      <c r="B259" s="463" t="s">
        <v>10</v>
      </c>
      <c r="C259" s="463" t="s">
        <v>1439</v>
      </c>
      <c r="D259" s="550">
        <f>SUMIFS('Revised RAO'!Q:Q,'Revised RAO'!E:E,'Transactions for Import (2)'!A259)</f>
        <v>216000</v>
      </c>
      <c r="E259" s="550"/>
      <c r="F259">
        <f t="shared" ref="F259:F322" si="4">COUNTIFS($A$3:$A$357,A259)</f>
        <v>1</v>
      </c>
    </row>
    <row r="260" spans="1:6" hidden="1">
      <c r="A260" s="436" t="s">
        <v>1440</v>
      </c>
      <c r="B260" s="463" t="s">
        <v>789</v>
      </c>
      <c r="C260" s="463" t="s">
        <v>1439</v>
      </c>
      <c r="D260" s="550">
        <f>SUMIFS('Revised RAO'!Q:Q,'Revised RAO'!E:E,'Transactions for Import (2)'!A260)</f>
        <v>60000</v>
      </c>
      <c r="E260" s="550"/>
      <c r="F260">
        <f t="shared" si="4"/>
        <v>1</v>
      </c>
    </row>
    <row r="261" spans="1:6" hidden="1">
      <c r="A261" s="436" t="s">
        <v>1441</v>
      </c>
      <c r="B261" s="463" t="s">
        <v>777</v>
      </c>
      <c r="C261" s="463" t="s">
        <v>1439</v>
      </c>
      <c r="D261" s="550">
        <f>SUMIFS('Revised RAO'!Q:Q,'Revised RAO'!E:E,'Transactions for Import (2)'!A261)</f>
        <v>60000</v>
      </c>
      <c r="E261" s="550"/>
      <c r="F261">
        <f t="shared" si="4"/>
        <v>1</v>
      </c>
    </row>
    <row r="262" spans="1:6" hidden="1">
      <c r="A262" s="436" t="s">
        <v>1442</v>
      </c>
      <c r="B262" s="463" t="s">
        <v>764</v>
      </c>
      <c r="C262" s="463" t="s">
        <v>1439</v>
      </c>
      <c r="D262" s="550">
        <f>SUMIFS('Revised RAO'!Q:Q,'Revised RAO'!E:E,'Transactions for Import (2)'!A262)</f>
        <v>66000</v>
      </c>
      <c r="E262" s="550"/>
      <c r="F262">
        <f t="shared" si="4"/>
        <v>1</v>
      </c>
    </row>
    <row r="263" spans="1:6" hidden="1">
      <c r="A263" s="436" t="s">
        <v>1443</v>
      </c>
      <c r="B263" s="463" t="s">
        <v>768</v>
      </c>
      <c r="C263" s="463" t="s">
        <v>1439</v>
      </c>
      <c r="D263" s="550">
        <f>SUMIFS('Revised RAO'!Q:Q,'Revised RAO'!E:E,'Transactions for Import (2)'!A263)</f>
        <v>72000</v>
      </c>
      <c r="E263" s="550"/>
      <c r="F263">
        <f t="shared" si="4"/>
        <v>1</v>
      </c>
    </row>
    <row r="264" spans="1:6" hidden="1">
      <c r="A264" s="436" t="s">
        <v>1444</v>
      </c>
      <c r="B264" s="463" t="s">
        <v>765</v>
      </c>
      <c r="C264" s="463" t="s">
        <v>1439</v>
      </c>
      <c r="D264" s="550">
        <f>SUMIFS('Revised RAO'!Q:Q,'Revised RAO'!E:E,'Transactions for Import (2)'!A264)</f>
        <v>48000</v>
      </c>
      <c r="E264" s="550"/>
      <c r="F264">
        <f t="shared" si="4"/>
        <v>1</v>
      </c>
    </row>
    <row r="265" spans="1:6" ht="27.6" hidden="1">
      <c r="A265" s="436" t="s">
        <v>1445</v>
      </c>
      <c r="B265" s="463" t="s">
        <v>1102</v>
      </c>
      <c r="C265" s="463" t="s">
        <v>1446</v>
      </c>
      <c r="D265" s="550">
        <f>SUMIFS('Revised RAO'!Q:Q,'Revised RAO'!E:E,'Transactions for Import (2)'!A265)</f>
        <v>3500</v>
      </c>
      <c r="E265" s="550"/>
      <c r="F265">
        <f t="shared" si="4"/>
        <v>1</v>
      </c>
    </row>
    <row r="266" spans="1:6" ht="27.6" hidden="1">
      <c r="A266" s="436" t="s">
        <v>1448</v>
      </c>
      <c r="B266" s="463" t="s">
        <v>1449</v>
      </c>
      <c r="C266" s="463" t="s">
        <v>1450</v>
      </c>
      <c r="D266" s="550">
        <f>SUMIFS('Revised RAO'!Q:Q,'Revised RAO'!E:E,'Transactions for Import (2)'!A266)</f>
        <v>976560</v>
      </c>
      <c r="E266" s="550"/>
      <c r="F266">
        <f t="shared" si="4"/>
        <v>1</v>
      </c>
    </row>
    <row r="267" spans="1:6" ht="27.6" hidden="1">
      <c r="A267" s="436" t="s">
        <v>1451</v>
      </c>
      <c r="B267" s="463" t="s">
        <v>859</v>
      </c>
      <c r="C267" s="463" t="s">
        <v>1452</v>
      </c>
      <c r="D267" s="550">
        <f>SUMIFS('Revised RAO'!Q:Q,'Revised RAO'!E:E,'Transactions for Import (2)'!A267)</f>
        <v>2000</v>
      </c>
      <c r="E267" s="550"/>
      <c r="F267">
        <f t="shared" si="4"/>
        <v>1</v>
      </c>
    </row>
    <row r="268" spans="1:6" ht="27.6">
      <c r="A268" s="436" t="s">
        <v>1453</v>
      </c>
      <c r="B268" s="463" t="s">
        <v>1030</v>
      </c>
      <c r="C268" s="463" t="s">
        <v>1454</v>
      </c>
      <c r="D268" s="550">
        <f>SUMIFS('Revised RAO'!Q:Q,'Revised RAO'!E:E,'Transactions for Import (2)'!A268)</f>
        <v>70905.22</v>
      </c>
      <c r="E268" s="550"/>
      <c r="F268">
        <f t="shared" si="4"/>
        <v>1</v>
      </c>
    </row>
    <row r="269" spans="1:6" ht="27.6">
      <c r="A269" s="436" t="s">
        <v>1455</v>
      </c>
      <c r="B269" s="463" t="s">
        <v>1030</v>
      </c>
      <c r="C269" s="463" t="s">
        <v>1456</v>
      </c>
      <c r="D269" s="550">
        <f>SUMIFS('Revised RAO'!Q:Q,'Revised RAO'!E:E,'Transactions for Import (2)'!A269)</f>
        <v>82098.38</v>
      </c>
      <c r="E269" s="550"/>
      <c r="F269">
        <f t="shared" si="4"/>
        <v>1</v>
      </c>
    </row>
    <row r="270" spans="1:6" ht="41.4" hidden="1">
      <c r="A270" s="436" t="s">
        <v>1457</v>
      </c>
      <c r="B270" s="463" t="s">
        <v>1344</v>
      </c>
      <c r="C270" s="463" t="s">
        <v>1458</v>
      </c>
      <c r="D270" s="550">
        <f>SUMIFS('Revised RAO'!Q:Q,'Revised RAO'!E:E,'Transactions for Import (2)'!A270)</f>
        <v>9600</v>
      </c>
      <c r="E270" s="550"/>
      <c r="F270">
        <f t="shared" si="4"/>
        <v>1</v>
      </c>
    </row>
    <row r="271" spans="1:6" ht="27.6" hidden="1">
      <c r="A271" s="436" t="s">
        <v>1459</v>
      </c>
      <c r="B271" s="463" t="s">
        <v>6</v>
      </c>
      <c r="C271" s="463" t="s">
        <v>1460</v>
      </c>
      <c r="D271" s="550">
        <f>SUMIFS('Revised RAO'!Q:Q,'Revised RAO'!E:E,'Transactions for Import (2)'!A271)</f>
        <v>10000</v>
      </c>
      <c r="E271" s="550"/>
      <c r="F271">
        <f t="shared" si="4"/>
        <v>1</v>
      </c>
    </row>
    <row r="272" spans="1:6" hidden="1">
      <c r="A272" s="436" t="s">
        <v>1461</v>
      </c>
      <c r="B272" s="463" t="s">
        <v>1462</v>
      </c>
      <c r="C272" s="472" t="s">
        <v>1463</v>
      </c>
      <c r="D272" s="550">
        <f>SUMIFS('Revised RAO'!Q:Q,'Revised RAO'!E:E,'Transactions for Import (2)'!A272)</f>
        <v>10000</v>
      </c>
      <c r="E272" s="550"/>
      <c r="F272">
        <f t="shared" si="4"/>
        <v>1</v>
      </c>
    </row>
    <row r="273" spans="1:6" ht="27.6" hidden="1">
      <c r="A273" s="436" t="s">
        <v>1464</v>
      </c>
      <c r="B273" s="463" t="s">
        <v>1245</v>
      </c>
      <c r="C273" s="463" t="s">
        <v>1465</v>
      </c>
      <c r="D273" s="550">
        <f>SUMIFS('Revised RAO'!Q:Q,'Revised RAO'!E:E,'Transactions for Import (2)'!A273)</f>
        <v>6320</v>
      </c>
      <c r="E273" s="550"/>
      <c r="F273">
        <f t="shared" si="4"/>
        <v>1</v>
      </c>
    </row>
    <row r="274" spans="1:6" ht="27.6" hidden="1">
      <c r="A274" s="436" t="s">
        <v>1466</v>
      </c>
      <c r="B274" s="463" t="s">
        <v>1467</v>
      </c>
      <c r="C274" s="463" t="s">
        <v>1465</v>
      </c>
      <c r="D274" s="550">
        <f>SUMIFS('Revised RAO'!Q:Q,'Revised RAO'!E:E,'Transactions for Import (2)'!A274)</f>
        <v>2800</v>
      </c>
      <c r="E274" s="550"/>
      <c r="F274">
        <f t="shared" si="4"/>
        <v>1</v>
      </c>
    </row>
    <row r="275" spans="1:6" ht="41.4" hidden="1">
      <c r="A275" s="436" t="s">
        <v>1468</v>
      </c>
      <c r="B275" s="463" t="s">
        <v>1102</v>
      </c>
      <c r="C275" s="463" t="s">
        <v>1474</v>
      </c>
      <c r="D275" s="550">
        <f>SUMIFS('Revised RAO'!Q:Q,'Revised RAO'!E:E,'Transactions for Import (2)'!A275)</f>
        <v>5390.81</v>
      </c>
      <c r="E275" s="550"/>
      <c r="F275">
        <f t="shared" si="4"/>
        <v>1</v>
      </c>
    </row>
    <row r="276" spans="1:6" ht="27.6" hidden="1">
      <c r="A276" s="436" t="s">
        <v>1469</v>
      </c>
      <c r="B276" s="463" t="s">
        <v>1325</v>
      </c>
      <c r="C276" s="463" t="s">
        <v>1475</v>
      </c>
      <c r="D276" s="550">
        <f>SUMIFS('Revised RAO'!Q:Q,'Revised RAO'!E:E,'Transactions for Import (2)'!A276)</f>
        <v>13600</v>
      </c>
      <c r="E276" s="550"/>
      <c r="F276">
        <f t="shared" si="4"/>
        <v>1</v>
      </c>
    </row>
    <row r="277" spans="1:6" ht="27.6" hidden="1">
      <c r="A277" s="436" t="s">
        <v>1470</v>
      </c>
      <c r="B277" s="463" t="s">
        <v>1075</v>
      </c>
      <c r="C277" s="463" t="s">
        <v>1476</v>
      </c>
      <c r="D277" s="550">
        <f>SUMIFS('Revised RAO'!Q:Q,'Revised RAO'!E:E,'Transactions for Import (2)'!A277)</f>
        <v>40369.5</v>
      </c>
      <c r="E277" s="550"/>
      <c r="F277">
        <f t="shared" si="4"/>
        <v>1</v>
      </c>
    </row>
    <row r="278" spans="1:6" ht="27.6" hidden="1">
      <c r="A278" s="436" t="s">
        <v>1471</v>
      </c>
      <c r="B278" s="463" t="s">
        <v>1075</v>
      </c>
      <c r="C278" s="463" t="s">
        <v>1476</v>
      </c>
      <c r="D278" s="550">
        <f>SUMIFS('Revised RAO'!Q:Q,'Revised RAO'!E:E,'Transactions for Import (2)'!A278)</f>
        <v>12300</v>
      </c>
      <c r="E278" s="550"/>
      <c r="F278">
        <f t="shared" si="4"/>
        <v>1</v>
      </c>
    </row>
    <row r="279" spans="1:6" hidden="1">
      <c r="A279" s="436" t="s">
        <v>1472</v>
      </c>
      <c r="B279" s="463" t="s">
        <v>810</v>
      </c>
      <c r="C279" s="463" t="s">
        <v>1477</v>
      </c>
      <c r="D279" s="550">
        <f>SUMIFS('Revised RAO'!Q:Q,'Revised RAO'!E:E,'Transactions for Import (2)'!A279)</f>
        <v>18421.129999999997</v>
      </c>
      <c r="E279" s="550"/>
      <c r="F279">
        <f t="shared" si="4"/>
        <v>1</v>
      </c>
    </row>
    <row r="280" spans="1:6" ht="27.6" hidden="1">
      <c r="A280" s="436" t="s">
        <v>1473</v>
      </c>
      <c r="B280" s="463" t="s">
        <v>1433</v>
      </c>
      <c r="C280" s="463" t="s">
        <v>1478</v>
      </c>
      <c r="D280" s="550">
        <f>SUMIFS('Revised RAO'!Q:Q,'Revised RAO'!E:E,'Transactions for Import (2)'!A280)</f>
        <v>920</v>
      </c>
      <c r="E280" s="550"/>
      <c r="F280">
        <f t="shared" si="4"/>
        <v>1</v>
      </c>
    </row>
    <row r="281" spans="1:6" ht="27.6" hidden="1">
      <c r="A281" s="436" t="s">
        <v>1479</v>
      </c>
      <c r="B281" s="463" t="s">
        <v>1480</v>
      </c>
      <c r="C281" s="463" t="s">
        <v>1481</v>
      </c>
      <c r="D281" s="550">
        <f>SUMIFS('Revised RAO'!Q:Q,'Revised RAO'!E:E,'Transactions for Import (2)'!A281)</f>
        <v>2486</v>
      </c>
      <c r="E281" s="550"/>
      <c r="F281">
        <f t="shared" si="4"/>
        <v>1</v>
      </c>
    </row>
    <row r="282" spans="1:6" ht="41.4" hidden="1">
      <c r="A282" s="436" t="s">
        <v>1482</v>
      </c>
      <c r="B282" s="463" t="s">
        <v>1102</v>
      </c>
      <c r="C282" s="463" t="s">
        <v>1483</v>
      </c>
      <c r="D282" s="550">
        <f>SUMIFS('Revised RAO'!Q:Q,'Revised RAO'!E:E,'Transactions for Import (2)'!A282)</f>
        <v>1200</v>
      </c>
      <c r="E282" s="550"/>
      <c r="F282">
        <f t="shared" si="4"/>
        <v>1</v>
      </c>
    </row>
    <row r="283" spans="1:6" ht="27.6" hidden="1">
      <c r="A283" s="436" t="s">
        <v>1484</v>
      </c>
      <c r="B283" s="463" t="s">
        <v>1075</v>
      </c>
      <c r="C283" s="463" t="s">
        <v>1476</v>
      </c>
      <c r="D283" s="550">
        <f>SUMIFS('Revised RAO'!Q:Q,'Revised RAO'!E:E,'Transactions for Import (2)'!A283)</f>
        <v>13034</v>
      </c>
      <c r="E283" s="550"/>
      <c r="F283">
        <f t="shared" si="4"/>
        <v>1</v>
      </c>
    </row>
    <row r="284" spans="1:6" ht="27.6" hidden="1">
      <c r="A284" s="436" t="s">
        <v>1485</v>
      </c>
      <c r="B284" s="463" t="s">
        <v>1075</v>
      </c>
      <c r="C284" s="463" t="s">
        <v>1476</v>
      </c>
      <c r="D284" s="550">
        <f>SUMIFS('Revised RAO'!Q:Q,'Revised RAO'!E:E,'Transactions for Import (2)'!A284)</f>
        <v>21301.64</v>
      </c>
      <c r="E284" s="550"/>
      <c r="F284">
        <f t="shared" si="4"/>
        <v>1</v>
      </c>
    </row>
    <row r="285" spans="1:6" ht="41.4" hidden="1">
      <c r="A285" s="436" t="s">
        <v>1486</v>
      </c>
      <c r="B285" s="463" t="s">
        <v>1102</v>
      </c>
      <c r="C285" s="463" t="s">
        <v>1487</v>
      </c>
      <c r="D285" s="550">
        <f>SUMIFS('Revised RAO'!Q:Q,'Revised RAO'!E:E,'Transactions for Import (2)'!A285)</f>
        <v>1200</v>
      </c>
      <c r="E285" s="550"/>
      <c r="F285">
        <f t="shared" si="4"/>
        <v>1</v>
      </c>
    </row>
    <row r="286" spans="1:6" ht="27.6" hidden="1">
      <c r="A286" s="436" t="s">
        <v>1488</v>
      </c>
      <c r="B286" s="463" t="s">
        <v>800</v>
      </c>
      <c r="C286" s="463" t="s">
        <v>1489</v>
      </c>
      <c r="D286" s="550">
        <f>SUMIFS('Revised RAO'!Q:Q,'Revised RAO'!E:E,'Transactions for Import (2)'!A286)</f>
        <v>1500</v>
      </c>
      <c r="E286" s="550"/>
      <c r="F286">
        <f t="shared" si="4"/>
        <v>1</v>
      </c>
    </row>
    <row r="287" spans="1:6" ht="27.6" hidden="1">
      <c r="A287" s="436" t="s">
        <v>1490</v>
      </c>
      <c r="B287" s="463" t="s">
        <v>798</v>
      </c>
      <c r="C287" s="463" t="s">
        <v>1491</v>
      </c>
      <c r="D287" s="550">
        <f>SUMIFS('Revised RAO'!Q:Q,'Revised RAO'!E:E,'Transactions for Import (2)'!A287)</f>
        <v>350</v>
      </c>
      <c r="E287" s="550"/>
      <c r="F287">
        <f t="shared" si="4"/>
        <v>1</v>
      </c>
    </row>
    <row r="288" spans="1:6" ht="27.6" hidden="1">
      <c r="A288" s="436" t="s">
        <v>1492</v>
      </c>
      <c r="B288" s="463" t="s">
        <v>1433</v>
      </c>
      <c r="C288" s="463" t="s">
        <v>1493</v>
      </c>
      <c r="D288" s="550">
        <f>SUMIFS('Revised RAO'!Q:Q,'Revised RAO'!E:E,'Transactions for Import (2)'!A288)</f>
        <v>3800</v>
      </c>
      <c r="E288" s="550"/>
      <c r="F288">
        <f t="shared" si="4"/>
        <v>1</v>
      </c>
    </row>
    <row r="289" spans="1:6" ht="27.6" hidden="1">
      <c r="A289" s="436" t="s">
        <v>1494</v>
      </c>
      <c r="B289" s="463" t="s">
        <v>1108</v>
      </c>
      <c r="C289" s="463" t="s">
        <v>1495</v>
      </c>
      <c r="D289" s="550">
        <f>SUMIFS('Revised RAO'!Q:Q,'Revised RAO'!E:E,'Transactions for Import (2)'!A289)</f>
        <v>31800</v>
      </c>
      <c r="E289" s="550"/>
      <c r="F289">
        <f t="shared" si="4"/>
        <v>1</v>
      </c>
    </row>
    <row r="290" spans="1:6" ht="27.6" hidden="1">
      <c r="A290" s="436" t="s">
        <v>1496</v>
      </c>
      <c r="B290" s="463" t="s">
        <v>1433</v>
      </c>
      <c r="C290" s="463" t="s">
        <v>1497</v>
      </c>
      <c r="D290" s="550">
        <f>SUMIFS('Revised RAO'!Q:Q,'Revised RAO'!E:E,'Transactions for Import (2)'!A290)</f>
        <v>480</v>
      </c>
      <c r="E290" s="550"/>
      <c r="F290">
        <f t="shared" si="4"/>
        <v>1</v>
      </c>
    </row>
    <row r="291" spans="1:6" hidden="1">
      <c r="A291" s="436" t="s">
        <v>1498</v>
      </c>
      <c r="B291" s="463" t="s">
        <v>1499</v>
      </c>
      <c r="C291" s="463" t="s">
        <v>1500</v>
      </c>
      <c r="D291" s="550">
        <f>SUMIFS('Revised RAO'!Q:Q,'Revised RAO'!E:E,'Transactions for Import (2)'!A291)</f>
        <v>48000</v>
      </c>
      <c r="E291" s="550"/>
      <c r="F291">
        <f t="shared" si="4"/>
        <v>1</v>
      </c>
    </row>
    <row r="292" spans="1:6" ht="27.6">
      <c r="A292" s="436" t="s">
        <v>1501</v>
      </c>
      <c r="B292" s="463" t="s">
        <v>1030</v>
      </c>
      <c r="C292" s="463" t="s">
        <v>1502</v>
      </c>
      <c r="D292" s="550">
        <f>SUMIFS('Revised RAO'!Q:Q,'Revised RAO'!E:E,'Transactions for Import (2)'!A292)</f>
        <v>45808.9</v>
      </c>
      <c r="E292" s="550"/>
      <c r="F292">
        <f t="shared" si="4"/>
        <v>1</v>
      </c>
    </row>
    <row r="293" spans="1:6" ht="27.6">
      <c r="A293" s="436" t="s">
        <v>1503</v>
      </c>
      <c r="B293" s="463" t="s">
        <v>1030</v>
      </c>
      <c r="C293" s="463" t="s">
        <v>1504</v>
      </c>
      <c r="D293" s="550">
        <f>SUMIFS('Revised RAO'!Q:Q,'Revised RAO'!E:E,'Transactions for Import (2)'!A293)</f>
        <v>41497.269999999997</v>
      </c>
      <c r="E293" s="550"/>
      <c r="F293">
        <f t="shared" si="4"/>
        <v>1</v>
      </c>
    </row>
    <row r="294" spans="1:6" ht="27.6" hidden="1">
      <c r="A294" s="436" t="s">
        <v>1505</v>
      </c>
      <c r="B294" s="463" t="s">
        <v>1506</v>
      </c>
      <c r="C294" s="463" t="s">
        <v>1507</v>
      </c>
      <c r="D294" s="550">
        <f>SUMIFS('Revised RAO'!Q:Q,'Revised RAO'!E:E,'Transactions for Import (2)'!A294)</f>
        <v>76000</v>
      </c>
      <c r="E294" s="550"/>
      <c r="F294">
        <f t="shared" si="4"/>
        <v>1</v>
      </c>
    </row>
    <row r="295" spans="1:6" hidden="1">
      <c r="A295" s="436" t="s">
        <v>1508</v>
      </c>
      <c r="B295" s="463" t="s">
        <v>859</v>
      </c>
      <c r="C295" s="463" t="s">
        <v>1509</v>
      </c>
      <c r="D295" s="550">
        <f>SUMIFS('Revised RAO'!Q:Q,'Revised RAO'!E:E,'Transactions for Import (2)'!A295)</f>
        <v>2130</v>
      </c>
      <c r="E295" s="550"/>
      <c r="F295">
        <f t="shared" si="4"/>
        <v>1</v>
      </c>
    </row>
    <row r="296" spans="1:6" ht="41.4" hidden="1">
      <c r="A296" s="436" t="s">
        <v>1510</v>
      </c>
      <c r="B296" s="463" t="s">
        <v>1511</v>
      </c>
      <c r="C296" s="463" t="s">
        <v>1512</v>
      </c>
      <c r="D296" s="550">
        <f>SUMIFS('Revised RAO'!Q:Q,'Revised RAO'!E:E,'Transactions for Import (2)'!A296)</f>
        <v>5175</v>
      </c>
      <c r="E296" s="550"/>
      <c r="F296">
        <f t="shared" si="4"/>
        <v>1</v>
      </c>
    </row>
    <row r="297" spans="1:6" ht="41.4" hidden="1">
      <c r="A297" s="436" t="s">
        <v>1513</v>
      </c>
      <c r="B297" s="463" t="s">
        <v>799</v>
      </c>
      <c r="C297" s="463" t="s">
        <v>1515</v>
      </c>
      <c r="D297" s="550">
        <f>SUMIFS('Revised RAO'!Q:Q,'Revised RAO'!E:E,'Transactions for Import (2)'!A297)</f>
        <v>4200</v>
      </c>
      <c r="E297" s="550"/>
      <c r="F297">
        <f t="shared" si="4"/>
        <v>1</v>
      </c>
    </row>
    <row r="298" spans="1:6" ht="27.6" hidden="1">
      <c r="A298" s="436" t="s">
        <v>1516</v>
      </c>
      <c r="B298" s="463" t="s">
        <v>1245</v>
      </c>
      <c r="C298" s="463" t="s">
        <v>1517</v>
      </c>
      <c r="D298" s="550">
        <f>SUMIFS('Revised RAO'!Q:Q,'Revised RAO'!E:E,'Transactions for Import (2)'!A298)</f>
        <v>2688</v>
      </c>
      <c r="E298" s="550"/>
      <c r="F298">
        <f t="shared" si="4"/>
        <v>1</v>
      </c>
    </row>
    <row r="299" spans="1:6" ht="27.6" hidden="1">
      <c r="A299" s="436" t="s">
        <v>1518</v>
      </c>
      <c r="B299" s="463" t="s">
        <v>1354</v>
      </c>
      <c r="C299" s="463" t="s">
        <v>1519</v>
      </c>
      <c r="D299" s="550">
        <f>SUMIFS('Revised RAO'!Q:Q,'Revised RAO'!E:E,'Transactions for Import (2)'!A299)</f>
        <v>2500</v>
      </c>
      <c r="E299" s="550"/>
      <c r="F299">
        <f t="shared" si="4"/>
        <v>1</v>
      </c>
    </row>
    <row r="300" spans="1:6" ht="27.6" hidden="1">
      <c r="A300" s="436" t="s">
        <v>1520</v>
      </c>
      <c r="B300" s="463" t="s">
        <v>1433</v>
      </c>
      <c r="C300" s="463" t="s">
        <v>1521</v>
      </c>
      <c r="D300" s="550">
        <f>SUMIFS('Revised RAO'!Q:Q,'Revised RAO'!E:E,'Transactions for Import (2)'!A300)</f>
        <v>640</v>
      </c>
      <c r="E300" s="550"/>
      <c r="F300">
        <f t="shared" si="4"/>
        <v>1</v>
      </c>
    </row>
    <row r="301" spans="1:6" ht="27.6" hidden="1">
      <c r="A301" s="436" t="s">
        <v>1522</v>
      </c>
      <c r="B301" s="463" t="s">
        <v>1523</v>
      </c>
      <c r="C301" s="463" t="s">
        <v>1524</v>
      </c>
      <c r="D301" s="550">
        <f>SUMIFS('Revised RAO'!Q:Q,'Revised RAO'!E:E,'Transactions for Import (2)'!A301)</f>
        <v>33180</v>
      </c>
      <c r="E301" s="550"/>
      <c r="F301">
        <f t="shared" si="4"/>
        <v>1</v>
      </c>
    </row>
    <row r="302" spans="1:6" ht="27.6" hidden="1">
      <c r="A302" s="436" t="s">
        <v>1525</v>
      </c>
      <c r="B302" s="463" t="s">
        <v>773</v>
      </c>
      <c r="C302" s="463" t="s">
        <v>1526</v>
      </c>
      <c r="D302" s="550">
        <f>SUMIFS('Revised RAO'!Q:Q,'Revised RAO'!E:E,'Transactions for Import (2)'!A302)</f>
        <v>4355.8500000000004</v>
      </c>
      <c r="E302" s="550"/>
      <c r="F302">
        <f t="shared" si="4"/>
        <v>1</v>
      </c>
    </row>
    <row r="303" spans="1:6" ht="27.6" hidden="1">
      <c r="A303" s="436" t="s">
        <v>1527</v>
      </c>
      <c r="B303" s="460" t="s">
        <v>818</v>
      </c>
      <c r="C303" s="460" t="s">
        <v>1532</v>
      </c>
      <c r="D303" s="550">
        <f>SUMIFS('Revised RAO'!Q:Q,'Revised RAO'!E:E,'Transactions for Import (2)'!A303)</f>
        <v>792144.86</v>
      </c>
      <c r="E303" s="550"/>
      <c r="F303">
        <f t="shared" si="4"/>
        <v>1</v>
      </c>
    </row>
    <row r="304" spans="1:6" ht="27.6" hidden="1">
      <c r="A304" s="436" t="s">
        <v>1528</v>
      </c>
      <c r="B304" s="460" t="s">
        <v>820</v>
      </c>
      <c r="C304" s="460" t="s">
        <v>1532</v>
      </c>
      <c r="D304" s="550">
        <f>SUMIFS('Revised RAO'!Q:Q,'Revised RAO'!E:E,'Transactions for Import (2)'!A304)</f>
        <v>361782.69999999995</v>
      </c>
      <c r="E304" s="550"/>
      <c r="F304">
        <f t="shared" si="4"/>
        <v>1</v>
      </c>
    </row>
    <row r="305" spans="1:6" ht="27.6" hidden="1">
      <c r="A305" s="436" t="s">
        <v>1529</v>
      </c>
      <c r="B305" s="460" t="s">
        <v>821</v>
      </c>
      <c r="C305" s="460" t="s">
        <v>1532</v>
      </c>
      <c r="D305" s="550">
        <f>SUMIFS('Revised RAO'!Q:Q,'Revised RAO'!E:E,'Transactions for Import (2)'!A305)</f>
        <v>505666.32</v>
      </c>
      <c r="E305" s="550"/>
      <c r="F305">
        <f t="shared" si="4"/>
        <v>1</v>
      </c>
    </row>
    <row r="306" spans="1:6" ht="27.6" hidden="1">
      <c r="A306" s="436" t="s">
        <v>1530</v>
      </c>
      <c r="B306" s="460" t="s">
        <v>822</v>
      </c>
      <c r="C306" s="460" t="s">
        <v>1532</v>
      </c>
      <c r="D306" s="550">
        <f>SUMIFS('Revised RAO'!Q:Q,'Revised RAO'!E:E,'Transactions for Import (2)'!A306)</f>
        <v>532388.56000000006</v>
      </c>
      <c r="E306" s="550"/>
      <c r="F306">
        <f t="shared" si="4"/>
        <v>1</v>
      </c>
    </row>
    <row r="307" spans="1:6" ht="27.6" hidden="1">
      <c r="A307" s="436" t="s">
        <v>1531</v>
      </c>
      <c r="B307" s="460" t="s">
        <v>823</v>
      </c>
      <c r="C307" s="460" t="s">
        <v>1532</v>
      </c>
      <c r="D307" s="550">
        <f>SUMIFS('Revised RAO'!Q:Q,'Revised RAO'!E:E,'Transactions for Import (2)'!A307)</f>
        <v>345963.3</v>
      </c>
      <c r="E307" s="550"/>
      <c r="F307">
        <f t="shared" si="4"/>
        <v>1</v>
      </c>
    </row>
    <row r="308" spans="1:6" ht="27.6" hidden="1">
      <c r="A308" s="436" t="s">
        <v>1534</v>
      </c>
      <c r="B308" s="439" t="s">
        <v>821</v>
      </c>
      <c r="C308" s="439" t="s">
        <v>1535</v>
      </c>
      <c r="D308" s="550">
        <f>SUMIFS('Revised RAO'!Q:Q,'Revised RAO'!E:E,'Transactions for Import (2)'!A308)</f>
        <v>900000</v>
      </c>
      <c r="E308" s="550"/>
      <c r="F308">
        <f t="shared" si="4"/>
        <v>1</v>
      </c>
    </row>
    <row r="309" spans="1:6" ht="27.6" hidden="1">
      <c r="A309" s="436" t="s">
        <v>1536</v>
      </c>
      <c r="B309" s="463" t="s">
        <v>818</v>
      </c>
      <c r="C309" s="463" t="s">
        <v>1538</v>
      </c>
      <c r="D309" s="550">
        <f>SUMIFS('Revised RAO'!Q:Q,'Revised RAO'!E:E,'Transactions for Import (2)'!A309)</f>
        <v>345500</v>
      </c>
      <c r="E309" s="550"/>
      <c r="F309">
        <f t="shared" si="4"/>
        <v>1</v>
      </c>
    </row>
    <row r="310" spans="1:6" ht="27.6" hidden="1">
      <c r="A310" s="436" t="s">
        <v>1541</v>
      </c>
      <c r="B310" s="463" t="s">
        <v>1539</v>
      </c>
      <c r="C310" s="463" t="s">
        <v>1543</v>
      </c>
      <c r="D310" s="550">
        <f>SUMIFS('Revised RAO'!Q:Q,'Revised RAO'!E:E,'Transactions for Import (2)'!A310)</f>
        <v>466200</v>
      </c>
      <c r="E310" s="550"/>
      <c r="F310">
        <f t="shared" si="4"/>
        <v>1</v>
      </c>
    </row>
    <row r="311" spans="1:6" ht="27.6" hidden="1">
      <c r="A311" s="436" t="s">
        <v>1542</v>
      </c>
      <c r="B311" s="463" t="s">
        <v>1540</v>
      </c>
      <c r="C311" s="463" t="s">
        <v>1543</v>
      </c>
      <c r="D311" s="550">
        <f>SUMIFS('Revised RAO'!Q:Q,'Revised RAO'!E:E,'Transactions for Import (2)'!A311)</f>
        <v>205000</v>
      </c>
      <c r="E311" s="550"/>
      <c r="F311">
        <f t="shared" si="4"/>
        <v>1</v>
      </c>
    </row>
    <row r="312" spans="1:6" ht="27.6" hidden="1">
      <c r="A312" s="436" t="s">
        <v>1544</v>
      </c>
      <c r="B312" s="463" t="s">
        <v>818</v>
      </c>
      <c r="C312" s="463" t="s">
        <v>1545</v>
      </c>
      <c r="D312" s="550">
        <f>SUMIFS('Revised RAO'!Q:Q,'Revised RAO'!E:E,'Transactions for Import (2)'!A312)</f>
        <v>455476.19</v>
      </c>
      <c r="E312" s="550"/>
      <c r="F312">
        <f t="shared" si="4"/>
        <v>1</v>
      </c>
    </row>
    <row r="313" spans="1:6" ht="27.6" hidden="1">
      <c r="A313" s="436" t="s">
        <v>1546</v>
      </c>
      <c r="B313" s="463" t="s">
        <v>820</v>
      </c>
      <c r="C313" s="463" t="s">
        <v>1545</v>
      </c>
      <c r="D313" s="550">
        <f>SUMIFS('Revised RAO'!Q:Q,'Revised RAO'!E:E,'Transactions for Import (2)'!A313)</f>
        <v>284121.43</v>
      </c>
      <c r="E313" s="550"/>
      <c r="F313">
        <f t="shared" si="4"/>
        <v>1</v>
      </c>
    </row>
    <row r="314" spans="1:6" ht="27.6" hidden="1">
      <c r="A314" s="436" t="s">
        <v>1547</v>
      </c>
      <c r="B314" s="463" t="s">
        <v>1539</v>
      </c>
      <c r="C314" s="463" t="s">
        <v>1545</v>
      </c>
      <c r="D314" s="550">
        <f>SUMIFS('Revised RAO'!Q:Q,'Revised RAO'!E:E,'Transactions for Import (2)'!A314)</f>
        <v>241007.14</v>
      </c>
      <c r="E314" s="550"/>
      <c r="F314">
        <f t="shared" si="4"/>
        <v>1</v>
      </c>
    </row>
    <row r="315" spans="1:6" ht="27.6" hidden="1">
      <c r="A315" s="436" t="s">
        <v>1548</v>
      </c>
      <c r="B315" s="463" t="s">
        <v>1540</v>
      </c>
      <c r="C315" s="463" t="s">
        <v>1545</v>
      </c>
      <c r="D315" s="550">
        <f>SUMIFS('Revised RAO'!Q:Q,'Revised RAO'!E:E,'Transactions for Import (2)'!A315)</f>
        <v>321342.84999999998</v>
      </c>
      <c r="E315" s="550"/>
      <c r="F315">
        <f t="shared" si="4"/>
        <v>1</v>
      </c>
    </row>
    <row r="316" spans="1:6" ht="27.6" hidden="1">
      <c r="A316" s="436" t="s">
        <v>1549</v>
      </c>
      <c r="B316" s="463" t="s">
        <v>1075</v>
      </c>
      <c r="C316" s="463" t="s">
        <v>1551</v>
      </c>
      <c r="D316" s="550">
        <f>SUMIFS('Revised RAO'!Q:Q,'Revised RAO'!E:E,'Transactions for Import (2)'!A316)</f>
        <v>14120</v>
      </c>
      <c r="E316" s="550"/>
      <c r="F316">
        <f t="shared" si="4"/>
        <v>1</v>
      </c>
    </row>
    <row r="317" spans="1:6" ht="27.6" hidden="1">
      <c r="A317" s="436" t="s">
        <v>1550</v>
      </c>
      <c r="B317" s="463" t="s">
        <v>1075</v>
      </c>
      <c r="C317" s="463" t="s">
        <v>1551</v>
      </c>
      <c r="D317" s="550">
        <f>SUMIFS('Revised RAO'!Q:Q,'Revised RAO'!E:E,'Transactions for Import (2)'!A317)</f>
        <v>43786.5</v>
      </c>
      <c r="E317" s="550"/>
      <c r="F317">
        <f t="shared" si="4"/>
        <v>1</v>
      </c>
    </row>
    <row r="318" spans="1:6" hidden="1">
      <c r="A318" s="436" t="s">
        <v>1552</v>
      </c>
      <c r="B318" s="463" t="s">
        <v>1102</v>
      </c>
      <c r="C318" s="463" t="s">
        <v>1553</v>
      </c>
      <c r="D318" s="550">
        <f>SUMIFS('Revised RAO'!Q:Q,'Revised RAO'!E:E,'Transactions for Import (2)'!A318)</f>
        <v>1200</v>
      </c>
      <c r="E318" s="550"/>
      <c r="F318">
        <f t="shared" si="4"/>
        <v>1</v>
      </c>
    </row>
    <row r="319" spans="1:6" ht="27.6" hidden="1">
      <c r="A319" s="436" t="s">
        <v>1554</v>
      </c>
      <c r="B319" s="463" t="s">
        <v>818</v>
      </c>
      <c r="C319" s="463" t="s">
        <v>1556</v>
      </c>
      <c r="D319" s="550">
        <f>SUMIFS('Revised RAO'!Q:Q,'Revised RAO'!E:E,'Transactions for Import (2)'!A319)</f>
        <v>550000</v>
      </c>
      <c r="E319" s="550"/>
      <c r="F319">
        <f t="shared" si="4"/>
        <v>1</v>
      </c>
    </row>
    <row r="320" spans="1:6" ht="27.6" hidden="1">
      <c r="A320" s="436" t="s">
        <v>1557</v>
      </c>
      <c r="B320" s="463" t="s">
        <v>820</v>
      </c>
      <c r="C320" s="463" t="s">
        <v>1556</v>
      </c>
      <c r="D320" s="550">
        <f>SUMIFS('Revised RAO'!Q:Q,'Revised RAO'!E:E,'Transactions for Import (2)'!A320)</f>
        <v>550000</v>
      </c>
      <c r="E320" s="550"/>
      <c r="F320">
        <f t="shared" si="4"/>
        <v>1</v>
      </c>
    </row>
    <row r="321" spans="1:6" ht="27.6" hidden="1">
      <c r="A321" s="436" t="s">
        <v>1558</v>
      </c>
      <c r="B321" s="463" t="s">
        <v>1539</v>
      </c>
      <c r="C321" s="463" t="s">
        <v>1556</v>
      </c>
      <c r="D321" s="550">
        <f>SUMIFS('Revised RAO'!Q:Q,'Revised RAO'!E:E,'Transactions for Import (2)'!A321)</f>
        <v>600000</v>
      </c>
      <c r="E321" s="550"/>
      <c r="F321">
        <f t="shared" si="4"/>
        <v>1</v>
      </c>
    </row>
    <row r="322" spans="1:6" ht="27.6" hidden="1">
      <c r="A322" s="436" t="s">
        <v>1559</v>
      </c>
      <c r="B322" s="463" t="s">
        <v>822</v>
      </c>
      <c r="C322" s="463" t="s">
        <v>1556</v>
      </c>
      <c r="D322" s="550">
        <f>SUMIFS('Revised RAO'!Q:Q,'Revised RAO'!E:E,'Transactions for Import (2)'!A322)</f>
        <v>550000</v>
      </c>
      <c r="E322" s="550"/>
      <c r="F322">
        <f t="shared" si="4"/>
        <v>1</v>
      </c>
    </row>
    <row r="323" spans="1:6" ht="27.6" hidden="1">
      <c r="A323" s="436" t="s">
        <v>1560</v>
      </c>
      <c r="B323" s="463" t="s">
        <v>1540</v>
      </c>
      <c r="C323" s="463" t="s">
        <v>1556</v>
      </c>
      <c r="D323" s="550">
        <f>SUMIFS('Revised RAO'!Q:Q,'Revised RAO'!E:E,'Transactions for Import (2)'!A323)</f>
        <v>550000</v>
      </c>
      <c r="E323" s="550"/>
      <c r="F323">
        <f t="shared" ref="F323:F357" si="5">COUNTIFS($A$3:$A$357,A323)</f>
        <v>1</v>
      </c>
    </row>
    <row r="324" spans="1:6" ht="55.2" hidden="1">
      <c r="A324" s="436" t="s">
        <v>1561</v>
      </c>
      <c r="B324" s="463" t="s">
        <v>1562</v>
      </c>
      <c r="C324" s="463" t="s">
        <v>1563</v>
      </c>
      <c r="D324" s="550">
        <f>SUMIFS('Revised RAO'!Q:Q,'Revised RAO'!E:E,'Transactions for Import (2)'!A324)</f>
        <v>20000</v>
      </c>
      <c r="E324" s="550"/>
      <c r="F324">
        <f t="shared" si="5"/>
        <v>1</v>
      </c>
    </row>
    <row r="325" spans="1:6" ht="41.4" hidden="1">
      <c r="A325" s="404" t="s">
        <v>1564</v>
      </c>
      <c r="B325" s="409" t="s">
        <v>1565</v>
      </c>
      <c r="C325" s="409" t="s">
        <v>1566</v>
      </c>
      <c r="D325" s="550">
        <f>SUMIFS('Revised RAO'!Q:Q,'Revised RAO'!E:E,'Transactions for Import (2)'!A325)</f>
        <v>0</v>
      </c>
      <c r="E325" s="550"/>
      <c r="F325">
        <f t="shared" si="5"/>
        <v>1</v>
      </c>
    </row>
    <row r="326" spans="1:6" hidden="1">
      <c r="A326" s="436" t="s">
        <v>1567</v>
      </c>
      <c r="B326" s="463" t="s">
        <v>1315</v>
      </c>
      <c r="C326" s="463" t="s">
        <v>1568</v>
      </c>
      <c r="D326" s="550">
        <f>SUMIFS('Revised RAO'!Q:Q,'Revised RAO'!E:E,'Transactions for Import (2)'!A326)</f>
        <v>101505.45</v>
      </c>
      <c r="E326" s="550"/>
      <c r="F326">
        <f t="shared" si="5"/>
        <v>1</v>
      </c>
    </row>
    <row r="327" spans="1:6" hidden="1">
      <c r="A327" s="436" t="s">
        <v>1569</v>
      </c>
      <c r="B327" s="463" t="s">
        <v>1075</v>
      </c>
      <c r="C327" s="463" t="s">
        <v>1570</v>
      </c>
      <c r="D327" s="550">
        <f>SUMIFS('Revised RAO'!Q:Q,'Revised RAO'!E:E,'Transactions for Import (2)'!A327)</f>
        <v>13034</v>
      </c>
      <c r="E327" s="550"/>
      <c r="F327">
        <f t="shared" si="5"/>
        <v>1</v>
      </c>
    </row>
    <row r="328" spans="1:6" hidden="1">
      <c r="A328" s="436" t="s">
        <v>1571</v>
      </c>
      <c r="B328" s="463" t="s">
        <v>1572</v>
      </c>
      <c r="C328" s="463" t="s">
        <v>1573</v>
      </c>
      <c r="D328" s="550">
        <f>SUMIFS('Revised RAO'!Q:Q,'Revised RAO'!E:E,'Transactions for Import (2)'!A328)</f>
        <v>6850</v>
      </c>
      <c r="E328" s="550"/>
      <c r="F328">
        <f t="shared" si="5"/>
        <v>1</v>
      </c>
    </row>
    <row r="329" spans="1:6" ht="27.6" hidden="1">
      <c r="A329" s="436" t="s">
        <v>1574</v>
      </c>
      <c r="B329" s="463" t="s">
        <v>1102</v>
      </c>
      <c r="C329" s="463" t="s">
        <v>1575</v>
      </c>
      <c r="D329" s="550">
        <f>SUMIFS('Revised RAO'!Q:Q,'Revised RAO'!E:E,'Transactions for Import (2)'!A329)</f>
        <v>2500</v>
      </c>
      <c r="E329" s="550"/>
      <c r="F329">
        <f t="shared" si="5"/>
        <v>1</v>
      </c>
    </row>
    <row r="330" spans="1:6" ht="27.6" hidden="1">
      <c r="A330" s="436" t="s">
        <v>1576</v>
      </c>
      <c r="B330" s="463" t="s">
        <v>1577</v>
      </c>
      <c r="C330" s="463" t="s">
        <v>1578</v>
      </c>
      <c r="D330" s="550">
        <f>SUMIFS('Revised RAO'!Q:Q,'Revised RAO'!E:E,'Transactions for Import (2)'!A330)</f>
        <v>2511.36</v>
      </c>
      <c r="E330" s="550"/>
      <c r="F330">
        <f t="shared" si="5"/>
        <v>1</v>
      </c>
    </row>
    <row r="331" spans="1:6" hidden="1">
      <c r="A331" s="436" t="s">
        <v>1579</v>
      </c>
      <c r="B331" s="463" t="s">
        <v>1235</v>
      </c>
      <c r="C331" s="463" t="s">
        <v>1570</v>
      </c>
      <c r="D331" s="550">
        <f>SUMIFS('Revised RAO'!Q:Q,'Revised RAO'!E:E,'Transactions for Import (2)'!A331)</f>
        <v>10000</v>
      </c>
      <c r="E331" s="550"/>
      <c r="F331">
        <f t="shared" si="5"/>
        <v>1</v>
      </c>
    </row>
    <row r="332" spans="1:6" ht="27.6" hidden="1">
      <c r="A332" s="436" t="s">
        <v>1580</v>
      </c>
      <c r="B332" s="463" t="s">
        <v>779</v>
      </c>
      <c r="C332" s="463" t="s">
        <v>1581</v>
      </c>
      <c r="D332" s="550">
        <f>SUMIFS('Revised RAO'!Q:Q,'Revised RAO'!E:E,'Transactions for Import (2)'!A332)</f>
        <v>170501.47</v>
      </c>
      <c r="E332" s="550"/>
      <c r="F332">
        <f t="shared" si="5"/>
        <v>1</v>
      </c>
    </row>
    <row r="333" spans="1:6" ht="27.6" hidden="1">
      <c r="A333" s="436" t="s">
        <v>1582</v>
      </c>
      <c r="B333" s="463" t="s">
        <v>839</v>
      </c>
      <c r="C333" s="463" t="s">
        <v>1583</v>
      </c>
      <c r="D333" s="550">
        <f>SUMIFS('Revised RAO'!Q:Q,'Revised RAO'!E:E,'Transactions for Import (2)'!A333)</f>
        <v>7712.46</v>
      </c>
      <c r="E333" s="550"/>
      <c r="F333">
        <f t="shared" si="5"/>
        <v>1</v>
      </c>
    </row>
    <row r="334" spans="1:6" ht="27.6" hidden="1">
      <c r="A334" s="436" t="s">
        <v>1584</v>
      </c>
      <c r="B334" s="463" t="s">
        <v>1315</v>
      </c>
      <c r="C334" s="463" t="s">
        <v>1585</v>
      </c>
      <c r="D334" s="550">
        <f>SUMIFS('Revised RAO'!Q:Q,'Revised RAO'!E:E,'Transactions for Import (2)'!A334)</f>
        <v>9559.2900000000009</v>
      </c>
      <c r="E334" s="550"/>
      <c r="F334">
        <f t="shared" si="5"/>
        <v>1</v>
      </c>
    </row>
    <row r="335" spans="1:6" hidden="1">
      <c r="A335" s="436" t="s">
        <v>1586</v>
      </c>
      <c r="B335" s="463" t="s">
        <v>818</v>
      </c>
      <c r="C335" s="463" t="s">
        <v>1587</v>
      </c>
      <c r="D335" s="550">
        <f>SUMIFS('Revised RAO'!Q:Q,'Revised RAO'!E:E,'Transactions for Import (2)'!A335)</f>
        <v>51050</v>
      </c>
      <c r="E335" s="550"/>
      <c r="F335">
        <f t="shared" si="5"/>
        <v>1</v>
      </c>
    </row>
    <row r="336" spans="1:6" hidden="1">
      <c r="A336" s="436" t="s">
        <v>1588</v>
      </c>
      <c r="B336" s="463" t="s">
        <v>820</v>
      </c>
      <c r="C336" s="463" t="s">
        <v>1587</v>
      </c>
      <c r="D336" s="550">
        <f>SUMIFS('Revised RAO'!Q:Q,'Revised RAO'!E:E,'Transactions for Import (2)'!A336)</f>
        <v>100000</v>
      </c>
      <c r="E336" s="550"/>
      <c r="F336">
        <f t="shared" si="5"/>
        <v>1</v>
      </c>
    </row>
    <row r="337" spans="1:6" hidden="1">
      <c r="A337" s="436" t="s">
        <v>1589</v>
      </c>
      <c r="B337" s="463" t="s">
        <v>1539</v>
      </c>
      <c r="C337" s="463" t="s">
        <v>1587</v>
      </c>
      <c r="D337" s="550">
        <f>SUMIFS('Revised RAO'!Q:Q,'Revised RAO'!E:E,'Transactions for Import (2)'!A337)</f>
        <v>99030</v>
      </c>
      <c r="E337" s="550"/>
      <c r="F337">
        <f t="shared" si="5"/>
        <v>1</v>
      </c>
    </row>
    <row r="338" spans="1:6" hidden="1">
      <c r="A338" s="436" t="s">
        <v>1591</v>
      </c>
      <c r="B338" s="463" t="s">
        <v>1540</v>
      </c>
      <c r="C338" s="463" t="s">
        <v>1590</v>
      </c>
      <c r="D338" s="550">
        <f>SUMIFS('Revised RAO'!Q:Q,'Revised RAO'!E:E,'Transactions for Import (2)'!A338)</f>
        <v>10250</v>
      </c>
      <c r="E338" s="550"/>
      <c r="F338">
        <f t="shared" si="5"/>
        <v>1</v>
      </c>
    </row>
    <row r="339" spans="1:6" ht="41.4">
      <c r="A339" s="436" t="s">
        <v>1592</v>
      </c>
      <c r="B339" s="463" t="s">
        <v>1030</v>
      </c>
      <c r="C339" s="463" t="s">
        <v>1593</v>
      </c>
      <c r="D339" s="550">
        <f>SUMIFS('Revised RAO'!Q:Q,'Revised RAO'!E:E,'Transactions for Import (2)'!A339)</f>
        <v>11455.25</v>
      </c>
      <c r="E339" s="550"/>
      <c r="F339">
        <f t="shared" si="5"/>
        <v>1</v>
      </c>
    </row>
    <row r="340" spans="1:6" ht="41.4" hidden="1">
      <c r="A340" s="436" t="s">
        <v>1594</v>
      </c>
      <c r="B340" s="463" t="s">
        <v>1342</v>
      </c>
      <c r="C340" s="463" t="s">
        <v>1595</v>
      </c>
      <c r="D340" s="550">
        <f>SUMIFS('Revised RAO'!Q:Q,'Revised RAO'!E:E,'Transactions for Import (2)'!A340)</f>
        <v>8164.75</v>
      </c>
      <c r="E340" s="550"/>
      <c r="F340">
        <f t="shared" si="5"/>
        <v>1</v>
      </c>
    </row>
    <row r="341" spans="1:6" ht="27.6" hidden="1">
      <c r="A341" s="436" t="s">
        <v>1596</v>
      </c>
      <c r="B341" s="463" t="s">
        <v>1075</v>
      </c>
      <c r="C341" s="463" t="s">
        <v>1597</v>
      </c>
      <c r="D341" s="550">
        <f>SUMIFS('Revised RAO'!Q:Q,'Revised RAO'!E:E,'Transactions for Import (2)'!A341)</f>
        <v>22316</v>
      </c>
      <c r="E341" s="550"/>
      <c r="F341">
        <f t="shared" si="5"/>
        <v>1</v>
      </c>
    </row>
    <row r="342" spans="1:6" ht="27.6" hidden="1">
      <c r="A342" s="436" t="s">
        <v>1598</v>
      </c>
      <c r="B342" s="439" t="s">
        <v>823</v>
      </c>
      <c r="C342" s="439" t="s">
        <v>1600</v>
      </c>
      <c r="D342" s="550">
        <f>SUMIFS('Revised RAO'!Q:Q,'Revised RAO'!E:E,'Transactions for Import (2)'!A342)</f>
        <v>256101</v>
      </c>
      <c r="E342" s="550"/>
      <c r="F342">
        <f t="shared" si="5"/>
        <v>1</v>
      </c>
    </row>
    <row r="343" spans="1:6" ht="27.6" hidden="1">
      <c r="A343" s="436" t="s">
        <v>1599</v>
      </c>
      <c r="B343" s="439" t="s">
        <v>821</v>
      </c>
      <c r="C343" s="439" t="s">
        <v>1600</v>
      </c>
      <c r="D343" s="550">
        <f>SUMIFS('Revised RAO'!Q:Q,'Revised RAO'!E:E,'Transactions for Import (2)'!A343)</f>
        <v>184464</v>
      </c>
      <c r="E343" s="550"/>
      <c r="F343">
        <f t="shared" si="5"/>
        <v>1</v>
      </c>
    </row>
    <row r="344" spans="1:6" ht="27.6" hidden="1">
      <c r="A344" s="436" t="s">
        <v>1601</v>
      </c>
      <c r="B344" s="463" t="s">
        <v>820</v>
      </c>
      <c r="C344" s="439" t="s">
        <v>1602</v>
      </c>
      <c r="D344" s="550">
        <f>SUMIFS('Revised RAO'!Q:Q,'Revised RAO'!E:E,'Transactions for Import (2)'!A344)</f>
        <v>1464950</v>
      </c>
      <c r="E344" s="550"/>
      <c r="F344">
        <f t="shared" si="5"/>
        <v>1</v>
      </c>
    </row>
    <row r="345" spans="1:6" ht="27.6" hidden="1">
      <c r="A345" s="436" t="s">
        <v>1603</v>
      </c>
      <c r="B345" s="463" t="s">
        <v>1539</v>
      </c>
      <c r="C345" s="463" t="s">
        <v>1602</v>
      </c>
      <c r="D345" s="550">
        <f>SUMIFS('Revised RAO'!Q:Q,'Revised RAO'!E:E,'Transactions for Import (2)'!A345)</f>
        <v>1266031.21</v>
      </c>
      <c r="E345" s="550"/>
      <c r="F345">
        <f t="shared" si="5"/>
        <v>1</v>
      </c>
    </row>
    <row r="346" spans="1:6" hidden="1">
      <c r="A346" s="436" t="s">
        <v>1604</v>
      </c>
      <c r="B346" s="463" t="s">
        <v>818</v>
      </c>
      <c r="C346" s="463" t="s">
        <v>1605</v>
      </c>
      <c r="D346" s="550">
        <f>SUMIFS('Revised RAO'!Q:Q,'Revised RAO'!E:E,'Transactions for Import (2)'!A346)</f>
        <v>348243.76</v>
      </c>
      <c r="E346" s="550"/>
      <c r="F346">
        <f t="shared" si="5"/>
        <v>1</v>
      </c>
    </row>
    <row r="347" spans="1:6" hidden="1">
      <c r="A347" s="436" t="s">
        <v>1606</v>
      </c>
      <c r="B347" s="463" t="s">
        <v>1539</v>
      </c>
      <c r="C347" s="463" t="s">
        <v>1605</v>
      </c>
      <c r="D347" s="550">
        <f>SUMIFS('Revised RAO'!Q:Q,'Revised RAO'!E:E,'Transactions for Import (2)'!A347)</f>
        <v>333817.76</v>
      </c>
      <c r="E347" s="550"/>
      <c r="F347">
        <f t="shared" si="5"/>
        <v>1</v>
      </c>
    </row>
    <row r="348" spans="1:6" hidden="1">
      <c r="A348" s="436" t="s">
        <v>1607</v>
      </c>
      <c r="B348" s="463" t="s">
        <v>1540</v>
      </c>
      <c r="C348" s="463" t="s">
        <v>1605</v>
      </c>
      <c r="D348" s="550">
        <f>SUMIFS('Revised RAO'!Q:Q,'Revised RAO'!E:E,'Transactions for Import (2)'!A348)</f>
        <v>348243.76</v>
      </c>
      <c r="E348" s="550"/>
      <c r="F348">
        <f t="shared" si="5"/>
        <v>1</v>
      </c>
    </row>
    <row r="349" spans="1:6" ht="27.6" hidden="1">
      <c r="A349" s="436" t="s">
        <v>1608</v>
      </c>
      <c r="B349" s="463" t="s">
        <v>822</v>
      </c>
      <c r="C349" s="463" t="s">
        <v>1602</v>
      </c>
      <c r="D349" s="550">
        <f>SUMIFS('Revised RAO'!Q:Q,'Revised RAO'!E:E,'Transactions for Import (2)'!A349)</f>
        <v>760350</v>
      </c>
      <c r="E349" s="550"/>
      <c r="F349">
        <f t="shared" si="5"/>
        <v>1</v>
      </c>
    </row>
    <row r="350" spans="1:6" ht="27.6" hidden="1">
      <c r="A350" s="436" t="s">
        <v>1609</v>
      </c>
      <c r="B350" s="463" t="s">
        <v>818</v>
      </c>
      <c r="C350" s="463" t="s">
        <v>1610</v>
      </c>
      <c r="D350" s="550">
        <f>SUMIFS('Revised RAO'!Q:Q,'Revised RAO'!E:E,'Transactions for Import (2)'!A350)</f>
        <v>194400</v>
      </c>
      <c r="E350" s="550"/>
      <c r="F350">
        <f t="shared" si="5"/>
        <v>1</v>
      </c>
    </row>
    <row r="351" spans="1:6" ht="27.6" hidden="1">
      <c r="A351" s="436" t="s">
        <v>1611</v>
      </c>
      <c r="B351" s="463" t="s">
        <v>1539</v>
      </c>
      <c r="C351" s="463" t="s">
        <v>1610</v>
      </c>
      <c r="D351" s="550">
        <f>SUMIFS('Revised RAO'!Q:Q,'Revised RAO'!E:E,'Transactions for Import (2)'!A351)</f>
        <v>194400</v>
      </c>
      <c r="E351" s="550"/>
      <c r="F351">
        <f t="shared" si="5"/>
        <v>1</v>
      </c>
    </row>
    <row r="352" spans="1:6" ht="27.6" hidden="1">
      <c r="A352" s="436" t="s">
        <v>1612</v>
      </c>
      <c r="B352" s="463" t="s">
        <v>1540</v>
      </c>
      <c r="C352" s="463" t="s">
        <v>1610</v>
      </c>
      <c r="D352" s="550">
        <f>SUMIFS('Revised RAO'!Q:Q,'Revised RAO'!E:E,'Transactions for Import (2)'!A352)</f>
        <v>194400</v>
      </c>
      <c r="E352" s="550"/>
      <c r="F352">
        <f t="shared" si="5"/>
        <v>1</v>
      </c>
    </row>
    <row r="353" spans="1:6" ht="27.6" hidden="1">
      <c r="A353" s="352" t="s">
        <v>1614</v>
      </c>
      <c r="B353" s="463" t="s">
        <v>822</v>
      </c>
      <c r="C353" s="463" t="s">
        <v>1615</v>
      </c>
      <c r="D353" s="550">
        <f>SUMIFS('Revised RAO'!Q:Q,'Revised RAO'!E:E,'Transactions for Import (2)'!A353)</f>
        <v>640000</v>
      </c>
      <c r="E353" s="550"/>
      <c r="F353">
        <f t="shared" si="5"/>
        <v>1</v>
      </c>
    </row>
    <row r="354" spans="1:6" hidden="1">
      <c r="A354" s="352" t="s">
        <v>1616</v>
      </c>
      <c r="B354" s="463" t="s">
        <v>822</v>
      </c>
      <c r="C354" s="463" t="s">
        <v>1145</v>
      </c>
      <c r="D354" s="550">
        <f>SUMIFS('Revised RAO'!Q:Q,'Revised RAO'!E:E,'Transactions for Import (2)'!A354)</f>
        <v>287809.53000000003</v>
      </c>
      <c r="E354" s="550"/>
      <c r="F354">
        <f t="shared" si="5"/>
        <v>1</v>
      </c>
    </row>
    <row r="355" spans="1:6" ht="41.4" hidden="1">
      <c r="A355" s="352" t="s">
        <v>1618</v>
      </c>
      <c r="B355" s="463" t="s">
        <v>1102</v>
      </c>
      <c r="C355" s="463" t="s">
        <v>1617</v>
      </c>
      <c r="D355" s="550">
        <f>SUMIFS('Revised RAO'!Q:Q,'Revised RAO'!E:E,'Transactions for Import (2)'!A355)</f>
        <v>3500</v>
      </c>
      <c r="E355" s="550"/>
      <c r="F355">
        <f t="shared" si="5"/>
        <v>1</v>
      </c>
    </row>
    <row r="356" spans="1:6" ht="41.4" hidden="1">
      <c r="A356" s="352" t="s">
        <v>1619</v>
      </c>
      <c r="B356" s="463" t="s">
        <v>6</v>
      </c>
      <c r="C356" s="463" t="s">
        <v>1620</v>
      </c>
      <c r="D356" s="550">
        <f>SUMIFS('Revised RAO'!Q:Q,'Revised RAO'!E:E,'Transactions for Import (2)'!A356)</f>
        <v>12000</v>
      </c>
      <c r="E356" s="550"/>
      <c r="F356">
        <f t="shared" si="5"/>
        <v>1</v>
      </c>
    </row>
    <row r="357" spans="1:6" ht="27.6" hidden="1">
      <c r="A357" s="352" t="s">
        <v>1622</v>
      </c>
      <c r="B357" s="463" t="s">
        <v>797</v>
      </c>
      <c r="C357" s="463" t="s">
        <v>1621</v>
      </c>
      <c r="D357" s="550">
        <f>SUMIFS('Revised RAO'!Q:Q,'Revised RAO'!E:E,'Transactions for Import (2)'!A357)</f>
        <v>4800</v>
      </c>
      <c r="E357" s="550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1" customWidth="1"/>
    <col min="10" max="10" width="9.88671875" customWidth="1"/>
  </cols>
  <sheetData>
    <row r="1" spans="1:10">
      <c r="H1" s="542" t="s">
        <v>1644</v>
      </c>
      <c r="I1" s="542" t="s">
        <v>1645</v>
      </c>
    </row>
    <row r="2" spans="1:10" ht="27.6">
      <c r="A2" s="543" t="s">
        <v>1646</v>
      </c>
      <c r="B2" s="543" t="s">
        <v>1647</v>
      </c>
      <c r="C2" s="543" t="s">
        <v>1648</v>
      </c>
      <c r="D2" s="543" t="s">
        <v>1649</v>
      </c>
      <c r="E2" s="543" t="s">
        <v>1650</v>
      </c>
      <c r="F2" s="543" t="s">
        <v>1651</v>
      </c>
      <c r="G2" s="543" t="s">
        <v>1652</v>
      </c>
      <c r="H2" s="543" t="s">
        <v>1653</v>
      </c>
      <c r="I2" s="544" t="s">
        <v>1654</v>
      </c>
      <c r="J2" s="544"/>
    </row>
    <row r="3" spans="1:10">
      <c r="A3" s="545">
        <v>1</v>
      </c>
      <c r="B3" s="545">
        <v>1999</v>
      </c>
      <c r="C3" s="545" t="s">
        <v>1655</v>
      </c>
      <c r="D3" s="545"/>
      <c r="E3" s="545" t="s">
        <v>1656</v>
      </c>
      <c r="F3" s="545" t="s">
        <v>1656</v>
      </c>
      <c r="G3" s="545" t="s">
        <v>1656</v>
      </c>
      <c r="H3" s="542" t="s">
        <v>1657</v>
      </c>
      <c r="I3" s="542">
        <v>2144</v>
      </c>
      <c r="J3" s="546" t="s">
        <v>94</v>
      </c>
    </row>
    <row r="4" spans="1:10">
      <c r="A4" s="545">
        <v>2</v>
      </c>
      <c r="B4" s="545">
        <v>2000</v>
      </c>
      <c r="C4" s="545" t="s">
        <v>1658</v>
      </c>
      <c r="D4" s="545"/>
      <c r="E4" s="545" t="s">
        <v>1656</v>
      </c>
      <c r="F4" s="545" t="s">
        <v>1656</v>
      </c>
      <c r="G4" s="545" t="s">
        <v>1656</v>
      </c>
      <c r="H4" s="542" t="s">
        <v>1657</v>
      </c>
      <c r="I4" s="542">
        <v>2013</v>
      </c>
      <c r="J4" s="546" t="s">
        <v>97</v>
      </c>
    </row>
    <row r="5" spans="1:10">
      <c r="A5" s="545">
        <v>3</v>
      </c>
      <c r="B5" s="545">
        <v>2001</v>
      </c>
      <c r="C5" s="545" t="s">
        <v>823</v>
      </c>
      <c r="D5" s="545"/>
      <c r="E5" s="545" t="s">
        <v>1656</v>
      </c>
      <c r="F5" s="545" t="s">
        <v>1656</v>
      </c>
      <c r="G5" s="545" t="s">
        <v>1656</v>
      </c>
      <c r="H5" s="542" t="s">
        <v>1644</v>
      </c>
      <c r="I5" s="542" t="s">
        <v>1645</v>
      </c>
      <c r="J5" s="546" t="s">
        <v>95</v>
      </c>
    </row>
    <row r="6" spans="1:10">
      <c r="A6" s="545">
        <v>4</v>
      </c>
      <c r="B6" s="545">
        <v>2002</v>
      </c>
      <c r="C6" s="545" t="s">
        <v>1245</v>
      </c>
      <c r="D6" s="545"/>
      <c r="E6" s="545" t="s">
        <v>1656</v>
      </c>
      <c r="F6" s="545" t="s">
        <v>1656</v>
      </c>
      <c r="G6" s="545" t="s">
        <v>1656</v>
      </c>
      <c r="H6" s="542" t="s">
        <v>1644</v>
      </c>
      <c r="I6" s="542" t="s">
        <v>1645</v>
      </c>
      <c r="J6" s="546"/>
    </row>
    <row r="7" spans="1:10">
      <c r="A7" s="545">
        <v>5</v>
      </c>
      <c r="B7" s="545">
        <v>2003</v>
      </c>
      <c r="C7" s="545" t="s">
        <v>1102</v>
      </c>
      <c r="D7" s="545"/>
      <c r="E7" s="545" t="s">
        <v>1656</v>
      </c>
      <c r="F7" s="545" t="s">
        <v>1656</v>
      </c>
      <c r="G7" s="545" t="s">
        <v>1656</v>
      </c>
      <c r="H7" s="542" t="s">
        <v>1644</v>
      </c>
      <c r="I7" s="542" t="s">
        <v>1645</v>
      </c>
      <c r="J7" s="546"/>
    </row>
    <row r="8" spans="1:10">
      <c r="A8" s="545">
        <v>6</v>
      </c>
      <c r="B8" s="545">
        <v>2004</v>
      </c>
      <c r="C8" s="545" t="s">
        <v>1659</v>
      </c>
      <c r="D8" s="545"/>
      <c r="E8" s="545" t="s">
        <v>1656</v>
      </c>
      <c r="F8" s="545" t="s">
        <v>1656</v>
      </c>
      <c r="G8" s="545" t="s">
        <v>1656</v>
      </c>
      <c r="H8" s="542" t="s">
        <v>1644</v>
      </c>
      <c r="I8" s="542" t="s">
        <v>1645</v>
      </c>
      <c r="J8" s="546"/>
    </row>
    <row r="9" spans="1:10">
      <c r="A9" s="545">
        <v>7</v>
      </c>
      <c r="B9" s="545">
        <v>2005</v>
      </c>
      <c r="C9" s="545" t="s">
        <v>1660</v>
      </c>
      <c r="D9" s="545"/>
      <c r="E9" s="545" t="s">
        <v>1656</v>
      </c>
      <c r="F9" s="545" t="s">
        <v>1656</v>
      </c>
      <c r="G9" s="545" t="s">
        <v>1656</v>
      </c>
      <c r="H9" s="542"/>
      <c r="I9" s="542"/>
      <c r="J9" s="546"/>
    </row>
    <row r="10" spans="1:10">
      <c r="A10" s="545">
        <v>8</v>
      </c>
      <c r="B10" s="545">
        <v>2006</v>
      </c>
      <c r="C10" s="545" t="s">
        <v>1661</v>
      </c>
      <c r="D10" s="545"/>
      <c r="E10" s="545" t="s">
        <v>1656</v>
      </c>
      <c r="F10" s="545" t="s">
        <v>1656</v>
      </c>
      <c r="G10" s="545" t="s">
        <v>1656</v>
      </c>
      <c r="H10" s="542"/>
      <c r="I10" s="542"/>
      <c r="J10" s="546"/>
    </row>
    <row r="11" spans="1:10">
      <c r="A11" s="545">
        <v>9</v>
      </c>
      <c r="B11" s="545">
        <v>2007</v>
      </c>
      <c r="C11" s="545" t="s">
        <v>1662</v>
      </c>
      <c r="D11" s="545"/>
      <c r="E11" s="545" t="s">
        <v>1656</v>
      </c>
      <c r="F11" s="545" t="s">
        <v>1656</v>
      </c>
      <c r="G11" s="545" t="s">
        <v>1656</v>
      </c>
      <c r="H11" s="542"/>
      <c r="I11" s="542"/>
      <c r="J11" s="546"/>
    </row>
    <row r="12" spans="1:10">
      <c r="A12" s="545">
        <v>10</v>
      </c>
      <c r="B12" s="545">
        <v>2008</v>
      </c>
      <c r="C12" s="545" t="s">
        <v>1663</v>
      </c>
      <c r="D12" s="545"/>
      <c r="E12" s="545" t="s">
        <v>1656</v>
      </c>
      <c r="F12" s="545" t="s">
        <v>1656</v>
      </c>
      <c r="G12" s="545" t="s">
        <v>1656</v>
      </c>
      <c r="H12" s="542"/>
      <c r="I12" s="542"/>
      <c r="J12" s="546"/>
    </row>
    <row r="13" spans="1:10">
      <c r="A13" s="545">
        <v>11</v>
      </c>
      <c r="B13" s="545">
        <v>2009</v>
      </c>
      <c r="C13" s="545" t="s">
        <v>1664</v>
      </c>
      <c r="D13" s="545"/>
      <c r="E13" s="545" t="s">
        <v>1656</v>
      </c>
      <c r="F13" s="545" t="s">
        <v>1656</v>
      </c>
      <c r="G13" s="545" t="s">
        <v>1656</v>
      </c>
      <c r="H13" s="542" t="s">
        <v>1657</v>
      </c>
      <c r="I13" s="542">
        <v>2030</v>
      </c>
      <c r="J13" s="546"/>
    </row>
    <row r="14" spans="1:10">
      <c r="A14" s="545">
        <v>12</v>
      </c>
      <c r="B14" s="545">
        <v>2010</v>
      </c>
      <c r="C14" s="545" t="s">
        <v>821</v>
      </c>
      <c r="D14" s="545"/>
      <c r="E14" s="545" t="s">
        <v>1656</v>
      </c>
      <c r="F14" s="545" t="s">
        <v>1656</v>
      </c>
      <c r="G14" s="545" t="s">
        <v>1656</v>
      </c>
      <c r="H14" s="542" t="s">
        <v>1657</v>
      </c>
      <c r="I14" s="542">
        <v>2145</v>
      </c>
      <c r="J14" s="546" t="s">
        <v>96</v>
      </c>
    </row>
    <row r="15" spans="1:10">
      <c r="A15" s="545">
        <v>13</v>
      </c>
      <c r="B15" s="545">
        <v>2011</v>
      </c>
      <c r="C15" s="545" t="s">
        <v>1665</v>
      </c>
      <c r="D15" s="545"/>
      <c r="E15" s="545" t="s">
        <v>1656</v>
      </c>
      <c r="F15" s="545" t="s">
        <v>1656</v>
      </c>
      <c r="G15" s="545" t="s">
        <v>1656</v>
      </c>
      <c r="H15" s="542" t="s">
        <v>1657</v>
      </c>
      <c r="I15" s="542">
        <v>2144</v>
      </c>
      <c r="J15" s="546" t="s">
        <v>94</v>
      </c>
    </row>
    <row r="16" spans="1:10">
      <c r="A16" s="545">
        <v>14</v>
      </c>
      <c r="B16" s="545">
        <v>2012</v>
      </c>
      <c r="C16" s="545" t="s">
        <v>1666</v>
      </c>
      <c r="D16" s="545"/>
      <c r="E16" s="545" t="s">
        <v>1656</v>
      </c>
      <c r="F16" s="545" t="s">
        <v>1656</v>
      </c>
      <c r="G16" s="545" t="s">
        <v>1656</v>
      </c>
      <c r="H16" s="542" t="s">
        <v>1657</v>
      </c>
      <c r="I16" s="542">
        <v>2145</v>
      </c>
      <c r="J16" s="546" t="s">
        <v>96</v>
      </c>
    </row>
    <row r="17" spans="1:10">
      <c r="A17" s="545">
        <v>15</v>
      </c>
      <c r="B17" s="545">
        <v>2013</v>
      </c>
      <c r="C17" s="545" t="s">
        <v>822</v>
      </c>
      <c r="D17" s="545"/>
      <c r="E17" s="545" t="s">
        <v>1656</v>
      </c>
      <c r="F17" s="545" t="s">
        <v>1656</v>
      </c>
      <c r="G17" s="545" t="s">
        <v>1656</v>
      </c>
      <c r="H17" s="542" t="s">
        <v>1644</v>
      </c>
      <c r="I17" s="542" t="s">
        <v>1645</v>
      </c>
      <c r="J17" s="546" t="s">
        <v>97</v>
      </c>
    </row>
    <row r="18" spans="1:10">
      <c r="A18" s="545">
        <v>16</v>
      </c>
      <c r="B18" s="545">
        <v>2014</v>
      </c>
      <c r="C18" s="545" t="s">
        <v>818</v>
      </c>
      <c r="D18" s="545"/>
      <c r="E18" s="545" t="s">
        <v>1656</v>
      </c>
      <c r="F18" s="545" t="s">
        <v>1656</v>
      </c>
      <c r="G18" s="545" t="s">
        <v>1656</v>
      </c>
      <c r="H18" s="542" t="s">
        <v>1644</v>
      </c>
      <c r="I18" s="542" t="s">
        <v>1645</v>
      </c>
      <c r="J18" s="546" t="s">
        <v>93</v>
      </c>
    </row>
    <row r="19" spans="1:10">
      <c r="A19" s="545">
        <v>17</v>
      </c>
      <c r="B19" s="545">
        <v>2015</v>
      </c>
      <c r="C19" s="545" t="s">
        <v>1667</v>
      </c>
      <c r="D19" s="545"/>
      <c r="E19" s="545" t="s">
        <v>1656</v>
      </c>
      <c r="F19" s="545" t="s">
        <v>1656</v>
      </c>
      <c r="G19" s="545" t="s">
        <v>1656</v>
      </c>
      <c r="H19" s="542"/>
      <c r="I19" s="542"/>
      <c r="J19" s="546"/>
    </row>
    <row r="20" spans="1:10">
      <c r="A20" s="545">
        <v>18</v>
      </c>
      <c r="B20" s="545">
        <v>2016</v>
      </c>
      <c r="C20" s="545" t="s">
        <v>1668</v>
      </c>
      <c r="D20" s="545"/>
      <c r="E20" s="545" t="s">
        <v>1656</v>
      </c>
      <c r="F20" s="545" t="s">
        <v>1656</v>
      </c>
      <c r="G20" s="545" t="s">
        <v>1656</v>
      </c>
      <c r="H20" s="542" t="s">
        <v>1657</v>
      </c>
      <c r="I20" s="542">
        <v>2047</v>
      </c>
      <c r="J20" s="546"/>
    </row>
    <row r="21" spans="1:10">
      <c r="A21" s="545">
        <v>19</v>
      </c>
      <c r="B21" s="545">
        <v>2017</v>
      </c>
      <c r="C21" s="545" t="s">
        <v>1669</v>
      </c>
      <c r="D21" s="545"/>
      <c r="E21" s="545" t="s">
        <v>1656</v>
      </c>
      <c r="F21" s="545" t="s">
        <v>1656</v>
      </c>
      <c r="G21" s="545" t="s">
        <v>1656</v>
      </c>
      <c r="H21" s="542" t="s">
        <v>1657</v>
      </c>
      <c r="I21" s="542">
        <v>2048</v>
      </c>
      <c r="J21" s="546"/>
    </row>
    <row r="22" spans="1:10">
      <c r="A22" s="545">
        <v>20</v>
      </c>
      <c r="B22" s="545">
        <v>2018</v>
      </c>
      <c r="C22" s="545" t="s">
        <v>1670</v>
      </c>
      <c r="D22" s="545"/>
      <c r="E22" s="545" t="s">
        <v>1656</v>
      </c>
      <c r="F22" s="545" t="s">
        <v>1656</v>
      </c>
      <c r="G22" s="545" t="s">
        <v>1656</v>
      </c>
      <c r="H22" s="542" t="s">
        <v>1644</v>
      </c>
      <c r="I22" s="542" t="s">
        <v>1645</v>
      </c>
      <c r="J22" s="546"/>
    </row>
    <row r="23" spans="1:10">
      <c r="A23" s="545">
        <v>21</v>
      </c>
      <c r="B23" s="545">
        <v>2019</v>
      </c>
      <c r="C23" s="545" t="s">
        <v>1671</v>
      </c>
      <c r="D23" s="545"/>
      <c r="E23" s="545" t="s">
        <v>1656</v>
      </c>
      <c r="F23" s="545" t="s">
        <v>1656</v>
      </c>
      <c r="G23" s="545" t="s">
        <v>1656</v>
      </c>
      <c r="H23" s="542" t="s">
        <v>1644</v>
      </c>
      <c r="I23" s="542" t="s">
        <v>1645</v>
      </c>
      <c r="J23" s="546"/>
    </row>
    <row r="24" spans="1:10">
      <c r="A24" s="545">
        <v>22</v>
      </c>
      <c r="B24" s="545">
        <v>2020</v>
      </c>
      <c r="C24" s="545" t="s">
        <v>1672</v>
      </c>
      <c r="D24" s="545"/>
      <c r="E24" s="545" t="s">
        <v>1656</v>
      </c>
      <c r="F24" s="545" t="s">
        <v>1656</v>
      </c>
      <c r="G24" s="545" t="s">
        <v>1656</v>
      </c>
      <c r="H24" s="542"/>
      <c r="I24" s="542"/>
      <c r="J24" s="546"/>
    </row>
    <row r="25" spans="1:10">
      <c r="A25" s="545">
        <v>23</v>
      </c>
      <c r="B25" s="545">
        <v>2021</v>
      </c>
      <c r="C25" s="545" t="s">
        <v>1673</v>
      </c>
      <c r="D25" s="545"/>
      <c r="E25" s="545" t="s">
        <v>1656</v>
      </c>
      <c r="F25" s="545" t="s">
        <v>1656</v>
      </c>
      <c r="G25" s="545" t="s">
        <v>1656</v>
      </c>
      <c r="H25" s="542"/>
      <c r="I25" s="542"/>
      <c r="J25" s="546"/>
    </row>
    <row r="26" spans="1:10">
      <c r="A26" s="545">
        <v>24</v>
      </c>
      <c r="B26" s="545">
        <v>2022</v>
      </c>
      <c r="C26" s="545" t="s">
        <v>820</v>
      </c>
      <c r="D26" s="545"/>
      <c r="E26" s="545" t="s">
        <v>1656</v>
      </c>
      <c r="F26" s="545" t="s">
        <v>1656</v>
      </c>
      <c r="G26" s="545" t="s">
        <v>1656</v>
      </c>
      <c r="H26" s="542" t="s">
        <v>1657</v>
      </c>
      <c r="I26" s="542">
        <v>2144</v>
      </c>
      <c r="J26" s="546" t="s">
        <v>94</v>
      </c>
    </row>
    <row r="27" spans="1:10">
      <c r="A27" s="545">
        <v>25</v>
      </c>
      <c r="B27" s="545">
        <v>2023</v>
      </c>
      <c r="C27" s="545" t="s">
        <v>818</v>
      </c>
      <c r="D27" s="545"/>
      <c r="E27" s="545" t="s">
        <v>1656</v>
      </c>
      <c r="F27" s="545" t="s">
        <v>1656</v>
      </c>
      <c r="G27" s="545" t="s">
        <v>1656</v>
      </c>
      <c r="H27" s="542" t="s">
        <v>1657</v>
      </c>
      <c r="I27" s="542">
        <v>2014</v>
      </c>
      <c r="J27" s="546" t="s">
        <v>93</v>
      </c>
    </row>
    <row r="28" spans="1:10">
      <c r="A28" s="545">
        <v>26</v>
      </c>
      <c r="B28" s="545">
        <v>2024</v>
      </c>
      <c r="C28" s="545" t="s">
        <v>1674</v>
      </c>
      <c r="D28" s="545"/>
      <c r="E28" s="545" t="s">
        <v>1656</v>
      </c>
      <c r="F28" s="545" t="s">
        <v>1656</v>
      </c>
      <c r="G28" s="545" t="s">
        <v>1656</v>
      </c>
      <c r="H28" s="542" t="s">
        <v>1657</v>
      </c>
      <c r="I28" s="542">
        <v>2013</v>
      </c>
      <c r="J28" s="546" t="s">
        <v>97</v>
      </c>
    </row>
    <row r="29" spans="1:10">
      <c r="A29" s="545">
        <v>27</v>
      </c>
      <c r="B29" s="545">
        <v>2025</v>
      </c>
      <c r="C29" s="545" t="s">
        <v>1675</v>
      </c>
      <c r="D29" s="545"/>
      <c r="E29" s="545" t="s">
        <v>1656</v>
      </c>
      <c r="F29" s="545" t="s">
        <v>1656</v>
      </c>
      <c r="G29" s="545" t="s">
        <v>1656</v>
      </c>
      <c r="H29" s="542" t="s">
        <v>1657</v>
      </c>
      <c r="I29" s="542">
        <v>2108</v>
      </c>
      <c r="J29" s="546"/>
    </row>
    <row r="30" spans="1:10">
      <c r="A30" s="545">
        <v>28</v>
      </c>
      <c r="B30" s="545">
        <v>2026</v>
      </c>
      <c r="C30" s="545" t="s">
        <v>1676</v>
      </c>
      <c r="D30" s="545"/>
      <c r="E30" s="545" t="s">
        <v>1656</v>
      </c>
      <c r="F30" s="545" t="s">
        <v>1656</v>
      </c>
      <c r="G30" s="545" t="s">
        <v>1656</v>
      </c>
      <c r="H30" s="542"/>
      <c r="I30" s="542"/>
      <c r="J30" s="546"/>
    </row>
    <row r="31" spans="1:10">
      <c r="A31" s="545">
        <v>29</v>
      </c>
      <c r="B31" s="545">
        <v>2027</v>
      </c>
      <c r="C31" s="545" t="s">
        <v>1677</v>
      </c>
      <c r="D31" s="545"/>
      <c r="E31" s="545" t="s">
        <v>1656</v>
      </c>
      <c r="F31" s="545" t="s">
        <v>1656</v>
      </c>
      <c r="G31" s="545" t="s">
        <v>1656</v>
      </c>
      <c r="H31" s="542"/>
      <c r="I31" s="542"/>
      <c r="J31" s="546"/>
    </row>
    <row r="32" spans="1:10">
      <c r="A32" s="545">
        <v>30</v>
      </c>
      <c r="B32" s="545">
        <v>2028</v>
      </c>
      <c r="C32" s="545" t="s">
        <v>1108</v>
      </c>
      <c r="D32" s="545"/>
      <c r="E32" s="545" t="s">
        <v>1656</v>
      </c>
      <c r="F32" s="545" t="s">
        <v>1656</v>
      </c>
      <c r="G32" s="545" t="s">
        <v>1656</v>
      </c>
      <c r="H32" s="542"/>
      <c r="I32" s="542"/>
      <c r="J32" s="546"/>
    </row>
    <row r="33" spans="1:10">
      <c r="A33" s="545">
        <v>31</v>
      </c>
      <c r="B33" s="545">
        <v>2029</v>
      </c>
      <c r="C33" s="545" t="s">
        <v>1678</v>
      </c>
      <c r="D33" s="545"/>
      <c r="E33" s="545" t="s">
        <v>1656</v>
      </c>
      <c r="F33" s="545" t="s">
        <v>1656</v>
      </c>
      <c r="G33" s="545" t="s">
        <v>1656</v>
      </c>
      <c r="H33" s="542" t="s">
        <v>1657</v>
      </c>
      <c r="I33" s="542">
        <v>2002</v>
      </c>
      <c r="J33" s="546"/>
    </row>
    <row r="34" spans="1:10">
      <c r="A34" s="545">
        <v>32</v>
      </c>
      <c r="B34" s="545">
        <v>2030</v>
      </c>
      <c r="C34" s="545" t="s">
        <v>1105</v>
      </c>
      <c r="D34" s="545"/>
      <c r="E34" s="545" t="s">
        <v>1656</v>
      </c>
      <c r="F34" s="545" t="s">
        <v>1656</v>
      </c>
      <c r="G34" s="545" t="s">
        <v>1656</v>
      </c>
      <c r="H34" s="542" t="s">
        <v>1644</v>
      </c>
      <c r="I34" s="542" t="s">
        <v>1645</v>
      </c>
      <c r="J34" s="546"/>
    </row>
    <row r="35" spans="1:10">
      <c r="A35" s="545">
        <v>33</v>
      </c>
      <c r="B35" s="545">
        <v>2031</v>
      </c>
      <c r="C35" s="545" t="s">
        <v>1679</v>
      </c>
      <c r="D35" s="545"/>
      <c r="E35" s="545" t="s">
        <v>1656</v>
      </c>
      <c r="F35" s="545" t="s">
        <v>1656</v>
      </c>
      <c r="G35" s="545" t="s">
        <v>1656</v>
      </c>
      <c r="H35" s="542" t="s">
        <v>1644</v>
      </c>
      <c r="I35" s="542" t="s">
        <v>1645</v>
      </c>
      <c r="J35" s="546"/>
    </row>
    <row r="36" spans="1:10">
      <c r="A36" s="545">
        <v>34</v>
      </c>
      <c r="B36" s="545">
        <v>2032</v>
      </c>
      <c r="C36" s="545" t="s">
        <v>1680</v>
      </c>
      <c r="D36" s="545"/>
      <c r="E36" s="545" t="s">
        <v>1656</v>
      </c>
      <c r="F36" s="545" t="s">
        <v>1656</v>
      </c>
      <c r="G36" s="545" t="s">
        <v>1656</v>
      </c>
      <c r="H36" s="542"/>
      <c r="I36" s="542"/>
      <c r="J36" s="546"/>
    </row>
    <row r="37" spans="1:10">
      <c r="A37" s="545">
        <v>35</v>
      </c>
      <c r="B37" s="545">
        <v>2033</v>
      </c>
      <c r="C37" s="545" t="s">
        <v>1681</v>
      </c>
      <c r="D37" s="545"/>
      <c r="E37" s="545" t="s">
        <v>1656</v>
      </c>
      <c r="F37" s="545" t="s">
        <v>1656</v>
      </c>
      <c r="G37" s="545" t="s">
        <v>1656</v>
      </c>
      <c r="H37" s="542" t="s">
        <v>1644</v>
      </c>
      <c r="I37" s="542" t="s">
        <v>1645</v>
      </c>
      <c r="J37" s="546"/>
    </row>
    <row r="38" spans="1:10">
      <c r="A38" s="545">
        <v>36</v>
      </c>
      <c r="B38" s="545">
        <v>2034</v>
      </c>
      <c r="C38" s="545" t="s">
        <v>1682</v>
      </c>
      <c r="D38" s="545"/>
      <c r="E38" s="545" t="s">
        <v>1656</v>
      </c>
      <c r="F38" s="545" t="s">
        <v>1656</v>
      </c>
      <c r="G38" s="545" t="s">
        <v>1656</v>
      </c>
      <c r="H38" s="542" t="s">
        <v>1657</v>
      </c>
      <c r="I38" s="542">
        <v>2014</v>
      </c>
      <c r="J38" s="546" t="s">
        <v>93</v>
      </c>
    </row>
    <row r="39" spans="1:10">
      <c r="A39" s="545">
        <v>37</v>
      </c>
      <c r="B39" s="545">
        <v>2035</v>
      </c>
      <c r="C39" s="545" t="s">
        <v>1683</v>
      </c>
      <c r="D39" s="545"/>
      <c r="E39" s="545" t="s">
        <v>1656</v>
      </c>
      <c r="F39" s="545" t="s">
        <v>1656</v>
      </c>
      <c r="G39" s="545" t="s">
        <v>1656</v>
      </c>
      <c r="H39" s="542" t="s">
        <v>1657</v>
      </c>
      <c r="I39" s="542">
        <v>2001</v>
      </c>
      <c r="J39" s="546" t="s">
        <v>95</v>
      </c>
    </row>
    <row r="40" spans="1:10">
      <c r="A40" s="545">
        <v>38</v>
      </c>
      <c r="B40" s="545">
        <v>2036</v>
      </c>
      <c r="C40" s="545" t="s">
        <v>1684</v>
      </c>
      <c r="D40" s="545"/>
      <c r="E40" s="545" t="s">
        <v>1656</v>
      </c>
      <c r="F40" s="545" t="s">
        <v>1656</v>
      </c>
      <c r="G40" s="545" t="s">
        <v>1656</v>
      </c>
      <c r="H40" s="542" t="s">
        <v>1657</v>
      </c>
      <c r="I40" s="542">
        <v>2099</v>
      </c>
      <c r="J40" s="546"/>
    </row>
    <row r="41" spans="1:10">
      <c r="A41" s="545">
        <v>39</v>
      </c>
      <c r="B41" s="545">
        <v>2037</v>
      </c>
      <c r="C41" s="545" t="s">
        <v>1523</v>
      </c>
      <c r="D41" s="545"/>
      <c r="E41" s="545" t="s">
        <v>1656</v>
      </c>
      <c r="F41" s="545" t="s">
        <v>1656</v>
      </c>
      <c r="G41" s="545" t="s">
        <v>1656</v>
      </c>
      <c r="H41" s="542"/>
      <c r="I41" s="542"/>
      <c r="J41" s="546"/>
    </row>
    <row r="42" spans="1:10">
      <c r="A42" s="545">
        <v>40</v>
      </c>
      <c r="B42" s="545">
        <v>2038</v>
      </c>
      <c r="C42" s="545" t="s">
        <v>1685</v>
      </c>
      <c r="D42" s="545"/>
      <c r="E42" s="545" t="s">
        <v>1656</v>
      </c>
      <c r="F42" s="545" t="s">
        <v>1656</v>
      </c>
      <c r="G42" s="545" t="s">
        <v>1656</v>
      </c>
      <c r="H42" s="542" t="s">
        <v>1657</v>
      </c>
      <c r="I42" s="542">
        <v>2033</v>
      </c>
      <c r="J42" s="546"/>
    </row>
    <row r="43" spans="1:10">
      <c r="A43" s="545">
        <v>41</v>
      </c>
      <c r="B43" s="545">
        <v>2039</v>
      </c>
      <c r="C43" s="545" t="s">
        <v>1433</v>
      </c>
      <c r="D43" s="545"/>
      <c r="E43" s="545" t="s">
        <v>1656</v>
      </c>
      <c r="F43" s="545" t="s">
        <v>1656</v>
      </c>
      <c r="G43" s="545" t="s">
        <v>1656</v>
      </c>
      <c r="H43" s="542"/>
      <c r="I43" s="542"/>
      <c r="J43" s="546"/>
    </row>
    <row r="44" spans="1:10">
      <c r="A44" s="545">
        <v>42</v>
      </c>
      <c r="B44" s="545">
        <v>2040</v>
      </c>
      <c r="C44" s="545" t="s">
        <v>773</v>
      </c>
      <c r="D44" s="545"/>
      <c r="E44" s="545" t="s">
        <v>1656</v>
      </c>
      <c r="F44" s="545" t="s">
        <v>1656</v>
      </c>
      <c r="G44" s="545" t="s">
        <v>1656</v>
      </c>
      <c r="H44" s="542" t="s">
        <v>1644</v>
      </c>
      <c r="I44" s="542" t="s">
        <v>1645</v>
      </c>
      <c r="J44" s="546"/>
    </row>
    <row r="45" spans="1:10">
      <c r="A45" s="545">
        <v>43</v>
      </c>
      <c r="B45" s="545">
        <v>2041</v>
      </c>
      <c r="C45" s="545" t="s">
        <v>798</v>
      </c>
      <c r="D45" s="545"/>
      <c r="E45" s="545" t="s">
        <v>1656</v>
      </c>
      <c r="F45" s="545" t="s">
        <v>1656</v>
      </c>
      <c r="G45" s="545" t="s">
        <v>1656</v>
      </c>
      <c r="H45" s="542"/>
      <c r="I45" s="542"/>
      <c r="J45" s="546"/>
    </row>
    <row r="46" spans="1:10">
      <c r="A46" s="545">
        <v>44</v>
      </c>
      <c r="B46" s="545">
        <v>2042</v>
      </c>
      <c r="C46" s="545" t="s">
        <v>1686</v>
      </c>
      <c r="D46" s="545"/>
      <c r="E46" s="545" t="s">
        <v>1656</v>
      </c>
      <c r="F46" s="545" t="s">
        <v>1656</v>
      </c>
      <c r="G46" s="545" t="s">
        <v>1656</v>
      </c>
      <c r="H46" s="542" t="s">
        <v>1657</v>
      </c>
      <c r="I46" s="542">
        <v>2001</v>
      </c>
      <c r="J46" s="546" t="s">
        <v>95</v>
      </c>
    </row>
    <row r="47" spans="1:10">
      <c r="A47" s="545">
        <v>45</v>
      </c>
      <c r="B47" s="545">
        <v>2043</v>
      </c>
      <c r="C47" s="545" t="s">
        <v>1687</v>
      </c>
      <c r="D47" s="545"/>
      <c r="E47" s="545" t="s">
        <v>1656</v>
      </c>
      <c r="F47" s="545" t="s">
        <v>1656</v>
      </c>
      <c r="G47" s="545" t="s">
        <v>1656</v>
      </c>
      <c r="H47" s="542" t="s">
        <v>1657</v>
      </c>
      <c r="I47" s="542">
        <v>2014</v>
      </c>
      <c r="J47" s="546" t="s">
        <v>93</v>
      </c>
    </row>
    <row r="48" spans="1:10">
      <c r="A48" s="545">
        <v>46</v>
      </c>
      <c r="B48" s="545">
        <v>2044</v>
      </c>
      <c r="C48" s="545" t="s">
        <v>1688</v>
      </c>
      <c r="D48" s="545"/>
      <c r="E48" s="545" t="s">
        <v>1656</v>
      </c>
      <c r="F48" s="545" t="s">
        <v>1656</v>
      </c>
      <c r="G48" s="545" t="s">
        <v>1656</v>
      </c>
      <c r="H48" s="542" t="s">
        <v>1657</v>
      </c>
      <c r="I48" s="542">
        <v>2013</v>
      </c>
      <c r="J48" s="546" t="s">
        <v>97</v>
      </c>
    </row>
    <row r="49" spans="1:10">
      <c r="A49" s="545">
        <v>47</v>
      </c>
      <c r="B49" s="545">
        <v>2045</v>
      </c>
      <c r="C49" s="545" t="s">
        <v>1297</v>
      </c>
      <c r="D49" s="545"/>
      <c r="E49" s="545" t="s">
        <v>1656</v>
      </c>
      <c r="F49" s="545" t="s">
        <v>1656</v>
      </c>
      <c r="G49" s="545" t="s">
        <v>1656</v>
      </c>
      <c r="H49" s="542"/>
      <c r="I49" s="542"/>
      <c r="J49" s="546"/>
    </row>
    <row r="50" spans="1:10">
      <c r="A50" s="545">
        <v>48</v>
      </c>
      <c r="B50" s="545">
        <v>2046</v>
      </c>
      <c r="C50" s="545" t="s">
        <v>1689</v>
      </c>
      <c r="D50" s="545"/>
      <c r="E50" s="545" t="s">
        <v>1656</v>
      </c>
      <c r="F50" s="545" t="s">
        <v>1656</v>
      </c>
      <c r="G50" s="545" t="s">
        <v>1656</v>
      </c>
      <c r="H50" s="542"/>
      <c r="I50" s="542"/>
      <c r="J50" s="546"/>
    </row>
    <row r="51" spans="1:10">
      <c r="A51" s="545">
        <v>49</v>
      </c>
      <c r="B51" s="545">
        <v>2047</v>
      </c>
      <c r="C51" s="545" t="s">
        <v>1690</v>
      </c>
      <c r="D51" s="545"/>
      <c r="E51" s="545" t="s">
        <v>1656</v>
      </c>
      <c r="F51" s="545" t="s">
        <v>1656</v>
      </c>
      <c r="G51" s="545" t="s">
        <v>1656</v>
      </c>
      <c r="H51" s="542" t="s">
        <v>1644</v>
      </c>
      <c r="I51" s="542" t="s">
        <v>1645</v>
      </c>
      <c r="J51" s="546"/>
    </row>
    <row r="52" spans="1:10">
      <c r="A52" s="545">
        <v>50</v>
      </c>
      <c r="B52" s="545">
        <v>2048</v>
      </c>
      <c r="C52" s="545" t="s">
        <v>782</v>
      </c>
      <c r="D52" s="545"/>
      <c r="E52" s="545" t="s">
        <v>1656</v>
      </c>
      <c r="F52" s="545" t="s">
        <v>1656</v>
      </c>
      <c r="G52" s="545" t="s">
        <v>1656</v>
      </c>
      <c r="H52" s="542" t="s">
        <v>1644</v>
      </c>
      <c r="I52" s="542" t="s">
        <v>1645</v>
      </c>
      <c r="J52" s="546"/>
    </row>
    <row r="53" spans="1:10">
      <c r="A53" s="545">
        <v>51</v>
      </c>
      <c r="B53" s="545">
        <v>2049</v>
      </c>
      <c r="C53" s="545" t="s">
        <v>1691</v>
      </c>
      <c r="D53" s="545"/>
      <c r="E53" s="545" t="s">
        <v>1656</v>
      </c>
      <c r="F53" s="545" t="s">
        <v>1656</v>
      </c>
      <c r="G53" s="545" t="s">
        <v>1656</v>
      </c>
      <c r="H53" s="542" t="s">
        <v>1657</v>
      </c>
      <c r="I53" s="542">
        <v>2031</v>
      </c>
      <c r="J53" s="546"/>
    </row>
    <row r="54" spans="1:10">
      <c r="A54" s="545">
        <v>52</v>
      </c>
      <c r="B54" s="545">
        <v>2050</v>
      </c>
      <c r="C54" s="545" t="s">
        <v>1323</v>
      </c>
      <c r="D54" s="545"/>
      <c r="E54" s="545" t="s">
        <v>1656</v>
      </c>
      <c r="F54" s="545" t="s">
        <v>1656</v>
      </c>
      <c r="G54" s="545" t="s">
        <v>1656</v>
      </c>
      <c r="H54" s="542"/>
      <c r="I54" s="542"/>
      <c r="J54" s="546"/>
    </row>
    <row r="55" spans="1:10">
      <c r="A55" s="545">
        <v>53</v>
      </c>
      <c r="B55" s="545">
        <v>2051</v>
      </c>
      <c r="C55" s="545" t="s">
        <v>1692</v>
      </c>
      <c r="D55" s="545"/>
      <c r="E55" s="545" t="s">
        <v>1656</v>
      </c>
      <c r="F55" s="545" t="s">
        <v>1656</v>
      </c>
      <c r="G55" s="545" t="s">
        <v>1656</v>
      </c>
      <c r="H55" s="542" t="s">
        <v>1657</v>
      </c>
      <c r="I55" s="542">
        <v>2018</v>
      </c>
      <c r="J55" s="546"/>
    </row>
    <row r="56" spans="1:10">
      <c r="A56" s="545">
        <v>54</v>
      </c>
      <c r="B56" s="545">
        <v>2052</v>
      </c>
      <c r="C56" s="545" t="s">
        <v>818</v>
      </c>
      <c r="D56" s="545"/>
      <c r="E56" s="545" t="s">
        <v>1656</v>
      </c>
      <c r="F56" s="545" t="s">
        <v>1656</v>
      </c>
      <c r="G56" s="545" t="s">
        <v>1656</v>
      </c>
      <c r="H56" s="542" t="s">
        <v>1657</v>
      </c>
      <c r="I56" s="542">
        <v>2014</v>
      </c>
      <c r="J56" s="546" t="s">
        <v>93</v>
      </c>
    </row>
    <row r="57" spans="1:10">
      <c r="A57" s="545">
        <v>55</v>
      </c>
      <c r="B57" s="545">
        <v>2053</v>
      </c>
      <c r="C57" s="545" t="s">
        <v>852</v>
      </c>
      <c r="D57" s="545"/>
      <c r="E57" s="545" t="s">
        <v>1656</v>
      </c>
      <c r="F57" s="545" t="s">
        <v>1656</v>
      </c>
      <c r="G57" s="545" t="s">
        <v>1656</v>
      </c>
      <c r="H57" s="542"/>
      <c r="I57" s="542"/>
      <c r="J57" s="546"/>
    </row>
    <row r="58" spans="1:10" ht="27.6">
      <c r="A58" s="545">
        <v>56</v>
      </c>
      <c r="B58" s="545">
        <v>2054</v>
      </c>
      <c r="C58" s="545" t="s">
        <v>1693</v>
      </c>
      <c r="D58" s="545"/>
      <c r="E58" s="545" t="s">
        <v>1656</v>
      </c>
      <c r="F58" s="545" t="s">
        <v>1656</v>
      </c>
      <c r="G58" s="545" t="s">
        <v>1656</v>
      </c>
      <c r="H58" s="542"/>
      <c r="I58" s="542"/>
      <c r="J58" s="546"/>
    </row>
    <row r="59" spans="1:10">
      <c r="A59" s="545">
        <v>57</v>
      </c>
      <c r="B59" s="545">
        <v>2055</v>
      </c>
      <c r="C59" s="545" t="s">
        <v>821</v>
      </c>
      <c r="D59" s="545"/>
      <c r="E59" s="545" t="s">
        <v>1656</v>
      </c>
      <c r="F59" s="545" t="s">
        <v>1656</v>
      </c>
      <c r="G59" s="545" t="s">
        <v>1656</v>
      </c>
      <c r="H59" s="542" t="s">
        <v>1657</v>
      </c>
      <c r="I59" s="542">
        <v>2145</v>
      </c>
      <c r="J59" s="546" t="s">
        <v>96</v>
      </c>
    </row>
    <row r="60" spans="1:10">
      <c r="A60" s="545">
        <v>58</v>
      </c>
      <c r="B60" s="545">
        <v>2056</v>
      </c>
      <c r="C60" s="545" t="s">
        <v>1036</v>
      </c>
      <c r="D60" s="545"/>
      <c r="E60" s="545" t="s">
        <v>1656</v>
      </c>
      <c r="F60" s="545" t="s">
        <v>1656</v>
      </c>
      <c r="G60" s="545" t="s">
        <v>1656</v>
      </c>
      <c r="H60" s="542"/>
      <c r="I60" s="542"/>
      <c r="J60" s="546"/>
    </row>
    <row r="61" spans="1:10">
      <c r="A61" s="545">
        <v>59</v>
      </c>
      <c r="B61" s="545">
        <v>2057</v>
      </c>
      <c r="C61" s="545" t="s">
        <v>1694</v>
      </c>
      <c r="D61" s="545"/>
      <c r="E61" s="545" t="s">
        <v>1656</v>
      </c>
      <c r="F61" s="545" t="s">
        <v>1656</v>
      </c>
      <c r="G61" s="545" t="s">
        <v>1656</v>
      </c>
      <c r="H61" s="542" t="s">
        <v>1657</v>
      </c>
      <c r="I61" s="542">
        <v>2030</v>
      </c>
      <c r="J61" s="546"/>
    </row>
    <row r="62" spans="1:10">
      <c r="A62" s="545">
        <v>60</v>
      </c>
      <c r="B62" s="545">
        <v>2058</v>
      </c>
      <c r="C62" s="545" t="s">
        <v>1695</v>
      </c>
      <c r="D62" s="545"/>
      <c r="E62" s="545" t="s">
        <v>1656</v>
      </c>
      <c r="F62" s="545" t="s">
        <v>1656</v>
      </c>
      <c r="G62" s="545" t="s">
        <v>1656</v>
      </c>
      <c r="H62" s="542"/>
      <c r="I62" s="542"/>
      <c r="J62" s="546"/>
    </row>
    <row r="63" spans="1:10">
      <c r="A63" s="545">
        <v>61</v>
      </c>
      <c r="B63" s="545">
        <v>2059</v>
      </c>
      <c r="C63" s="545" t="s">
        <v>1696</v>
      </c>
      <c r="D63" s="545"/>
      <c r="E63" s="545" t="s">
        <v>1656</v>
      </c>
      <c r="F63" s="545" t="s">
        <v>1656</v>
      </c>
      <c r="G63" s="545" t="s">
        <v>1656</v>
      </c>
      <c r="H63" s="542"/>
      <c r="I63" s="542"/>
      <c r="J63" s="546"/>
    </row>
    <row r="64" spans="1:10">
      <c r="A64" s="545">
        <v>62</v>
      </c>
      <c r="B64" s="545">
        <v>2060</v>
      </c>
      <c r="C64" s="545" t="s">
        <v>859</v>
      </c>
      <c r="D64" s="545"/>
      <c r="E64" s="545" t="s">
        <v>1656</v>
      </c>
      <c r="F64" s="545" t="s">
        <v>1656</v>
      </c>
      <c r="G64" s="545" t="s">
        <v>1656</v>
      </c>
      <c r="H64" s="542"/>
      <c r="I64" s="542"/>
      <c r="J64" s="546"/>
    </row>
    <row r="65" spans="1:10">
      <c r="A65" s="545">
        <v>63</v>
      </c>
      <c r="B65" s="545">
        <v>2061</v>
      </c>
      <c r="C65" s="545" t="s">
        <v>847</v>
      </c>
      <c r="D65" s="545"/>
      <c r="E65" s="545" t="s">
        <v>1656</v>
      </c>
      <c r="F65" s="545" t="s">
        <v>1656</v>
      </c>
      <c r="G65" s="545" t="s">
        <v>1656</v>
      </c>
      <c r="H65" s="542"/>
      <c r="I65" s="542"/>
      <c r="J65" s="546"/>
    </row>
    <row r="66" spans="1:10">
      <c r="A66" s="545">
        <v>64</v>
      </c>
      <c r="B66" s="545">
        <v>2062</v>
      </c>
      <c r="C66" s="545" t="s">
        <v>797</v>
      </c>
      <c r="D66" s="545"/>
      <c r="E66" s="545" t="s">
        <v>1656</v>
      </c>
      <c r="F66" s="545" t="s">
        <v>1656</v>
      </c>
      <c r="G66" s="545" t="s">
        <v>1656</v>
      </c>
      <c r="H66" s="542"/>
      <c r="I66" s="542"/>
      <c r="J66" s="546"/>
    </row>
    <row r="67" spans="1:10">
      <c r="A67" s="545">
        <v>65</v>
      </c>
      <c r="B67" s="545">
        <v>2063</v>
      </c>
      <c r="C67" s="545" t="s">
        <v>1697</v>
      </c>
      <c r="D67" s="545"/>
      <c r="E67" s="545" t="s">
        <v>1656</v>
      </c>
      <c r="F67" s="545" t="s">
        <v>1656</v>
      </c>
      <c r="G67" s="545" t="s">
        <v>1656</v>
      </c>
      <c r="H67" s="542"/>
      <c r="I67" s="542"/>
      <c r="J67" s="546"/>
    </row>
    <row r="68" spans="1:10">
      <c r="A68" s="545">
        <v>66</v>
      </c>
      <c r="B68" s="545">
        <v>2064</v>
      </c>
      <c r="C68" s="545" t="s">
        <v>839</v>
      </c>
      <c r="D68" s="545"/>
      <c r="E68" s="545" t="s">
        <v>1656</v>
      </c>
      <c r="F68" s="545" t="s">
        <v>1656</v>
      </c>
      <c r="G68" s="545" t="s">
        <v>1656</v>
      </c>
      <c r="H68" s="542"/>
      <c r="I68" s="542"/>
      <c r="J68" s="546"/>
    </row>
    <row r="69" spans="1:10" ht="41.4">
      <c r="A69" s="545">
        <v>67</v>
      </c>
      <c r="B69" s="545">
        <v>2065</v>
      </c>
      <c r="C69" s="545" t="s">
        <v>1698</v>
      </c>
      <c r="D69" s="545"/>
      <c r="E69" s="545" t="s">
        <v>1656</v>
      </c>
      <c r="F69" s="545" t="s">
        <v>1656</v>
      </c>
      <c r="G69" s="545" t="s">
        <v>1656</v>
      </c>
      <c r="H69" s="542"/>
      <c r="I69" s="542"/>
      <c r="J69" s="546"/>
    </row>
    <row r="70" spans="1:10">
      <c r="A70" s="545">
        <v>68</v>
      </c>
      <c r="B70" s="545">
        <v>2066</v>
      </c>
      <c r="C70" s="545" t="s">
        <v>1699</v>
      </c>
      <c r="D70" s="545"/>
      <c r="E70" s="545" t="s">
        <v>1656</v>
      </c>
      <c r="F70" s="545" t="s">
        <v>1656</v>
      </c>
      <c r="G70" s="545" t="s">
        <v>1656</v>
      </c>
      <c r="H70" s="542" t="s">
        <v>1644</v>
      </c>
      <c r="I70" s="542" t="s">
        <v>1645</v>
      </c>
      <c r="J70" s="546"/>
    </row>
    <row r="71" spans="1:10">
      <c r="A71" s="545">
        <v>69</v>
      </c>
      <c r="B71" s="545">
        <v>2067</v>
      </c>
      <c r="C71" s="545" t="s">
        <v>1700</v>
      </c>
      <c r="D71" s="545"/>
      <c r="E71" s="545" t="s">
        <v>1656</v>
      </c>
      <c r="F71" s="545" t="s">
        <v>1656</v>
      </c>
      <c r="G71" s="545" t="s">
        <v>1656</v>
      </c>
      <c r="H71" s="542"/>
      <c r="I71" s="542"/>
      <c r="J71" s="546"/>
    </row>
    <row r="72" spans="1:10">
      <c r="A72" s="545">
        <v>70</v>
      </c>
      <c r="B72" s="545">
        <v>2068</v>
      </c>
      <c r="C72" s="545" t="s">
        <v>1701</v>
      </c>
      <c r="D72" s="545"/>
      <c r="E72" s="545" t="s">
        <v>1656</v>
      </c>
      <c r="F72" s="545" t="s">
        <v>1656</v>
      </c>
      <c r="G72" s="545" t="s">
        <v>1656</v>
      </c>
      <c r="H72" s="542"/>
      <c r="I72" s="542"/>
      <c r="J72" s="546"/>
    </row>
    <row r="73" spans="1:10">
      <c r="A73" s="545">
        <v>71</v>
      </c>
      <c r="B73" s="545">
        <v>2069</v>
      </c>
      <c r="C73" s="545" t="s">
        <v>1702</v>
      </c>
      <c r="D73" s="545"/>
      <c r="E73" s="545" t="s">
        <v>1656</v>
      </c>
      <c r="F73" s="545" t="s">
        <v>1656</v>
      </c>
      <c r="G73" s="545" t="s">
        <v>1656</v>
      </c>
      <c r="H73" s="542"/>
      <c r="I73" s="542"/>
      <c r="J73" s="546"/>
    </row>
    <row r="74" spans="1:10">
      <c r="A74" s="545">
        <v>72</v>
      </c>
      <c r="B74" s="545">
        <v>2070</v>
      </c>
      <c r="C74" s="545" t="s">
        <v>1230</v>
      </c>
      <c r="D74" s="545"/>
      <c r="E74" s="545" t="s">
        <v>1656</v>
      </c>
      <c r="F74" s="545" t="s">
        <v>1656</v>
      </c>
      <c r="G74" s="545" t="s">
        <v>1656</v>
      </c>
      <c r="H74" s="542"/>
      <c r="I74" s="542"/>
      <c r="J74" s="546"/>
    </row>
    <row r="75" spans="1:10">
      <c r="A75" s="545">
        <v>73</v>
      </c>
      <c r="B75" s="545">
        <v>2071</v>
      </c>
      <c r="C75" s="545" t="s">
        <v>1703</v>
      </c>
      <c r="D75" s="545"/>
      <c r="E75" s="545" t="s">
        <v>1656</v>
      </c>
      <c r="F75" s="545" t="s">
        <v>1656</v>
      </c>
      <c r="G75" s="545" t="s">
        <v>1656</v>
      </c>
      <c r="H75" s="542"/>
      <c r="I75" s="542"/>
      <c r="J75" s="546"/>
    </row>
    <row r="76" spans="1:10">
      <c r="A76" s="545">
        <v>74</v>
      </c>
      <c r="B76" s="545">
        <v>2072</v>
      </c>
      <c r="C76" s="545" t="s">
        <v>803</v>
      </c>
      <c r="D76" s="545"/>
      <c r="E76" s="545" t="s">
        <v>1656</v>
      </c>
      <c r="F76" s="545" t="s">
        <v>1656</v>
      </c>
      <c r="G76" s="545" t="s">
        <v>1656</v>
      </c>
      <c r="H76" s="542"/>
      <c r="I76" s="542"/>
      <c r="J76" s="546"/>
    </row>
    <row r="77" spans="1:10">
      <c r="A77" s="545">
        <v>75</v>
      </c>
      <c r="B77" s="545">
        <v>2073</v>
      </c>
      <c r="C77" s="545" t="s">
        <v>1704</v>
      </c>
      <c r="D77" s="545"/>
      <c r="E77" s="545" t="s">
        <v>1656</v>
      </c>
      <c r="F77" s="545" t="s">
        <v>1656</v>
      </c>
      <c r="G77" s="545" t="s">
        <v>1656</v>
      </c>
      <c r="H77" s="542"/>
      <c r="I77" s="542"/>
      <c r="J77" s="546"/>
    </row>
    <row r="78" spans="1:10">
      <c r="A78" s="545">
        <v>76</v>
      </c>
      <c r="B78" s="545">
        <v>2074</v>
      </c>
      <c r="C78" s="545" t="s">
        <v>1705</v>
      </c>
      <c r="D78" s="545"/>
      <c r="E78" s="545" t="s">
        <v>1656</v>
      </c>
      <c r="F78" s="545" t="s">
        <v>1656</v>
      </c>
      <c r="G78" s="545" t="s">
        <v>1656</v>
      </c>
      <c r="H78" s="542"/>
      <c r="I78" s="542"/>
      <c r="J78" s="546"/>
    </row>
    <row r="79" spans="1:10">
      <c r="A79" s="545">
        <v>77</v>
      </c>
      <c r="B79" s="545">
        <v>2075</v>
      </c>
      <c r="C79" s="545" t="s">
        <v>1706</v>
      </c>
      <c r="D79" s="545"/>
      <c r="E79" s="545" t="s">
        <v>1656</v>
      </c>
      <c r="F79" s="545" t="s">
        <v>1656</v>
      </c>
      <c r="G79" s="545" t="s">
        <v>1656</v>
      </c>
      <c r="H79" s="542"/>
      <c r="I79" s="542"/>
      <c r="J79" s="546"/>
    </row>
    <row r="80" spans="1:10">
      <c r="A80" s="545">
        <v>78</v>
      </c>
      <c r="B80" s="545">
        <v>2076</v>
      </c>
      <c r="C80" s="545" t="s">
        <v>1707</v>
      </c>
      <c r="D80" s="545"/>
      <c r="E80" s="545" t="s">
        <v>1656</v>
      </c>
      <c r="F80" s="545" t="s">
        <v>1656</v>
      </c>
      <c r="G80" s="545" t="s">
        <v>1656</v>
      </c>
      <c r="H80" s="542"/>
      <c r="I80" s="542"/>
      <c r="J80" s="546"/>
    </row>
    <row r="81" spans="1:10">
      <c r="A81" s="545">
        <v>79</v>
      </c>
      <c r="B81" s="545">
        <v>2077</v>
      </c>
      <c r="C81" s="545" t="s">
        <v>1708</v>
      </c>
      <c r="D81" s="545"/>
      <c r="E81" s="545" t="s">
        <v>1656</v>
      </c>
      <c r="F81" s="545" t="s">
        <v>1656</v>
      </c>
      <c r="G81" s="545" t="s">
        <v>1656</v>
      </c>
      <c r="H81" s="542"/>
      <c r="I81" s="542"/>
      <c r="J81" s="546"/>
    </row>
    <row r="82" spans="1:10">
      <c r="A82" s="545">
        <v>80</v>
      </c>
      <c r="B82" s="545">
        <v>2078</v>
      </c>
      <c r="C82" s="545" t="s">
        <v>1709</v>
      </c>
      <c r="D82" s="545"/>
      <c r="E82" s="545" t="s">
        <v>1656</v>
      </c>
      <c r="F82" s="545" t="s">
        <v>1656</v>
      </c>
      <c r="G82" s="545" t="s">
        <v>1656</v>
      </c>
      <c r="H82" s="542"/>
      <c r="I82" s="542"/>
      <c r="J82" s="546"/>
    </row>
    <row r="83" spans="1:10">
      <c r="A83" s="545">
        <v>81</v>
      </c>
      <c r="B83" s="545">
        <v>2079</v>
      </c>
      <c r="C83" s="545" t="s">
        <v>863</v>
      </c>
      <c r="D83" s="545"/>
      <c r="E83" s="545" t="s">
        <v>1656</v>
      </c>
      <c r="F83" s="545" t="s">
        <v>1656</v>
      </c>
      <c r="G83" s="545" t="s">
        <v>1656</v>
      </c>
      <c r="H83" s="542"/>
      <c r="I83" s="542"/>
      <c r="J83" s="546"/>
    </row>
    <row r="84" spans="1:10">
      <c r="A84" s="545">
        <v>82</v>
      </c>
      <c r="B84" s="545">
        <v>2080</v>
      </c>
      <c r="C84" s="545" t="s">
        <v>1710</v>
      </c>
      <c r="D84" s="545"/>
      <c r="E84" s="545" t="s">
        <v>1656</v>
      </c>
      <c r="F84" s="545" t="s">
        <v>1656</v>
      </c>
      <c r="G84" s="545" t="s">
        <v>1656</v>
      </c>
      <c r="H84" s="542"/>
      <c r="I84" s="542"/>
      <c r="J84" s="546"/>
    </row>
    <row r="85" spans="1:10">
      <c r="A85" s="545">
        <v>83</v>
      </c>
      <c r="B85" s="545">
        <v>2081</v>
      </c>
      <c r="C85" s="545" t="s">
        <v>1030</v>
      </c>
      <c r="D85" s="545"/>
      <c r="E85" s="545" t="s">
        <v>1656</v>
      </c>
      <c r="F85" s="545" t="s">
        <v>1656</v>
      </c>
      <c r="G85" s="545" t="s">
        <v>1656</v>
      </c>
      <c r="H85" s="542" t="s">
        <v>1657</v>
      </c>
      <c r="I85" s="542">
        <v>2066</v>
      </c>
      <c r="J85" s="546"/>
    </row>
    <row r="86" spans="1:10">
      <c r="A86" s="545">
        <v>84</v>
      </c>
      <c r="B86" s="545">
        <v>2082</v>
      </c>
      <c r="C86" s="545" t="s">
        <v>1711</v>
      </c>
      <c r="D86" s="545"/>
      <c r="E86" s="545" t="s">
        <v>1656</v>
      </c>
      <c r="F86" s="545" t="s">
        <v>1656</v>
      </c>
      <c r="G86" s="545" t="s">
        <v>1656</v>
      </c>
      <c r="H86" s="542"/>
      <c r="I86" s="542"/>
      <c r="J86" s="546"/>
    </row>
    <row r="87" spans="1:10">
      <c r="A87" s="545">
        <v>85</v>
      </c>
      <c r="B87" s="545">
        <v>2083</v>
      </c>
      <c r="C87" s="545" t="s">
        <v>1712</v>
      </c>
      <c r="D87" s="545"/>
      <c r="E87" s="545" t="s">
        <v>1656</v>
      </c>
      <c r="F87" s="545" t="s">
        <v>1656</v>
      </c>
      <c r="G87" s="545" t="s">
        <v>1656</v>
      </c>
      <c r="H87" s="542"/>
      <c r="I87" s="542"/>
      <c r="J87" s="546"/>
    </row>
    <row r="88" spans="1:10">
      <c r="A88" s="545">
        <v>86</v>
      </c>
      <c r="B88" s="545">
        <v>2084</v>
      </c>
      <c r="C88" s="545" t="s">
        <v>1713</v>
      </c>
      <c r="D88" s="545"/>
      <c r="E88" s="545" t="s">
        <v>1656</v>
      </c>
      <c r="F88" s="545" t="s">
        <v>1656</v>
      </c>
      <c r="G88" s="545" t="s">
        <v>1656</v>
      </c>
      <c r="H88" s="542"/>
      <c r="I88" s="542"/>
      <c r="J88" s="546"/>
    </row>
    <row r="89" spans="1:10">
      <c r="A89" s="545">
        <v>87</v>
      </c>
      <c r="B89" s="545">
        <v>2085</v>
      </c>
      <c r="C89" s="545" t="s">
        <v>1714</v>
      </c>
      <c r="D89" s="545"/>
      <c r="E89" s="545" t="s">
        <v>1656</v>
      </c>
      <c r="F89" s="545" t="s">
        <v>1656</v>
      </c>
      <c r="G89" s="545" t="s">
        <v>1656</v>
      </c>
      <c r="H89" s="542"/>
      <c r="I89" s="542"/>
      <c r="J89" s="546"/>
    </row>
    <row r="90" spans="1:10">
      <c r="A90" s="545">
        <v>88</v>
      </c>
      <c r="B90" s="545">
        <v>2086</v>
      </c>
      <c r="C90" s="545" t="s">
        <v>1315</v>
      </c>
      <c r="D90" s="545"/>
      <c r="E90" s="545" t="s">
        <v>1656</v>
      </c>
      <c r="F90" s="545" t="s">
        <v>1656</v>
      </c>
      <c r="G90" s="545" t="s">
        <v>1656</v>
      </c>
      <c r="H90" s="542" t="s">
        <v>1644</v>
      </c>
      <c r="I90" s="542" t="s">
        <v>1645</v>
      </c>
      <c r="J90" s="546"/>
    </row>
    <row r="91" spans="1:10">
      <c r="A91" s="545">
        <v>89</v>
      </c>
      <c r="B91" s="545">
        <v>2087</v>
      </c>
      <c r="C91" s="545" t="s">
        <v>1715</v>
      </c>
      <c r="D91" s="545"/>
      <c r="E91" s="545" t="s">
        <v>1656</v>
      </c>
      <c r="F91" s="545" t="s">
        <v>1656</v>
      </c>
      <c r="G91" s="545" t="s">
        <v>1656</v>
      </c>
      <c r="H91" s="542"/>
      <c r="I91" s="542"/>
      <c r="J91" s="546"/>
    </row>
    <row r="92" spans="1:10">
      <c r="A92" s="545">
        <v>90</v>
      </c>
      <c r="B92" s="545">
        <v>2088</v>
      </c>
      <c r="C92" s="545" t="s">
        <v>1716</v>
      </c>
      <c r="D92" s="545"/>
      <c r="E92" s="545" t="s">
        <v>1656</v>
      </c>
      <c r="F92" s="545" t="s">
        <v>1656</v>
      </c>
      <c r="G92" s="545" t="s">
        <v>1656</v>
      </c>
      <c r="H92" s="542"/>
      <c r="I92" s="542"/>
      <c r="J92" s="546"/>
    </row>
    <row r="93" spans="1:10">
      <c r="A93" s="545">
        <v>91</v>
      </c>
      <c r="B93" s="545">
        <v>2089</v>
      </c>
      <c r="C93" s="545" t="s">
        <v>799</v>
      </c>
      <c r="D93" s="545"/>
      <c r="E93" s="545" t="s">
        <v>1656</v>
      </c>
      <c r="F93" s="545" t="s">
        <v>1656</v>
      </c>
      <c r="G93" s="545" t="s">
        <v>1656</v>
      </c>
      <c r="H93" s="542"/>
      <c r="I93" s="542"/>
      <c r="J93" s="546"/>
    </row>
    <row r="94" spans="1:10">
      <c r="A94" s="545">
        <v>92</v>
      </c>
      <c r="B94" s="545">
        <v>2090</v>
      </c>
      <c r="C94" s="545" t="s">
        <v>1359</v>
      </c>
      <c r="D94" s="545"/>
      <c r="E94" s="545" t="s">
        <v>1656</v>
      </c>
      <c r="F94" s="545" t="s">
        <v>1656</v>
      </c>
      <c r="G94" s="545" t="s">
        <v>1656</v>
      </c>
      <c r="H94" s="542"/>
      <c r="I94" s="542"/>
      <c r="J94" s="546"/>
    </row>
    <row r="95" spans="1:10" ht="27.6">
      <c r="A95" s="545">
        <v>93</v>
      </c>
      <c r="B95" s="545">
        <v>2091</v>
      </c>
      <c r="C95" s="545" t="s">
        <v>1717</v>
      </c>
      <c r="D95" s="545"/>
      <c r="E95" s="545" t="s">
        <v>1656</v>
      </c>
      <c r="F95" s="545" t="s">
        <v>1656</v>
      </c>
      <c r="G95" s="545" t="s">
        <v>1656</v>
      </c>
      <c r="H95" s="542"/>
      <c r="I95" s="542"/>
      <c r="J95" s="546"/>
    </row>
    <row r="96" spans="1:10">
      <c r="A96" s="545">
        <v>94</v>
      </c>
      <c r="B96" s="545">
        <v>2092</v>
      </c>
      <c r="C96" s="545" t="s">
        <v>1718</v>
      </c>
      <c r="D96" s="545"/>
      <c r="E96" s="545" t="s">
        <v>1656</v>
      </c>
      <c r="F96" s="545" t="s">
        <v>1656</v>
      </c>
      <c r="G96" s="545" t="s">
        <v>1656</v>
      </c>
      <c r="H96" s="542"/>
      <c r="I96" s="542"/>
      <c r="J96" s="546"/>
    </row>
    <row r="97" spans="1:10">
      <c r="A97" s="545">
        <v>95</v>
      </c>
      <c r="B97" s="545">
        <v>2093</v>
      </c>
      <c r="C97" s="545" t="s">
        <v>1719</v>
      </c>
      <c r="D97" s="545"/>
      <c r="E97" s="545" t="s">
        <v>1656</v>
      </c>
      <c r="F97" s="545" t="s">
        <v>1656</v>
      </c>
      <c r="G97" s="545" t="s">
        <v>1656</v>
      </c>
      <c r="H97" s="542"/>
      <c r="I97" s="542"/>
      <c r="J97" s="546"/>
    </row>
    <row r="98" spans="1:10">
      <c r="A98" s="545">
        <v>96</v>
      </c>
      <c r="B98" s="545">
        <v>2094</v>
      </c>
      <c r="C98" s="545" t="s">
        <v>1720</v>
      </c>
      <c r="D98" s="545"/>
      <c r="E98" s="545" t="s">
        <v>1656</v>
      </c>
      <c r="F98" s="545" t="s">
        <v>1656</v>
      </c>
      <c r="G98" s="545" t="s">
        <v>1656</v>
      </c>
      <c r="H98" s="542"/>
      <c r="I98" s="542"/>
      <c r="J98" s="546"/>
    </row>
    <row r="99" spans="1:10">
      <c r="A99" s="545">
        <v>97</v>
      </c>
      <c r="B99" s="545">
        <v>2095</v>
      </c>
      <c r="C99" s="545" t="s">
        <v>1721</v>
      </c>
      <c r="D99" s="545"/>
      <c r="E99" s="545" t="s">
        <v>1656</v>
      </c>
      <c r="F99" s="545" t="s">
        <v>1656</v>
      </c>
      <c r="G99" s="545" t="s">
        <v>1656</v>
      </c>
      <c r="H99" s="542"/>
      <c r="I99" s="542"/>
      <c r="J99" s="546"/>
    </row>
    <row r="100" spans="1:10">
      <c r="A100" s="545">
        <v>98</v>
      </c>
      <c r="B100" s="545">
        <v>2096</v>
      </c>
      <c r="C100" s="545" t="s">
        <v>1722</v>
      </c>
      <c r="D100" s="545"/>
      <c r="E100" s="545" t="s">
        <v>1656</v>
      </c>
      <c r="F100" s="545" t="s">
        <v>1656</v>
      </c>
      <c r="G100" s="545" t="s">
        <v>1656</v>
      </c>
      <c r="H100" s="542"/>
      <c r="I100" s="542"/>
      <c r="J100" s="546"/>
    </row>
    <row r="101" spans="1:10">
      <c r="A101" s="545">
        <v>99</v>
      </c>
      <c r="B101" s="545">
        <v>2097</v>
      </c>
      <c r="C101" s="545" t="s">
        <v>1325</v>
      </c>
      <c r="D101" s="545"/>
      <c r="E101" s="545" t="s">
        <v>1656</v>
      </c>
      <c r="F101" s="545" t="s">
        <v>1656</v>
      </c>
      <c r="G101" s="545" t="s">
        <v>1656</v>
      </c>
      <c r="H101" s="542"/>
      <c r="I101" s="542"/>
      <c r="J101" s="546"/>
    </row>
    <row r="102" spans="1:10">
      <c r="A102" s="545">
        <v>100</v>
      </c>
      <c r="B102" s="545">
        <v>2098</v>
      </c>
      <c r="C102" s="545" t="s">
        <v>1723</v>
      </c>
      <c r="D102" s="545"/>
      <c r="E102" s="545" t="s">
        <v>1656</v>
      </c>
      <c r="F102" s="545" t="s">
        <v>1656</v>
      </c>
      <c r="G102" s="545" t="s">
        <v>1656</v>
      </c>
      <c r="H102" s="542"/>
      <c r="I102" s="542"/>
      <c r="J102" s="546"/>
    </row>
    <row r="103" spans="1:10">
      <c r="A103" s="545">
        <v>101</v>
      </c>
      <c r="B103" s="545">
        <v>2099</v>
      </c>
      <c r="C103" s="545" t="s">
        <v>1327</v>
      </c>
      <c r="D103" s="545"/>
      <c r="E103" s="545" t="s">
        <v>1656</v>
      </c>
      <c r="F103" s="545" t="s">
        <v>1656</v>
      </c>
      <c r="G103" s="545" t="s">
        <v>1656</v>
      </c>
      <c r="H103" s="542" t="s">
        <v>1724</v>
      </c>
      <c r="I103" s="542" t="s">
        <v>1645</v>
      </c>
      <c r="J103" s="546"/>
    </row>
    <row r="104" spans="1:10">
      <c r="A104" s="545">
        <v>102</v>
      </c>
      <c r="B104" s="545">
        <v>2100</v>
      </c>
      <c r="C104" s="545" t="s">
        <v>1725</v>
      </c>
      <c r="D104" s="545"/>
      <c r="E104" s="545" t="s">
        <v>1656</v>
      </c>
      <c r="F104" s="545" t="s">
        <v>1656</v>
      </c>
      <c r="G104" s="545" t="s">
        <v>1656</v>
      </c>
      <c r="H104" s="542"/>
      <c r="I104" s="542"/>
      <c r="J104" s="546"/>
    </row>
    <row r="105" spans="1:10">
      <c r="A105" s="545">
        <v>103</v>
      </c>
      <c r="B105" s="545">
        <v>2101</v>
      </c>
      <c r="C105" s="545" t="s">
        <v>1726</v>
      </c>
      <c r="D105" s="545"/>
      <c r="E105" s="545" t="s">
        <v>1656</v>
      </c>
      <c r="F105" s="545" t="s">
        <v>1656</v>
      </c>
      <c r="G105" s="545" t="s">
        <v>1656</v>
      </c>
      <c r="H105" s="542"/>
      <c r="I105" s="542"/>
      <c r="J105" s="546"/>
    </row>
    <row r="106" spans="1:10">
      <c r="A106" s="545">
        <v>104</v>
      </c>
      <c r="B106" s="545">
        <v>2102</v>
      </c>
      <c r="C106" s="545" t="s">
        <v>1727</v>
      </c>
      <c r="D106" s="545"/>
      <c r="E106" s="545" t="s">
        <v>1656</v>
      </c>
      <c r="F106" s="545" t="s">
        <v>1656</v>
      </c>
      <c r="G106" s="545" t="s">
        <v>1656</v>
      </c>
      <c r="H106" s="542"/>
      <c r="I106" s="542"/>
      <c r="J106" s="546"/>
    </row>
    <row r="107" spans="1:10">
      <c r="A107" s="545">
        <v>105</v>
      </c>
      <c r="B107" s="545">
        <v>2103</v>
      </c>
      <c r="C107" s="545" t="s">
        <v>1728</v>
      </c>
      <c r="D107" s="545"/>
      <c r="E107" s="545" t="s">
        <v>1656</v>
      </c>
      <c r="F107" s="545" t="s">
        <v>1656</v>
      </c>
      <c r="G107" s="545" t="s">
        <v>1656</v>
      </c>
      <c r="H107" s="542"/>
      <c r="I107" s="542"/>
      <c r="J107" s="546"/>
    </row>
    <row r="108" spans="1:10">
      <c r="A108" s="545">
        <v>106</v>
      </c>
      <c r="B108" s="545">
        <v>2104</v>
      </c>
      <c r="C108" s="545" t="s">
        <v>1729</v>
      </c>
      <c r="D108" s="545"/>
      <c r="E108" s="545" t="s">
        <v>1656</v>
      </c>
      <c r="F108" s="545" t="s">
        <v>1656</v>
      </c>
      <c r="G108" s="545" t="s">
        <v>1656</v>
      </c>
      <c r="H108" s="542"/>
      <c r="I108" s="542"/>
      <c r="J108" s="546"/>
    </row>
    <row r="109" spans="1:10">
      <c r="A109" s="545">
        <v>107</v>
      </c>
      <c r="B109" s="545">
        <v>2105</v>
      </c>
      <c r="C109" s="545" t="s">
        <v>1730</v>
      </c>
      <c r="D109" s="545"/>
      <c r="E109" s="545" t="s">
        <v>1656</v>
      </c>
      <c r="F109" s="545" t="s">
        <v>1656</v>
      </c>
      <c r="G109" s="545" t="s">
        <v>1656</v>
      </c>
      <c r="H109" s="542"/>
      <c r="I109" s="542"/>
      <c r="J109" s="546"/>
    </row>
    <row r="110" spans="1:10">
      <c r="A110" s="545">
        <v>108</v>
      </c>
      <c r="B110" s="545">
        <v>2106</v>
      </c>
      <c r="C110" s="545" t="s">
        <v>1362</v>
      </c>
      <c r="D110" s="545"/>
      <c r="E110" s="545" t="s">
        <v>1656</v>
      </c>
      <c r="F110" s="545" t="s">
        <v>1656</v>
      </c>
      <c r="G110" s="545" t="s">
        <v>1656</v>
      </c>
      <c r="H110" s="542"/>
      <c r="I110" s="542"/>
      <c r="J110" s="546"/>
    </row>
    <row r="111" spans="1:10">
      <c r="A111" s="545">
        <v>109</v>
      </c>
      <c r="B111" s="545">
        <v>2107</v>
      </c>
      <c r="C111" s="545" t="s">
        <v>1731</v>
      </c>
      <c r="D111" s="545"/>
      <c r="E111" s="545" t="s">
        <v>1656</v>
      </c>
      <c r="F111" s="545" t="s">
        <v>1656</v>
      </c>
      <c r="G111" s="545" t="s">
        <v>1656</v>
      </c>
      <c r="H111" s="542"/>
      <c r="I111" s="542"/>
      <c r="J111" s="546"/>
    </row>
    <row r="112" spans="1:10">
      <c r="A112" s="545">
        <v>110</v>
      </c>
      <c r="B112" s="545">
        <v>2108</v>
      </c>
      <c r="C112" s="545" t="s">
        <v>1732</v>
      </c>
      <c r="D112" s="545"/>
      <c r="E112" s="545" t="s">
        <v>1656</v>
      </c>
      <c r="F112" s="545" t="s">
        <v>1656</v>
      </c>
      <c r="G112" s="545" t="s">
        <v>1656</v>
      </c>
      <c r="H112" s="542" t="s">
        <v>1724</v>
      </c>
      <c r="I112" s="542" t="s">
        <v>1645</v>
      </c>
      <c r="J112" s="546"/>
    </row>
    <row r="113" spans="1:10">
      <c r="A113" s="545">
        <v>111</v>
      </c>
      <c r="B113" s="545">
        <v>2109</v>
      </c>
      <c r="C113" s="545" t="s">
        <v>1733</v>
      </c>
      <c r="D113" s="545"/>
      <c r="E113" s="545" t="s">
        <v>1656</v>
      </c>
      <c r="F113" s="545" t="s">
        <v>1656</v>
      </c>
      <c r="G113" s="545" t="s">
        <v>1656</v>
      </c>
      <c r="H113" s="542"/>
      <c r="I113" s="542"/>
      <c r="J113" s="546"/>
    </row>
    <row r="114" spans="1:10">
      <c r="A114" s="545">
        <v>112</v>
      </c>
      <c r="B114" s="545">
        <v>2110</v>
      </c>
      <c r="C114" s="545" t="s">
        <v>1734</v>
      </c>
      <c r="D114" s="545"/>
      <c r="E114" s="545" t="s">
        <v>1656</v>
      </c>
      <c r="F114" s="545" t="s">
        <v>1656</v>
      </c>
      <c r="G114" s="545" t="s">
        <v>1656</v>
      </c>
      <c r="H114" s="542"/>
      <c r="I114" s="542"/>
      <c r="J114" s="546"/>
    </row>
    <row r="115" spans="1:10">
      <c r="A115" s="545">
        <v>113</v>
      </c>
      <c r="B115" s="545">
        <v>2111</v>
      </c>
      <c r="C115" s="545" t="s">
        <v>1735</v>
      </c>
      <c r="D115" s="545"/>
      <c r="E115" s="545" t="s">
        <v>1656</v>
      </c>
      <c r="F115" s="545" t="s">
        <v>1656</v>
      </c>
      <c r="G115" s="545" t="s">
        <v>1656</v>
      </c>
      <c r="H115" s="542"/>
      <c r="I115" s="542"/>
      <c r="J115" s="546"/>
    </row>
    <row r="116" spans="1:10">
      <c r="A116" s="545">
        <v>114</v>
      </c>
      <c r="B116" s="545">
        <v>2112</v>
      </c>
      <c r="C116" s="545" t="s">
        <v>1736</v>
      </c>
      <c r="D116" s="545"/>
      <c r="E116" s="545" t="s">
        <v>1656</v>
      </c>
      <c r="F116" s="545" t="s">
        <v>1656</v>
      </c>
      <c r="G116" s="545" t="s">
        <v>1656</v>
      </c>
      <c r="H116" s="542"/>
      <c r="I116" s="542"/>
      <c r="J116" s="546"/>
    </row>
    <row r="117" spans="1:10">
      <c r="A117" s="545">
        <v>115</v>
      </c>
      <c r="B117" s="545">
        <v>2113</v>
      </c>
      <c r="C117" s="545" t="s">
        <v>1737</v>
      </c>
      <c r="D117" s="545"/>
      <c r="E117" s="545" t="s">
        <v>1656</v>
      </c>
      <c r="F117" s="545" t="s">
        <v>1656</v>
      </c>
      <c r="G117" s="545" t="s">
        <v>1656</v>
      </c>
      <c r="H117" s="542"/>
      <c r="I117" s="542"/>
      <c r="J117" s="546"/>
    </row>
    <row r="118" spans="1:10">
      <c r="A118" s="545">
        <v>116</v>
      </c>
      <c r="B118" s="545">
        <v>2114</v>
      </c>
      <c r="C118" s="545" t="s">
        <v>1738</v>
      </c>
      <c r="D118" s="545"/>
      <c r="E118" s="545" t="s">
        <v>1656</v>
      </c>
      <c r="F118" s="545" t="s">
        <v>1656</v>
      </c>
      <c r="G118" s="545" t="s">
        <v>1656</v>
      </c>
      <c r="H118" s="542"/>
      <c r="I118" s="542"/>
      <c r="J118" s="546"/>
    </row>
    <row r="119" spans="1:10">
      <c r="A119" s="545">
        <v>117</v>
      </c>
      <c r="B119" s="545">
        <v>2115</v>
      </c>
      <c r="C119" s="545" t="s">
        <v>1739</v>
      </c>
      <c r="D119" s="545"/>
      <c r="E119" s="545" t="s">
        <v>1656</v>
      </c>
      <c r="F119" s="545" t="s">
        <v>1656</v>
      </c>
      <c r="G119" s="545" t="s">
        <v>1656</v>
      </c>
      <c r="H119" s="542"/>
      <c r="I119" s="542"/>
      <c r="J119" s="546"/>
    </row>
    <row r="120" spans="1:10">
      <c r="A120" s="545">
        <v>118</v>
      </c>
      <c r="B120" s="545">
        <v>2116</v>
      </c>
      <c r="C120" s="545" t="s">
        <v>1740</v>
      </c>
      <c r="D120" s="545"/>
      <c r="E120" s="545" t="s">
        <v>1656</v>
      </c>
      <c r="F120" s="545" t="s">
        <v>1656</v>
      </c>
      <c r="G120" s="545" t="s">
        <v>1656</v>
      </c>
      <c r="H120" s="542"/>
      <c r="I120" s="542"/>
      <c r="J120" s="546"/>
    </row>
    <row r="121" spans="1:10">
      <c r="A121" s="545">
        <v>119</v>
      </c>
      <c r="B121" s="545">
        <v>2117</v>
      </c>
      <c r="C121" s="545" t="s">
        <v>1741</v>
      </c>
      <c r="D121" s="545"/>
      <c r="E121" s="545" t="s">
        <v>1656</v>
      </c>
      <c r="F121" s="545" t="s">
        <v>1656</v>
      </c>
      <c r="G121" s="545" t="s">
        <v>1656</v>
      </c>
      <c r="H121" s="542"/>
      <c r="I121" s="542"/>
      <c r="J121" s="546"/>
    </row>
    <row r="122" spans="1:10">
      <c r="A122" s="545">
        <v>120</v>
      </c>
      <c r="B122" s="545">
        <v>2118</v>
      </c>
      <c r="C122" s="545" t="s">
        <v>1742</v>
      </c>
      <c r="D122" s="545"/>
      <c r="E122" s="545" t="s">
        <v>1656</v>
      </c>
      <c r="F122" s="545" t="s">
        <v>1656</v>
      </c>
      <c r="G122" s="545" t="s">
        <v>1656</v>
      </c>
      <c r="H122" s="542"/>
      <c r="I122" s="542"/>
      <c r="J122" s="546"/>
    </row>
    <row r="123" spans="1:10" ht="27.6">
      <c r="A123" s="545">
        <v>121</v>
      </c>
      <c r="B123" s="545">
        <v>2119</v>
      </c>
      <c r="C123" s="545" t="s">
        <v>1743</v>
      </c>
      <c r="D123" s="545"/>
      <c r="E123" s="545" t="s">
        <v>1656</v>
      </c>
      <c r="F123" s="545" t="s">
        <v>1656</v>
      </c>
      <c r="G123" s="545" t="s">
        <v>1656</v>
      </c>
      <c r="H123" s="542"/>
      <c r="I123" s="542"/>
      <c r="J123" s="546"/>
    </row>
    <row r="124" spans="1:10">
      <c r="A124" s="545">
        <v>122</v>
      </c>
      <c r="B124" s="545">
        <v>2120</v>
      </c>
      <c r="C124" s="545" t="s">
        <v>1744</v>
      </c>
      <c r="D124" s="545"/>
      <c r="E124" s="545" t="s">
        <v>1656</v>
      </c>
      <c r="F124" s="545" t="s">
        <v>1656</v>
      </c>
      <c r="G124" s="545" t="s">
        <v>1656</v>
      </c>
      <c r="H124" s="542"/>
      <c r="I124" s="542"/>
      <c r="J124" s="546"/>
    </row>
    <row r="125" spans="1:10" ht="27.6">
      <c r="A125" s="545">
        <v>123</v>
      </c>
      <c r="B125" s="545">
        <v>2121</v>
      </c>
      <c r="C125" s="545" t="s">
        <v>1745</v>
      </c>
      <c r="D125" s="545"/>
      <c r="E125" s="545" t="s">
        <v>1656</v>
      </c>
      <c r="F125" s="545" t="s">
        <v>1656</v>
      </c>
      <c r="G125" s="545" t="s">
        <v>1656</v>
      </c>
      <c r="H125" s="542"/>
      <c r="I125" s="542"/>
      <c r="J125" s="546"/>
    </row>
    <row r="126" spans="1:10">
      <c r="A126" s="545">
        <v>124</v>
      </c>
      <c r="B126" s="545">
        <v>2122</v>
      </c>
      <c r="C126" s="545" t="s">
        <v>1339</v>
      </c>
      <c r="D126" s="545"/>
      <c r="E126" s="545" t="s">
        <v>1656</v>
      </c>
      <c r="F126" s="545" t="s">
        <v>1656</v>
      </c>
      <c r="G126" s="545" t="s">
        <v>1656</v>
      </c>
      <c r="H126" s="542"/>
      <c r="I126" s="542"/>
      <c r="J126" s="546"/>
    </row>
    <row r="127" spans="1:10">
      <c r="A127" s="545">
        <v>125</v>
      </c>
      <c r="B127" s="545">
        <v>2123</v>
      </c>
      <c r="C127" s="545" t="s">
        <v>6</v>
      </c>
      <c r="D127" s="545"/>
      <c r="E127" s="545" t="s">
        <v>1656</v>
      </c>
      <c r="F127" s="545" t="s">
        <v>1656</v>
      </c>
      <c r="G127" s="545" t="s">
        <v>1656</v>
      </c>
      <c r="H127" s="542"/>
      <c r="I127" s="542"/>
      <c r="J127" s="546"/>
    </row>
    <row r="128" spans="1:10">
      <c r="A128" s="545">
        <v>126</v>
      </c>
      <c r="B128" s="545">
        <v>2124</v>
      </c>
      <c r="C128" s="545" t="s">
        <v>1746</v>
      </c>
      <c r="D128" s="545"/>
      <c r="E128" s="545" t="s">
        <v>1656</v>
      </c>
      <c r="F128" s="545" t="s">
        <v>1656</v>
      </c>
      <c r="G128" s="545" t="s">
        <v>1656</v>
      </c>
      <c r="H128" s="542"/>
      <c r="I128" s="542"/>
      <c r="J128" s="546"/>
    </row>
    <row r="129" spans="1:10" ht="27.6">
      <c r="A129" s="545">
        <v>127</v>
      </c>
      <c r="B129" s="545">
        <v>2125</v>
      </c>
      <c r="C129" s="545" t="s">
        <v>1747</v>
      </c>
      <c r="D129" s="545"/>
      <c r="E129" s="545" t="s">
        <v>1656</v>
      </c>
      <c r="F129" s="545" t="s">
        <v>1656</v>
      </c>
      <c r="G129" s="545" t="s">
        <v>1656</v>
      </c>
      <c r="H129" s="542"/>
      <c r="I129" s="542"/>
      <c r="J129" s="546"/>
    </row>
    <row r="130" spans="1:10">
      <c r="A130" s="545">
        <v>128</v>
      </c>
      <c r="B130" s="545">
        <v>2126</v>
      </c>
      <c r="C130" s="545" t="s">
        <v>1748</v>
      </c>
      <c r="D130" s="545"/>
      <c r="E130" s="545" t="s">
        <v>1656</v>
      </c>
      <c r="F130" s="545" t="s">
        <v>1656</v>
      </c>
      <c r="G130" s="545" t="s">
        <v>1656</v>
      </c>
      <c r="H130" s="542"/>
      <c r="I130" s="542"/>
      <c r="J130" s="546"/>
    </row>
    <row r="131" spans="1:10">
      <c r="A131" s="545">
        <v>129</v>
      </c>
      <c r="B131" s="545">
        <v>2127</v>
      </c>
      <c r="C131" s="545" t="s">
        <v>1749</v>
      </c>
      <c r="D131" s="545"/>
      <c r="E131" s="545" t="s">
        <v>1656</v>
      </c>
      <c r="F131" s="545" t="s">
        <v>1656</v>
      </c>
      <c r="G131" s="545" t="s">
        <v>1656</v>
      </c>
      <c r="H131" s="542"/>
      <c r="I131" s="542"/>
      <c r="J131" s="546"/>
    </row>
    <row r="132" spans="1:10">
      <c r="A132" s="545">
        <v>130</v>
      </c>
      <c r="B132" s="545">
        <v>2128</v>
      </c>
      <c r="C132" s="545" t="s">
        <v>1750</v>
      </c>
      <c r="D132" s="545"/>
      <c r="E132" s="545" t="s">
        <v>1656</v>
      </c>
      <c r="F132" s="545" t="s">
        <v>1656</v>
      </c>
      <c r="G132" s="545" t="s">
        <v>1656</v>
      </c>
      <c r="H132" s="542"/>
      <c r="I132" s="542"/>
      <c r="J132" s="546"/>
    </row>
    <row r="133" spans="1:10">
      <c r="A133" s="545">
        <v>131</v>
      </c>
      <c r="B133" s="545">
        <v>2129</v>
      </c>
      <c r="C133" s="545" t="s">
        <v>1131</v>
      </c>
      <c r="D133" s="545"/>
      <c r="E133" s="545" t="s">
        <v>1656</v>
      </c>
      <c r="F133" s="545" t="s">
        <v>1656</v>
      </c>
      <c r="G133" s="545" t="s">
        <v>1656</v>
      </c>
      <c r="H133" s="542"/>
      <c r="I133" s="542"/>
      <c r="J133" s="546"/>
    </row>
    <row r="134" spans="1:10">
      <c r="A134" s="545">
        <v>132</v>
      </c>
      <c r="B134" s="545">
        <v>2130</v>
      </c>
      <c r="C134" s="545" t="s">
        <v>1751</v>
      </c>
      <c r="D134" s="545"/>
      <c r="E134" s="545" t="s">
        <v>1656</v>
      </c>
      <c r="F134" s="545" t="s">
        <v>1656</v>
      </c>
      <c r="G134" s="545" t="s">
        <v>1656</v>
      </c>
      <c r="H134" s="542"/>
      <c r="I134" s="542"/>
      <c r="J134" s="546"/>
    </row>
    <row r="135" spans="1:10">
      <c r="A135" s="545">
        <v>133</v>
      </c>
      <c r="B135" s="545">
        <v>2131</v>
      </c>
      <c r="C135" s="545" t="s">
        <v>1752</v>
      </c>
      <c r="D135" s="545"/>
      <c r="E135" s="545" t="s">
        <v>1656</v>
      </c>
      <c r="F135" s="545" t="s">
        <v>1656</v>
      </c>
      <c r="G135" s="545" t="s">
        <v>1656</v>
      </c>
      <c r="H135" s="542"/>
      <c r="I135" s="542"/>
      <c r="J135" s="546"/>
    </row>
    <row r="136" spans="1:10">
      <c r="A136" s="545">
        <v>134</v>
      </c>
      <c r="B136" s="545">
        <v>2132</v>
      </c>
      <c r="C136" s="545" t="s">
        <v>1753</v>
      </c>
      <c r="D136" s="545"/>
      <c r="E136" s="545" t="s">
        <v>1656</v>
      </c>
      <c r="F136" s="545" t="s">
        <v>1656</v>
      </c>
      <c r="G136" s="545" t="s">
        <v>1656</v>
      </c>
      <c r="H136" s="542"/>
      <c r="I136" s="542"/>
      <c r="J136" s="546"/>
    </row>
    <row r="137" spans="1:10">
      <c r="A137" s="545">
        <v>135</v>
      </c>
      <c r="B137" s="545">
        <v>2133</v>
      </c>
      <c r="C137" s="545" t="s">
        <v>1754</v>
      </c>
      <c r="D137" s="545"/>
      <c r="E137" s="546"/>
      <c r="F137" s="546"/>
      <c r="G137" s="546"/>
      <c r="H137" s="547"/>
      <c r="I137" s="547"/>
      <c r="J137" s="546"/>
    </row>
    <row r="138" spans="1:10">
      <c r="A138" s="545">
        <v>136</v>
      </c>
      <c r="B138" s="545">
        <v>2134</v>
      </c>
      <c r="C138" s="545" t="s">
        <v>1755</v>
      </c>
      <c r="D138" s="545"/>
      <c r="E138" s="546"/>
      <c r="F138" s="546"/>
      <c r="G138" s="546"/>
      <c r="H138" s="547"/>
      <c r="I138" s="547"/>
      <c r="J138" s="546"/>
    </row>
    <row r="139" spans="1:10">
      <c r="A139" s="545">
        <v>137</v>
      </c>
      <c r="B139" s="545">
        <v>2135</v>
      </c>
      <c r="C139" s="545" t="s">
        <v>1756</v>
      </c>
      <c r="D139" s="545"/>
      <c r="E139" s="546"/>
      <c r="F139" s="546"/>
      <c r="G139" s="546"/>
      <c r="H139" s="547"/>
      <c r="I139" s="547"/>
      <c r="J139" s="546"/>
    </row>
    <row r="140" spans="1:10">
      <c r="A140" s="545">
        <v>138</v>
      </c>
      <c r="B140" s="545">
        <v>2136</v>
      </c>
      <c r="C140" s="545" t="s">
        <v>867</v>
      </c>
      <c r="D140" s="545"/>
      <c r="E140" s="546"/>
      <c r="F140" s="546"/>
      <c r="G140" s="546"/>
      <c r="H140" s="547"/>
      <c r="I140" s="547"/>
      <c r="J140" s="546"/>
    </row>
    <row r="141" spans="1:10">
      <c r="A141" s="545">
        <v>139</v>
      </c>
      <c r="B141" s="545">
        <v>2137</v>
      </c>
      <c r="C141" s="545" t="s">
        <v>1757</v>
      </c>
      <c r="D141" s="545"/>
      <c r="E141" s="546"/>
      <c r="F141" s="546"/>
      <c r="G141" s="546"/>
      <c r="H141" s="547"/>
      <c r="I141" s="547"/>
      <c r="J141" s="546"/>
    </row>
    <row r="142" spans="1:10">
      <c r="A142" s="545">
        <v>140</v>
      </c>
      <c r="B142" s="545">
        <v>2138</v>
      </c>
      <c r="C142" s="545" t="s">
        <v>1758</v>
      </c>
      <c r="D142" s="545"/>
      <c r="E142" s="546"/>
      <c r="F142" s="546"/>
      <c r="G142" s="546"/>
      <c r="H142" s="547"/>
      <c r="I142" s="547"/>
      <c r="J142" s="546"/>
    </row>
    <row r="143" spans="1:10">
      <c r="A143" s="545">
        <v>141</v>
      </c>
      <c r="B143" s="545">
        <v>2139</v>
      </c>
      <c r="C143" s="545" t="s">
        <v>830</v>
      </c>
      <c r="D143" s="545"/>
      <c r="E143" s="546"/>
      <c r="F143" s="546"/>
      <c r="G143" s="546"/>
      <c r="H143" s="547"/>
      <c r="I143" s="547"/>
      <c r="J143" s="546"/>
    </row>
    <row r="144" spans="1:10">
      <c r="A144" s="545">
        <v>142</v>
      </c>
      <c r="B144" s="545">
        <v>2140</v>
      </c>
      <c r="C144" s="545" t="s">
        <v>1759</v>
      </c>
      <c r="D144" s="545"/>
      <c r="E144" s="546"/>
      <c r="F144" s="546"/>
      <c r="G144" s="546"/>
      <c r="H144" s="547"/>
      <c r="I144" s="547"/>
      <c r="J144" s="546"/>
    </row>
    <row r="145" spans="1:10">
      <c r="A145" s="545">
        <v>143</v>
      </c>
      <c r="B145" s="545">
        <v>2141</v>
      </c>
      <c r="C145" s="545" t="s">
        <v>1760</v>
      </c>
      <c r="D145" s="545"/>
      <c r="E145" s="546"/>
      <c r="F145" s="546"/>
      <c r="G145" s="546"/>
      <c r="H145" s="547"/>
      <c r="I145" s="547"/>
      <c r="J145" s="546"/>
    </row>
    <row r="146" spans="1:10">
      <c r="A146" s="545">
        <v>144</v>
      </c>
      <c r="B146" s="545">
        <v>2142</v>
      </c>
      <c r="C146" s="545" t="s">
        <v>1761</v>
      </c>
      <c r="D146" s="545"/>
      <c r="E146" s="546"/>
      <c r="F146" s="546"/>
      <c r="G146" s="546"/>
      <c r="H146" s="547"/>
      <c r="I146" s="547"/>
      <c r="J146" s="546"/>
    </row>
    <row r="147" spans="1:10">
      <c r="A147" s="545">
        <v>145</v>
      </c>
      <c r="B147" s="545">
        <v>2143</v>
      </c>
      <c r="C147" s="545" t="s">
        <v>1762</v>
      </c>
      <c r="D147" s="545"/>
      <c r="E147" s="546"/>
      <c r="F147" s="546"/>
      <c r="G147" s="546"/>
      <c r="H147" s="542" t="s">
        <v>1644</v>
      </c>
      <c r="I147" s="542" t="s">
        <v>1645</v>
      </c>
      <c r="J147" s="546"/>
    </row>
    <row r="148" spans="1:10">
      <c r="B148" s="545">
        <v>2144</v>
      </c>
      <c r="C148" s="545" t="s">
        <v>1763</v>
      </c>
      <c r="E148" s="545" t="s">
        <v>1656</v>
      </c>
      <c r="F148" s="545" t="s">
        <v>1656</v>
      </c>
      <c r="G148" s="545" t="s">
        <v>1656</v>
      </c>
      <c r="H148" s="542" t="s">
        <v>1644</v>
      </c>
      <c r="I148" s="542" t="s">
        <v>1645</v>
      </c>
      <c r="J148" s="546" t="s">
        <v>94</v>
      </c>
    </row>
    <row r="149" spans="1:10">
      <c r="B149" s="545">
        <v>2145</v>
      </c>
      <c r="C149" s="545" t="s">
        <v>1539</v>
      </c>
      <c r="H149" s="281" t="s">
        <v>1644</v>
      </c>
      <c r="I149" s="281" t="s">
        <v>1645</v>
      </c>
      <c r="J149" s="546" t="s">
        <v>96</v>
      </c>
    </row>
    <row r="171" spans="3:4">
      <c r="C171" s="545" t="s">
        <v>1245</v>
      </c>
      <c r="D171">
        <f>COUNTIFS($C$171:$C$276,C171)</f>
        <v>1</v>
      </c>
    </row>
    <row r="172" spans="3:4">
      <c r="C172" s="545" t="s">
        <v>1660</v>
      </c>
      <c r="D172">
        <f t="shared" ref="D172:D235" si="0">COUNTIFS($C$171:$C$276,C172)</f>
        <v>1</v>
      </c>
    </row>
    <row r="173" spans="3:4">
      <c r="C173" s="545" t="s">
        <v>1661</v>
      </c>
      <c r="D173">
        <f t="shared" si="0"/>
        <v>1</v>
      </c>
    </row>
    <row r="174" spans="3:4">
      <c r="C174" s="545" t="s">
        <v>1662</v>
      </c>
      <c r="D174">
        <f t="shared" si="0"/>
        <v>1</v>
      </c>
    </row>
    <row r="175" spans="3:4">
      <c r="C175" s="545" t="s">
        <v>1663</v>
      </c>
      <c r="D175">
        <f t="shared" si="0"/>
        <v>1</v>
      </c>
    </row>
    <row r="176" spans="3:4">
      <c r="C176" s="545" t="s">
        <v>1667</v>
      </c>
      <c r="D176">
        <f t="shared" si="0"/>
        <v>1</v>
      </c>
    </row>
    <row r="177" spans="3:4">
      <c r="C177" s="545" t="s">
        <v>1672</v>
      </c>
      <c r="D177">
        <f t="shared" si="0"/>
        <v>1</v>
      </c>
    </row>
    <row r="178" spans="3:4">
      <c r="C178" s="545" t="s">
        <v>1673</v>
      </c>
      <c r="D178">
        <f t="shared" si="0"/>
        <v>1</v>
      </c>
    </row>
    <row r="179" spans="3:4">
      <c r="C179" s="545" t="s">
        <v>1675</v>
      </c>
      <c r="D179">
        <f t="shared" si="0"/>
        <v>2</v>
      </c>
    </row>
    <row r="180" spans="3:4">
      <c r="C180" s="545" t="s">
        <v>1676</v>
      </c>
      <c r="D180">
        <f t="shared" si="0"/>
        <v>1</v>
      </c>
    </row>
    <row r="181" spans="3:4">
      <c r="C181" s="545" t="s">
        <v>1677</v>
      </c>
      <c r="D181">
        <f t="shared" si="0"/>
        <v>1</v>
      </c>
    </row>
    <row r="182" spans="3:4">
      <c r="C182" s="545" t="s">
        <v>1108</v>
      </c>
      <c r="D182">
        <f t="shared" si="0"/>
        <v>1</v>
      </c>
    </row>
    <row r="183" spans="3:4">
      <c r="C183" s="545" t="s">
        <v>1678</v>
      </c>
      <c r="D183">
        <f t="shared" si="0"/>
        <v>1</v>
      </c>
    </row>
    <row r="184" spans="3:4">
      <c r="C184" s="545" t="s">
        <v>1680</v>
      </c>
      <c r="D184">
        <f t="shared" si="0"/>
        <v>1</v>
      </c>
    </row>
    <row r="185" spans="3:4">
      <c r="C185" s="545" t="s">
        <v>1684</v>
      </c>
      <c r="D185">
        <f t="shared" si="0"/>
        <v>2</v>
      </c>
    </row>
    <row r="186" spans="3:4">
      <c r="C186" s="545" t="s">
        <v>1523</v>
      </c>
      <c r="D186">
        <f t="shared" si="0"/>
        <v>1</v>
      </c>
    </row>
    <row r="187" spans="3:4">
      <c r="C187" s="545" t="s">
        <v>1433</v>
      </c>
      <c r="D187">
        <f t="shared" si="0"/>
        <v>1</v>
      </c>
    </row>
    <row r="188" spans="3:4">
      <c r="C188" s="545" t="s">
        <v>798</v>
      </c>
      <c r="D188">
        <f t="shared" si="0"/>
        <v>1</v>
      </c>
    </row>
    <row r="189" spans="3:4">
      <c r="C189" s="545" t="s">
        <v>1297</v>
      </c>
      <c r="D189">
        <f t="shared" si="0"/>
        <v>1</v>
      </c>
    </row>
    <row r="190" spans="3:4">
      <c r="C190" s="545" t="s">
        <v>1689</v>
      </c>
      <c r="D190">
        <f t="shared" si="0"/>
        <v>1</v>
      </c>
    </row>
    <row r="191" spans="3:4">
      <c r="C191" s="545" t="s">
        <v>1323</v>
      </c>
      <c r="D191">
        <f t="shared" si="0"/>
        <v>1</v>
      </c>
    </row>
    <row r="192" spans="3:4">
      <c r="C192" s="545" t="s">
        <v>852</v>
      </c>
      <c r="D192">
        <f t="shared" si="0"/>
        <v>1</v>
      </c>
    </row>
    <row r="193" spans="3:4" ht="27.6">
      <c r="C193" s="545" t="s">
        <v>1693</v>
      </c>
      <c r="D193">
        <f t="shared" si="0"/>
        <v>1</v>
      </c>
    </row>
    <row r="194" spans="3:4">
      <c r="C194" s="545" t="s">
        <v>1036</v>
      </c>
      <c r="D194">
        <f t="shared" si="0"/>
        <v>1</v>
      </c>
    </row>
    <row r="195" spans="3:4">
      <c r="C195" s="545" t="s">
        <v>1695</v>
      </c>
      <c r="D195">
        <f t="shared" si="0"/>
        <v>1</v>
      </c>
    </row>
    <row r="196" spans="3:4">
      <c r="C196" s="545" t="s">
        <v>1696</v>
      </c>
      <c r="D196">
        <f t="shared" si="0"/>
        <v>1</v>
      </c>
    </row>
    <row r="197" spans="3:4">
      <c r="C197" s="545" t="s">
        <v>859</v>
      </c>
      <c r="D197">
        <f t="shared" si="0"/>
        <v>1</v>
      </c>
    </row>
    <row r="198" spans="3:4">
      <c r="C198" s="545" t="s">
        <v>847</v>
      </c>
      <c r="D198">
        <f t="shared" si="0"/>
        <v>1</v>
      </c>
    </row>
    <row r="199" spans="3:4">
      <c r="C199" s="545" t="s">
        <v>797</v>
      </c>
      <c r="D199">
        <f t="shared" si="0"/>
        <v>1</v>
      </c>
    </row>
    <row r="200" spans="3:4">
      <c r="C200" s="545" t="s">
        <v>1697</v>
      </c>
      <c r="D200">
        <f t="shared" si="0"/>
        <v>1</v>
      </c>
    </row>
    <row r="201" spans="3:4">
      <c r="C201" s="545" t="s">
        <v>839</v>
      </c>
      <c r="D201">
        <f t="shared" si="0"/>
        <v>1</v>
      </c>
    </row>
    <row r="202" spans="3:4" ht="41.4">
      <c r="C202" s="545" t="s">
        <v>1698</v>
      </c>
      <c r="D202">
        <f t="shared" si="0"/>
        <v>1</v>
      </c>
    </row>
    <row r="203" spans="3:4">
      <c r="C203" s="545" t="s">
        <v>1700</v>
      </c>
      <c r="D203">
        <f t="shared" si="0"/>
        <v>1</v>
      </c>
    </row>
    <row r="204" spans="3:4">
      <c r="C204" s="545" t="s">
        <v>1701</v>
      </c>
      <c r="D204">
        <f t="shared" si="0"/>
        <v>1</v>
      </c>
    </row>
    <row r="205" spans="3:4">
      <c r="C205" s="545" t="s">
        <v>1702</v>
      </c>
      <c r="D205">
        <f t="shared" si="0"/>
        <v>1</v>
      </c>
    </row>
    <row r="206" spans="3:4">
      <c r="C206" s="545" t="s">
        <v>1230</v>
      </c>
      <c r="D206">
        <f t="shared" si="0"/>
        <v>1</v>
      </c>
    </row>
    <row r="207" spans="3:4">
      <c r="C207" s="545" t="s">
        <v>1703</v>
      </c>
      <c r="D207">
        <f t="shared" si="0"/>
        <v>1</v>
      </c>
    </row>
    <row r="208" spans="3:4">
      <c r="C208" s="545" t="s">
        <v>803</v>
      </c>
      <c r="D208">
        <f t="shared" si="0"/>
        <v>1</v>
      </c>
    </row>
    <row r="209" spans="3:4">
      <c r="C209" s="545" t="s">
        <v>1704</v>
      </c>
      <c r="D209">
        <f t="shared" si="0"/>
        <v>1</v>
      </c>
    </row>
    <row r="210" spans="3:4">
      <c r="C210" s="545" t="s">
        <v>1705</v>
      </c>
      <c r="D210">
        <f t="shared" si="0"/>
        <v>1</v>
      </c>
    </row>
    <row r="211" spans="3:4">
      <c r="C211" s="545" t="s">
        <v>1706</v>
      </c>
      <c r="D211">
        <f t="shared" si="0"/>
        <v>1</v>
      </c>
    </row>
    <row r="212" spans="3:4">
      <c r="C212" s="545" t="s">
        <v>1707</v>
      </c>
      <c r="D212">
        <f t="shared" si="0"/>
        <v>1</v>
      </c>
    </row>
    <row r="213" spans="3:4">
      <c r="C213" s="545" t="s">
        <v>1708</v>
      </c>
      <c r="D213">
        <f t="shared" si="0"/>
        <v>1</v>
      </c>
    </row>
    <row r="214" spans="3:4">
      <c r="C214" s="545" t="s">
        <v>1709</v>
      </c>
      <c r="D214">
        <f t="shared" si="0"/>
        <v>1</v>
      </c>
    </row>
    <row r="215" spans="3:4">
      <c r="C215" s="545" t="s">
        <v>863</v>
      </c>
      <c r="D215">
        <f t="shared" si="0"/>
        <v>1</v>
      </c>
    </row>
    <row r="216" spans="3:4">
      <c r="C216" s="545" t="s">
        <v>1710</v>
      </c>
      <c r="D216">
        <f t="shared" si="0"/>
        <v>1</v>
      </c>
    </row>
    <row r="217" spans="3:4">
      <c r="C217" s="545" t="s">
        <v>1711</v>
      </c>
      <c r="D217">
        <f t="shared" si="0"/>
        <v>1</v>
      </c>
    </row>
    <row r="218" spans="3:4">
      <c r="C218" s="545" t="s">
        <v>1712</v>
      </c>
      <c r="D218">
        <f t="shared" si="0"/>
        <v>1</v>
      </c>
    </row>
    <row r="219" spans="3:4">
      <c r="C219" s="545" t="s">
        <v>1713</v>
      </c>
      <c r="D219">
        <f t="shared" si="0"/>
        <v>1</v>
      </c>
    </row>
    <row r="220" spans="3:4">
      <c r="C220" s="545" t="s">
        <v>1714</v>
      </c>
      <c r="D220">
        <f t="shared" si="0"/>
        <v>1</v>
      </c>
    </row>
    <row r="221" spans="3:4">
      <c r="C221" s="545" t="s">
        <v>1715</v>
      </c>
      <c r="D221">
        <f t="shared" si="0"/>
        <v>1</v>
      </c>
    </row>
    <row r="222" spans="3:4">
      <c r="C222" s="545" t="s">
        <v>1716</v>
      </c>
      <c r="D222">
        <f t="shared" si="0"/>
        <v>1</v>
      </c>
    </row>
    <row r="223" spans="3:4">
      <c r="C223" s="545" t="s">
        <v>799</v>
      </c>
      <c r="D223">
        <f t="shared" si="0"/>
        <v>1</v>
      </c>
    </row>
    <row r="224" spans="3:4">
      <c r="C224" s="545" t="s">
        <v>1359</v>
      </c>
      <c r="D224">
        <f t="shared" si="0"/>
        <v>1</v>
      </c>
    </row>
    <row r="225" spans="3:4" ht="27.6">
      <c r="C225" s="545" t="s">
        <v>1717</v>
      </c>
      <c r="D225">
        <f t="shared" si="0"/>
        <v>1</v>
      </c>
    </row>
    <row r="226" spans="3:4">
      <c r="C226" s="545" t="s">
        <v>1718</v>
      </c>
      <c r="D226">
        <f t="shared" si="0"/>
        <v>1</v>
      </c>
    </row>
    <row r="227" spans="3:4">
      <c r="C227" s="545" t="s">
        <v>1719</v>
      </c>
      <c r="D227">
        <f t="shared" si="0"/>
        <v>1</v>
      </c>
    </row>
    <row r="228" spans="3:4">
      <c r="C228" s="545" t="s">
        <v>1720</v>
      </c>
      <c r="D228">
        <f t="shared" si="0"/>
        <v>1</v>
      </c>
    </row>
    <row r="229" spans="3:4">
      <c r="C229" s="545" t="s">
        <v>1721</v>
      </c>
      <c r="D229">
        <f t="shared" si="0"/>
        <v>1</v>
      </c>
    </row>
    <row r="230" spans="3:4">
      <c r="C230" s="545" t="s">
        <v>1722</v>
      </c>
      <c r="D230">
        <f t="shared" si="0"/>
        <v>1</v>
      </c>
    </row>
    <row r="231" spans="3:4">
      <c r="C231" s="545" t="s">
        <v>1325</v>
      </c>
      <c r="D231">
        <f t="shared" si="0"/>
        <v>1</v>
      </c>
    </row>
    <row r="232" spans="3:4">
      <c r="C232" s="545" t="s">
        <v>1723</v>
      </c>
      <c r="D232">
        <f t="shared" si="0"/>
        <v>1</v>
      </c>
    </row>
    <row r="233" spans="3:4">
      <c r="C233" s="545" t="s">
        <v>1327</v>
      </c>
      <c r="D233">
        <f t="shared" si="0"/>
        <v>2</v>
      </c>
    </row>
    <row r="234" spans="3:4">
      <c r="C234" s="545" t="s">
        <v>1725</v>
      </c>
      <c r="D234">
        <f t="shared" si="0"/>
        <v>1</v>
      </c>
    </row>
    <row r="235" spans="3:4">
      <c r="C235" s="545" t="s">
        <v>1726</v>
      </c>
      <c r="D235">
        <f t="shared" si="0"/>
        <v>1</v>
      </c>
    </row>
    <row r="236" spans="3:4">
      <c r="C236" s="545" t="s">
        <v>1727</v>
      </c>
      <c r="D236">
        <f t="shared" ref="D236:D276" si="1">COUNTIFS($C$171:$C$276,C236)</f>
        <v>1</v>
      </c>
    </row>
    <row r="237" spans="3:4">
      <c r="C237" s="545" t="s">
        <v>1728</v>
      </c>
      <c r="D237">
        <f t="shared" si="1"/>
        <v>1</v>
      </c>
    </row>
    <row r="238" spans="3:4">
      <c r="C238" s="545" t="s">
        <v>1729</v>
      </c>
      <c r="D238">
        <f t="shared" si="1"/>
        <v>1</v>
      </c>
    </row>
    <row r="239" spans="3:4">
      <c r="C239" s="545" t="s">
        <v>1730</v>
      </c>
      <c r="D239">
        <f t="shared" si="1"/>
        <v>1</v>
      </c>
    </row>
    <row r="240" spans="3:4">
      <c r="C240" s="545" t="s">
        <v>1362</v>
      </c>
      <c r="D240">
        <f t="shared" si="1"/>
        <v>1</v>
      </c>
    </row>
    <row r="241" spans="3:4">
      <c r="C241" s="545" t="s">
        <v>1731</v>
      </c>
      <c r="D241">
        <f t="shared" si="1"/>
        <v>1</v>
      </c>
    </row>
    <row r="242" spans="3:4">
      <c r="C242" s="545" t="s">
        <v>1732</v>
      </c>
      <c r="D242">
        <f t="shared" si="1"/>
        <v>2</v>
      </c>
    </row>
    <row r="243" spans="3:4">
      <c r="C243" s="545" t="s">
        <v>1733</v>
      </c>
      <c r="D243">
        <f t="shared" si="1"/>
        <v>1</v>
      </c>
    </row>
    <row r="244" spans="3:4">
      <c r="C244" s="545" t="s">
        <v>1734</v>
      </c>
      <c r="D244">
        <f t="shared" si="1"/>
        <v>1</v>
      </c>
    </row>
    <row r="245" spans="3:4">
      <c r="C245" s="545" t="s">
        <v>1735</v>
      </c>
      <c r="D245">
        <f t="shared" si="1"/>
        <v>1</v>
      </c>
    </row>
    <row r="246" spans="3:4">
      <c r="C246" s="545" t="s">
        <v>1736</v>
      </c>
      <c r="D246">
        <f t="shared" si="1"/>
        <v>1</v>
      </c>
    </row>
    <row r="247" spans="3:4">
      <c r="C247" s="545" t="s">
        <v>1737</v>
      </c>
      <c r="D247">
        <f t="shared" si="1"/>
        <v>1</v>
      </c>
    </row>
    <row r="248" spans="3:4">
      <c r="C248" s="545" t="s">
        <v>1738</v>
      </c>
      <c r="D248">
        <f t="shared" si="1"/>
        <v>1</v>
      </c>
    </row>
    <row r="249" spans="3:4">
      <c r="C249" s="545" t="s">
        <v>1739</v>
      </c>
      <c r="D249">
        <f t="shared" si="1"/>
        <v>1</v>
      </c>
    </row>
    <row r="250" spans="3:4">
      <c r="C250" s="545" t="s">
        <v>1740</v>
      </c>
      <c r="D250">
        <f t="shared" si="1"/>
        <v>1</v>
      </c>
    </row>
    <row r="251" spans="3:4">
      <c r="C251" s="545" t="s">
        <v>1741</v>
      </c>
      <c r="D251">
        <f t="shared" si="1"/>
        <v>1</v>
      </c>
    </row>
    <row r="252" spans="3:4">
      <c r="C252" s="545" t="s">
        <v>1742</v>
      </c>
      <c r="D252">
        <f t="shared" si="1"/>
        <v>1</v>
      </c>
    </row>
    <row r="253" spans="3:4" ht="27.6">
      <c r="C253" s="545" t="s">
        <v>1743</v>
      </c>
      <c r="D253">
        <f t="shared" si="1"/>
        <v>1</v>
      </c>
    </row>
    <row r="254" spans="3:4">
      <c r="C254" s="545" t="s">
        <v>1744</v>
      </c>
      <c r="D254">
        <f t="shared" si="1"/>
        <v>1</v>
      </c>
    </row>
    <row r="255" spans="3:4" ht="27.6">
      <c r="C255" s="545" t="s">
        <v>1745</v>
      </c>
      <c r="D255">
        <f t="shared" si="1"/>
        <v>1</v>
      </c>
    </row>
    <row r="256" spans="3:4">
      <c r="C256" s="545" t="s">
        <v>1339</v>
      </c>
      <c r="D256">
        <f t="shared" si="1"/>
        <v>1</v>
      </c>
    </row>
    <row r="257" spans="3:4">
      <c r="C257" s="545" t="s">
        <v>6</v>
      </c>
      <c r="D257">
        <f t="shared" si="1"/>
        <v>1</v>
      </c>
    </row>
    <row r="258" spans="3:4">
      <c r="C258" s="545" t="s">
        <v>1746</v>
      </c>
      <c r="D258">
        <f t="shared" si="1"/>
        <v>1</v>
      </c>
    </row>
    <row r="259" spans="3:4" ht="27.6">
      <c r="C259" s="545" t="s">
        <v>1747</v>
      </c>
      <c r="D259">
        <f t="shared" si="1"/>
        <v>1</v>
      </c>
    </row>
    <row r="260" spans="3:4">
      <c r="C260" s="545" t="s">
        <v>1748</v>
      </c>
      <c r="D260">
        <f t="shared" si="1"/>
        <v>1</v>
      </c>
    </row>
    <row r="261" spans="3:4">
      <c r="C261" s="545" t="s">
        <v>1749</v>
      </c>
      <c r="D261">
        <f t="shared" si="1"/>
        <v>1</v>
      </c>
    </row>
    <row r="262" spans="3:4">
      <c r="C262" s="545" t="s">
        <v>1750</v>
      </c>
      <c r="D262">
        <f t="shared" si="1"/>
        <v>1</v>
      </c>
    </row>
    <row r="263" spans="3:4">
      <c r="C263" s="545" t="s">
        <v>1131</v>
      </c>
      <c r="D263">
        <f t="shared" si="1"/>
        <v>1</v>
      </c>
    </row>
    <row r="264" spans="3:4">
      <c r="C264" s="545" t="s">
        <v>1751</v>
      </c>
      <c r="D264">
        <f t="shared" si="1"/>
        <v>1</v>
      </c>
    </row>
    <row r="265" spans="3:4">
      <c r="C265" s="545" t="s">
        <v>1752</v>
      </c>
      <c r="D265">
        <f t="shared" si="1"/>
        <v>1</v>
      </c>
    </row>
    <row r="266" spans="3:4">
      <c r="C266" s="545" t="s">
        <v>1753</v>
      </c>
      <c r="D266">
        <f t="shared" si="1"/>
        <v>1</v>
      </c>
    </row>
    <row r="267" spans="3:4">
      <c r="C267" s="545" t="s">
        <v>1754</v>
      </c>
      <c r="D267">
        <f t="shared" si="1"/>
        <v>1</v>
      </c>
    </row>
    <row r="268" spans="3:4">
      <c r="C268" s="545" t="s">
        <v>1755</v>
      </c>
      <c r="D268">
        <f t="shared" si="1"/>
        <v>1</v>
      </c>
    </row>
    <row r="269" spans="3:4">
      <c r="C269" s="545" t="s">
        <v>1756</v>
      </c>
      <c r="D269">
        <f t="shared" si="1"/>
        <v>1</v>
      </c>
    </row>
    <row r="270" spans="3:4">
      <c r="C270" s="545" t="s">
        <v>867</v>
      </c>
      <c r="D270">
        <f t="shared" si="1"/>
        <v>1</v>
      </c>
    </row>
    <row r="271" spans="3:4">
      <c r="C271" s="545" t="s">
        <v>1757</v>
      </c>
      <c r="D271">
        <f t="shared" si="1"/>
        <v>1</v>
      </c>
    </row>
    <row r="272" spans="3:4">
      <c r="C272" s="545" t="s">
        <v>1758</v>
      </c>
      <c r="D272">
        <f t="shared" si="1"/>
        <v>1</v>
      </c>
    </row>
    <row r="273" spans="3:4">
      <c r="C273" s="545" t="s">
        <v>830</v>
      </c>
      <c r="D273">
        <f t="shared" si="1"/>
        <v>1</v>
      </c>
    </row>
    <row r="274" spans="3:4">
      <c r="C274" s="545" t="s">
        <v>1759</v>
      </c>
      <c r="D274">
        <f t="shared" si="1"/>
        <v>1</v>
      </c>
    </row>
    <row r="275" spans="3:4">
      <c r="C275" s="545" t="s">
        <v>1760</v>
      </c>
      <c r="D275">
        <f t="shared" si="1"/>
        <v>1</v>
      </c>
    </row>
    <row r="276" spans="3:4">
      <c r="C276" s="545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0" t="s">
        <v>1642</v>
      </c>
      <c r="B2" s="333" t="s">
        <v>155</v>
      </c>
      <c r="C2" s="333" t="s">
        <v>156</v>
      </c>
    </row>
    <row r="3" spans="1:4">
      <c r="A3" s="352" t="s">
        <v>11</v>
      </c>
      <c r="B3" s="463" t="s">
        <v>6</v>
      </c>
      <c r="C3" s="463" t="s">
        <v>760</v>
      </c>
      <c r="D3">
        <f>COUNTIFS($A$3:$A$379,A3)</f>
        <v>12</v>
      </c>
    </row>
    <row r="4" spans="1:4">
      <c r="A4" s="352" t="s">
        <v>11</v>
      </c>
      <c r="B4" s="463" t="s">
        <v>796</v>
      </c>
      <c r="C4" s="463" t="s">
        <v>760</v>
      </c>
      <c r="D4">
        <f t="shared" ref="D4:D67" si="0">COUNTIFS($A$3:$A$379,A4)</f>
        <v>12</v>
      </c>
    </row>
    <row r="5" spans="1:4" ht="27.6">
      <c r="A5" s="352" t="s">
        <v>11</v>
      </c>
      <c r="B5" s="463" t="s">
        <v>797</v>
      </c>
      <c r="C5" s="463" t="s">
        <v>760</v>
      </c>
      <c r="D5">
        <f t="shared" si="0"/>
        <v>12</v>
      </c>
    </row>
    <row r="6" spans="1:4">
      <c r="A6" s="352" t="s">
        <v>11</v>
      </c>
      <c r="B6" s="463" t="s">
        <v>798</v>
      </c>
      <c r="C6" s="463" t="s">
        <v>760</v>
      </c>
      <c r="D6">
        <f t="shared" si="0"/>
        <v>12</v>
      </c>
    </row>
    <row r="7" spans="1:4">
      <c r="A7" s="352" t="s">
        <v>11</v>
      </c>
      <c r="B7" s="463" t="s">
        <v>799</v>
      </c>
      <c r="C7" s="463" t="s">
        <v>760</v>
      </c>
      <c r="D7">
        <f t="shared" si="0"/>
        <v>12</v>
      </c>
    </row>
    <row r="8" spans="1:4">
      <c r="A8" s="352" t="s">
        <v>11</v>
      </c>
      <c r="B8" s="463" t="s">
        <v>800</v>
      </c>
      <c r="C8" s="463" t="s">
        <v>760</v>
      </c>
      <c r="D8">
        <f t="shared" si="0"/>
        <v>12</v>
      </c>
    </row>
    <row r="9" spans="1:4">
      <c r="A9" s="352" t="s">
        <v>11</v>
      </c>
      <c r="B9" s="463" t="s">
        <v>801</v>
      </c>
      <c r="C9" s="463" t="s">
        <v>760</v>
      </c>
      <c r="D9">
        <f t="shared" si="0"/>
        <v>12</v>
      </c>
    </row>
    <row r="10" spans="1:4">
      <c r="A10" s="352" t="s">
        <v>11</v>
      </c>
      <c r="B10" s="463" t="s">
        <v>802</v>
      </c>
      <c r="C10" s="463" t="s">
        <v>760</v>
      </c>
      <c r="D10">
        <f t="shared" si="0"/>
        <v>12</v>
      </c>
    </row>
    <row r="11" spans="1:4">
      <c r="A11" s="352" t="s">
        <v>11</v>
      </c>
      <c r="B11" s="463" t="s">
        <v>803</v>
      </c>
      <c r="C11" s="463" t="s">
        <v>760</v>
      </c>
      <c r="D11">
        <f t="shared" si="0"/>
        <v>12</v>
      </c>
    </row>
    <row r="12" spans="1:4">
      <c r="A12" s="352" t="s">
        <v>11</v>
      </c>
      <c r="B12" s="463" t="s">
        <v>804</v>
      </c>
      <c r="C12" s="463" t="s">
        <v>760</v>
      </c>
      <c r="D12">
        <f t="shared" si="0"/>
        <v>12</v>
      </c>
    </row>
    <row r="13" spans="1:4" ht="27.6">
      <c r="A13" s="352" t="s">
        <v>11</v>
      </c>
      <c r="B13" s="463" t="s">
        <v>805</v>
      </c>
      <c r="C13" s="463" t="s">
        <v>760</v>
      </c>
      <c r="D13">
        <f t="shared" si="0"/>
        <v>12</v>
      </c>
    </row>
    <row r="14" spans="1:4">
      <c r="A14" s="352" t="s">
        <v>11</v>
      </c>
      <c r="B14" s="463" t="s">
        <v>806</v>
      </c>
      <c r="C14" s="463" t="s">
        <v>760</v>
      </c>
      <c r="D14">
        <f t="shared" si="0"/>
        <v>12</v>
      </c>
    </row>
    <row r="15" spans="1:4" ht="27.6">
      <c r="A15" s="352" t="s">
        <v>8</v>
      </c>
      <c r="B15" s="463" t="s">
        <v>6</v>
      </c>
      <c r="C15" s="463" t="s">
        <v>761</v>
      </c>
      <c r="D15">
        <f t="shared" si="0"/>
        <v>1</v>
      </c>
    </row>
    <row r="16" spans="1:4" ht="41.4">
      <c r="A16" s="352" t="s">
        <v>4</v>
      </c>
      <c r="B16" s="463" t="s">
        <v>10</v>
      </c>
      <c r="C16" s="463" t="s">
        <v>762</v>
      </c>
      <c r="D16">
        <f t="shared" si="0"/>
        <v>1</v>
      </c>
    </row>
    <row r="17" spans="1:4" ht="41.4">
      <c r="A17" s="352" t="s">
        <v>763</v>
      </c>
      <c r="B17" s="427" t="s">
        <v>764</v>
      </c>
      <c r="C17" s="463" t="s">
        <v>762</v>
      </c>
      <c r="D17">
        <f t="shared" si="0"/>
        <v>1</v>
      </c>
    </row>
    <row r="18" spans="1:4" ht="41.4">
      <c r="A18" s="352" t="s">
        <v>766</v>
      </c>
      <c r="B18" s="463" t="s">
        <v>765</v>
      </c>
      <c r="C18" s="463" t="s">
        <v>762</v>
      </c>
      <c r="D18">
        <f t="shared" si="0"/>
        <v>1</v>
      </c>
    </row>
    <row r="19" spans="1:4" ht="41.4">
      <c r="A19" s="352" t="s">
        <v>767</v>
      </c>
      <c r="B19" s="463" t="s">
        <v>768</v>
      </c>
      <c r="C19" s="463" t="s">
        <v>762</v>
      </c>
      <c r="D19">
        <f t="shared" si="0"/>
        <v>1</v>
      </c>
    </row>
    <row r="20" spans="1:4">
      <c r="A20" s="352" t="s">
        <v>772</v>
      </c>
      <c r="B20" s="463" t="s">
        <v>773</v>
      </c>
      <c r="C20" s="463" t="s">
        <v>774</v>
      </c>
      <c r="D20">
        <f t="shared" si="0"/>
        <v>1</v>
      </c>
    </row>
    <row r="21" spans="1:4" ht="41.4">
      <c r="A21" s="352" t="s">
        <v>775</v>
      </c>
      <c r="B21" s="463" t="s">
        <v>777</v>
      </c>
      <c r="C21" s="463" t="s">
        <v>762</v>
      </c>
      <c r="D21">
        <f t="shared" si="0"/>
        <v>1</v>
      </c>
    </row>
    <row r="22" spans="1:4" ht="27.6">
      <c r="A22" s="365" t="s">
        <v>778</v>
      </c>
      <c r="B22" s="427" t="s">
        <v>779</v>
      </c>
      <c r="C22" s="427" t="s">
        <v>850</v>
      </c>
      <c r="D22">
        <f t="shared" si="0"/>
        <v>1</v>
      </c>
    </row>
    <row r="23" spans="1:4" ht="27.6">
      <c r="A23" s="352" t="s">
        <v>849</v>
      </c>
      <c r="B23" s="463" t="s">
        <v>779</v>
      </c>
      <c r="C23" s="463" t="s">
        <v>780</v>
      </c>
      <c r="D23">
        <f t="shared" si="0"/>
        <v>1</v>
      </c>
    </row>
    <row r="24" spans="1:4" ht="41.4">
      <c r="A24" s="352" t="s">
        <v>781</v>
      </c>
      <c r="B24" s="463" t="s">
        <v>782</v>
      </c>
      <c r="C24" s="463" t="s">
        <v>783</v>
      </c>
      <c r="D24">
        <f t="shared" si="0"/>
        <v>1</v>
      </c>
    </row>
    <row r="25" spans="1:4" ht="41.4">
      <c r="A25" s="352" t="s">
        <v>787</v>
      </c>
      <c r="B25" s="463" t="s">
        <v>789</v>
      </c>
      <c r="C25" s="463" t="s">
        <v>762</v>
      </c>
      <c r="D25">
        <f t="shared" si="0"/>
        <v>1</v>
      </c>
    </row>
    <row r="26" spans="1:4" ht="41.4">
      <c r="A26" s="352" t="s">
        <v>790</v>
      </c>
      <c r="B26" s="463" t="s">
        <v>791</v>
      </c>
      <c r="C26" s="463" t="s">
        <v>792</v>
      </c>
      <c r="D26">
        <f t="shared" si="0"/>
        <v>1</v>
      </c>
    </row>
    <row r="27" spans="1:4" ht="27.6">
      <c r="A27" s="352" t="s">
        <v>793</v>
      </c>
      <c r="B27" s="463" t="s">
        <v>794</v>
      </c>
      <c r="C27" s="463" t="s">
        <v>795</v>
      </c>
      <c r="D27">
        <f t="shared" si="0"/>
        <v>1</v>
      </c>
    </row>
    <row r="28" spans="1:4">
      <c r="A28" s="352" t="s">
        <v>807</v>
      </c>
      <c r="B28" s="463" t="s">
        <v>773</v>
      </c>
      <c r="C28" s="463" t="s">
        <v>808</v>
      </c>
      <c r="D28">
        <f t="shared" si="0"/>
        <v>1</v>
      </c>
    </row>
    <row r="29" spans="1:4" ht="27.6">
      <c r="A29" s="352" t="s">
        <v>809</v>
      </c>
      <c r="B29" s="463" t="s">
        <v>810</v>
      </c>
      <c r="C29" s="463" t="s">
        <v>811</v>
      </c>
      <c r="D29">
        <f t="shared" si="0"/>
        <v>1</v>
      </c>
    </row>
    <row r="30" spans="1:4" ht="27.6">
      <c r="A30" s="352" t="s">
        <v>817</v>
      </c>
      <c r="B30" s="463" t="s">
        <v>818</v>
      </c>
      <c r="C30" s="463" t="s">
        <v>819</v>
      </c>
      <c r="D30">
        <f t="shared" si="0"/>
        <v>1</v>
      </c>
    </row>
    <row r="31" spans="1:4" ht="27.6">
      <c r="A31" s="352" t="s">
        <v>824</v>
      </c>
      <c r="B31" s="463" t="s">
        <v>820</v>
      </c>
      <c r="C31" s="463" t="s">
        <v>819</v>
      </c>
      <c r="D31">
        <f t="shared" si="0"/>
        <v>1</v>
      </c>
    </row>
    <row r="32" spans="1:4" ht="27.6">
      <c r="A32" s="352" t="s">
        <v>825</v>
      </c>
      <c r="B32" s="463" t="s">
        <v>821</v>
      </c>
      <c r="C32" s="463" t="s">
        <v>819</v>
      </c>
      <c r="D32">
        <f t="shared" si="0"/>
        <v>1</v>
      </c>
    </row>
    <row r="33" spans="1:4" ht="27.6">
      <c r="A33" s="352" t="s">
        <v>826</v>
      </c>
      <c r="B33" s="463" t="s">
        <v>822</v>
      </c>
      <c r="C33" s="463" t="s">
        <v>819</v>
      </c>
      <c r="D33">
        <f t="shared" si="0"/>
        <v>1</v>
      </c>
    </row>
    <row r="34" spans="1:4" ht="27.6">
      <c r="A34" s="352" t="s">
        <v>827</v>
      </c>
      <c r="B34" s="463" t="s">
        <v>823</v>
      </c>
      <c r="C34" s="463" t="s">
        <v>819</v>
      </c>
      <c r="D34">
        <f t="shared" si="0"/>
        <v>1</v>
      </c>
    </row>
    <row r="35" spans="1:4" ht="27.6">
      <c r="A35" s="352" t="s">
        <v>829</v>
      </c>
      <c r="B35" s="463" t="s">
        <v>830</v>
      </c>
      <c r="C35" s="463" t="s">
        <v>831</v>
      </c>
      <c r="D35">
        <f t="shared" si="0"/>
        <v>1</v>
      </c>
    </row>
    <row r="36" spans="1:4" ht="27.6">
      <c r="A36" s="352" t="s">
        <v>832</v>
      </c>
      <c r="B36" s="463" t="s">
        <v>833</v>
      </c>
      <c r="C36" s="463" t="s">
        <v>834</v>
      </c>
      <c r="D36">
        <f t="shared" si="0"/>
        <v>1</v>
      </c>
    </row>
    <row r="37" spans="1:4" ht="27.6">
      <c r="A37" s="352" t="s">
        <v>835</v>
      </c>
      <c r="B37" s="463" t="s">
        <v>836</v>
      </c>
      <c r="C37" s="463" t="s">
        <v>837</v>
      </c>
      <c r="D37">
        <f t="shared" si="0"/>
        <v>1</v>
      </c>
    </row>
    <row r="38" spans="1:4" ht="41.4">
      <c r="A38" s="352" t="s">
        <v>838</v>
      </c>
      <c r="B38" s="463" t="s">
        <v>839</v>
      </c>
      <c r="C38" s="463" t="s">
        <v>840</v>
      </c>
      <c r="D38">
        <f t="shared" si="0"/>
        <v>1</v>
      </c>
    </row>
    <row r="39" spans="1:4" ht="27.6">
      <c r="A39" s="352" t="s">
        <v>841</v>
      </c>
      <c r="B39" s="463" t="s">
        <v>843</v>
      </c>
      <c r="C39" s="463" t="s">
        <v>855</v>
      </c>
      <c r="D39">
        <f t="shared" si="0"/>
        <v>1</v>
      </c>
    </row>
    <row r="40" spans="1:4" ht="55.2">
      <c r="A40" s="352" t="s">
        <v>846</v>
      </c>
      <c r="B40" s="463" t="s">
        <v>847</v>
      </c>
      <c r="C40" s="463" t="s">
        <v>848</v>
      </c>
      <c r="D40">
        <f t="shared" si="0"/>
        <v>1</v>
      </c>
    </row>
    <row r="41" spans="1:4" ht="27.6">
      <c r="A41" s="404" t="s">
        <v>851</v>
      </c>
      <c r="B41" s="409" t="s">
        <v>852</v>
      </c>
      <c r="C41" s="409" t="s">
        <v>853</v>
      </c>
      <c r="D41">
        <f t="shared" si="0"/>
        <v>1</v>
      </c>
    </row>
    <row r="42" spans="1:4" ht="27.6">
      <c r="A42" s="352" t="s">
        <v>854</v>
      </c>
      <c r="B42" s="463" t="s">
        <v>843</v>
      </c>
      <c r="C42" s="463" t="s">
        <v>855</v>
      </c>
      <c r="D42">
        <f t="shared" si="0"/>
        <v>1</v>
      </c>
    </row>
    <row r="43" spans="1:4" ht="27.6">
      <c r="A43" s="352" t="s">
        <v>856</v>
      </c>
      <c r="B43" s="463" t="s">
        <v>843</v>
      </c>
      <c r="C43" s="463" t="s">
        <v>855</v>
      </c>
      <c r="D43">
        <f t="shared" si="0"/>
        <v>1</v>
      </c>
    </row>
    <row r="44" spans="1:4" ht="27.6">
      <c r="A44" s="404" t="s">
        <v>858</v>
      </c>
      <c r="B44" s="409" t="s">
        <v>859</v>
      </c>
      <c r="C44" s="409" t="s">
        <v>860</v>
      </c>
      <c r="D44">
        <f t="shared" si="0"/>
        <v>1</v>
      </c>
    </row>
    <row r="45" spans="1:4" ht="41.4">
      <c r="A45" s="352" t="s">
        <v>861</v>
      </c>
      <c r="B45" s="463" t="s">
        <v>863</v>
      </c>
      <c r="C45" s="463" t="s">
        <v>864</v>
      </c>
      <c r="D45">
        <f t="shared" si="0"/>
        <v>1</v>
      </c>
    </row>
    <row r="46" spans="1:4" ht="41.4">
      <c r="A46" s="352" t="s">
        <v>865</v>
      </c>
      <c r="B46" s="463" t="s">
        <v>789</v>
      </c>
      <c r="C46" s="463" t="s">
        <v>864</v>
      </c>
      <c r="D46">
        <f t="shared" si="0"/>
        <v>1</v>
      </c>
    </row>
    <row r="47" spans="1:4" ht="41.4">
      <c r="A47" s="352" t="s">
        <v>866</v>
      </c>
      <c r="B47" s="463" t="s">
        <v>867</v>
      </c>
      <c r="C47" s="463" t="s">
        <v>864</v>
      </c>
      <c r="D47">
        <f t="shared" si="0"/>
        <v>1</v>
      </c>
    </row>
    <row r="48" spans="1:4" ht="41.4">
      <c r="A48" s="352" t="s">
        <v>868</v>
      </c>
      <c r="B48" s="463" t="s">
        <v>869</v>
      </c>
      <c r="C48" s="463" t="s">
        <v>864</v>
      </c>
      <c r="D48">
        <f t="shared" si="0"/>
        <v>1</v>
      </c>
    </row>
    <row r="49" spans="1:4" ht="41.4">
      <c r="A49" s="352" t="s">
        <v>870</v>
      </c>
      <c r="B49" s="463" t="s">
        <v>768</v>
      </c>
      <c r="C49" s="463" t="s">
        <v>864</v>
      </c>
      <c r="D49">
        <f t="shared" si="0"/>
        <v>1</v>
      </c>
    </row>
    <row r="50" spans="1:4" ht="41.4">
      <c r="A50" s="352" t="s">
        <v>871</v>
      </c>
      <c r="B50" s="463" t="s">
        <v>872</v>
      </c>
      <c r="C50" s="463" t="s">
        <v>864</v>
      </c>
      <c r="D50">
        <f t="shared" si="0"/>
        <v>1</v>
      </c>
    </row>
    <row r="51" spans="1:4" ht="27.6">
      <c r="A51" s="352" t="s">
        <v>1029</v>
      </c>
      <c r="B51" s="463" t="s">
        <v>1030</v>
      </c>
      <c r="C51" s="463" t="s">
        <v>1031</v>
      </c>
      <c r="D51">
        <f t="shared" si="0"/>
        <v>1</v>
      </c>
    </row>
    <row r="52" spans="1:4" ht="27.6">
      <c r="A52" s="352" t="s">
        <v>1032</v>
      </c>
      <c r="B52" s="463" t="s">
        <v>6</v>
      </c>
      <c r="C52" s="463" t="s">
        <v>1033</v>
      </c>
      <c r="D52">
        <f t="shared" si="0"/>
        <v>1</v>
      </c>
    </row>
    <row r="53" spans="1:4" ht="27.6">
      <c r="A53" s="352" t="s">
        <v>1034</v>
      </c>
      <c r="B53" s="463" t="s">
        <v>1030</v>
      </c>
      <c r="C53" s="463" t="s">
        <v>1035</v>
      </c>
      <c r="D53">
        <f t="shared" si="0"/>
        <v>1</v>
      </c>
    </row>
    <row r="54" spans="1:4" ht="27.6">
      <c r="A54" s="352" t="s">
        <v>1046</v>
      </c>
      <c r="B54" s="463" t="s">
        <v>1036</v>
      </c>
      <c r="C54" s="463" t="s">
        <v>1037</v>
      </c>
      <c r="D54">
        <f t="shared" si="0"/>
        <v>1</v>
      </c>
    </row>
    <row r="55" spans="1:4" ht="27.6">
      <c r="A55" s="404" t="s">
        <v>1047</v>
      </c>
      <c r="B55" s="409" t="s">
        <v>1038</v>
      </c>
      <c r="C55" s="409" t="s">
        <v>1039</v>
      </c>
      <c r="D55">
        <f t="shared" si="0"/>
        <v>1</v>
      </c>
    </row>
    <row r="56" spans="1:4" ht="27.6">
      <c r="A56" s="436" t="s">
        <v>1264</v>
      </c>
      <c r="B56" s="439" t="s">
        <v>852</v>
      </c>
      <c r="C56" s="439" t="s">
        <v>853</v>
      </c>
      <c r="D56">
        <f t="shared" si="0"/>
        <v>1</v>
      </c>
    </row>
    <row r="57" spans="1:4" ht="41.4">
      <c r="A57" s="352" t="s">
        <v>1048</v>
      </c>
      <c r="B57" s="463" t="s">
        <v>818</v>
      </c>
      <c r="C57" s="463" t="s">
        <v>1040</v>
      </c>
      <c r="D57">
        <f t="shared" si="0"/>
        <v>1</v>
      </c>
    </row>
    <row r="58" spans="1:4" ht="55.2">
      <c r="A58" s="352" t="s">
        <v>1049</v>
      </c>
      <c r="B58" s="463" t="s">
        <v>1062</v>
      </c>
      <c r="C58" s="463" t="s">
        <v>1041</v>
      </c>
      <c r="D58">
        <f t="shared" si="0"/>
        <v>1</v>
      </c>
    </row>
    <row r="59" spans="1:4" ht="55.2">
      <c r="A59" s="352" t="s">
        <v>1050</v>
      </c>
      <c r="B59" s="463" t="s">
        <v>1042</v>
      </c>
      <c r="C59" s="463" t="s">
        <v>1041</v>
      </c>
      <c r="D59">
        <f t="shared" si="0"/>
        <v>1</v>
      </c>
    </row>
    <row r="60" spans="1:4" ht="55.2">
      <c r="A60" s="352" t="s">
        <v>1051</v>
      </c>
      <c r="B60" s="463" t="s">
        <v>1043</v>
      </c>
      <c r="C60" s="463" t="s">
        <v>1041</v>
      </c>
      <c r="D60">
        <f t="shared" si="0"/>
        <v>1</v>
      </c>
    </row>
    <row r="61" spans="1:4" ht="27.6">
      <c r="A61" s="352" t="s">
        <v>1052</v>
      </c>
      <c r="B61" s="463" t="s">
        <v>818</v>
      </c>
      <c r="C61" s="463" t="s">
        <v>1044</v>
      </c>
      <c r="D61">
        <f t="shared" si="0"/>
        <v>1</v>
      </c>
    </row>
    <row r="62" spans="1:4" ht="27.6">
      <c r="A62" s="352" t="s">
        <v>1053</v>
      </c>
      <c r="B62" s="463" t="s">
        <v>820</v>
      </c>
      <c r="C62" s="463" t="s">
        <v>1044</v>
      </c>
      <c r="D62">
        <f t="shared" si="0"/>
        <v>1</v>
      </c>
    </row>
    <row r="63" spans="1:4" ht="27.6">
      <c r="A63" s="352" t="s">
        <v>1054</v>
      </c>
      <c r="B63" s="463" t="s">
        <v>821</v>
      </c>
      <c r="C63" s="463" t="s">
        <v>1044</v>
      </c>
      <c r="D63">
        <f t="shared" si="0"/>
        <v>1</v>
      </c>
    </row>
    <row r="64" spans="1:4" ht="27.6">
      <c r="A64" s="352" t="s">
        <v>1055</v>
      </c>
      <c r="B64" s="463" t="s">
        <v>822</v>
      </c>
      <c r="C64" s="463" t="s">
        <v>1044</v>
      </c>
      <c r="D64">
        <f t="shared" si="0"/>
        <v>1</v>
      </c>
    </row>
    <row r="65" spans="1:4" ht="27.6">
      <c r="A65" s="352" t="s">
        <v>1056</v>
      </c>
      <c r="B65" s="463" t="s">
        <v>823</v>
      </c>
      <c r="C65" s="463" t="s">
        <v>1044</v>
      </c>
      <c r="D65">
        <f t="shared" si="0"/>
        <v>1</v>
      </c>
    </row>
    <row r="66" spans="1:4" ht="27.6">
      <c r="A66" s="352" t="s">
        <v>1057</v>
      </c>
      <c r="B66" s="463" t="s">
        <v>818</v>
      </c>
      <c r="C66" s="463" t="s">
        <v>1045</v>
      </c>
      <c r="D66">
        <f t="shared" si="0"/>
        <v>1</v>
      </c>
    </row>
    <row r="67" spans="1:4" ht="27.6">
      <c r="A67" s="352" t="s">
        <v>1058</v>
      </c>
      <c r="B67" s="463" t="s">
        <v>820</v>
      </c>
      <c r="C67" s="463" t="s">
        <v>1045</v>
      </c>
      <c r="D67">
        <f t="shared" si="0"/>
        <v>1</v>
      </c>
    </row>
    <row r="68" spans="1:4" ht="27.6">
      <c r="A68" s="352" t="s">
        <v>1059</v>
      </c>
      <c r="B68" s="463" t="s">
        <v>821</v>
      </c>
      <c r="C68" s="463" t="s">
        <v>1045</v>
      </c>
      <c r="D68">
        <f t="shared" ref="D68:D131" si="1">COUNTIFS($A$3:$A$379,A68)</f>
        <v>1</v>
      </c>
    </row>
    <row r="69" spans="1:4" ht="27.6">
      <c r="A69" s="352" t="s">
        <v>1060</v>
      </c>
      <c r="B69" s="463" t="s">
        <v>822</v>
      </c>
      <c r="C69" s="463" t="s">
        <v>1045</v>
      </c>
      <c r="D69">
        <f t="shared" si="1"/>
        <v>1</v>
      </c>
    </row>
    <row r="70" spans="1:4" ht="27.6">
      <c r="A70" s="352" t="s">
        <v>1061</v>
      </c>
      <c r="B70" s="463" t="s">
        <v>823</v>
      </c>
      <c r="C70" s="463" t="s">
        <v>1045</v>
      </c>
      <c r="D70">
        <f t="shared" si="1"/>
        <v>1</v>
      </c>
    </row>
    <row r="71" spans="1:4" ht="27.6">
      <c r="A71" s="352" t="s">
        <v>1063</v>
      </c>
      <c r="B71" s="463" t="s">
        <v>773</v>
      </c>
      <c r="C71" s="463" t="s">
        <v>1064</v>
      </c>
      <c r="D71">
        <f t="shared" si="1"/>
        <v>1</v>
      </c>
    </row>
    <row r="72" spans="1:4" ht="27.6">
      <c r="A72" s="352" t="s">
        <v>1077</v>
      </c>
      <c r="B72" s="463" t="s">
        <v>1072</v>
      </c>
      <c r="C72" s="463" t="s">
        <v>1073</v>
      </c>
      <c r="D72">
        <f t="shared" si="1"/>
        <v>1</v>
      </c>
    </row>
    <row r="73" spans="1:4" ht="27.6">
      <c r="A73" s="352" t="s">
        <v>1078</v>
      </c>
      <c r="B73" s="460" t="s">
        <v>818</v>
      </c>
      <c r="C73" s="460" t="s">
        <v>1074</v>
      </c>
      <c r="D73">
        <f t="shared" si="1"/>
        <v>1</v>
      </c>
    </row>
    <row r="74" spans="1:4" ht="27.6">
      <c r="A74" s="352" t="s">
        <v>1079</v>
      </c>
      <c r="B74" s="460" t="s">
        <v>820</v>
      </c>
      <c r="C74" s="460" t="s">
        <v>1074</v>
      </c>
      <c r="D74">
        <f t="shared" si="1"/>
        <v>1</v>
      </c>
    </row>
    <row r="75" spans="1:4" ht="27.6">
      <c r="A75" s="352" t="s">
        <v>1080</v>
      </c>
      <c r="B75" s="460" t="s">
        <v>821</v>
      </c>
      <c r="C75" s="460" t="s">
        <v>1074</v>
      </c>
      <c r="D75">
        <f t="shared" si="1"/>
        <v>1</v>
      </c>
    </row>
    <row r="76" spans="1:4" ht="27.6">
      <c r="A76" s="352" t="s">
        <v>1081</v>
      </c>
      <c r="B76" s="460" t="s">
        <v>822</v>
      </c>
      <c r="C76" s="460" t="s">
        <v>1074</v>
      </c>
      <c r="D76">
        <f t="shared" si="1"/>
        <v>1</v>
      </c>
    </row>
    <row r="77" spans="1:4" ht="27.6">
      <c r="A77" s="352" t="s">
        <v>1082</v>
      </c>
      <c r="B77" s="460" t="s">
        <v>823</v>
      </c>
      <c r="C77" s="460" t="s">
        <v>1074</v>
      </c>
      <c r="D77">
        <f t="shared" si="1"/>
        <v>1</v>
      </c>
    </row>
    <row r="78" spans="1:4" ht="27.6">
      <c r="A78" s="352" t="s">
        <v>1083</v>
      </c>
      <c r="B78" s="463" t="s">
        <v>1075</v>
      </c>
      <c r="C78" s="463" t="s">
        <v>1076</v>
      </c>
      <c r="D78">
        <f t="shared" si="1"/>
        <v>1</v>
      </c>
    </row>
    <row r="79" spans="1:4" ht="27.6">
      <c r="A79" s="352" t="s">
        <v>1084</v>
      </c>
      <c r="B79" s="463" t="s">
        <v>1075</v>
      </c>
      <c r="C79" s="463" t="s">
        <v>1076</v>
      </c>
      <c r="D79">
        <f t="shared" si="1"/>
        <v>1</v>
      </c>
    </row>
    <row r="80" spans="1:4" ht="41.4">
      <c r="A80" s="352" t="s">
        <v>1085</v>
      </c>
      <c r="B80" s="463" t="s">
        <v>796</v>
      </c>
      <c r="C80" s="463" t="s">
        <v>1086</v>
      </c>
      <c r="D80">
        <f t="shared" si="1"/>
        <v>1</v>
      </c>
    </row>
    <row r="81" spans="1:4" ht="27.6">
      <c r="A81" s="352" t="s">
        <v>1087</v>
      </c>
      <c r="B81" s="463" t="s">
        <v>843</v>
      </c>
      <c r="C81" s="463" t="s">
        <v>1076</v>
      </c>
      <c r="D81">
        <f t="shared" si="1"/>
        <v>1</v>
      </c>
    </row>
    <row r="82" spans="1:4" ht="27.6">
      <c r="A82" s="352" t="s">
        <v>1088</v>
      </c>
      <c r="B82" s="463" t="s">
        <v>818</v>
      </c>
      <c r="C82" s="463" t="s">
        <v>1089</v>
      </c>
      <c r="D82">
        <f t="shared" si="1"/>
        <v>1</v>
      </c>
    </row>
    <row r="83" spans="1:4" ht="27.6">
      <c r="A83" s="352" t="s">
        <v>1090</v>
      </c>
      <c r="B83" s="463" t="s">
        <v>820</v>
      </c>
      <c r="C83" s="463" t="s">
        <v>1089</v>
      </c>
      <c r="D83">
        <f t="shared" si="1"/>
        <v>1</v>
      </c>
    </row>
    <row r="84" spans="1:4" ht="27.6">
      <c r="A84" s="352" t="s">
        <v>1091</v>
      </c>
      <c r="B84" s="463" t="s">
        <v>821</v>
      </c>
      <c r="C84" s="463" t="s">
        <v>1089</v>
      </c>
      <c r="D84">
        <f t="shared" si="1"/>
        <v>1</v>
      </c>
    </row>
    <row r="85" spans="1:4" ht="27.6">
      <c r="A85" s="352" t="s">
        <v>1092</v>
      </c>
      <c r="B85" s="463" t="s">
        <v>822</v>
      </c>
      <c r="C85" s="463" t="s">
        <v>1089</v>
      </c>
      <c r="D85">
        <f t="shared" si="1"/>
        <v>1</v>
      </c>
    </row>
    <row r="86" spans="1:4" ht="27.6">
      <c r="A86" s="352" t="s">
        <v>1093</v>
      </c>
      <c r="B86" s="463" t="s">
        <v>823</v>
      </c>
      <c r="C86" s="463" t="s">
        <v>1089</v>
      </c>
      <c r="D86">
        <f t="shared" si="1"/>
        <v>1</v>
      </c>
    </row>
    <row r="87" spans="1:4" ht="27.6">
      <c r="A87" s="352" t="s">
        <v>1094</v>
      </c>
      <c r="B87" s="463" t="s">
        <v>10</v>
      </c>
      <c r="C87" s="463" t="s">
        <v>1095</v>
      </c>
      <c r="D87">
        <f t="shared" si="1"/>
        <v>1</v>
      </c>
    </row>
    <row r="88" spans="1:4" ht="27.6">
      <c r="A88" s="352" t="s">
        <v>1096</v>
      </c>
      <c r="B88" s="463" t="s">
        <v>789</v>
      </c>
      <c r="C88" s="463" t="s">
        <v>1095</v>
      </c>
      <c r="D88">
        <f t="shared" si="1"/>
        <v>1</v>
      </c>
    </row>
    <row r="89" spans="1:4" ht="27.6">
      <c r="A89" s="352" t="s">
        <v>1097</v>
      </c>
      <c r="B89" s="463" t="s">
        <v>777</v>
      </c>
      <c r="C89" s="463" t="s">
        <v>1095</v>
      </c>
      <c r="D89">
        <f t="shared" si="1"/>
        <v>1</v>
      </c>
    </row>
    <row r="90" spans="1:4" ht="27.6">
      <c r="A90" s="352" t="s">
        <v>1098</v>
      </c>
      <c r="B90" s="463" t="s">
        <v>764</v>
      </c>
      <c r="C90" s="463" t="s">
        <v>1095</v>
      </c>
      <c r="D90">
        <f t="shared" si="1"/>
        <v>1</v>
      </c>
    </row>
    <row r="91" spans="1:4" ht="27.6">
      <c r="A91" s="352" t="s">
        <v>1099</v>
      </c>
      <c r="B91" s="463" t="s">
        <v>768</v>
      </c>
      <c r="C91" s="463" t="s">
        <v>1095</v>
      </c>
      <c r="D91">
        <f t="shared" si="1"/>
        <v>1</v>
      </c>
    </row>
    <row r="92" spans="1:4" ht="27.6">
      <c r="A92" s="352" t="s">
        <v>1100</v>
      </c>
      <c r="B92" s="463" t="s">
        <v>765</v>
      </c>
      <c r="C92" s="463" t="s">
        <v>1095</v>
      </c>
      <c r="D92">
        <f t="shared" si="1"/>
        <v>1</v>
      </c>
    </row>
    <row r="93" spans="1:4" ht="41.4">
      <c r="A93" s="352" t="s">
        <v>1101</v>
      </c>
      <c r="B93" s="463" t="s">
        <v>1102</v>
      </c>
      <c r="C93" s="463" t="s">
        <v>1103</v>
      </c>
      <c r="D93">
        <f t="shared" si="1"/>
        <v>1</v>
      </c>
    </row>
    <row r="94" spans="1:4" ht="41.4">
      <c r="A94" s="352" t="s">
        <v>1104</v>
      </c>
      <c r="B94" s="463" t="s">
        <v>1105</v>
      </c>
      <c r="C94" s="463" t="s">
        <v>1106</v>
      </c>
      <c r="D94">
        <f t="shared" si="1"/>
        <v>1</v>
      </c>
    </row>
    <row r="95" spans="1:4" ht="27.6">
      <c r="A95" s="352" t="s">
        <v>1107</v>
      </c>
      <c r="B95" s="463" t="s">
        <v>1108</v>
      </c>
      <c r="C95" s="463" t="s">
        <v>1109</v>
      </c>
      <c r="D95">
        <f t="shared" si="1"/>
        <v>1</v>
      </c>
    </row>
    <row r="96" spans="1:4" ht="55.2">
      <c r="A96" s="352" t="s">
        <v>1110</v>
      </c>
      <c r="B96" s="463" t="s">
        <v>1102</v>
      </c>
      <c r="C96" s="463" t="s">
        <v>1111</v>
      </c>
      <c r="D96">
        <f t="shared" si="1"/>
        <v>1</v>
      </c>
    </row>
    <row r="97" spans="1:4" ht="41.4">
      <c r="A97" s="352" t="s">
        <v>1112</v>
      </c>
      <c r="B97" s="463" t="s">
        <v>10</v>
      </c>
      <c r="C97" s="463" t="s">
        <v>1113</v>
      </c>
      <c r="D97">
        <f t="shared" si="1"/>
        <v>1</v>
      </c>
    </row>
    <row r="98" spans="1:4" ht="41.4">
      <c r="A98" s="352" t="s">
        <v>1114</v>
      </c>
      <c r="B98" s="463" t="s">
        <v>777</v>
      </c>
      <c r="C98" s="463" t="s">
        <v>1113</v>
      </c>
      <c r="D98">
        <f t="shared" si="1"/>
        <v>1</v>
      </c>
    </row>
    <row r="99" spans="1:4" ht="41.4">
      <c r="A99" s="352" t="s">
        <v>1115</v>
      </c>
      <c r="B99" s="463" t="s">
        <v>765</v>
      </c>
      <c r="C99" s="463" t="s">
        <v>1113</v>
      </c>
      <c r="D99">
        <f t="shared" si="1"/>
        <v>1</v>
      </c>
    </row>
    <row r="100" spans="1:4" ht="27.6">
      <c r="A100" s="352" t="s">
        <v>1116</v>
      </c>
      <c r="B100" s="463" t="s">
        <v>847</v>
      </c>
      <c r="C100" s="463" t="s">
        <v>1117</v>
      </c>
      <c r="D100">
        <f t="shared" si="1"/>
        <v>1</v>
      </c>
    </row>
    <row r="101" spans="1:4" ht="27.6">
      <c r="A101" s="352" t="s">
        <v>1118</v>
      </c>
      <c r="B101" s="463" t="s">
        <v>1119</v>
      </c>
      <c r="C101" s="463" t="s">
        <v>1117</v>
      </c>
      <c r="D101">
        <f t="shared" si="1"/>
        <v>1</v>
      </c>
    </row>
    <row r="102" spans="1:4" ht="27.6">
      <c r="A102" s="352" t="s">
        <v>1120</v>
      </c>
      <c r="B102" s="463" t="s">
        <v>833</v>
      </c>
      <c r="C102" s="463" t="s">
        <v>1121</v>
      </c>
      <c r="D102">
        <f t="shared" si="1"/>
        <v>1</v>
      </c>
    </row>
    <row r="103" spans="1:4" ht="27.6">
      <c r="A103" s="352" t="s">
        <v>1122</v>
      </c>
      <c r="B103" s="463" t="s">
        <v>1030</v>
      </c>
      <c r="C103" s="463" t="s">
        <v>1123</v>
      </c>
      <c r="D103">
        <f t="shared" si="1"/>
        <v>1</v>
      </c>
    </row>
    <row r="104" spans="1:4" ht="27.6">
      <c r="A104" s="352" t="s">
        <v>1124</v>
      </c>
      <c r="B104" s="463" t="s">
        <v>872</v>
      </c>
      <c r="C104" s="463" t="s">
        <v>1125</v>
      </c>
      <c r="D104">
        <f t="shared" si="1"/>
        <v>1</v>
      </c>
    </row>
    <row r="105" spans="1:4" ht="27.6">
      <c r="A105" s="352" t="s">
        <v>1126</v>
      </c>
      <c r="B105" s="463" t="s">
        <v>863</v>
      </c>
      <c r="C105" s="463" t="s">
        <v>1125</v>
      </c>
      <c r="D105">
        <f t="shared" si="1"/>
        <v>1</v>
      </c>
    </row>
    <row r="106" spans="1:4" ht="27.6">
      <c r="A106" s="404" t="s">
        <v>1127</v>
      </c>
      <c r="B106" s="409" t="s">
        <v>1128</v>
      </c>
      <c r="C106" s="409" t="s">
        <v>1129</v>
      </c>
      <c r="D106">
        <f t="shared" si="1"/>
        <v>1</v>
      </c>
    </row>
    <row r="107" spans="1:4" ht="27.6">
      <c r="A107" s="352" t="s">
        <v>1130</v>
      </c>
      <c r="B107" s="463" t="s">
        <v>1131</v>
      </c>
      <c r="C107" s="463" t="s">
        <v>1132</v>
      </c>
      <c r="D107">
        <f t="shared" si="1"/>
        <v>1</v>
      </c>
    </row>
    <row r="108" spans="1:4" ht="27.6">
      <c r="A108" s="352" t="s">
        <v>1133</v>
      </c>
      <c r="B108" s="463" t="s">
        <v>1134</v>
      </c>
      <c r="C108" s="463" t="s">
        <v>1135</v>
      </c>
      <c r="D108">
        <f t="shared" si="1"/>
        <v>1</v>
      </c>
    </row>
    <row r="109" spans="1:4" ht="27.6">
      <c r="A109" s="352" t="s">
        <v>1136</v>
      </c>
      <c r="B109" s="463" t="s">
        <v>779</v>
      </c>
      <c r="C109" s="463" t="s">
        <v>1137</v>
      </c>
      <c r="D109">
        <f t="shared" si="1"/>
        <v>1</v>
      </c>
    </row>
    <row r="110" spans="1:4" ht="27.6">
      <c r="A110" s="404" t="s">
        <v>1138</v>
      </c>
      <c r="B110" s="409" t="s">
        <v>818</v>
      </c>
      <c r="C110" s="409" t="s">
        <v>1139</v>
      </c>
      <c r="D110">
        <f t="shared" si="1"/>
        <v>1</v>
      </c>
    </row>
    <row r="111" spans="1:4" ht="27.6">
      <c r="A111" s="352" t="s">
        <v>1140</v>
      </c>
      <c r="B111" s="463" t="s">
        <v>820</v>
      </c>
      <c r="C111" s="463" t="s">
        <v>1139</v>
      </c>
      <c r="D111">
        <f t="shared" si="1"/>
        <v>1</v>
      </c>
    </row>
    <row r="112" spans="1:4" ht="27.6">
      <c r="A112" s="404" t="s">
        <v>1141</v>
      </c>
      <c r="B112" s="409" t="s">
        <v>821</v>
      </c>
      <c r="C112" s="409" t="s">
        <v>1139</v>
      </c>
      <c r="D112">
        <f t="shared" si="1"/>
        <v>1</v>
      </c>
    </row>
    <row r="113" spans="1:4" ht="27.6">
      <c r="A113" s="404" t="s">
        <v>1142</v>
      </c>
      <c r="B113" s="409" t="s">
        <v>822</v>
      </c>
      <c r="C113" s="409" t="s">
        <v>1139</v>
      </c>
      <c r="D113">
        <f t="shared" si="1"/>
        <v>1</v>
      </c>
    </row>
    <row r="114" spans="1:4" ht="27.6">
      <c r="A114" s="404" t="s">
        <v>1143</v>
      </c>
      <c r="B114" s="409" t="s">
        <v>823</v>
      </c>
      <c r="C114" s="409" t="s">
        <v>1139</v>
      </c>
      <c r="D114">
        <f t="shared" si="1"/>
        <v>1</v>
      </c>
    </row>
    <row r="115" spans="1:4">
      <c r="A115" s="404" t="s">
        <v>1144</v>
      </c>
      <c r="B115" s="409" t="s">
        <v>818</v>
      </c>
      <c r="C115" s="409" t="s">
        <v>1145</v>
      </c>
      <c r="D115">
        <f t="shared" si="1"/>
        <v>1</v>
      </c>
    </row>
    <row r="116" spans="1:4">
      <c r="A116" s="404" t="s">
        <v>1146</v>
      </c>
      <c r="B116" s="409" t="s">
        <v>820</v>
      </c>
      <c r="C116" s="409" t="s">
        <v>1145</v>
      </c>
      <c r="D116">
        <f t="shared" si="1"/>
        <v>1</v>
      </c>
    </row>
    <row r="117" spans="1:4">
      <c r="A117" s="352" t="s">
        <v>1147</v>
      </c>
      <c r="B117" s="463" t="s">
        <v>821</v>
      </c>
      <c r="C117" s="463" t="s">
        <v>1145</v>
      </c>
      <c r="D117">
        <f t="shared" si="1"/>
        <v>1</v>
      </c>
    </row>
    <row r="118" spans="1:4">
      <c r="A118" s="404" t="s">
        <v>1148</v>
      </c>
      <c r="B118" s="409" t="s">
        <v>822</v>
      </c>
      <c r="C118" s="409" t="s">
        <v>1145</v>
      </c>
      <c r="D118">
        <f t="shared" si="1"/>
        <v>1</v>
      </c>
    </row>
    <row r="119" spans="1:4">
      <c r="A119" s="404" t="s">
        <v>1149</v>
      </c>
      <c r="B119" s="409" t="s">
        <v>823</v>
      </c>
      <c r="C119" s="409" t="s">
        <v>1145</v>
      </c>
      <c r="D119">
        <f t="shared" si="1"/>
        <v>1</v>
      </c>
    </row>
    <row r="120" spans="1:4" ht="27.6">
      <c r="A120" s="404" t="s">
        <v>1151</v>
      </c>
      <c r="B120" s="409" t="s">
        <v>818</v>
      </c>
      <c r="C120" s="409" t="s">
        <v>1150</v>
      </c>
      <c r="D120">
        <f t="shared" si="1"/>
        <v>1</v>
      </c>
    </row>
    <row r="121" spans="1:4" ht="27.6">
      <c r="A121" s="352" t="s">
        <v>1152</v>
      </c>
      <c r="B121" s="463" t="s">
        <v>820</v>
      </c>
      <c r="C121" s="463" t="s">
        <v>1150</v>
      </c>
      <c r="D121">
        <f t="shared" si="1"/>
        <v>1</v>
      </c>
    </row>
    <row r="122" spans="1:4" ht="27.6">
      <c r="A122" s="404" t="s">
        <v>1153</v>
      </c>
      <c r="B122" s="409" t="s">
        <v>823</v>
      </c>
      <c r="C122" s="409" t="s">
        <v>1150</v>
      </c>
      <c r="D122">
        <f t="shared" si="1"/>
        <v>1</v>
      </c>
    </row>
    <row r="123" spans="1:4" ht="27.6">
      <c r="A123" s="404" t="s">
        <v>1154</v>
      </c>
      <c r="B123" s="409" t="s">
        <v>821</v>
      </c>
      <c r="C123" s="409" t="s">
        <v>1150</v>
      </c>
      <c r="D123">
        <f t="shared" si="1"/>
        <v>1</v>
      </c>
    </row>
    <row r="124" spans="1:4" ht="27.6">
      <c r="A124" s="404" t="s">
        <v>1155</v>
      </c>
      <c r="B124" s="409" t="s">
        <v>822</v>
      </c>
      <c r="C124" s="409" t="s">
        <v>1150</v>
      </c>
      <c r="D124">
        <f t="shared" si="1"/>
        <v>1</v>
      </c>
    </row>
    <row r="125" spans="1:4" ht="41.4">
      <c r="A125" s="352" t="s">
        <v>1156</v>
      </c>
      <c r="B125" s="463" t="s">
        <v>1157</v>
      </c>
      <c r="C125" s="463" t="s">
        <v>1158</v>
      </c>
      <c r="D125">
        <f t="shared" si="1"/>
        <v>1</v>
      </c>
    </row>
    <row r="126" spans="1:4" ht="41.4">
      <c r="A126" s="352" t="s">
        <v>1159</v>
      </c>
      <c r="B126" s="463" t="s">
        <v>789</v>
      </c>
      <c r="C126" s="463" t="s">
        <v>1113</v>
      </c>
      <c r="D126">
        <f t="shared" si="1"/>
        <v>1</v>
      </c>
    </row>
    <row r="127" spans="1:4" ht="27.6">
      <c r="A127" s="352" t="s">
        <v>1160</v>
      </c>
      <c r="B127" s="463" t="s">
        <v>789</v>
      </c>
      <c r="C127" s="463" t="s">
        <v>1125</v>
      </c>
      <c r="D127">
        <f t="shared" si="1"/>
        <v>1</v>
      </c>
    </row>
    <row r="128" spans="1:4" ht="41.4">
      <c r="A128" s="352" t="s">
        <v>1161</v>
      </c>
      <c r="B128" s="463" t="s">
        <v>768</v>
      </c>
      <c r="C128" s="463" t="s">
        <v>1113</v>
      </c>
      <c r="D128">
        <f t="shared" si="1"/>
        <v>1</v>
      </c>
    </row>
    <row r="129" spans="1:4" ht="27.6">
      <c r="A129" s="352" t="s">
        <v>1162</v>
      </c>
      <c r="B129" s="463" t="s">
        <v>768</v>
      </c>
      <c r="C129" s="463" t="s">
        <v>1125</v>
      </c>
      <c r="D129">
        <f t="shared" si="1"/>
        <v>1</v>
      </c>
    </row>
    <row r="130" spans="1:4" ht="27.6">
      <c r="A130" s="352" t="s">
        <v>1163</v>
      </c>
      <c r="B130" s="463" t="s">
        <v>867</v>
      </c>
      <c r="C130" s="463" t="s">
        <v>1125</v>
      </c>
      <c r="D130">
        <f t="shared" si="1"/>
        <v>1</v>
      </c>
    </row>
    <row r="131" spans="1:4" ht="41.4">
      <c r="A131" s="352" t="s">
        <v>1164</v>
      </c>
      <c r="B131" s="463" t="s">
        <v>764</v>
      </c>
      <c r="C131" s="463" t="s">
        <v>1113</v>
      </c>
      <c r="D131">
        <f t="shared" si="1"/>
        <v>1</v>
      </c>
    </row>
    <row r="132" spans="1:4" ht="27.6">
      <c r="A132" s="352" t="s">
        <v>1167</v>
      </c>
      <c r="B132" s="463" t="s">
        <v>869</v>
      </c>
      <c r="C132" s="463" t="s">
        <v>1125</v>
      </c>
      <c r="D132">
        <f t="shared" ref="D132:D195" si="2">COUNTIFS($A$3:$A$379,A132)</f>
        <v>1</v>
      </c>
    </row>
    <row r="133" spans="1:4" ht="27.6">
      <c r="A133" s="352" t="s">
        <v>1168</v>
      </c>
      <c r="B133" s="463" t="s">
        <v>1165</v>
      </c>
      <c r="C133" s="463" t="s">
        <v>1166</v>
      </c>
      <c r="D133">
        <f t="shared" si="2"/>
        <v>1</v>
      </c>
    </row>
    <row r="134" spans="1:4" ht="27.6">
      <c r="A134" s="352" t="s">
        <v>1169</v>
      </c>
      <c r="B134" s="463" t="s">
        <v>1170</v>
      </c>
      <c r="C134" s="463" t="s">
        <v>1166</v>
      </c>
      <c r="D134">
        <f t="shared" si="2"/>
        <v>1</v>
      </c>
    </row>
    <row r="135" spans="1:4" ht="27.6">
      <c r="A135" s="352" t="s">
        <v>1171</v>
      </c>
      <c r="B135" s="463" t="s">
        <v>1172</v>
      </c>
      <c r="C135" s="463" t="s">
        <v>1166</v>
      </c>
      <c r="D135">
        <f t="shared" si="2"/>
        <v>1</v>
      </c>
    </row>
    <row r="136" spans="1:4" ht="27.6">
      <c r="A136" s="352" t="s">
        <v>1173</v>
      </c>
      <c r="B136" s="463" t="s">
        <v>1174</v>
      </c>
      <c r="C136" s="463" t="s">
        <v>1166</v>
      </c>
      <c r="D136">
        <f t="shared" si="2"/>
        <v>1</v>
      </c>
    </row>
    <row r="137" spans="1:4" ht="27.6">
      <c r="A137" s="352" t="s">
        <v>1175</v>
      </c>
      <c r="B137" s="463" t="s">
        <v>1176</v>
      </c>
      <c r="C137" s="463" t="s">
        <v>1166</v>
      </c>
      <c r="D137">
        <f t="shared" si="2"/>
        <v>1</v>
      </c>
    </row>
    <row r="138" spans="1:4" ht="27.6">
      <c r="A138" s="352" t="s">
        <v>1177</v>
      </c>
      <c r="B138" s="463" t="s">
        <v>1165</v>
      </c>
      <c r="C138" s="463" t="s">
        <v>1178</v>
      </c>
      <c r="D138">
        <f t="shared" si="2"/>
        <v>1</v>
      </c>
    </row>
    <row r="139" spans="1:4" ht="41.4">
      <c r="A139" s="352" t="s">
        <v>1179</v>
      </c>
      <c r="B139" s="463" t="s">
        <v>1180</v>
      </c>
      <c r="C139" s="463" t="s">
        <v>1181</v>
      </c>
      <c r="D139">
        <f t="shared" si="2"/>
        <v>1</v>
      </c>
    </row>
    <row r="140" spans="1:4" ht="41.4">
      <c r="A140" s="352" t="s">
        <v>1182</v>
      </c>
      <c r="B140" s="463" t="s">
        <v>1180</v>
      </c>
      <c r="C140" s="463" t="s">
        <v>1183</v>
      </c>
      <c r="D140">
        <f t="shared" si="2"/>
        <v>1</v>
      </c>
    </row>
    <row r="141" spans="1:4" ht="41.4">
      <c r="A141" s="352" t="s">
        <v>1184</v>
      </c>
      <c r="B141" s="463" t="s">
        <v>1180</v>
      </c>
      <c r="C141" s="463" t="s">
        <v>1185</v>
      </c>
      <c r="D141">
        <f t="shared" si="2"/>
        <v>1</v>
      </c>
    </row>
    <row r="142" spans="1:4" ht="41.4">
      <c r="A142" s="352" t="s">
        <v>1186</v>
      </c>
      <c r="B142" s="463" t="s">
        <v>1180</v>
      </c>
      <c r="C142" s="463" t="s">
        <v>1187</v>
      </c>
      <c r="D142">
        <f t="shared" si="2"/>
        <v>1</v>
      </c>
    </row>
    <row r="143" spans="1:4" ht="55.2">
      <c r="A143" s="352" t="s">
        <v>1188</v>
      </c>
      <c r="B143" s="463" t="s">
        <v>1189</v>
      </c>
      <c r="C143" s="463" t="s">
        <v>1190</v>
      </c>
      <c r="D143">
        <f t="shared" si="2"/>
        <v>1</v>
      </c>
    </row>
    <row r="144" spans="1:4" ht="27.6">
      <c r="A144" s="352" t="s">
        <v>1191</v>
      </c>
      <c r="B144" s="463" t="s">
        <v>1192</v>
      </c>
      <c r="C144" s="463" t="s">
        <v>1193</v>
      </c>
      <c r="D144">
        <f t="shared" si="2"/>
        <v>1</v>
      </c>
    </row>
    <row r="145" spans="1:4" ht="55.2">
      <c r="A145" s="352" t="s">
        <v>1194</v>
      </c>
      <c r="B145" s="463" t="s">
        <v>1195</v>
      </c>
      <c r="C145" s="463" t="s">
        <v>1196</v>
      </c>
      <c r="D145">
        <f t="shared" si="2"/>
        <v>1</v>
      </c>
    </row>
    <row r="146" spans="1:4" ht="55.2">
      <c r="A146" s="352" t="s">
        <v>1197</v>
      </c>
      <c r="B146" s="463" t="s">
        <v>1195</v>
      </c>
      <c r="C146" s="463" t="s">
        <v>1205</v>
      </c>
      <c r="D146">
        <f t="shared" si="2"/>
        <v>1</v>
      </c>
    </row>
    <row r="147" spans="1:4" ht="27.6">
      <c r="A147" s="352" t="s">
        <v>1198</v>
      </c>
      <c r="B147" s="463" t="s">
        <v>823</v>
      </c>
      <c r="C147" s="463" t="s">
        <v>1206</v>
      </c>
      <c r="D147">
        <f t="shared" si="2"/>
        <v>1</v>
      </c>
    </row>
    <row r="148" spans="1:4" ht="27.6">
      <c r="A148" s="404" t="s">
        <v>1199</v>
      </c>
      <c r="B148" s="409" t="s">
        <v>822</v>
      </c>
      <c r="C148" s="409" t="s">
        <v>1206</v>
      </c>
      <c r="D148">
        <f t="shared" si="2"/>
        <v>1</v>
      </c>
    </row>
    <row r="149" spans="1:4" ht="27.6">
      <c r="A149" s="404" t="s">
        <v>1200</v>
      </c>
      <c r="B149" s="409" t="s">
        <v>821</v>
      </c>
      <c r="C149" s="409" t="s">
        <v>1206</v>
      </c>
      <c r="D149">
        <f t="shared" si="2"/>
        <v>1</v>
      </c>
    </row>
    <row r="150" spans="1:4" ht="27.6">
      <c r="A150" s="352" t="s">
        <v>1201</v>
      </c>
      <c r="B150" s="463" t="s">
        <v>820</v>
      </c>
      <c r="C150" s="463" t="s">
        <v>1206</v>
      </c>
      <c r="D150">
        <f t="shared" si="2"/>
        <v>1</v>
      </c>
    </row>
    <row r="151" spans="1:4" ht="27.6">
      <c r="A151" s="404" t="s">
        <v>1202</v>
      </c>
      <c r="B151" s="409" t="s">
        <v>818</v>
      </c>
      <c r="C151" s="409" t="s">
        <v>1206</v>
      </c>
      <c r="D151">
        <f t="shared" si="2"/>
        <v>1</v>
      </c>
    </row>
    <row r="152" spans="1:4" ht="27.6">
      <c r="A152" s="404" t="s">
        <v>1203</v>
      </c>
      <c r="B152" s="409" t="s">
        <v>1036</v>
      </c>
      <c r="C152" s="409" t="s">
        <v>1207</v>
      </c>
      <c r="D152">
        <f t="shared" si="2"/>
        <v>1</v>
      </c>
    </row>
    <row r="153" spans="1:4" ht="27.6">
      <c r="A153" s="404" t="s">
        <v>1204</v>
      </c>
      <c r="B153" s="409" t="s">
        <v>823</v>
      </c>
      <c r="C153" s="409" t="s">
        <v>1213</v>
      </c>
      <c r="D153">
        <f t="shared" si="2"/>
        <v>1</v>
      </c>
    </row>
    <row r="154" spans="1:4" ht="27.6">
      <c r="A154" s="404" t="s">
        <v>1208</v>
      </c>
      <c r="B154" s="409" t="s">
        <v>822</v>
      </c>
      <c r="C154" s="409" t="s">
        <v>1213</v>
      </c>
      <c r="D154">
        <f t="shared" si="2"/>
        <v>1</v>
      </c>
    </row>
    <row r="155" spans="1:4" ht="27.6">
      <c r="A155" s="404" t="s">
        <v>1209</v>
      </c>
      <c r="B155" s="409" t="s">
        <v>821</v>
      </c>
      <c r="C155" s="409" t="s">
        <v>1213</v>
      </c>
      <c r="D155">
        <f t="shared" si="2"/>
        <v>1</v>
      </c>
    </row>
    <row r="156" spans="1:4" ht="27.6">
      <c r="A156" s="404" t="s">
        <v>1210</v>
      </c>
      <c r="B156" s="409" t="s">
        <v>820</v>
      </c>
      <c r="C156" s="409" t="s">
        <v>1213</v>
      </c>
      <c r="D156">
        <f t="shared" si="2"/>
        <v>1</v>
      </c>
    </row>
    <row r="157" spans="1:4" ht="27.6">
      <c r="A157" s="404" t="s">
        <v>1211</v>
      </c>
      <c r="B157" s="409" t="s">
        <v>818</v>
      </c>
      <c r="C157" s="409" t="s">
        <v>1213</v>
      </c>
      <c r="D157">
        <f t="shared" si="2"/>
        <v>1</v>
      </c>
    </row>
    <row r="158" spans="1:4" ht="27.6">
      <c r="A158" s="352" t="s">
        <v>1212</v>
      </c>
      <c r="B158" s="463" t="s">
        <v>1214</v>
      </c>
      <c r="C158" s="463" t="s">
        <v>1215</v>
      </c>
      <c r="D158">
        <f t="shared" si="2"/>
        <v>1</v>
      </c>
    </row>
    <row r="159" spans="1:4" ht="27.6">
      <c r="A159" s="352" t="s">
        <v>1222</v>
      </c>
      <c r="B159" s="463" t="s">
        <v>1030</v>
      </c>
      <c r="C159" s="463" t="s">
        <v>1223</v>
      </c>
      <c r="D159">
        <f t="shared" si="2"/>
        <v>1</v>
      </c>
    </row>
    <row r="160" spans="1:4" ht="27.6">
      <c r="A160" s="352" t="s">
        <v>1224</v>
      </c>
      <c r="B160" s="463" t="s">
        <v>1030</v>
      </c>
      <c r="C160" s="463" t="s">
        <v>1225</v>
      </c>
      <c r="D160">
        <f t="shared" si="2"/>
        <v>1</v>
      </c>
    </row>
    <row r="161" spans="1:4" ht="27.6">
      <c r="A161" s="352" t="s">
        <v>1226</v>
      </c>
      <c r="B161" s="463" t="s">
        <v>1030</v>
      </c>
      <c r="C161" s="463" t="s">
        <v>1227</v>
      </c>
      <c r="D161">
        <f t="shared" si="2"/>
        <v>1</v>
      </c>
    </row>
    <row r="162" spans="1:4" ht="27.6">
      <c r="A162" s="352" t="s">
        <v>1228</v>
      </c>
      <c r="B162" s="463" t="s">
        <v>1030</v>
      </c>
      <c r="C162" s="463" t="s">
        <v>1227</v>
      </c>
      <c r="D162">
        <f t="shared" si="2"/>
        <v>1</v>
      </c>
    </row>
    <row r="163" spans="1:4" ht="27.6">
      <c r="A163" s="404" t="s">
        <v>1229</v>
      </c>
      <c r="B163" s="409" t="s">
        <v>1230</v>
      </c>
      <c r="C163" s="409" t="s">
        <v>1231</v>
      </c>
      <c r="D163">
        <f t="shared" si="2"/>
        <v>1</v>
      </c>
    </row>
    <row r="164" spans="1:4" ht="27.6">
      <c r="A164" s="404" t="s">
        <v>1232</v>
      </c>
      <c r="B164" s="409" t="s">
        <v>1102</v>
      </c>
      <c r="C164" s="409" t="s">
        <v>1233</v>
      </c>
      <c r="D164">
        <f t="shared" si="2"/>
        <v>1</v>
      </c>
    </row>
    <row r="165" spans="1:4" ht="27.6">
      <c r="A165" s="352" t="s">
        <v>1234</v>
      </c>
      <c r="B165" s="463" t="s">
        <v>1235</v>
      </c>
      <c r="C165" s="463" t="s">
        <v>1236</v>
      </c>
      <c r="D165">
        <f t="shared" si="2"/>
        <v>1</v>
      </c>
    </row>
    <row r="166" spans="1:4" ht="27.6">
      <c r="A166" s="352" t="s">
        <v>1237</v>
      </c>
      <c r="B166" s="463" t="s">
        <v>1075</v>
      </c>
      <c r="C166" s="463" t="s">
        <v>1236</v>
      </c>
      <c r="D166">
        <f t="shared" si="2"/>
        <v>1</v>
      </c>
    </row>
    <row r="167" spans="1:4" ht="27.6">
      <c r="A167" s="352" t="s">
        <v>1238</v>
      </c>
      <c r="B167" s="463" t="s">
        <v>1075</v>
      </c>
      <c r="C167" s="463" t="s">
        <v>1236</v>
      </c>
      <c r="D167">
        <f t="shared" si="2"/>
        <v>1</v>
      </c>
    </row>
    <row r="168" spans="1:4" ht="27.6">
      <c r="A168" s="352" t="s">
        <v>1239</v>
      </c>
      <c r="B168" s="463" t="s">
        <v>1075</v>
      </c>
      <c r="C168" s="463" t="s">
        <v>1236</v>
      </c>
      <c r="D168">
        <f t="shared" si="2"/>
        <v>1</v>
      </c>
    </row>
    <row r="169" spans="1:4" ht="27.6">
      <c r="A169" s="352" t="s">
        <v>1240</v>
      </c>
      <c r="B169" s="463" t="s">
        <v>1075</v>
      </c>
      <c r="C169" s="463" t="s">
        <v>1236</v>
      </c>
      <c r="D169">
        <f t="shared" si="2"/>
        <v>1</v>
      </c>
    </row>
    <row r="170" spans="1:4" ht="27.6">
      <c r="A170" s="352" t="s">
        <v>1241</v>
      </c>
      <c r="B170" s="463" t="s">
        <v>1242</v>
      </c>
      <c r="C170" s="463" t="s">
        <v>1243</v>
      </c>
      <c r="D170">
        <f t="shared" si="2"/>
        <v>1</v>
      </c>
    </row>
    <row r="171" spans="1:4" ht="27.6">
      <c r="A171" s="404" t="s">
        <v>1244</v>
      </c>
      <c r="B171" s="409" t="s">
        <v>1245</v>
      </c>
      <c r="C171" s="409" t="s">
        <v>1246</v>
      </c>
      <c r="D171">
        <f t="shared" si="2"/>
        <v>1</v>
      </c>
    </row>
    <row r="172" spans="1:4" ht="27.6">
      <c r="A172" s="404" t="s">
        <v>1247</v>
      </c>
      <c r="B172" s="409" t="s">
        <v>1245</v>
      </c>
      <c r="C172" s="409" t="s">
        <v>1248</v>
      </c>
      <c r="D172">
        <f t="shared" si="2"/>
        <v>1</v>
      </c>
    </row>
    <row r="173" spans="1:4" ht="27.6">
      <c r="A173" s="352" t="s">
        <v>1249</v>
      </c>
      <c r="B173" s="463" t="s">
        <v>863</v>
      </c>
      <c r="C173" s="463" t="s">
        <v>1250</v>
      </c>
      <c r="D173">
        <f t="shared" si="2"/>
        <v>1</v>
      </c>
    </row>
    <row r="174" spans="1:4" ht="41.4">
      <c r="A174" s="404" t="s">
        <v>1251</v>
      </c>
      <c r="B174" s="409" t="s">
        <v>818</v>
      </c>
      <c r="C174" s="409" t="s">
        <v>1252</v>
      </c>
      <c r="D174">
        <f t="shared" si="2"/>
        <v>1</v>
      </c>
    </row>
    <row r="175" spans="1:4" ht="41.4">
      <c r="A175" s="404" t="s">
        <v>1253</v>
      </c>
      <c r="B175" s="409" t="s">
        <v>820</v>
      </c>
      <c r="C175" s="409" t="s">
        <v>1252</v>
      </c>
      <c r="D175">
        <f t="shared" si="2"/>
        <v>1</v>
      </c>
    </row>
    <row r="176" spans="1:4" ht="41.4">
      <c r="A176" s="404" t="s">
        <v>1254</v>
      </c>
      <c r="B176" s="409" t="s">
        <v>822</v>
      </c>
      <c r="C176" s="409" t="s">
        <v>1252</v>
      </c>
      <c r="D176">
        <f t="shared" si="2"/>
        <v>1</v>
      </c>
    </row>
    <row r="177" spans="1:4" ht="69">
      <c r="A177" s="404" t="s">
        <v>1255</v>
      </c>
      <c r="B177" s="409" t="s">
        <v>1257</v>
      </c>
      <c r="C177" s="409" t="s">
        <v>1258</v>
      </c>
      <c r="D177">
        <f t="shared" si="2"/>
        <v>1</v>
      </c>
    </row>
    <row r="178" spans="1:4" ht="27.6">
      <c r="A178" s="404" t="s">
        <v>1259</v>
      </c>
      <c r="B178" s="409" t="s">
        <v>1172</v>
      </c>
      <c r="C178" s="409" t="s">
        <v>1260</v>
      </c>
      <c r="D178">
        <f t="shared" si="2"/>
        <v>1</v>
      </c>
    </row>
    <row r="179" spans="1:4" ht="27.6">
      <c r="A179" s="404" t="s">
        <v>1261</v>
      </c>
      <c r="B179" s="409" t="s">
        <v>1174</v>
      </c>
      <c r="C179" s="409" t="s">
        <v>1260</v>
      </c>
      <c r="D179">
        <f t="shared" si="2"/>
        <v>1</v>
      </c>
    </row>
    <row r="180" spans="1:4" ht="27.6">
      <c r="A180" s="404" t="s">
        <v>1262</v>
      </c>
      <c r="B180" s="409" t="s">
        <v>1030</v>
      </c>
      <c r="C180" s="409" t="s">
        <v>1263</v>
      </c>
      <c r="D180">
        <f t="shared" si="2"/>
        <v>1</v>
      </c>
    </row>
    <row r="181" spans="1:4" ht="27.6">
      <c r="A181" s="436" t="s">
        <v>1268</v>
      </c>
      <c r="B181" s="439" t="s">
        <v>1030</v>
      </c>
      <c r="C181" s="439" t="s">
        <v>1263</v>
      </c>
      <c r="D181">
        <f t="shared" si="2"/>
        <v>1</v>
      </c>
    </row>
    <row r="182" spans="1:4" ht="27.6">
      <c r="A182" s="436" t="s">
        <v>1269</v>
      </c>
      <c r="B182" s="439" t="s">
        <v>1030</v>
      </c>
      <c r="C182" s="439" t="s">
        <v>1263</v>
      </c>
      <c r="D182">
        <f t="shared" si="2"/>
        <v>1</v>
      </c>
    </row>
    <row r="183" spans="1:4" ht="27.6">
      <c r="A183" s="436" t="s">
        <v>1270</v>
      </c>
      <c r="B183" s="463" t="s">
        <v>1176</v>
      </c>
      <c r="C183" s="463" t="s">
        <v>1260</v>
      </c>
      <c r="D183">
        <f t="shared" si="2"/>
        <v>1</v>
      </c>
    </row>
    <row r="184" spans="1:4" ht="27.6">
      <c r="A184" s="436" t="s">
        <v>1271</v>
      </c>
      <c r="B184" s="463" t="s">
        <v>1272</v>
      </c>
      <c r="C184" s="463" t="s">
        <v>1273</v>
      </c>
      <c r="D184">
        <f t="shared" si="2"/>
        <v>1</v>
      </c>
    </row>
    <row r="185" spans="1:4" ht="41.4">
      <c r="A185" s="436" t="s">
        <v>1274</v>
      </c>
      <c r="B185" s="463" t="s">
        <v>1275</v>
      </c>
      <c r="C185" s="463" t="s">
        <v>1276</v>
      </c>
      <c r="D185">
        <f t="shared" si="2"/>
        <v>1</v>
      </c>
    </row>
    <row r="186" spans="1:4" ht="27.6">
      <c r="A186" s="436" t="s">
        <v>1277</v>
      </c>
      <c r="B186" s="463" t="s">
        <v>1036</v>
      </c>
      <c r="C186" s="463" t="s">
        <v>1207</v>
      </c>
      <c r="D186">
        <f t="shared" si="2"/>
        <v>1</v>
      </c>
    </row>
    <row r="187" spans="1:4" ht="69">
      <c r="A187" s="436" t="s">
        <v>1278</v>
      </c>
      <c r="B187" s="439" t="s">
        <v>1257</v>
      </c>
      <c r="C187" s="439" t="s">
        <v>1258</v>
      </c>
      <c r="D187">
        <f t="shared" si="2"/>
        <v>1</v>
      </c>
    </row>
    <row r="188" spans="1:4" ht="27.6">
      <c r="A188" s="436" t="s">
        <v>1279</v>
      </c>
      <c r="B188" s="439" t="s">
        <v>1172</v>
      </c>
      <c r="C188" s="439" t="s">
        <v>1260</v>
      </c>
      <c r="D188">
        <f t="shared" si="2"/>
        <v>1</v>
      </c>
    </row>
    <row r="189" spans="1:4" ht="27.6">
      <c r="A189" s="436" t="s">
        <v>1280</v>
      </c>
      <c r="B189" s="439" t="s">
        <v>1174</v>
      </c>
      <c r="C189" s="439" t="s">
        <v>1260</v>
      </c>
      <c r="D189">
        <f t="shared" si="2"/>
        <v>1</v>
      </c>
    </row>
    <row r="190" spans="1:4" ht="27.6">
      <c r="A190" s="436" t="s">
        <v>1281</v>
      </c>
      <c r="B190" s="439" t="s">
        <v>1230</v>
      </c>
      <c r="C190" s="439" t="s">
        <v>1231</v>
      </c>
      <c r="D190">
        <f t="shared" si="2"/>
        <v>1</v>
      </c>
    </row>
    <row r="191" spans="1:4" ht="41.4">
      <c r="A191" s="436" t="s">
        <v>1282</v>
      </c>
      <c r="B191" s="439" t="s">
        <v>1102</v>
      </c>
      <c r="C191" s="439" t="s">
        <v>1283</v>
      </c>
      <c r="D191">
        <f t="shared" si="2"/>
        <v>1</v>
      </c>
    </row>
    <row r="192" spans="1:4" ht="27.6">
      <c r="A192" s="436" t="s">
        <v>1284</v>
      </c>
      <c r="B192" s="463" t="s">
        <v>773</v>
      </c>
      <c r="C192" s="463" t="s">
        <v>1285</v>
      </c>
      <c r="D192">
        <f t="shared" si="2"/>
        <v>1</v>
      </c>
    </row>
    <row r="193" spans="1:4" ht="27.6">
      <c r="A193" s="436" t="s">
        <v>1286</v>
      </c>
      <c r="B193" s="463" t="s">
        <v>1235</v>
      </c>
      <c r="C193" s="463" t="s">
        <v>1288</v>
      </c>
      <c r="D193">
        <f t="shared" si="2"/>
        <v>1</v>
      </c>
    </row>
    <row r="194" spans="1:4" ht="27.6">
      <c r="A194" s="436" t="s">
        <v>1287</v>
      </c>
      <c r="B194" s="463" t="s">
        <v>1075</v>
      </c>
      <c r="C194" s="463" t="s">
        <v>1288</v>
      </c>
      <c r="D194">
        <f t="shared" si="2"/>
        <v>1</v>
      </c>
    </row>
    <row r="195" spans="1:4" ht="27.6">
      <c r="A195" s="436" t="s">
        <v>1289</v>
      </c>
      <c r="B195" s="463" t="s">
        <v>1290</v>
      </c>
      <c r="C195" s="463" t="s">
        <v>1291</v>
      </c>
      <c r="D195">
        <f t="shared" si="2"/>
        <v>1</v>
      </c>
    </row>
    <row r="196" spans="1:4" ht="27.6">
      <c r="A196" s="436" t="s">
        <v>1292</v>
      </c>
      <c r="B196" s="463" t="s">
        <v>1075</v>
      </c>
      <c r="C196" s="463" t="s">
        <v>1288</v>
      </c>
      <c r="D196">
        <f t="shared" ref="D196:D259" si="3">COUNTIFS($A$3:$A$379,A196)</f>
        <v>1</v>
      </c>
    </row>
    <row r="197" spans="1:4" ht="27.6">
      <c r="A197" s="436" t="s">
        <v>1293</v>
      </c>
      <c r="B197" s="463" t="s">
        <v>1075</v>
      </c>
      <c r="C197" s="463" t="s">
        <v>1288</v>
      </c>
      <c r="D197">
        <f t="shared" si="3"/>
        <v>1</v>
      </c>
    </row>
    <row r="198" spans="1:4">
      <c r="A198" s="436" t="s">
        <v>1294</v>
      </c>
      <c r="B198" s="463" t="s">
        <v>6</v>
      </c>
      <c r="C198" s="463" t="s">
        <v>1295</v>
      </c>
      <c r="D198">
        <f t="shared" si="3"/>
        <v>12</v>
      </c>
    </row>
    <row r="199" spans="1:4">
      <c r="A199" s="436" t="s">
        <v>1294</v>
      </c>
      <c r="B199" s="463" t="s">
        <v>796</v>
      </c>
      <c r="C199" s="463" t="s">
        <v>1295</v>
      </c>
      <c r="D199">
        <f t="shared" si="3"/>
        <v>12</v>
      </c>
    </row>
    <row r="200" spans="1:4" ht="27.6">
      <c r="A200" s="436" t="s">
        <v>1294</v>
      </c>
      <c r="B200" s="463" t="s">
        <v>797</v>
      </c>
      <c r="C200" s="463" t="s">
        <v>1295</v>
      </c>
      <c r="D200">
        <f t="shared" si="3"/>
        <v>12</v>
      </c>
    </row>
    <row r="201" spans="1:4">
      <c r="A201" s="436" t="s">
        <v>1294</v>
      </c>
      <c r="B201" s="463" t="s">
        <v>798</v>
      </c>
      <c r="C201" s="463" t="s">
        <v>1295</v>
      </c>
      <c r="D201">
        <f t="shared" si="3"/>
        <v>12</v>
      </c>
    </row>
    <row r="202" spans="1:4">
      <c r="A202" s="436" t="s">
        <v>1294</v>
      </c>
      <c r="B202" s="463" t="s">
        <v>799</v>
      </c>
      <c r="C202" s="463" t="s">
        <v>1295</v>
      </c>
      <c r="D202">
        <f t="shared" si="3"/>
        <v>12</v>
      </c>
    </row>
    <row r="203" spans="1:4">
      <c r="A203" s="436" t="s">
        <v>1294</v>
      </c>
      <c r="B203" s="463" t="s">
        <v>800</v>
      </c>
      <c r="C203" s="463" t="s">
        <v>1295</v>
      </c>
      <c r="D203">
        <f t="shared" si="3"/>
        <v>12</v>
      </c>
    </row>
    <row r="204" spans="1:4">
      <c r="A204" s="436" t="s">
        <v>1294</v>
      </c>
      <c r="B204" s="463" t="s">
        <v>801</v>
      </c>
      <c r="C204" s="463" t="s">
        <v>1295</v>
      </c>
      <c r="D204">
        <f t="shared" si="3"/>
        <v>12</v>
      </c>
    </row>
    <row r="205" spans="1:4">
      <c r="A205" s="436" t="s">
        <v>1294</v>
      </c>
      <c r="B205" s="463" t="s">
        <v>802</v>
      </c>
      <c r="C205" s="463" t="s">
        <v>1295</v>
      </c>
      <c r="D205">
        <f t="shared" si="3"/>
        <v>12</v>
      </c>
    </row>
    <row r="206" spans="1:4">
      <c r="A206" s="436" t="s">
        <v>1294</v>
      </c>
      <c r="B206" s="463" t="s">
        <v>803</v>
      </c>
      <c r="C206" s="463" t="s">
        <v>1295</v>
      </c>
      <c r="D206">
        <f t="shared" si="3"/>
        <v>12</v>
      </c>
    </row>
    <row r="207" spans="1:4">
      <c r="A207" s="436" t="s">
        <v>1294</v>
      </c>
      <c r="B207" s="463" t="s">
        <v>804</v>
      </c>
      <c r="C207" s="463" t="s">
        <v>1295</v>
      </c>
      <c r="D207">
        <f t="shared" si="3"/>
        <v>12</v>
      </c>
    </row>
    <row r="208" spans="1:4" ht="27.6">
      <c r="A208" s="436" t="s">
        <v>1294</v>
      </c>
      <c r="B208" s="463" t="s">
        <v>805</v>
      </c>
      <c r="C208" s="463" t="s">
        <v>1295</v>
      </c>
      <c r="D208">
        <f t="shared" si="3"/>
        <v>12</v>
      </c>
    </row>
    <row r="209" spans="1:4">
      <c r="A209" s="436" t="s">
        <v>1294</v>
      </c>
      <c r="B209" s="463" t="s">
        <v>806</v>
      </c>
      <c r="C209" s="463" t="s">
        <v>1295</v>
      </c>
      <c r="D209">
        <f t="shared" si="3"/>
        <v>12</v>
      </c>
    </row>
    <row r="210" spans="1:4" ht="27.6">
      <c r="A210" s="436" t="s">
        <v>1296</v>
      </c>
      <c r="B210" s="463" t="s">
        <v>1297</v>
      </c>
      <c r="C210" s="463" t="s">
        <v>1298</v>
      </c>
      <c r="D210">
        <f t="shared" si="3"/>
        <v>1</v>
      </c>
    </row>
    <row r="211" spans="1:4" ht="27.6">
      <c r="A211" s="436" t="s">
        <v>1299</v>
      </c>
      <c r="B211" s="463" t="s">
        <v>1300</v>
      </c>
      <c r="C211" s="463" t="s">
        <v>1301</v>
      </c>
      <c r="D211">
        <f t="shared" si="3"/>
        <v>1</v>
      </c>
    </row>
    <row r="212" spans="1:4" ht="41.4">
      <c r="A212" s="436" t="s">
        <v>1302</v>
      </c>
      <c r="B212" s="463" t="s">
        <v>1303</v>
      </c>
      <c r="C212" s="463" t="s">
        <v>1304</v>
      </c>
      <c r="D212">
        <f t="shared" si="3"/>
        <v>1</v>
      </c>
    </row>
    <row r="213" spans="1:4" ht="27.6">
      <c r="A213" s="436" t="s">
        <v>1305</v>
      </c>
      <c r="B213" s="463" t="s">
        <v>1105</v>
      </c>
      <c r="C213" s="463" t="s">
        <v>1309</v>
      </c>
      <c r="D213">
        <f t="shared" si="3"/>
        <v>1</v>
      </c>
    </row>
    <row r="214" spans="1:4" ht="27.6">
      <c r="A214" s="436" t="s">
        <v>1306</v>
      </c>
      <c r="B214" s="463" t="s">
        <v>1307</v>
      </c>
      <c r="C214" s="463" t="s">
        <v>1308</v>
      </c>
      <c r="D214">
        <f t="shared" si="3"/>
        <v>1</v>
      </c>
    </row>
    <row r="215" spans="1:4" ht="27.6">
      <c r="A215" s="436" t="s">
        <v>1310</v>
      </c>
      <c r="B215" s="463" t="s">
        <v>1038</v>
      </c>
      <c r="C215" s="463" t="s">
        <v>1311</v>
      </c>
      <c r="D215">
        <f t="shared" si="3"/>
        <v>1</v>
      </c>
    </row>
    <row r="216" spans="1:4" ht="27.6">
      <c r="A216" s="436" t="s">
        <v>1312</v>
      </c>
      <c r="B216" s="463" t="s">
        <v>1245</v>
      </c>
      <c r="C216" s="463" t="s">
        <v>1313</v>
      </c>
      <c r="D216">
        <f t="shared" si="3"/>
        <v>1</v>
      </c>
    </row>
    <row r="217" spans="1:4" ht="27.6">
      <c r="A217" s="404" t="s">
        <v>1314</v>
      </c>
      <c r="B217" s="409" t="s">
        <v>1315</v>
      </c>
      <c r="C217" s="409" t="s">
        <v>1316</v>
      </c>
      <c r="D217">
        <f t="shared" si="3"/>
        <v>1</v>
      </c>
    </row>
    <row r="218" spans="1:4" ht="27.6">
      <c r="A218" s="436" t="s">
        <v>1317</v>
      </c>
      <c r="B218" s="463" t="s">
        <v>794</v>
      </c>
      <c r="C218" s="463" t="s">
        <v>1318</v>
      </c>
      <c r="D218">
        <f t="shared" si="3"/>
        <v>1</v>
      </c>
    </row>
    <row r="219" spans="1:4" ht="27.6">
      <c r="A219" s="436" t="s">
        <v>1319</v>
      </c>
      <c r="B219" s="463" t="s">
        <v>852</v>
      </c>
      <c r="C219" s="463" t="s">
        <v>1320</v>
      </c>
      <c r="D219">
        <f t="shared" si="3"/>
        <v>1</v>
      </c>
    </row>
    <row r="220" spans="1:4" ht="27.6">
      <c r="A220" s="436" t="s">
        <v>1321</v>
      </c>
      <c r="B220" s="463" t="s">
        <v>1030</v>
      </c>
      <c r="C220" s="463" t="s">
        <v>1031</v>
      </c>
      <c r="D220">
        <f t="shared" si="3"/>
        <v>1</v>
      </c>
    </row>
    <row r="221" spans="1:4" ht="27.6">
      <c r="A221" s="436" t="s">
        <v>1322</v>
      </c>
      <c r="B221" s="463" t="s">
        <v>1323</v>
      </c>
      <c r="C221" s="463" t="s">
        <v>1207</v>
      </c>
      <c r="D221">
        <f t="shared" si="3"/>
        <v>1</v>
      </c>
    </row>
    <row r="222" spans="1:4" ht="27.6">
      <c r="A222" s="436" t="s">
        <v>1324</v>
      </c>
      <c r="B222" s="463" t="s">
        <v>1325</v>
      </c>
      <c r="C222" s="463" t="s">
        <v>1207</v>
      </c>
      <c r="D222">
        <f t="shared" si="3"/>
        <v>1</v>
      </c>
    </row>
    <row r="223" spans="1:4" ht="27.6">
      <c r="A223" s="436" t="s">
        <v>1326</v>
      </c>
      <c r="B223" s="463" t="s">
        <v>1327</v>
      </c>
      <c r="C223" s="463" t="s">
        <v>1207</v>
      </c>
      <c r="D223">
        <f t="shared" si="3"/>
        <v>1</v>
      </c>
    </row>
    <row r="224" spans="1:4" ht="27.6">
      <c r="A224" s="436" t="s">
        <v>1328</v>
      </c>
      <c r="B224" s="463" t="s">
        <v>1329</v>
      </c>
      <c r="C224" s="463" t="s">
        <v>1330</v>
      </c>
      <c r="D224">
        <f t="shared" si="3"/>
        <v>1</v>
      </c>
    </row>
    <row r="225" spans="1:4" ht="27.6">
      <c r="A225" s="436" t="s">
        <v>1331</v>
      </c>
      <c r="B225" s="463" t="s">
        <v>859</v>
      </c>
      <c r="C225" s="463" t="s">
        <v>1332</v>
      </c>
      <c r="D225">
        <f t="shared" si="3"/>
        <v>1</v>
      </c>
    </row>
    <row r="226" spans="1:4" ht="27.6">
      <c r="A226" s="436" t="s">
        <v>1333</v>
      </c>
      <c r="B226" s="463" t="s">
        <v>1334</v>
      </c>
      <c r="C226" s="463" t="s">
        <v>1335</v>
      </c>
      <c r="D226">
        <f t="shared" si="3"/>
        <v>1</v>
      </c>
    </row>
    <row r="227" spans="1:4" ht="41.4">
      <c r="A227" s="436" t="s">
        <v>1336</v>
      </c>
      <c r="B227" s="463" t="s">
        <v>1337</v>
      </c>
      <c r="C227" s="463" t="s">
        <v>1276</v>
      </c>
      <c r="D227">
        <f t="shared" si="3"/>
        <v>1</v>
      </c>
    </row>
    <row r="228" spans="1:4" ht="27.6">
      <c r="A228" s="436" t="s">
        <v>1338</v>
      </c>
      <c r="B228" s="463" t="s">
        <v>1339</v>
      </c>
      <c r="C228" s="463" t="s">
        <v>1340</v>
      </c>
      <c r="D228">
        <f t="shared" si="3"/>
        <v>1</v>
      </c>
    </row>
    <row r="229" spans="1:4" ht="27.6">
      <c r="A229" s="436" t="s">
        <v>1341</v>
      </c>
      <c r="B229" s="463" t="s">
        <v>1342</v>
      </c>
      <c r="C229" s="463" t="s">
        <v>1301</v>
      </c>
      <c r="D229">
        <f t="shared" si="3"/>
        <v>1</v>
      </c>
    </row>
    <row r="230" spans="1:4" ht="55.2">
      <c r="A230" s="436" t="s">
        <v>1343</v>
      </c>
      <c r="B230" s="463" t="s">
        <v>1344</v>
      </c>
      <c r="C230" s="463" t="s">
        <v>1345</v>
      </c>
      <c r="D230">
        <f t="shared" si="3"/>
        <v>1</v>
      </c>
    </row>
    <row r="231" spans="1:4" ht="27.6">
      <c r="A231" s="436" t="s">
        <v>1364</v>
      </c>
      <c r="B231" s="463" t="s">
        <v>1108</v>
      </c>
      <c r="C231" s="463" t="s">
        <v>1346</v>
      </c>
      <c r="D231">
        <f t="shared" si="3"/>
        <v>1</v>
      </c>
    </row>
    <row r="232" spans="1:4" ht="41.4">
      <c r="A232" s="436" t="s">
        <v>1365</v>
      </c>
      <c r="B232" s="463" t="s">
        <v>1108</v>
      </c>
      <c r="C232" s="463" t="s">
        <v>1347</v>
      </c>
      <c r="D232">
        <f t="shared" si="3"/>
        <v>1</v>
      </c>
    </row>
    <row r="233" spans="1:4" ht="27.6">
      <c r="A233" s="436" t="s">
        <v>1367</v>
      </c>
      <c r="B233" s="463" t="s">
        <v>1327</v>
      </c>
      <c r="C233" s="463" t="s">
        <v>1037</v>
      </c>
      <c r="D233">
        <f t="shared" si="3"/>
        <v>1</v>
      </c>
    </row>
    <row r="234" spans="1:4" ht="27.6">
      <c r="A234" s="436" t="s">
        <v>1368</v>
      </c>
      <c r="B234" s="463" t="s">
        <v>1214</v>
      </c>
      <c r="C234" s="463" t="s">
        <v>1348</v>
      </c>
      <c r="D234">
        <f t="shared" si="3"/>
        <v>1</v>
      </c>
    </row>
    <row r="235" spans="1:4" ht="27.6">
      <c r="A235" s="436" t="s">
        <v>1370</v>
      </c>
      <c r="B235" s="463" t="s">
        <v>1349</v>
      </c>
      <c r="C235" s="463" t="s">
        <v>1350</v>
      </c>
      <c r="D235">
        <f t="shared" si="3"/>
        <v>1</v>
      </c>
    </row>
    <row r="236" spans="1:4" ht="55.2">
      <c r="A236" s="436" t="s">
        <v>1371</v>
      </c>
      <c r="B236" s="463" t="s">
        <v>1038</v>
      </c>
      <c r="C236" s="463" t="s">
        <v>1351</v>
      </c>
      <c r="D236">
        <f t="shared" si="3"/>
        <v>1</v>
      </c>
    </row>
    <row r="237" spans="1:4" ht="27.6">
      <c r="A237" s="436" t="s">
        <v>1372</v>
      </c>
      <c r="B237" s="463" t="s">
        <v>1352</v>
      </c>
      <c r="C237" s="463" t="s">
        <v>1353</v>
      </c>
      <c r="D237">
        <f t="shared" si="3"/>
        <v>1</v>
      </c>
    </row>
    <row r="238" spans="1:4" ht="41.4">
      <c r="A238" s="436" t="s">
        <v>1373</v>
      </c>
      <c r="B238" s="463" t="s">
        <v>1354</v>
      </c>
      <c r="C238" s="463" t="s">
        <v>1355</v>
      </c>
      <c r="D238">
        <f t="shared" si="3"/>
        <v>1</v>
      </c>
    </row>
    <row r="239" spans="1:4" ht="27.6">
      <c r="A239" s="436" t="s">
        <v>1374</v>
      </c>
      <c r="B239" s="463" t="s">
        <v>1245</v>
      </c>
      <c r="C239" s="463" t="s">
        <v>1356</v>
      </c>
      <c r="D239">
        <f t="shared" si="3"/>
        <v>1</v>
      </c>
    </row>
    <row r="240" spans="1:4" ht="27.6">
      <c r="A240" s="436" t="s">
        <v>1375</v>
      </c>
      <c r="B240" s="463" t="s">
        <v>810</v>
      </c>
      <c r="C240" s="463" t="s">
        <v>1357</v>
      </c>
      <c r="D240">
        <f t="shared" si="3"/>
        <v>1</v>
      </c>
    </row>
    <row r="241" spans="1:4" ht="27.6">
      <c r="A241" s="436" t="s">
        <v>1376</v>
      </c>
      <c r="B241" s="463" t="s">
        <v>836</v>
      </c>
      <c r="C241" s="463" t="s">
        <v>1358</v>
      </c>
      <c r="D241">
        <f t="shared" si="3"/>
        <v>1</v>
      </c>
    </row>
    <row r="242" spans="1:4" ht="27.6">
      <c r="A242" s="436" t="s">
        <v>1377</v>
      </c>
      <c r="B242" s="463" t="s">
        <v>1359</v>
      </c>
      <c r="C242" s="463" t="s">
        <v>1360</v>
      </c>
      <c r="D242">
        <f t="shared" si="3"/>
        <v>1</v>
      </c>
    </row>
    <row r="243" spans="1:4" ht="27.6">
      <c r="A243" s="436" t="s">
        <v>1378</v>
      </c>
      <c r="B243" s="463" t="s">
        <v>1072</v>
      </c>
      <c r="C243" s="463" t="s">
        <v>1361</v>
      </c>
      <c r="D243">
        <f t="shared" si="3"/>
        <v>1</v>
      </c>
    </row>
    <row r="244" spans="1:4" ht="27.6">
      <c r="A244" s="436" t="s">
        <v>1379</v>
      </c>
      <c r="B244" s="463" t="s">
        <v>1362</v>
      </c>
      <c r="C244" s="463" t="s">
        <v>1363</v>
      </c>
      <c r="D244">
        <f t="shared" si="3"/>
        <v>1</v>
      </c>
    </row>
    <row r="245" spans="1:4" ht="41.4">
      <c r="A245" s="436" t="s">
        <v>1383</v>
      </c>
      <c r="B245" s="463" t="s">
        <v>1380</v>
      </c>
      <c r="C245" s="463" t="s">
        <v>1381</v>
      </c>
      <c r="D245">
        <f t="shared" si="3"/>
        <v>1</v>
      </c>
    </row>
    <row r="246" spans="1:4" ht="41.4">
      <c r="A246" s="436" t="s">
        <v>1385</v>
      </c>
      <c r="B246" s="463" t="s">
        <v>777</v>
      </c>
      <c r="C246" s="463" t="s">
        <v>1384</v>
      </c>
      <c r="D246">
        <f t="shared" si="3"/>
        <v>1</v>
      </c>
    </row>
    <row r="247" spans="1:4" ht="41.4">
      <c r="A247" s="436" t="s">
        <v>1386</v>
      </c>
      <c r="B247" s="463" t="s">
        <v>768</v>
      </c>
      <c r="C247" s="463" t="s">
        <v>1384</v>
      </c>
      <c r="D247">
        <f t="shared" si="3"/>
        <v>1</v>
      </c>
    </row>
    <row r="248" spans="1:4" ht="41.4">
      <c r="A248" s="436" t="s">
        <v>1387</v>
      </c>
      <c r="B248" s="463" t="s">
        <v>765</v>
      </c>
      <c r="C248" s="463" t="s">
        <v>1384</v>
      </c>
      <c r="D248">
        <f t="shared" si="3"/>
        <v>1</v>
      </c>
    </row>
    <row r="249" spans="1:4" ht="27.6">
      <c r="A249" s="436" t="s">
        <v>1388</v>
      </c>
      <c r="B249" s="463" t="s">
        <v>872</v>
      </c>
      <c r="C249" s="463" t="s">
        <v>1390</v>
      </c>
      <c r="D249">
        <f t="shared" si="3"/>
        <v>1</v>
      </c>
    </row>
    <row r="250" spans="1:4" ht="27.6">
      <c r="A250" s="436" t="s">
        <v>1389</v>
      </c>
      <c r="B250" s="463" t="s">
        <v>863</v>
      </c>
      <c r="C250" s="463" t="s">
        <v>1390</v>
      </c>
      <c r="D250">
        <f t="shared" si="3"/>
        <v>1</v>
      </c>
    </row>
    <row r="251" spans="1:4" ht="27.6">
      <c r="A251" s="436" t="s">
        <v>1391</v>
      </c>
      <c r="B251" s="463" t="s">
        <v>768</v>
      </c>
      <c r="C251" s="463" t="s">
        <v>1390</v>
      </c>
      <c r="D251">
        <f t="shared" si="3"/>
        <v>1</v>
      </c>
    </row>
    <row r="252" spans="1:4" ht="27.6">
      <c r="A252" s="436" t="s">
        <v>1392</v>
      </c>
      <c r="B252" s="463" t="s">
        <v>867</v>
      </c>
      <c r="C252" s="463" t="s">
        <v>1390</v>
      </c>
      <c r="D252">
        <f t="shared" si="3"/>
        <v>1</v>
      </c>
    </row>
    <row r="253" spans="1:4" ht="41.4">
      <c r="A253" s="436" t="s">
        <v>1393</v>
      </c>
      <c r="B253" s="463" t="s">
        <v>1165</v>
      </c>
      <c r="C253" s="463" t="s">
        <v>1394</v>
      </c>
      <c r="D253">
        <f t="shared" si="3"/>
        <v>1</v>
      </c>
    </row>
    <row r="254" spans="1:4" ht="41.4">
      <c r="A254" s="436" t="s">
        <v>1395</v>
      </c>
      <c r="B254" s="463" t="s">
        <v>1170</v>
      </c>
      <c r="C254" s="463" t="s">
        <v>1394</v>
      </c>
      <c r="D254">
        <f t="shared" si="3"/>
        <v>1</v>
      </c>
    </row>
    <row r="255" spans="1:4" ht="41.4">
      <c r="A255" s="436" t="s">
        <v>1396</v>
      </c>
      <c r="B255" s="463" t="s">
        <v>1174</v>
      </c>
      <c r="C255" s="463" t="s">
        <v>1394</v>
      </c>
      <c r="D255">
        <f t="shared" si="3"/>
        <v>1</v>
      </c>
    </row>
    <row r="256" spans="1:4" ht="41.4">
      <c r="A256" s="436" t="s">
        <v>1397</v>
      </c>
      <c r="B256" s="463" t="s">
        <v>1176</v>
      </c>
      <c r="C256" s="463" t="s">
        <v>1394</v>
      </c>
      <c r="D256">
        <f t="shared" si="3"/>
        <v>1</v>
      </c>
    </row>
    <row r="257" spans="1:4" ht="41.4">
      <c r="A257" s="436" t="s">
        <v>1398</v>
      </c>
      <c r="B257" s="463" t="s">
        <v>1382</v>
      </c>
      <c r="C257" s="463" t="s">
        <v>1399</v>
      </c>
      <c r="D257">
        <f t="shared" si="3"/>
        <v>1</v>
      </c>
    </row>
    <row r="258" spans="1:4" ht="41.4">
      <c r="A258" s="436" t="s">
        <v>1400</v>
      </c>
      <c r="B258" s="463" t="s">
        <v>1382</v>
      </c>
      <c r="C258" s="463" t="s">
        <v>1394</v>
      </c>
      <c r="D258">
        <f t="shared" si="3"/>
        <v>1</v>
      </c>
    </row>
    <row r="259" spans="1:4" ht="41.4">
      <c r="A259" s="436" t="s">
        <v>1401</v>
      </c>
      <c r="B259" s="463" t="s">
        <v>10</v>
      </c>
      <c r="C259" s="463" t="s">
        <v>1384</v>
      </c>
      <c r="D259">
        <f t="shared" si="3"/>
        <v>1</v>
      </c>
    </row>
    <row r="260" spans="1:4" ht="41.4">
      <c r="A260" s="436" t="s">
        <v>1402</v>
      </c>
      <c r="B260" s="463" t="s">
        <v>764</v>
      </c>
      <c r="C260" s="463" t="s">
        <v>1384</v>
      </c>
      <c r="D260">
        <f t="shared" ref="D260:D323" si="4">COUNTIFS($A$3:$A$379,A260)</f>
        <v>1</v>
      </c>
    </row>
    <row r="261" spans="1:4" ht="27.6">
      <c r="A261" s="436" t="s">
        <v>1403</v>
      </c>
      <c r="B261" s="463" t="s">
        <v>869</v>
      </c>
      <c r="C261" s="463" t="s">
        <v>1390</v>
      </c>
      <c r="D261">
        <f t="shared" si="4"/>
        <v>1</v>
      </c>
    </row>
    <row r="262" spans="1:4" ht="41.4">
      <c r="A262" s="436" t="s">
        <v>1405</v>
      </c>
      <c r="B262" s="463" t="s">
        <v>1170</v>
      </c>
      <c r="C262" s="463" t="s">
        <v>1406</v>
      </c>
      <c r="D262">
        <f t="shared" si="4"/>
        <v>1</v>
      </c>
    </row>
    <row r="263" spans="1:4" ht="27.6">
      <c r="A263" s="436" t="s">
        <v>1407</v>
      </c>
      <c r="B263" s="463" t="s">
        <v>1245</v>
      </c>
      <c r="C263" s="463" t="s">
        <v>1408</v>
      </c>
      <c r="D263">
        <f t="shared" si="4"/>
        <v>1</v>
      </c>
    </row>
    <row r="264" spans="1:4" ht="27.6">
      <c r="A264" s="436" t="s">
        <v>1409</v>
      </c>
      <c r="B264" s="463" t="s">
        <v>1245</v>
      </c>
      <c r="C264" s="463" t="s">
        <v>1248</v>
      </c>
      <c r="D264">
        <f t="shared" si="4"/>
        <v>1</v>
      </c>
    </row>
    <row r="265" spans="1:4" ht="27.6">
      <c r="A265" s="436" t="s">
        <v>1410</v>
      </c>
      <c r="B265" s="463" t="s">
        <v>1036</v>
      </c>
      <c r="C265" s="463" t="s">
        <v>1411</v>
      </c>
      <c r="D265">
        <f t="shared" si="4"/>
        <v>1</v>
      </c>
    </row>
    <row r="266" spans="1:4" ht="41.4">
      <c r="A266" s="436" t="s">
        <v>1412</v>
      </c>
      <c r="B266" s="463" t="s">
        <v>1172</v>
      </c>
      <c r="C266" s="463" t="s">
        <v>1394</v>
      </c>
      <c r="D266">
        <f t="shared" si="4"/>
        <v>1</v>
      </c>
    </row>
    <row r="267" spans="1:4" ht="27.6">
      <c r="A267" s="436" t="s">
        <v>1413</v>
      </c>
      <c r="B267" s="463" t="s">
        <v>789</v>
      </c>
      <c r="C267" s="463" t="s">
        <v>1390</v>
      </c>
      <c r="D267">
        <f t="shared" si="4"/>
        <v>1</v>
      </c>
    </row>
    <row r="268" spans="1:4" ht="41.4">
      <c r="A268" s="436" t="s">
        <v>1414</v>
      </c>
      <c r="B268" s="463" t="s">
        <v>789</v>
      </c>
      <c r="C268" s="463" t="s">
        <v>1384</v>
      </c>
      <c r="D268">
        <f t="shared" si="4"/>
        <v>1</v>
      </c>
    </row>
    <row r="269" spans="1:4" ht="27.6">
      <c r="A269" s="404" t="s">
        <v>1415</v>
      </c>
      <c r="B269" s="409" t="s">
        <v>822</v>
      </c>
      <c r="C269" s="409" t="s">
        <v>1416</v>
      </c>
      <c r="D269">
        <f t="shared" si="4"/>
        <v>1</v>
      </c>
    </row>
    <row r="270" spans="1:4" ht="27.6">
      <c r="A270" s="436" t="s">
        <v>1417</v>
      </c>
      <c r="B270" s="463" t="s">
        <v>1418</v>
      </c>
      <c r="C270" s="463" t="s">
        <v>1419</v>
      </c>
      <c r="D270">
        <f t="shared" si="4"/>
        <v>1</v>
      </c>
    </row>
    <row r="271" spans="1:4" ht="41.4">
      <c r="A271" s="436" t="s">
        <v>1420</v>
      </c>
      <c r="B271" s="463" t="s">
        <v>1344</v>
      </c>
      <c r="C271" s="463" t="s">
        <v>1421</v>
      </c>
      <c r="D271">
        <f t="shared" si="4"/>
        <v>1</v>
      </c>
    </row>
    <row r="272" spans="1:4" ht="27.6">
      <c r="A272" s="436" t="s">
        <v>1422</v>
      </c>
      <c r="B272" s="463" t="s">
        <v>1359</v>
      </c>
      <c r="C272" s="463" t="s">
        <v>1423</v>
      </c>
      <c r="D272">
        <f t="shared" si="4"/>
        <v>1</v>
      </c>
    </row>
    <row r="273" spans="1:4" ht="27.6">
      <c r="A273" s="436" t="s">
        <v>1424</v>
      </c>
      <c r="B273" s="439" t="s">
        <v>823</v>
      </c>
      <c r="C273" s="439" t="s">
        <v>1139</v>
      </c>
      <c r="D273">
        <f t="shared" si="4"/>
        <v>1</v>
      </c>
    </row>
    <row r="274" spans="1:4" ht="27.6">
      <c r="A274" s="436" t="s">
        <v>1425</v>
      </c>
      <c r="B274" s="439" t="s">
        <v>818</v>
      </c>
      <c r="C274" s="439" t="s">
        <v>1206</v>
      </c>
      <c r="D274">
        <f t="shared" si="4"/>
        <v>1</v>
      </c>
    </row>
    <row r="275" spans="1:4" ht="27.6">
      <c r="A275" s="436" t="s">
        <v>1426</v>
      </c>
      <c r="B275" s="439" t="s">
        <v>818</v>
      </c>
      <c r="C275" s="439" t="s">
        <v>1150</v>
      </c>
      <c r="D275">
        <f t="shared" si="4"/>
        <v>1</v>
      </c>
    </row>
    <row r="276" spans="1:4">
      <c r="A276" s="436" t="s">
        <v>1427</v>
      </c>
      <c r="B276" s="439" t="s">
        <v>820</v>
      </c>
      <c r="C276" s="439" t="s">
        <v>1145</v>
      </c>
      <c r="D276">
        <f t="shared" si="4"/>
        <v>1</v>
      </c>
    </row>
    <row r="277" spans="1:4" ht="27.6">
      <c r="A277" s="436" t="s">
        <v>1428</v>
      </c>
      <c r="B277" s="439" t="s">
        <v>1189</v>
      </c>
      <c r="C277" s="439" t="s">
        <v>1429</v>
      </c>
      <c r="D277">
        <f t="shared" si="4"/>
        <v>1</v>
      </c>
    </row>
    <row r="278" spans="1:4" ht="41.4">
      <c r="A278" s="436" t="s">
        <v>1430</v>
      </c>
      <c r="B278" s="439" t="s">
        <v>1325</v>
      </c>
      <c r="C278" s="439" t="s">
        <v>1431</v>
      </c>
      <c r="D278">
        <f t="shared" si="4"/>
        <v>1</v>
      </c>
    </row>
    <row r="279" spans="1:4" ht="27.6">
      <c r="A279" s="436" t="s">
        <v>1432</v>
      </c>
      <c r="B279" s="439" t="s">
        <v>1433</v>
      </c>
      <c r="C279" s="439" t="s">
        <v>1434</v>
      </c>
      <c r="D279">
        <f t="shared" si="4"/>
        <v>1</v>
      </c>
    </row>
    <row r="280" spans="1:4" ht="27.6">
      <c r="A280" s="436" t="s">
        <v>1435</v>
      </c>
      <c r="B280" s="463" t="s">
        <v>1436</v>
      </c>
      <c r="C280" s="439" t="s">
        <v>1437</v>
      </c>
      <c r="D280">
        <f t="shared" si="4"/>
        <v>1</v>
      </c>
    </row>
    <row r="281" spans="1:4">
      <c r="A281" s="436" t="s">
        <v>1438</v>
      </c>
      <c r="B281" s="463" t="s">
        <v>10</v>
      </c>
      <c r="C281" s="463" t="s">
        <v>1439</v>
      </c>
      <c r="D281">
        <f t="shared" si="4"/>
        <v>1</v>
      </c>
    </row>
    <row r="282" spans="1:4">
      <c r="A282" s="436" t="s">
        <v>1440</v>
      </c>
      <c r="B282" s="463" t="s">
        <v>789</v>
      </c>
      <c r="C282" s="463" t="s">
        <v>1439</v>
      </c>
      <c r="D282">
        <f t="shared" si="4"/>
        <v>1</v>
      </c>
    </row>
    <row r="283" spans="1:4">
      <c r="A283" s="436" t="s">
        <v>1441</v>
      </c>
      <c r="B283" s="463" t="s">
        <v>777</v>
      </c>
      <c r="C283" s="463" t="s">
        <v>1439</v>
      </c>
      <c r="D283">
        <f t="shared" si="4"/>
        <v>1</v>
      </c>
    </row>
    <row r="284" spans="1:4">
      <c r="A284" s="436" t="s">
        <v>1442</v>
      </c>
      <c r="B284" s="463" t="s">
        <v>764</v>
      </c>
      <c r="C284" s="463" t="s">
        <v>1439</v>
      </c>
      <c r="D284">
        <f t="shared" si="4"/>
        <v>1</v>
      </c>
    </row>
    <row r="285" spans="1:4">
      <c r="A285" s="436" t="s">
        <v>1443</v>
      </c>
      <c r="B285" s="463" t="s">
        <v>768</v>
      </c>
      <c r="C285" s="463" t="s">
        <v>1439</v>
      </c>
      <c r="D285">
        <f t="shared" si="4"/>
        <v>1</v>
      </c>
    </row>
    <row r="286" spans="1:4">
      <c r="A286" s="436" t="s">
        <v>1444</v>
      </c>
      <c r="B286" s="463" t="s">
        <v>765</v>
      </c>
      <c r="C286" s="463" t="s">
        <v>1439</v>
      </c>
      <c r="D286">
        <f t="shared" si="4"/>
        <v>1</v>
      </c>
    </row>
    <row r="287" spans="1:4" ht="27.6">
      <c r="A287" s="436" t="s">
        <v>1445</v>
      </c>
      <c r="B287" s="463" t="s">
        <v>1102</v>
      </c>
      <c r="C287" s="463" t="s">
        <v>1446</v>
      </c>
      <c r="D287">
        <f t="shared" si="4"/>
        <v>1</v>
      </c>
    </row>
    <row r="288" spans="1:4" ht="27.6">
      <c r="A288" s="436" t="s">
        <v>1448</v>
      </c>
      <c r="B288" s="463" t="s">
        <v>1449</v>
      </c>
      <c r="C288" s="463" t="s">
        <v>1450</v>
      </c>
      <c r="D288">
        <f t="shared" si="4"/>
        <v>1</v>
      </c>
    </row>
    <row r="289" spans="1:4" ht="27.6">
      <c r="A289" s="436" t="s">
        <v>1451</v>
      </c>
      <c r="B289" s="463" t="s">
        <v>859</v>
      </c>
      <c r="C289" s="463" t="s">
        <v>1452</v>
      </c>
      <c r="D289">
        <f t="shared" si="4"/>
        <v>1</v>
      </c>
    </row>
    <row r="290" spans="1:4" ht="27.6">
      <c r="A290" s="436" t="s">
        <v>1453</v>
      </c>
      <c r="B290" s="463" t="s">
        <v>1030</v>
      </c>
      <c r="C290" s="463" t="s">
        <v>1454</v>
      </c>
      <c r="D290">
        <f t="shared" si="4"/>
        <v>1</v>
      </c>
    </row>
    <row r="291" spans="1:4" ht="27.6">
      <c r="A291" s="436" t="s">
        <v>1455</v>
      </c>
      <c r="B291" s="463" t="s">
        <v>1030</v>
      </c>
      <c r="C291" s="463" t="s">
        <v>1456</v>
      </c>
      <c r="D291">
        <f t="shared" si="4"/>
        <v>1</v>
      </c>
    </row>
    <row r="292" spans="1:4" ht="41.4">
      <c r="A292" s="436" t="s">
        <v>1457</v>
      </c>
      <c r="B292" s="463" t="s">
        <v>1344</v>
      </c>
      <c r="C292" s="463" t="s">
        <v>1458</v>
      </c>
      <c r="D292">
        <f t="shared" si="4"/>
        <v>1</v>
      </c>
    </row>
    <row r="293" spans="1:4" ht="27.6">
      <c r="A293" s="436" t="s">
        <v>1459</v>
      </c>
      <c r="B293" s="463" t="s">
        <v>6</v>
      </c>
      <c r="C293" s="463" t="s">
        <v>1460</v>
      </c>
      <c r="D293">
        <f t="shared" si="4"/>
        <v>1</v>
      </c>
    </row>
    <row r="294" spans="1:4">
      <c r="A294" s="436" t="s">
        <v>1461</v>
      </c>
      <c r="B294" s="463" t="s">
        <v>1462</v>
      </c>
      <c r="C294" s="472" t="s">
        <v>1463</v>
      </c>
      <c r="D294">
        <f t="shared" si="4"/>
        <v>1</v>
      </c>
    </row>
    <row r="295" spans="1:4" ht="27.6">
      <c r="A295" s="436" t="s">
        <v>1464</v>
      </c>
      <c r="B295" s="463" t="s">
        <v>1245</v>
      </c>
      <c r="C295" s="463" t="s">
        <v>1465</v>
      </c>
      <c r="D295">
        <f t="shared" si="4"/>
        <v>1</v>
      </c>
    </row>
    <row r="296" spans="1:4" ht="27.6">
      <c r="A296" s="436" t="s">
        <v>1466</v>
      </c>
      <c r="B296" s="463" t="s">
        <v>1467</v>
      </c>
      <c r="C296" s="463" t="s">
        <v>1465</v>
      </c>
      <c r="D296">
        <f t="shared" si="4"/>
        <v>1</v>
      </c>
    </row>
    <row r="297" spans="1:4" ht="41.4">
      <c r="A297" s="436" t="s">
        <v>1468</v>
      </c>
      <c r="B297" s="463" t="s">
        <v>1102</v>
      </c>
      <c r="C297" s="463" t="s">
        <v>1474</v>
      </c>
      <c r="D297">
        <f t="shared" si="4"/>
        <v>1</v>
      </c>
    </row>
    <row r="298" spans="1:4" ht="27.6">
      <c r="A298" s="436" t="s">
        <v>1469</v>
      </c>
      <c r="B298" s="463" t="s">
        <v>1325</v>
      </c>
      <c r="C298" s="463" t="s">
        <v>1475</v>
      </c>
      <c r="D298">
        <f t="shared" si="4"/>
        <v>1</v>
      </c>
    </row>
    <row r="299" spans="1:4" ht="27.6">
      <c r="A299" s="436" t="s">
        <v>1470</v>
      </c>
      <c r="B299" s="463" t="s">
        <v>1075</v>
      </c>
      <c r="C299" s="463" t="s">
        <v>1476</v>
      </c>
      <c r="D299">
        <f t="shared" si="4"/>
        <v>1</v>
      </c>
    </row>
    <row r="300" spans="1:4" ht="27.6">
      <c r="A300" s="436" t="s">
        <v>1471</v>
      </c>
      <c r="B300" s="463" t="s">
        <v>1075</v>
      </c>
      <c r="C300" s="463" t="s">
        <v>1476</v>
      </c>
      <c r="D300">
        <f t="shared" si="4"/>
        <v>1</v>
      </c>
    </row>
    <row r="301" spans="1:4">
      <c r="A301" s="436" t="s">
        <v>1472</v>
      </c>
      <c r="B301" s="463" t="s">
        <v>810</v>
      </c>
      <c r="C301" s="463" t="s">
        <v>1477</v>
      </c>
      <c r="D301">
        <f t="shared" si="4"/>
        <v>1</v>
      </c>
    </row>
    <row r="302" spans="1:4" ht="27.6">
      <c r="A302" s="436" t="s">
        <v>1473</v>
      </c>
      <c r="B302" s="463" t="s">
        <v>1433</v>
      </c>
      <c r="C302" s="463" t="s">
        <v>1478</v>
      </c>
      <c r="D302">
        <f t="shared" si="4"/>
        <v>1</v>
      </c>
    </row>
    <row r="303" spans="1:4" ht="27.6">
      <c r="A303" s="436" t="s">
        <v>1479</v>
      </c>
      <c r="B303" s="463" t="s">
        <v>1480</v>
      </c>
      <c r="C303" s="463" t="s">
        <v>1481</v>
      </c>
      <c r="D303">
        <f t="shared" si="4"/>
        <v>1</v>
      </c>
    </row>
    <row r="304" spans="1:4" ht="41.4">
      <c r="A304" s="436" t="s">
        <v>1482</v>
      </c>
      <c r="B304" s="463" t="s">
        <v>1102</v>
      </c>
      <c r="C304" s="463" t="s">
        <v>1483</v>
      </c>
      <c r="D304">
        <f t="shared" si="4"/>
        <v>1</v>
      </c>
    </row>
    <row r="305" spans="1:4" ht="27.6">
      <c r="A305" s="436" t="s">
        <v>1484</v>
      </c>
      <c r="B305" s="463" t="s">
        <v>1075</v>
      </c>
      <c r="C305" s="463" t="s">
        <v>1476</v>
      </c>
      <c r="D305">
        <f t="shared" si="4"/>
        <v>1</v>
      </c>
    </row>
    <row r="306" spans="1:4" ht="27.6">
      <c r="A306" s="436" t="s">
        <v>1485</v>
      </c>
      <c r="B306" s="463" t="s">
        <v>1075</v>
      </c>
      <c r="C306" s="463" t="s">
        <v>1476</v>
      </c>
      <c r="D306">
        <f t="shared" si="4"/>
        <v>1</v>
      </c>
    </row>
    <row r="307" spans="1:4" ht="41.4">
      <c r="A307" s="436" t="s">
        <v>1486</v>
      </c>
      <c r="B307" s="463" t="s">
        <v>1102</v>
      </c>
      <c r="C307" s="463" t="s">
        <v>1487</v>
      </c>
      <c r="D307">
        <f t="shared" si="4"/>
        <v>1</v>
      </c>
    </row>
    <row r="308" spans="1:4" ht="27.6">
      <c r="A308" s="436" t="s">
        <v>1488</v>
      </c>
      <c r="B308" s="463" t="s">
        <v>800</v>
      </c>
      <c r="C308" s="463" t="s">
        <v>1489</v>
      </c>
      <c r="D308">
        <f t="shared" si="4"/>
        <v>1</v>
      </c>
    </row>
    <row r="309" spans="1:4" ht="27.6">
      <c r="A309" s="436" t="s">
        <v>1490</v>
      </c>
      <c r="B309" s="463" t="s">
        <v>798</v>
      </c>
      <c r="C309" s="463" t="s">
        <v>1491</v>
      </c>
      <c r="D309">
        <f t="shared" si="4"/>
        <v>1</v>
      </c>
    </row>
    <row r="310" spans="1:4" ht="27.6">
      <c r="A310" s="436" t="s">
        <v>1492</v>
      </c>
      <c r="B310" s="463" t="s">
        <v>1433</v>
      </c>
      <c r="C310" s="463" t="s">
        <v>1493</v>
      </c>
      <c r="D310">
        <f t="shared" si="4"/>
        <v>1</v>
      </c>
    </row>
    <row r="311" spans="1:4" ht="27.6">
      <c r="A311" s="436" t="s">
        <v>1494</v>
      </c>
      <c r="B311" s="463" t="s">
        <v>1108</v>
      </c>
      <c r="C311" s="463" t="s">
        <v>1495</v>
      </c>
      <c r="D311">
        <f t="shared" si="4"/>
        <v>1</v>
      </c>
    </row>
    <row r="312" spans="1:4" ht="27.6">
      <c r="A312" s="436" t="s">
        <v>1496</v>
      </c>
      <c r="B312" s="463" t="s">
        <v>1433</v>
      </c>
      <c r="C312" s="463" t="s">
        <v>1497</v>
      </c>
      <c r="D312">
        <f t="shared" si="4"/>
        <v>1</v>
      </c>
    </row>
    <row r="313" spans="1:4">
      <c r="A313" s="436" t="s">
        <v>1498</v>
      </c>
      <c r="B313" s="463" t="s">
        <v>1499</v>
      </c>
      <c r="C313" s="463" t="s">
        <v>1500</v>
      </c>
      <c r="D313">
        <f t="shared" si="4"/>
        <v>1</v>
      </c>
    </row>
    <row r="314" spans="1:4" ht="27.6">
      <c r="A314" s="436" t="s">
        <v>1501</v>
      </c>
      <c r="B314" s="463" t="s">
        <v>1030</v>
      </c>
      <c r="C314" s="463" t="s">
        <v>1502</v>
      </c>
      <c r="D314">
        <f t="shared" si="4"/>
        <v>1</v>
      </c>
    </row>
    <row r="315" spans="1:4" ht="27.6">
      <c r="A315" s="436" t="s">
        <v>1503</v>
      </c>
      <c r="B315" s="463" t="s">
        <v>1030</v>
      </c>
      <c r="C315" s="463" t="s">
        <v>1504</v>
      </c>
      <c r="D315">
        <f t="shared" si="4"/>
        <v>1</v>
      </c>
    </row>
    <row r="316" spans="1:4" ht="27.6">
      <c r="A316" s="436" t="s">
        <v>1505</v>
      </c>
      <c r="B316" s="463" t="s">
        <v>1506</v>
      </c>
      <c r="C316" s="463" t="s">
        <v>1507</v>
      </c>
      <c r="D316">
        <f t="shared" si="4"/>
        <v>1</v>
      </c>
    </row>
    <row r="317" spans="1:4">
      <c r="A317" s="436" t="s">
        <v>1508</v>
      </c>
      <c r="B317" s="463" t="s">
        <v>859</v>
      </c>
      <c r="C317" s="463" t="s">
        <v>1509</v>
      </c>
      <c r="D317">
        <f t="shared" si="4"/>
        <v>1</v>
      </c>
    </row>
    <row r="318" spans="1:4" ht="41.4">
      <c r="A318" s="436" t="s">
        <v>1510</v>
      </c>
      <c r="B318" s="463" t="s">
        <v>1511</v>
      </c>
      <c r="C318" s="463" t="s">
        <v>1512</v>
      </c>
      <c r="D318">
        <f t="shared" si="4"/>
        <v>1</v>
      </c>
    </row>
    <row r="319" spans="1:4" ht="41.4">
      <c r="A319" s="436" t="s">
        <v>1513</v>
      </c>
      <c r="B319" s="463" t="s">
        <v>799</v>
      </c>
      <c r="C319" s="463" t="s">
        <v>1515</v>
      </c>
      <c r="D319">
        <f t="shared" si="4"/>
        <v>1</v>
      </c>
    </row>
    <row r="320" spans="1:4" ht="27.6">
      <c r="A320" s="436" t="s">
        <v>1516</v>
      </c>
      <c r="B320" s="463" t="s">
        <v>1245</v>
      </c>
      <c r="C320" s="463" t="s">
        <v>1517</v>
      </c>
      <c r="D320">
        <f t="shared" si="4"/>
        <v>1</v>
      </c>
    </row>
    <row r="321" spans="1:4" ht="27.6">
      <c r="A321" s="436" t="s">
        <v>1518</v>
      </c>
      <c r="B321" s="463" t="s">
        <v>1354</v>
      </c>
      <c r="C321" s="463" t="s">
        <v>1519</v>
      </c>
      <c r="D321">
        <f t="shared" si="4"/>
        <v>1</v>
      </c>
    </row>
    <row r="322" spans="1:4" ht="27.6">
      <c r="A322" s="436" t="s">
        <v>1520</v>
      </c>
      <c r="B322" s="463" t="s">
        <v>1433</v>
      </c>
      <c r="C322" s="463" t="s">
        <v>1521</v>
      </c>
      <c r="D322">
        <f t="shared" si="4"/>
        <v>1</v>
      </c>
    </row>
    <row r="323" spans="1:4" ht="27.6">
      <c r="A323" s="436" t="s">
        <v>1522</v>
      </c>
      <c r="B323" s="463" t="s">
        <v>1523</v>
      </c>
      <c r="C323" s="463" t="s">
        <v>1524</v>
      </c>
      <c r="D323">
        <f t="shared" si="4"/>
        <v>1</v>
      </c>
    </row>
    <row r="324" spans="1:4" ht="27.6">
      <c r="A324" s="436" t="s">
        <v>1525</v>
      </c>
      <c r="B324" s="463" t="s">
        <v>773</v>
      </c>
      <c r="C324" s="463" t="s">
        <v>1526</v>
      </c>
      <c r="D324">
        <f t="shared" ref="D324:D379" si="5">COUNTIFS($A$3:$A$379,A324)</f>
        <v>1</v>
      </c>
    </row>
    <row r="325" spans="1:4" ht="27.6">
      <c r="A325" s="436" t="s">
        <v>1527</v>
      </c>
      <c r="B325" s="460" t="s">
        <v>818</v>
      </c>
      <c r="C325" s="460" t="s">
        <v>1532</v>
      </c>
      <c r="D325">
        <f t="shared" si="5"/>
        <v>1</v>
      </c>
    </row>
    <row r="326" spans="1:4" ht="27.6">
      <c r="A326" s="436" t="s">
        <v>1528</v>
      </c>
      <c r="B326" s="460" t="s">
        <v>820</v>
      </c>
      <c r="C326" s="460" t="s">
        <v>1532</v>
      </c>
      <c r="D326">
        <f t="shared" si="5"/>
        <v>1</v>
      </c>
    </row>
    <row r="327" spans="1:4" ht="27.6">
      <c r="A327" s="436" t="s">
        <v>1529</v>
      </c>
      <c r="B327" s="460" t="s">
        <v>821</v>
      </c>
      <c r="C327" s="460" t="s">
        <v>1532</v>
      </c>
      <c r="D327">
        <f t="shared" si="5"/>
        <v>1</v>
      </c>
    </row>
    <row r="328" spans="1:4" ht="27.6">
      <c r="A328" s="436" t="s">
        <v>1530</v>
      </c>
      <c r="B328" s="460" t="s">
        <v>822</v>
      </c>
      <c r="C328" s="460" t="s">
        <v>1532</v>
      </c>
      <c r="D328">
        <f t="shared" si="5"/>
        <v>1</v>
      </c>
    </row>
    <row r="329" spans="1:4" ht="27.6">
      <c r="A329" s="436" t="s">
        <v>1531</v>
      </c>
      <c r="B329" s="460" t="s">
        <v>823</v>
      </c>
      <c r="C329" s="460" t="s">
        <v>1532</v>
      </c>
      <c r="D329">
        <f t="shared" si="5"/>
        <v>1</v>
      </c>
    </row>
    <row r="330" spans="1:4" ht="27.6">
      <c r="A330" s="436" t="s">
        <v>1534</v>
      </c>
      <c r="B330" s="439" t="s">
        <v>821</v>
      </c>
      <c r="C330" s="439" t="s">
        <v>1535</v>
      </c>
      <c r="D330">
        <f t="shared" si="5"/>
        <v>1</v>
      </c>
    </row>
    <row r="331" spans="1:4" ht="27.6">
      <c r="A331" s="436" t="s">
        <v>1536</v>
      </c>
      <c r="B331" s="463" t="s">
        <v>818</v>
      </c>
      <c r="C331" s="463" t="s">
        <v>1538</v>
      </c>
      <c r="D331">
        <f t="shared" si="5"/>
        <v>1</v>
      </c>
    </row>
    <row r="332" spans="1:4" ht="27.6">
      <c r="A332" s="436" t="s">
        <v>1541</v>
      </c>
      <c r="B332" s="463" t="s">
        <v>1539</v>
      </c>
      <c r="C332" s="463" t="s">
        <v>1543</v>
      </c>
      <c r="D332">
        <f t="shared" si="5"/>
        <v>1</v>
      </c>
    </row>
    <row r="333" spans="1:4" ht="27.6">
      <c r="A333" s="436" t="s">
        <v>1542</v>
      </c>
      <c r="B333" s="463" t="s">
        <v>1540</v>
      </c>
      <c r="C333" s="463" t="s">
        <v>1543</v>
      </c>
      <c r="D333">
        <f t="shared" si="5"/>
        <v>1</v>
      </c>
    </row>
    <row r="334" spans="1:4" ht="27.6">
      <c r="A334" s="436" t="s">
        <v>1544</v>
      </c>
      <c r="B334" s="463" t="s">
        <v>818</v>
      </c>
      <c r="C334" s="463" t="s">
        <v>1545</v>
      </c>
      <c r="D334">
        <f t="shared" si="5"/>
        <v>1</v>
      </c>
    </row>
    <row r="335" spans="1:4" ht="27.6">
      <c r="A335" s="436" t="s">
        <v>1546</v>
      </c>
      <c r="B335" s="463" t="s">
        <v>820</v>
      </c>
      <c r="C335" s="463" t="s">
        <v>1545</v>
      </c>
      <c r="D335">
        <f t="shared" si="5"/>
        <v>1</v>
      </c>
    </row>
    <row r="336" spans="1:4" ht="27.6">
      <c r="A336" s="436" t="s">
        <v>1547</v>
      </c>
      <c r="B336" s="463" t="s">
        <v>1539</v>
      </c>
      <c r="C336" s="463" t="s">
        <v>1545</v>
      </c>
      <c r="D336">
        <f t="shared" si="5"/>
        <v>1</v>
      </c>
    </row>
    <row r="337" spans="1:4" ht="27.6">
      <c r="A337" s="436" t="s">
        <v>1548</v>
      </c>
      <c r="B337" s="463" t="s">
        <v>1540</v>
      </c>
      <c r="C337" s="463" t="s">
        <v>1545</v>
      </c>
      <c r="D337">
        <f t="shared" si="5"/>
        <v>1</v>
      </c>
    </row>
    <row r="338" spans="1:4" ht="27.6">
      <c r="A338" s="436" t="s">
        <v>1549</v>
      </c>
      <c r="B338" s="463" t="s">
        <v>1075</v>
      </c>
      <c r="C338" s="463" t="s">
        <v>1551</v>
      </c>
      <c r="D338">
        <f t="shared" si="5"/>
        <v>1</v>
      </c>
    </row>
    <row r="339" spans="1:4" ht="27.6">
      <c r="A339" s="436" t="s">
        <v>1550</v>
      </c>
      <c r="B339" s="463" t="s">
        <v>1075</v>
      </c>
      <c r="C339" s="463" t="s">
        <v>1551</v>
      </c>
      <c r="D339">
        <f t="shared" si="5"/>
        <v>1</v>
      </c>
    </row>
    <row r="340" spans="1:4">
      <c r="A340" s="436" t="s">
        <v>1552</v>
      </c>
      <c r="B340" s="463" t="s">
        <v>1102</v>
      </c>
      <c r="C340" s="463" t="s">
        <v>1553</v>
      </c>
      <c r="D340">
        <f t="shared" si="5"/>
        <v>1</v>
      </c>
    </row>
    <row r="341" spans="1:4" ht="27.6">
      <c r="A341" s="436" t="s">
        <v>1554</v>
      </c>
      <c r="B341" s="463" t="s">
        <v>818</v>
      </c>
      <c r="C341" s="463" t="s">
        <v>1556</v>
      </c>
      <c r="D341">
        <f t="shared" si="5"/>
        <v>1</v>
      </c>
    </row>
    <row r="342" spans="1:4" ht="27.6">
      <c r="A342" s="436" t="s">
        <v>1557</v>
      </c>
      <c r="B342" s="463" t="s">
        <v>820</v>
      </c>
      <c r="C342" s="463" t="s">
        <v>1556</v>
      </c>
      <c r="D342">
        <f t="shared" si="5"/>
        <v>1</v>
      </c>
    </row>
    <row r="343" spans="1:4" ht="27.6">
      <c r="A343" s="436" t="s">
        <v>1558</v>
      </c>
      <c r="B343" s="463" t="s">
        <v>1539</v>
      </c>
      <c r="C343" s="463" t="s">
        <v>1556</v>
      </c>
      <c r="D343">
        <f t="shared" si="5"/>
        <v>1</v>
      </c>
    </row>
    <row r="344" spans="1:4" ht="27.6">
      <c r="A344" s="436" t="s">
        <v>1559</v>
      </c>
      <c r="B344" s="463" t="s">
        <v>822</v>
      </c>
      <c r="C344" s="463" t="s">
        <v>1556</v>
      </c>
      <c r="D344">
        <f t="shared" si="5"/>
        <v>1</v>
      </c>
    </row>
    <row r="345" spans="1:4" ht="27.6">
      <c r="A345" s="436" t="s">
        <v>1560</v>
      </c>
      <c r="B345" s="463" t="s">
        <v>1540</v>
      </c>
      <c r="C345" s="463" t="s">
        <v>1556</v>
      </c>
      <c r="D345">
        <f t="shared" si="5"/>
        <v>1</v>
      </c>
    </row>
    <row r="346" spans="1:4" ht="55.2">
      <c r="A346" s="436" t="s">
        <v>1561</v>
      </c>
      <c r="B346" s="463" t="s">
        <v>1562</v>
      </c>
      <c r="C346" s="463" t="s">
        <v>1563</v>
      </c>
      <c r="D346">
        <f t="shared" si="5"/>
        <v>1</v>
      </c>
    </row>
    <row r="347" spans="1:4" ht="41.4">
      <c r="A347" s="404" t="s">
        <v>1564</v>
      </c>
      <c r="B347" s="409" t="s">
        <v>1565</v>
      </c>
      <c r="C347" s="409" t="s">
        <v>1566</v>
      </c>
      <c r="D347">
        <f t="shared" si="5"/>
        <v>1</v>
      </c>
    </row>
    <row r="348" spans="1:4">
      <c r="A348" s="436" t="s">
        <v>1567</v>
      </c>
      <c r="B348" s="463" t="s">
        <v>1315</v>
      </c>
      <c r="C348" s="463" t="s">
        <v>1568</v>
      </c>
      <c r="D348">
        <f t="shared" si="5"/>
        <v>1</v>
      </c>
    </row>
    <row r="349" spans="1:4">
      <c r="A349" s="436" t="s">
        <v>1569</v>
      </c>
      <c r="B349" s="463" t="s">
        <v>1075</v>
      </c>
      <c r="C349" s="463" t="s">
        <v>1570</v>
      </c>
      <c r="D349">
        <f t="shared" si="5"/>
        <v>1</v>
      </c>
    </row>
    <row r="350" spans="1:4">
      <c r="A350" s="436" t="s">
        <v>1571</v>
      </c>
      <c r="B350" s="463" t="s">
        <v>1572</v>
      </c>
      <c r="C350" s="463" t="s">
        <v>1573</v>
      </c>
      <c r="D350">
        <f t="shared" si="5"/>
        <v>1</v>
      </c>
    </row>
    <row r="351" spans="1:4" ht="27.6">
      <c r="A351" s="436" t="s">
        <v>1574</v>
      </c>
      <c r="B351" s="463" t="s">
        <v>1102</v>
      </c>
      <c r="C351" s="463" t="s">
        <v>1575</v>
      </c>
      <c r="D351">
        <f t="shared" si="5"/>
        <v>1</v>
      </c>
    </row>
    <row r="352" spans="1:4" ht="27.6">
      <c r="A352" s="436" t="s">
        <v>1576</v>
      </c>
      <c r="B352" s="463" t="s">
        <v>1577</v>
      </c>
      <c r="C352" s="463" t="s">
        <v>1578</v>
      </c>
      <c r="D352">
        <f t="shared" si="5"/>
        <v>1</v>
      </c>
    </row>
    <row r="353" spans="1:4">
      <c r="A353" s="436" t="s">
        <v>1579</v>
      </c>
      <c r="B353" s="463" t="s">
        <v>1235</v>
      </c>
      <c r="C353" s="463" t="s">
        <v>1570</v>
      </c>
      <c r="D353">
        <f t="shared" si="5"/>
        <v>1</v>
      </c>
    </row>
    <row r="354" spans="1:4" ht="27.6">
      <c r="A354" s="436" t="s">
        <v>1580</v>
      </c>
      <c r="B354" s="463" t="s">
        <v>779</v>
      </c>
      <c r="C354" s="463" t="s">
        <v>1581</v>
      </c>
      <c r="D354">
        <f t="shared" si="5"/>
        <v>1</v>
      </c>
    </row>
    <row r="355" spans="1:4" ht="27.6">
      <c r="A355" s="436" t="s">
        <v>1582</v>
      </c>
      <c r="B355" s="463" t="s">
        <v>839</v>
      </c>
      <c r="C355" s="463" t="s">
        <v>1583</v>
      </c>
      <c r="D355">
        <f t="shared" si="5"/>
        <v>1</v>
      </c>
    </row>
    <row r="356" spans="1:4" ht="27.6">
      <c r="A356" s="436" t="s">
        <v>1584</v>
      </c>
      <c r="B356" s="463" t="s">
        <v>1315</v>
      </c>
      <c r="C356" s="463" t="s">
        <v>1585</v>
      </c>
      <c r="D356">
        <f t="shared" si="5"/>
        <v>1</v>
      </c>
    </row>
    <row r="357" spans="1:4">
      <c r="A357" s="436" t="s">
        <v>1586</v>
      </c>
      <c r="B357" s="463" t="s">
        <v>818</v>
      </c>
      <c r="C357" s="463" t="s">
        <v>1587</v>
      </c>
      <c r="D357">
        <f t="shared" si="5"/>
        <v>1</v>
      </c>
    </row>
    <row r="358" spans="1:4">
      <c r="A358" s="436" t="s">
        <v>1588</v>
      </c>
      <c r="B358" s="463" t="s">
        <v>820</v>
      </c>
      <c r="C358" s="463" t="s">
        <v>1587</v>
      </c>
      <c r="D358">
        <f t="shared" si="5"/>
        <v>1</v>
      </c>
    </row>
    <row r="359" spans="1:4">
      <c r="A359" s="436" t="s">
        <v>1589</v>
      </c>
      <c r="B359" s="463" t="s">
        <v>1539</v>
      </c>
      <c r="C359" s="463" t="s">
        <v>1587</v>
      </c>
      <c r="D359">
        <f t="shared" si="5"/>
        <v>1</v>
      </c>
    </row>
    <row r="360" spans="1:4">
      <c r="A360" s="436" t="s">
        <v>1591</v>
      </c>
      <c r="B360" s="463" t="s">
        <v>1540</v>
      </c>
      <c r="C360" s="463" t="s">
        <v>1590</v>
      </c>
      <c r="D360">
        <f t="shared" si="5"/>
        <v>1</v>
      </c>
    </row>
    <row r="361" spans="1:4" ht="41.4">
      <c r="A361" s="436" t="s">
        <v>1592</v>
      </c>
      <c r="B361" s="463" t="s">
        <v>1030</v>
      </c>
      <c r="C361" s="463" t="s">
        <v>1593</v>
      </c>
      <c r="D361">
        <f t="shared" si="5"/>
        <v>1</v>
      </c>
    </row>
    <row r="362" spans="1:4" ht="41.4">
      <c r="A362" s="436" t="s">
        <v>1594</v>
      </c>
      <c r="B362" s="463" t="s">
        <v>1342</v>
      </c>
      <c r="C362" s="463" t="s">
        <v>1595</v>
      </c>
      <c r="D362">
        <f t="shared" si="5"/>
        <v>1</v>
      </c>
    </row>
    <row r="363" spans="1:4" ht="27.6">
      <c r="A363" s="436" t="s">
        <v>1596</v>
      </c>
      <c r="B363" s="463" t="s">
        <v>1075</v>
      </c>
      <c r="C363" s="463" t="s">
        <v>1597</v>
      </c>
      <c r="D363">
        <f t="shared" si="5"/>
        <v>1</v>
      </c>
    </row>
    <row r="364" spans="1:4" ht="27.6">
      <c r="A364" s="436" t="s">
        <v>1598</v>
      </c>
      <c r="B364" s="439" t="s">
        <v>823</v>
      </c>
      <c r="C364" s="439" t="s">
        <v>1600</v>
      </c>
      <c r="D364">
        <f t="shared" si="5"/>
        <v>1</v>
      </c>
    </row>
    <row r="365" spans="1:4" ht="27.6">
      <c r="A365" s="436" t="s">
        <v>1599</v>
      </c>
      <c r="B365" s="439" t="s">
        <v>821</v>
      </c>
      <c r="C365" s="439" t="s">
        <v>1600</v>
      </c>
      <c r="D365">
        <f t="shared" si="5"/>
        <v>1</v>
      </c>
    </row>
    <row r="366" spans="1:4" ht="27.6">
      <c r="A366" s="436" t="s">
        <v>1601</v>
      </c>
      <c r="B366" s="463" t="s">
        <v>820</v>
      </c>
      <c r="C366" s="439" t="s">
        <v>1602</v>
      </c>
      <c r="D366">
        <f t="shared" si="5"/>
        <v>1</v>
      </c>
    </row>
    <row r="367" spans="1:4" ht="27.6">
      <c r="A367" s="436" t="s">
        <v>1603</v>
      </c>
      <c r="B367" s="463" t="s">
        <v>1539</v>
      </c>
      <c r="C367" s="463" t="s">
        <v>1602</v>
      </c>
      <c r="D367">
        <f t="shared" si="5"/>
        <v>1</v>
      </c>
    </row>
    <row r="368" spans="1:4">
      <c r="A368" s="436" t="s">
        <v>1604</v>
      </c>
      <c r="B368" s="463" t="s">
        <v>818</v>
      </c>
      <c r="C368" s="463" t="s">
        <v>1605</v>
      </c>
      <c r="D368">
        <f t="shared" si="5"/>
        <v>1</v>
      </c>
    </row>
    <row r="369" spans="1:4">
      <c r="A369" s="436" t="s">
        <v>1606</v>
      </c>
      <c r="B369" s="463" t="s">
        <v>1539</v>
      </c>
      <c r="C369" s="463" t="s">
        <v>1605</v>
      </c>
      <c r="D369">
        <f t="shared" si="5"/>
        <v>1</v>
      </c>
    </row>
    <row r="370" spans="1:4">
      <c r="A370" s="436" t="s">
        <v>1607</v>
      </c>
      <c r="B370" s="463" t="s">
        <v>1540</v>
      </c>
      <c r="C370" s="463" t="s">
        <v>1605</v>
      </c>
      <c r="D370">
        <f t="shared" si="5"/>
        <v>1</v>
      </c>
    </row>
    <row r="371" spans="1:4" ht="27.6">
      <c r="A371" s="436" t="s">
        <v>1608</v>
      </c>
      <c r="B371" s="463" t="s">
        <v>822</v>
      </c>
      <c r="C371" s="463" t="s">
        <v>1602</v>
      </c>
      <c r="D371">
        <f t="shared" si="5"/>
        <v>1</v>
      </c>
    </row>
    <row r="372" spans="1:4" ht="27.6">
      <c r="A372" s="436" t="s">
        <v>1609</v>
      </c>
      <c r="B372" s="463" t="s">
        <v>818</v>
      </c>
      <c r="C372" s="463" t="s">
        <v>1610</v>
      </c>
      <c r="D372">
        <f t="shared" si="5"/>
        <v>1</v>
      </c>
    </row>
    <row r="373" spans="1:4" ht="27.6">
      <c r="A373" s="436" t="s">
        <v>1611</v>
      </c>
      <c r="B373" s="463" t="s">
        <v>1539</v>
      </c>
      <c r="C373" s="463" t="s">
        <v>1610</v>
      </c>
      <c r="D373">
        <f t="shared" si="5"/>
        <v>1</v>
      </c>
    </row>
    <row r="374" spans="1:4" ht="27.6">
      <c r="A374" s="436" t="s">
        <v>1612</v>
      </c>
      <c r="B374" s="463" t="s">
        <v>1540</v>
      </c>
      <c r="C374" s="463" t="s">
        <v>1610</v>
      </c>
      <c r="D374">
        <f t="shared" si="5"/>
        <v>1</v>
      </c>
    </row>
    <row r="375" spans="1:4" ht="27.6">
      <c r="A375" s="352" t="s">
        <v>1614</v>
      </c>
      <c r="B375" s="463" t="s">
        <v>822</v>
      </c>
      <c r="C375" s="463" t="s">
        <v>1615</v>
      </c>
      <c r="D375">
        <f t="shared" si="5"/>
        <v>1</v>
      </c>
    </row>
    <row r="376" spans="1:4">
      <c r="A376" s="352" t="s">
        <v>1616</v>
      </c>
      <c r="B376" s="463" t="s">
        <v>822</v>
      </c>
      <c r="C376" s="463" t="s">
        <v>1145</v>
      </c>
      <c r="D376">
        <f t="shared" si="5"/>
        <v>1</v>
      </c>
    </row>
    <row r="377" spans="1:4" ht="41.4">
      <c r="A377" s="352" t="s">
        <v>1618</v>
      </c>
      <c r="B377" s="463" t="s">
        <v>1102</v>
      </c>
      <c r="C377" s="463" t="s">
        <v>1617</v>
      </c>
      <c r="D377">
        <f t="shared" si="5"/>
        <v>1</v>
      </c>
    </row>
    <row r="378" spans="1:4" ht="41.4">
      <c r="A378" s="352" t="s">
        <v>1619</v>
      </c>
      <c r="B378" s="463" t="s">
        <v>6</v>
      </c>
      <c r="C378" s="463" t="s">
        <v>1620</v>
      </c>
      <c r="D378">
        <f t="shared" si="5"/>
        <v>1</v>
      </c>
    </row>
    <row r="379" spans="1:4" ht="27.6">
      <c r="A379" s="352" t="s">
        <v>1622</v>
      </c>
      <c r="B379" s="463" t="s">
        <v>797</v>
      </c>
      <c r="C379" s="463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1" customWidth="1"/>
    <col min="4" max="4" width="28.88671875" style="401" customWidth="1"/>
  </cols>
  <sheetData>
    <row r="2" spans="1:4">
      <c r="A2" s="517" t="s">
        <v>941</v>
      </c>
      <c r="B2" s="518" t="s">
        <v>1020</v>
      </c>
      <c r="C2" s="519"/>
      <c r="D2" s="519"/>
    </row>
    <row r="3" spans="1:4">
      <c r="A3" s="517" t="s">
        <v>940</v>
      </c>
      <c r="B3" s="518" t="s">
        <v>946</v>
      </c>
      <c r="C3" s="519"/>
      <c r="D3" s="519"/>
    </row>
    <row r="4" spans="1:4">
      <c r="A4" s="517" t="s">
        <v>922</v>
      </c>
      <c r="B4" s="518" t="s">
        <v>13</v>
      </c>
      <c r="C4" s="520"/>
      <c r="D4" s="520"/>
    </row>
    <row r="5" spans="1:4">
      <c r="A5" s="520"/>
      <c r="B5" s="520"/>
      <c r="C5" s="520"/>
      <c r="D5" s="520"/>
    </row>
    <row r="6" spans="1:4">
      <c r="A6" s="521"/>
      <c r="B6" s="522"/>
      <c r="C6" s="523" t="s">
        <v>1025</v>
      </c>
      <c r="D6" s="524"/>
    </row>
    <row r="7" spans="1:4">
      <c r="A7" s="523" t="s">
        <v>886</v>
      </c>
      <c r="B7" s="523" t="s">
        <v>944</v>
      </c>
      <c r="C7" s="521" t="s">
        <v>1026</v>
      </c>
      <c r="D7" s="525" t="s">
        <v>1027</v>
      </c>
    </row>
    <row r="8" spans="1:4">
      <c r="A8" s="521" t="s">
        <v>5</v>
      </c>
      <c r="B8" s="521" t="s">
        <v>1629</v>
      </c>
      <c r="C8" s="526"/>
      <c r="D8" s="527">
        <v>30000</v>
      </c>
    </row>
    <row r="9" spans="1:4">
      <c r="A9" s="528"/>
      <c r="B9" s="529" t="s">
        <v>1625</v>
      </c>
      <c r="C9" s="530"/>
      <c r="D9" s="531">
        <v>46602</v>
      </c>
    </row>
    <row r="10" spans="1:4">
      <c r="A10" s="528"/>
      <c r="B10" s="529" t="s">
        <v>1632</v>
      </c>
      <c r="C10" s="530"/>
      <c r="D10" s="531">
        <v>92947.61</v>
      </c>
    </row>
    <row r="11" spans="1:4">
      <c r="A11" s="528"/>
      <c r="B11" s="529" t="s">
        <v>1630</v>
      </c>
      <c r="C11" s="530"/>
      <c r="D11" s="531">
        <v>5000</v>
      </c>
    </row>
    <row r="12" spans="1:4">
      <c r="A12" s="528"/>
      <c r="B12" s="529" t="s">
        <v>1626</v>
      </c>
      <c r="C12" s="530"/>
      <c r="D12" s="531">
        <v>50000</v>
      </c>
    </row>
    <row r="13" spans="1:4">
      <c r="A13" s="528"/>
      <c r="B13" s="529" t="s">
        <v>1633</v>
      </c>
      <c r="C13" s="530"/>
      <c r="D13" s="531">
        <v>494000</v>
      </c>
    </row>
    <row r="14" spans="1:4">
      <c r="A14" s="528"/>
      <c r="B14" s="529" t="s">
        <v>1627</v>
      </c>
      <c r="C14" s="530"/>
      <c r="D14" s="531">
        <v>155000</v>
      </c>
    </row>
    <row r="15" spans="1:4">
      <c r="A15" s="528"/>
      <c r="B15" s="529" t="s">
        <v>1628</v>
      </c>
      <c r="C15" s="530"/>
      <c r="D15" s="531">
        <v>495000</v>
      </c>
    </row>
    <row r="16" spans="1:4">
      <c r="A16" s="528"/>
      <c r="B16" s="529" t="s">
        <v>1631</v>
      </c>
      <c r="C16" s="530"/>
      <c r="D16" s="531">
        <v>362516.67000000004</v>
      </c>
    </row>
    <row r="17" spans="1:4">
      <c r="A17" s="521" t="s">
        <v>1634</v>
      </c>
      <c r="B17" s="522"/>
      <c r="C17" s="526"/>
      <c r="D17" s="527">
        <v>1731066.2799999998</v>
      </c>
    </row>
    <row r="18" spans="1:4">
      <c r="A18" s="532" t="s">
        <v>1022</v>
      </c>
      <c r="B18" s="533"/>
      <c r="C18" s="534"/>
      <c r="D18" s="535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1" customWidth="1"/>
  </cols>
  <sheetData>
    <row r="1" spans="1:4">
      <c r="A1" s="508" t="s">
        <v>941</v>
      </c>
      <c r="B1" s="509" t="s">
        <v>1020</v>
      </c>
    </row>
    <row r="2" spans="1:4">
      <c r="A2" s="508" t="s">
        <v>940</v>
      </c>
      <c r="B2" s="509" t="s">
        <v>1071</v>
      </c>
    </row>
    <row r="3" spans="1:4">
      <c r="A3" s="508" t="s">
        <v>886</v>
      </c>
      <c r="B3" s="509" t="s">
        <v>1071</v>
      </c>
    </row>
    <row r="4" spans="1:4">
      <c r="A4" s="508" t="s">
        <v>922</v>
      </c>
      <c r="B4" s="509" t="s">
        <v>1071</v>
      </c>
      <c r="C4"/>
      <c r="D4"/>
    </row>
    <row r="5" spans="1:4">
      <c r="C5"/>
      <c r="D5"/>
    </row>
    <row r="6" spans="1:4">
      <c r="A6" s="503"/>
      <c r="B6" s="504" t="s">
        <v>1025</v>
      </c>
      <c r="C6" s="505"/>
      <c r="D6"/>
    </row>
    <row r="7" spans="1:4">
      <c r="A7" s="504" t="s">
        <v>944</v>
      </c>
      <c r="B7" s="503" t="s">
        <v>1026</v>
      </c>
      <c r="C7" s="506" t="s">
        <v>1027</v>
      </c>
      <c r="D7"/>
    </row>
    <row r="8" spans="1:4">
      <c r="A8" s="503" t="s">
        <v>1021</v>
      </c>
      <c r="B8" s="513">
        <v>63470000</v>
      </c>
      <c r="C8" s="514"/>
      <c r="D8"/>
    </row>
    <row r="9" spans="1:4">
      <c r="A9" s="512" t="s">
        <v>1023</v>
      </c>
      <c r="B9" s="515"/>
      <c r="C9" s="516">
        <v>165000</v>
      </c>
      <c r="D9"/>
    </row>
    <row r="10" spans="1:4">
      <c r="A10" s="512" t="s">
        <v>1024</v>
      </c>
      <c r="B10" s="515"/>
      <c r="C10" s="516">
        <v>164318.18</v>
      </c>
      <c r="D10"/>
    </row>
    <row r="11" spans="1:4">
      <c r="A11" s="512" t="s">
        <v>1065</v>
      </c>
      <c r="B11" s="515"/>
      <c r="C11" s="516">
        <v>7960881.7300000004</v>
      </c>
      <c r="D11"/>
    </row>
    <row r="12" spans="1:4">
      <c r="A12" s="512" t="s">
        <v>1066</v>
      </c>
      <c r="B12" s="515"/>
      <c r="C12" s="516">
        <v>381818.18</v>
      </c>
      <c r="D12"/>
    </row>
    <row r="13" spans="1:4">
      <c r="A13" s="512" t="s">
        <v>1067</v>
      </c>
      <c r="B13" s="515"/>
      <c r="C13" s="516">
        <v>955294.87999999989</v>
      </c>
      <c r="D13"/>
    </row>
    <row r="14" spans="1:4">
      <c r="A14" s="512" t="s">
        <v>1068</v>
      </c>
      <c r="B14" s="515"/>
      <c r="C14" s="516">
        <v>19100</v>
      </c>
      <c r="D14"/>
    </row>
    <row r="15" spans="1:4">
      <c r="A15" s="512" t="s">
        <v>1069</v>
      </c>
      <c r="B15" s="515"/>
      <c r="C15" s="516">
        <v>104901.95000000003</v>
      </c>
      <c r="D15"/>
    </row>
    <row r="16" spans="1:4">
      <c r="A16" s="512" t="s">
        <v>1070</v>
      </c>
      <c r="B16" s="515"/>
      <c r="C16" s="516">
        <v>19100</v>
      </c>
      <c r="D16"/>
    </row>
    <row r="17" spans="1:4">
      <c r="A17" s="512" t="s">
        <v>1447</v>
      </c>
      <c r="B17" s="515"/>
      <c r="C17" s="516">
        <v>522000</v>
      </c>
      <c r="D17"/>
    </row>
    <row r="18" spans="1:4">
      <c r="A18" s="507" t="s">
        <v>1022</v>
      </c>
      <c r="B18" s="510">
        <v>63470000</v>
      </c>
      <c r="C18" s="511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9" t="s">
        <v>755</v>
      </c>
      <c r="B1" s="80" t="s">
        <v>12</v>
      </c>
      <c r="C1" s="80" t="s">
        <v>13</v>
      </c>
      <c r="D1" s="81" t="s">
        <v>756</v>
      </c>
      <c r="E1" s="82" t="s">
        <v>14</v>
      </c>
    </row>
    <row r="2" spans="1:5">
      <c r="A2" s="42" t="s">
        <v>757</v>
      </c>
      <c r="B2" s="44">
        <v>356871.97</v>
      </c>
      <c r="C2" s="44"/>
      <c r="D2" s="45">
        <v>5017266.7</v>
      </c>
      <c r="E2" s="70">
        <v>4660394.7300000004</v>
      </c>
    </row>
    <row r="3" spans="1:5">
      <c r="A3" s="42" t="s">
        <v>9</v>
      </c>
      <c r="B3" s="43"/>
      <c r="C3" s="44"/>
      <c r="D3" s="45">
        <v>1091619</v>
      </c>
      <c r="E3" s="70">
        <v>1091619</v>
      </c>
    </row>
    <row r="4" spans="1:5">
      <c r="A4" s="42" t="s">
        <v>15</v>
      </c>
      <c r="B4" s="43">
        <v>4574042.25</v>
      </c>
      <c r="C4" s="44"/>
      <c r="D4" s="45">
        <v>63470000</v>
      </c>
      <c r="E4" s="70">
        <v>58895957.75</v>
      </c>
    </row>
    <row r="5" spans="1:5">
      <c r="A5" s="42" t="s">
        <v>16</v>
      </c>
      <c r="B5" s="43"/>
      <c r="C5" s="44"/>
      <c r="D5" s="45"/>
      <c r="E5" s="70">
        <v>0</v>
      </c>
    </row>
    <row r="6" spans="1:5">
      <c r="A6" s="42" t="s">
        <v>17</v>
      </c>
      <c r="B6" s="44"/>
      <c r="C6" s="44">
        <v>305707.44000000006</v>
      </c>
      <c r="D6" s="45">
        <v>31406000</v>
      </c>
      <c r="E6" s="70">
        <v>31100292.559999999</v>
      </c>
    </row>
    <row r="7" spans="1:5">
      <c r="A7" s="58" t="s">
        <v>5</v>
      </c>
      <c r="B7" s="44"/>
      <c r="C7" s="44">
        <v>10000</v>
      </c>
      <c r="D7" s="45">
        <v>4416000</v>
      </c>
      <c r="E7" s="70">
        <v>4406000</v>
      </c>
    </row>
    <row r="8" spans="1:5">
      <c r="A8" s="58" t="s">
        <v>753</v>
      </c>
      <c r="B8" s="44"/>
      <c r="C8" s="44">
        <v>59500</v>
      </c>
      <c r="D8" s="45">
        <v>97350000</v>
      </c>
      <c r="E8" s="70">
        <v>97290500</v>
      </c>
    </row>
    <row r="9" spans="1:5">
      <c r="A9" s="58" t="s">
        <v>754</v>
      </c>
      <c r="B9" s="44"/>
      <c r="C9" s="44"/>
      <c r="D9" s="45"/>
      <c r="E9" s="70">
        <v>0</v>
      </c>
    </row>
    <row r="10" spans="1:5">
      <c r="A10" s="58" t="s">
        <v>18</v>
      </c>
      <c r="B10" s="44"/>
      <c r="C10" s="44">
        <v>11158</v>
      </c>
      <c r="D10" s="45">
        <v>33752000</v>
      </c>
      <c r="E10" s="70">
        <v>33740842</v>
      </c>
    </row>
    <row r="11" spans="1:5">
      <c r="A11" s="58" t="s">
        <v>19</v>
      </c>
      <c r="B11" s="44"/>
      <c r="C11" s="44">
        <v>11158</v>
      </c>
      <c r="D11" s="45">
        <v>6894000</v>
      </c>
      <c r="E11" s="70">
        <v>6882842</v>
      </c>
    </row>
    <row r="12" spans="1:5">
      <c r="A12" s="451" t="s">
        <v>7</v>
      </c>
      <c r="B12" s="444"/>
      <c r="C12" s="444">
        <v>11158</v>
      </c>
      <c r="D12" s="445">
        <v>8628000</v>
      </c>
      <c r="E12" s="446">
        <v>8616842</v>
      </c>
    </row>
    <row r="13" spans="1:5" ht="15" thickBot="1">
      <c r="A13" s="452"/>
      <c r="B13" s="447">
        <f>SUBTOTAL(9,B2:B12)</f>
        <v>4930914.22</v>
      </c>
      <c r="C13" s="447">
        <f>SUBTOTAL(9,C2:C12)</f>
        <v>408681.44000000006</v>
      </c>
      <c r="D13" s="447">
        <f>SUBTOTAL(9,D2:D12)</f>
        <v>252024885.69999999</v>
      </c>
      <c r="E13" s="448">
        <f>SUBTOTAL(9,E2:E12)</f>
        <v>246685290.04000002</v>
      </c>
    </row>
    <row r="14" spans="1:5" ht="15" thickTop="1">
      <c r="A14" s="453"/>
      <c r="B14" s="449"/>
      <c r="C14" s="450">
        <f>+B13+C13</f>
        <v>5339595.66</v>
      </c>
      <c r="D14" s="449"/>
      <c r="E14" s="450"/>
    </row>
    <row r="15" spans="1:5">
      <c r="A15" s="454" t="s">
        <v>1265</v>
      </c>
      <c r="B15" s="80" t="s">
        <v>12</v>
      </c>
      <c r="C15" s="80" t="s">
        <v>13</v>
      </c>
      <c r="D15" s="81" t="s">
        <v>756</v>
      </c>
      <c r="E15" s="82" t="s">
        <v>14</v>
      </c>
    </row>
    <row r="16" spans="1:5">
      <c r="A16" s="58" t="s">
        <v>757</v>
      </c>
      <c r="B16" s="44">
        <v>356871.97</v>
      </c>
      <c r="C16" s="44"/>
      <c r="D16" s="45">
        <v>4660394.7300000004</v>
      </c>
      <c r="E16" s="70">
        <f>+D16-B16-C16</f>
        <v>4303522.7600000007</v>
      </c>
    </row>
    <row r="17" spans="1:9">
      <c r="A17" s="58" t="s">
        <v>9</v>
      </c>
      <c r="B17" s="43"/>
      <c r="C17" s="44">
        <v>31356</v>
      </c>
      <c r="D17" s="45">
        <v>1091619</v>
      </c>
      <c r="E17" s="70">
        <f t="shared" ref="E17:E26" si="0">+D17-B17-C17</f>
        <v>1060263</v>
      </c>
    </row>
    <row r="18" spans="1:9">
      <c r="A18" s="58" t="s">
        <v>15</v>
      </c>
      <c r="B18" s="43">
        <v>5231038.3299999991</v>
      </c>
      <c r="C18" s="44"/>
      <c r="D18" s="45">
        <v>58895957.75</v>
      </c>
      <c r="E18" s="70">
        <f t="shared" si="0"/>
        <v>53664919.420000002</v>
      </c>
    </row>
    <row r="19" spans="1:9">
      <c r="A19" s="58" t="s">
        <v>16</v>
      </c>
      <c r="B19" s="43"/>
      <c r="C19" s="44"/>
      <c r="D19" s="45">
        <v>0</v>
      </c>
      <c r="E19" s="70">
        <f t="shared" si="0"/>
        <v>0</v>
      </c>
    </row>
    <row r="20" spans="1:9">
      <c r="A20" s="58" t="s">
        <v>17</v>
      </c>
      <c r="B20" s="44"/>
      <c r="C20" s="44">
        <v>3159594.68</v>
      </c>
      <c r="D20" s="45">
        <v>31100292.559999999</v>
      </c>
      <c r="E20" s="70">
        <f t="shared" si="0"/>
        <v>27940697.879999999</v>
      </c>
    </row>
    <row r="21" spans="1:9">
      <c r="A21" s="58" t="s">
        <v>5</v>
      </c>
      <c r="B21" s="44"/>
      <c r="C21" s="44">
        <v>193650.62</v>
      </c>
      <c r="D21" s="45">
        <v>4406000</v>
      </c>
      <c r="E21" s="70">
        <f t="shared" si="0"/>
        <v>4212349.38</v>
      </c>
    </row>
    <row r="22" spans="1:9">
      <c r="A22" s="58" t="s">
        <v>753</v>
      </c>
      <c r="B22" s="44"/>
      <c r="C22" s="44"/>
      <c r="D22" s="45">
        <v>97290500</v>
      </c>
      <c r="E22" s="70">
        <f t="shared" si="0"/>
        <v>97290500</v>
      </c>
    </row>
    <row r="23" spans="1:9">
      <c r="A23" s="58" t="s">
        <v>1266</v>
      </c>
      <c r="B23" s="44"/>
      <c r="C23" s="44">
        <v>454166.41000000003</v>
      </c>
      <c r="D23" s="45">
        <v>3562690.92</v>
      </c>
      <c r="E23" s="70">
        <f t="shared" si="0"/>
        <v>3108524.51</v>
      </c>
      <c r="H23" s="500">
        <v>28602000</v>
      </c>
      <c r="I23" s="500">
        <v>2254574</v>
      </c>
    </row>
    <row r="24" spans="1:9">
      <c r="A24" s="58" t="s">
        <v>18</v>
      </c>
      <c r="B24" s="44"/>
      <c r="C24" s="44">
        <f>2243416+2000000</f>
        <v>4243416</v>
      </c>
      <c r="D24" s="45">
        <v>33740842</v>
      </c>
      <c r="E24" s="70">
        <f t="shared" si="0"/>
        <v>29497426</v>
      </c>
      <c r="H24" s="276">
        <f>+D24-2150000</f>
        <v>31590842</v>
      </c>
    </row>
    <row r="25" spans="1:9">
      <c r="A25" s="58" t="s">
        <v>19</v>
      </c>
      <c r="B25" s="44"/>
      <c r="C25" s="44">
        <v>38846.910000000003</v>
      </c>
      <c r="D25" s="45">
        <v>6882842</v>
      </c>
      <c r="E25" s="70">
        <f t="shared" si="0"/>
        <v>6843995.0899999999</v>
      </c>
    </row>
    <row r="26" spans="1:9">
      <c r="A26" s="451" t="s">
        <v>7</v>
      </c>
      <c r="B26" s="444"/>
      <c r="C26" s="444">
        <v>650000</v>
      </c>
      <c r="D26" s="445">
        <v>8616842</v>
      </c>
      <c r="E26" s="446">
        <f t="shared" si="0"/>
        <v>7966842</v>
      </c>
    </row>
    <row r="27" spans="1:9" ht="15" thickBot="1">
      <c r="A27" s="452"/>
      <c r="B27" s="447">
        <f>SUBTOTAL(9,B16:B26)</f>
        <v>5587910.2999999989</v>
      </c>
      <c r="C27" s="447">
        <f>SUBTOTAL(9,C16:C26)</f>
        <v>8771030.620000001</v>
      </c>
      <c r="D27" s="447">
        <f>SUBTOTAL(9,D16:D26)</f>
        <v>250247980.96000001</v>
      </c>
      <c r="E27" s="448">
        <f>SUBTOTAL(9,E16:E26)</f>
        <v>235889040.03999999</v>
      </c>
    </row>
    <row r="28" spans="1:9" ht="15" thickTop="1">
      <c r="B28" s="433">
        <v>5587910.2999999998</v>
      </c>
      <c r="C28" s="433">
        <v>8771030.6199999992</v>
      </c>
      <c r="D28" s="276"/>
    </row>
    <row r="29" spans="1:9">
      <c r="B29" s="276">
        <f>+B27-B28</f>
        <v>0</v>
      </c>
      <c r="C29" s="276">
        <f>+C27-C28</f>
        <v>0</v>
      </c>
      <c r="D29" s="276"/>
    </row>
    <row r="30" spans="1:9">
      <c r="B30" t="s">
        <v>1533</v>
      </c>
      <c r="C30" s="276"/>
      <c r="D30" s="455">
        <f>+D13+D23</f>
        <v>255587576.61999997</v>
      </c>
      <c r="E30" s="455">
        <f>+B27+C27+C13+B13</f>
        <v>19698536.579999998</v>
      </c>
      <c r="F30" s="456">
        <f>+E30/D30</f>
        <v>7.7071573041624E-2</v>
      </c>
    </row>
    <row r="32" spans="1:9">
      <c r="A32" s="492" t="s">
        <v>1623</v>
      </c>
      <c r="B32" s="493" t="s">
        <v>12</v>
      </c>
      <c r="C32" s="493" t="s">
        <v>13</v>
      </c>
      <c r="D32" s="494" t="s">
        <v>756</v>
      </c>
      <c r="E32" s="495" t="s">
        <v>14</v>
      </c>
    </row>
    <row r="33" spans="1:6">
      <c r="A33" s="496" t="s">
        <v>757</v>
      </c>
      <c r="B33" s="44">
        <v>404871.97</v>
      </c>
      <c r="C33" s="44"/>
      <c r="D33" s="45">
        <v>4303522.7600000007</v>
      </c>
      <c r="E33" s="497">
        <f>+D33-B33-C33</f>
        <v>3898650.790000001</v>
      </c>
    </row>
    <row r="34" spans="1:6">
      <c r="A34" s="496" t="s">
        <v>9</v>
      </c>
      <c r="B34" s="43"/>
      <c r="C34" s="44">
        <v>580199</v>
      </c>
      <c r="D34" s="45">
        <v>1060263</v>
      </c>
      <c r="E34" s="497">
        <f t="shared" ref="E34:E44" si="1">+D34-B34-C34</f>
        <v>480064</v>
      </c>
    </row>
    <row r="35" spans="1:6">
      <c r="A35" s="496" t="s">
        <v>15</v>
      </c>
      <c r="B35" s="43">
        <v>5718372.6699999981</v>
      </c>
      <c r="C35" s="44"/>
      <c r="D35" s="45">
        <v>53664919.420000002</v>
      </c>
      <c r="E35" s="497">
        <f t="shared" si="1"/>
        <v>47946546.75</v>
      </c>
    </row>
    <row r="36" spans="1:6">
      <c r="A36" s="496" t="s">
        <v>16</v>
      </c>
      <c r="B36" s="43"/>
      <c r="C36" s="44"/>
      <c r="D36" s="45">
        <v>0</v>
      </c>
      <c r="E36" s="497">
        <f t="shared" si="1"/>
        <v>0</v>
      </c>
    </row>
    <row r="37" spans="1:6">
      <c r="A37" s="496" t="s">
        <v>17</v>
      </c>
      <c r="B37" s="44"/>
      <c r="C37" s="44">
        <v>8617326.2300000004</v>
      </c>
      <c r="D37" s="45">
        <v>27940697.879999999</v>
      </c>
      <c r="E37" s="497">
        <f t="shared" si="1"/>
        <v>19323371.649999999</v>
      </c>
    </row>
    <row r="38" spans="1:6">
      <c r="A38" s="496" t="s">
        <v>5</v>
      </c>
      <c r="B38" s="44"/>
      <c r="C38" s="44">
        <v>1731066.28</v>
      </c>
      <c r="D38" s="45">
        <v>4212349.38</v>
      </c>
      <c r="E38" s="497">
        <f t="shared" si="1"/>
        <v>2481283.0999999996</v>
      </c>
    </row>
    <row r="39" spans="1:6">
      <c r="A39" s="496" t="s">
        <v>753</v>
      </c>
      <c r="B39" s="44"/>
      <c r="C39" s="44"/>
      <c r="D39" s="45">
        <v>97290500</v>
      </c>
      <c r="E39" s="497">
        <f t="shared" si="1"/>
        <v>97290500</v>
      </c>
    </row>
    <row r="40" spans="1:6">
      <c r="A40" s="496" t="s">
        <v>1266</v>
      </c>
      <c r="B40" s="44"/>
      <c r="C40" s="44">
        <v>465132.41000000003</v>
      </c>
      <c r="D40" s="45">
        <v>3108524.51</v>
      </c>
      <c r="E40" s="497">
        <f t="shared" si="1"/>
        <v>2643392.0999999996</v>
      </c>
    </row>
    <row r="41" spans="1:6">
      <c r="A41" s="496" t="s">
        <v>18</v>
      </c>
      <c r="B41" s="44"/>
      <c r="C41" s="44">
        <v>3528326.67</v>
      </c>
      <c r="D41" s="45">
        <f>29497426-3150000</f>
        <v>26347426</v>
      </c>
      <c r="E41" s="497">
        <f t="shared" si="1"/>
        <v>22819099.329999998</v>
      </c>
    </row>
    <row r="42" spans="1:6">
      <c r="A42" s="496" t="s">
        <v>1624</v>
      </c>
      <c r="B42" s="44"/>
      <c r="C42" s="44">
        <v>76000</v>
      </c>
      <c r="D42" s="45">
        <f>5150000-2000000</f>
        <v>3150000</v>
      </c>
      <c r="E42" s="497">
        <f t="shared" si="1"/>
        <v>3074000</v>
      </c>
    </row>
    <row r="43" spans="1:6">
      <c r="A43" s="496" t="s">
        <v>19</v>
      </c>
      <c r="B43" s="44"/>
      <c r="C43" s="44">
        <v>1066779.28</v>
      </c>
      <c r="D43" s="45">
        <v>6843995.0899999999</v>
      </c>
      <c r="E43" s="497">
        <f t="shared" si="1"/>
        <v>5777215.8099999996</v>
      </c>
    </row>
    <row r="44" spans="1:6">
      <c r="A44" s="498" t="s">
        <v>7</v>
      </c>
      <c r="B44" s="444"/>
      <c r="C44" s="444">
        <v>3189019.64</v>
      </c>
      <c r="D44" s="445">
        <v>7966842</v>
      </c>
      <c r="E44" s="499">
        <f t="shared" si="1"/>
        <v>4777822.3599999994</v>
      </c>
    </row>
    <row r="45" spans="1:6" ht="15" thickBot="1">
      <c r="A45" s="452"/>
      <c r="B45" s="447">
        <f>SUBTOTAL(9,B33:B44)</f>
        <v>6123244.6399999978</v>
      </c>
      <c r="C45" s="447">
        <f>SUBTOTAL(9,C33:C44)</f>
        <v>19253849.509999998</v>
      </c>
      <c r="D45" s="447">
        <f>SUBTOTAL(9,D33:D44)</f>
        <v>235889040.03999999</v>
      </c>
      <c r="E45" s="448">
        <f>SUBTOTAL(9,E33:E44)</f>
        <v>210511945.88999999</v>
      </c>
    </row>
    <row r="46" spans="1:6" ht="15" thickTop="1">
      <c r="B46" s="500">
        <v>6123244.6399999997</v>
      </c>
      <c r="C46" s="500">
        <f>19177849.51+76000</f>
        <v>19253849.510000002</v>
      </c>
      <c r="D46" s="276"/>
      <c r="E46" s="276"/>
    </row>
    <row r="47" spans="1:6">
      <c r="B47" s="500"/>
      <c r="C47" s="500">
        <f>+B46+C46</f>
        <v>25377094.150000002</v>
      </c>
    </row>
    <row r="48" spans="1:6">
      <c r="B48" t="s">
        <v>1533</v>
      </c>
      <c r="C48" s="500"/>
      <c r="D48" s="502">
        <v>255587576.61999997</v>
      </c>
      <c r="E48" s="502">
        <f>B13+C13+B27+C27+B45+C45</f>
        <v>45075630.729999989</v>
      </c>
      <c r="F48" s="456">
        <f>E48/D48</f>
        <v>0.17636080487987529</v>
      </c>
    </row>
    <row r="49" spans="5:5">
      <c r="E49" s="501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3" t="s">
        <v>940</v>
      </c>
      <c r="C2" s="303" t="s">
        <v>1016</v>
      </c>
      <c r="D2" s="303" t="s">
        <v>1015</v>
      </c>
      <c r="E2" s="303" t="s">
        <v>930</v>
      </c>
    </row>
    <row r="3" spans="1:5">
      <c r="A3" s="301" t="s">
        <v>943</v>
      </c>
      <c r="C3" t="s">
        <v>956</v>
      </c>
      <c r="D3" t="s">
        <v>884</v>
      </c>
      <c r="E3" t="s">
        <v>1001</v>
      </c>
    </row>
    <row r="4" spans="1:5">
      <c r="A4" s="301" t="s">
        <v>945</v>
      </c>
      <c r="C4" t="s">
        <v>1002</v>
      </c>
      <c r="D4" t="s">
        <v>895</v>
      </c>
      <c r="E4" t="s">
        <v>896</v>
      </c>
    </row>
    <row r="5" spans="1:5">
      <c r="A5" s="301" t="s">
        <v>946</v>
      </c>
      <c r="C5" t="s">
        <v>1003</v>
      </c>
      <c r="D5" t="s">
        <v>899</v>
      </c>
      <c r="E5" t="s">
        <v>900</v>
      </c>
    </row>
    <row r="6" spans="1:5">
      <c r="A6" s="301" t="s">
        <v>947</v>
      </c>
      <c r="C6" t="s">
        <v>1004</v>
      </c>
      <c r="D6" t="s">
        <v>901</v>
      </c>
      <c r="E6" t="s">
        <v>902</v>
      </c>
    </row>
    <row r="7" spans="1:5">
      <c r="A7" s="301" t="s">
        <v>948</v>
      </c>
      <c r="C7" t="s">
        <v>1005</v>
      </c>
      <c r="D7" t="s">
        <v>901</v>
      </c>
      <c r="E7" t="s">
        <v>1006</v>
      </c>
    </row>
    <row r="8" spans="1:5">
      <c r="A8" s="301" t="s">
        <v>949</v>
      </c>
      <c r="C8" t="s">
        <v>923</v>
      </c>
      <c r="D8" t="s">
        <v>926</v>
      </c>
      <c r="E8" t="s">
        <v>927</v>
      </c>
    </row>
    <row r="9" spans="1:5">
      <c r="A9" s="301" t="s">
        <v>950</v>
      </c>
      <c r="C9" t="s">
        <v>1008</v>
      </c>
      <c r="D9" t="s">
        <v>1007</v>
      </c>
      <c r="E9" t="s">
        <v>1009</v>
      </c>
    </row>
    <row r="10" spans="1:5">
      <c r="A10" s="301" t="s">
        <v>951</v>
      </c>
      <c r="C10" t="s">
        <v>845</v>
      </c>
      <c r="D10" t="s">
        <v>903</v>
      </c>
      <c r="E10" t="s">
        <v>904</v>
      </c>
    </row>
    <row r="11" spans="1:5">
      <c r="A11" s="301" t="s">
        <v>952</v>
      </c>
      <c r="C11" t="s">
        <v>905</v>
      </c>
      <c r="D11" t="s">
        <v>908</v>
      </c>
      <c r="E11" t="s">
        <v>909</v>
      </c>
    </row>
    <row r="12" spans="1:5">
      <c r="A12" s="301" t="s">
        <v>953</v>
      </c>
      <c r="C12" t="s">
        <v>5</v>
      </c>
      <c r="D12" t="s">
        <v>906</v>
      </c>
      <c r="E12" t="s">
        <v>907</v>
      </c>
    </row>
    <row r="13" spans="1:5">
      <c r="A13" s="301" t="s">
        <v>954</v>
      </c>
      <c r="C13" t="s">
        <v>910</v>
      </c>
      <c r="D13" t="s">
        <v>911</v>
      </c>
      <c r="E13" t="s">
        <v>912</v>
      </c>
    </row>
    <row r="14" spans="1:5">
      <c r="A14" s="301" t="s">
        <v>955</v>
      </c>
      <c r="C14" t="s">
        <v>1011</v>
      </c>
      <c r="D14" t="s">
        <v>1010</v>
      </c>
      <c r="E14" t="s">
        <v>1012</v>
      </c>
    </row>
    <row r="15" spans="1:5">
      <c r="A15" s="301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5" customWidth="1"/>
    <col min="2" max="2" width="16.6640625" style="225" customWidth="1"/>
    <col min="3" max="3" width="68.88671875" style="225" bestFit="1" customWidth="1"/>
    <col min="4" max="8" width="9.109375" style="225" customWidth="1"/>
    <col min="9" max="26" width="8" style="225" customWidth="1"/>
    <col min="27" max="16384" width="14.44140625" style="225"/>
  </cols>
  <sheetData>
    <row r="1" spans="1:26" ht="12.75" customHeight="1">
      <c r="A1" s="224"/>
      <c r="B1" s="8" t="s">
        <v>183</v>
      </c>
      <c r="C1" s="7"/>
      <c r="D1" s="7"/>
      <c r="E1" s="7"/>
      <c r="F1" s="7"/>
      <c r="G1" s="7"/>
      <c r="H1" s="7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12.75" customHeight="1">
      <c r="A2" s="224"/>
      <c r="B2" s="226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</row>
    <row r="3" spans="1:26" ht="24" customHeight="1">
      <c r="A3" s="224"/>
      <c r="B3" s="6" t="s">
        <v>184</v>
      </c>
      <c r="C3" s="5"/>
      <c r="D3" s="5"/>
      <c r="E3" s="5"/>
      <c r="F3" s="5"/>
      <c r="G3" s="5"/>
      <c r="H3" s="5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</row>
    <row r="4" spans="1:26" ht="12.75" customHeight="1">
      <c r="A4" s="224"/>
      <c r="B4" s="227" t="s">
        <v>185</v>
      </c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</row>
    <row r="5" spans="1:26" ht="12.75" customHeight="1">
      <c r="A5" s="224"/>
      <c r="B5" s="228" t="s">
        <v>186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</row>
    <row r="6" spans="1:26" ht="12.75" customHeight="1">
      <c r="A6" s="224">
        <v>106</v>
      </c>
      <c r="B6" s="226" t="s">
        <v>187</v>
      </c>
      <c r="C6" s="224" t="s">
        <v>188</v>
      </c>
      <c r="D6" s="224" t="str">
        <f>CONCATENATE(B6," - ",C6," (",A6,")")</f>
        <v>10101010 00 - Cash - Collecting Officers (106)</v>
      </c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</row>
    <row r="7" spans="1:26" ht="12.75" customHeight="1">
      <c r="A7" s="224">
        <v>104</v>
      </c>
      <c r="B7" s="226" t="s">
        <v>189</v>
      </c>
      <c r="C7" s="224" t="s">
        <v>190</v>
      </c>
      <c r="D7" s="224" t="str">
        <f t="shared" ref="D7:D70" si="0">CONCATENATE(B7," - ",C7," (",A7,")")</f>
        <v>10101020 00 - Petty Cash Fund (104)</v>
      </c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</row>
    <row r="8" spans="1:26" ht="12.75" customHeight="1">
      <c r="A8" s="229"/>
      <c r="B8" s="228" t="s">
        <v>191</v>
      </c>
      <c r="C8" s="229"/>
      <c r="D8" s="224" t="str">
        <f t="shared" si="0"/>
        <v>Cash In Bank - Local Currency -  ()</v>
      </c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.75" customHeight="1">
      <c r="A9" s="224"/>
      <c r="B9" s="226" t="s">
        <v>192</v>
      </c>
      <c r="C9" s="224" t="s">
        <v>193</v>
      </c>
      <c r="D9" s="224" t="str">
        <f t="shared" si="0"/>
        <v>10102010 00 - Cash In Bank - Local Currency - BSP ()</v>
      </c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</row>
    <row r="10" spans="1:26" ht="12.75" customHeight="1">
      <c r="A10" s="229"/>
      <c r="B10" s="228" t="s">
        <v>194</v>
      </c>
      <c r="C10" s="229"/>
      <c r="D10" s="224" t="str">
        <f t="shared" si="0"/>
        <v>Cash In Bank - Local Currency, Current Account -  ()</v>
      </c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.75" customHeight="1">
      <c r="A11" s="224"/>
      <c r="B11" s="226" t="s">
        <v>195</v>
      </c>
      <c r="C11" s="224" t="s">
        <v>196</v>
      </c>
      <c r="D11" s="224" t="str">
        <f t="shared" si="0"/>
        <v>10102020 24 - Cash In Bank - Local Currency - Current Account ()</v>
      </c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.75" customHeight="1">
      <c r="A12" s="229"/>
      <c r="B12" s="228" t="s">
        <v>197</v>
      </c>
      <c r="C12" s="229"/>
      <c r="D12" s="224" t="str">
        <f t="shared" si="0"/>
        <v>Cash In Bank - Local Currency, Savings Account -  ()</v>
      </c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2.75" customHeight="1">
      <c r="A13" s="229"/>
      <c r="B13" s="228" t="s">
        <v>198</v>
      </c>
      <c r="C13" s="229"/>
      <c r="D13" s="224" t="str">
        <f t="shared" si="0"/>
        <v>Cash In Bank - Local Currency, Time Deposits -  ()</v>
      </c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2.75" customHeight="1">
      <c r="A14" s="229"/>
      <c r="B14" s="228" t="s">
        <v>199</v>
      </c>
      <c r="C14" s="229"/>
      <c r="D14" s="224" t="str">
        <f t="shared" si="0"/>
        <v>Cash In Bank - Foreign Currency -  ()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2.75" customHeight="1">
      <c r="A15" s="229"/>
      <c r="B15" s="228" t="s">
        <v>200</v>
      </c>
      <c r="C15" s="229"/>
      <c r="D15" s="224" t="str">
        <f t="shared" si="0"/>
        <v>Cash In Bank - Foreign Currency, Savings Account -  ()</v>
      </c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2.75" customHeight="1">
      <c r="A16" s="229"/>
      <c r="B16" s="228" t="s">
        <v>201</v>
      </c>
      <c r="C16" s="229"/>
      <c r="D16" s="224" t="str">
        <f t="shared" si="0"/>
        <v>Cash In Bank - Foreign Currency, Time Deposits -  ()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2.75" customHeight="1">
      <c r="A17" s="229"/>
      <c r="B17" s="228" t="s">
        <v>202</v>
      </c>
      <c r="C17" s="229"/>
      <c r="D17" s="224" t="str">
        <f t="shared" si="0"/>
        <v>Treasury/Agency Cash Accounts -  ()</v>
      </c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2.75" customHeight="1">
      <c r="A18" s="224">
        <v>108</v>
      </c>
      <c r="B18" s="226" t="s">
        <v>203</v>
      </c>
      <c r="C18" s="224" t="s">
        <v>204</v>
      </c>
      <c r="D18" s="224" t="str">
        <f t="shared" si="0"/>
        <v>10104040 00 - Cash - Modified Disbursement System (MDS), Regular (108)</v>
      </c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</row>
    <row r="19" spans="1:26" ht="12.75" customHeight="1">
      <c r="A19" s="224"/>
      <c r="B19" s="226" t="s">
        <v>205</v>
      </c>
      <c r="C19" s="224" t="s">
        <v>206</v>
      </c>
      <c r="D19" s="224" t="str">
        <f t="shared" si="0"/>
        <v>10104050 00 - Cash - Modified Disbursement System (MDS), Special Account ()</v>
      </c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</row>
    <row r="20" spans="1:26" ht="12.75" customHeight="1">
      <c r="A20" s="224"/>
      <c r="B20" s="226" t="s">
        <v>207</v>
      </c>
      <c r="C20" s="224" t="s">
        <v>208</v>
      </c>
      <c r="D20" s="224" t="str">
        <f t="shared" si="0"/>
        <v>10104060 00 - Cash - Modified Disbursement System (MDS), Trust ()</v>
      </c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</row>
    <row r="21" spans="1:26" ht="12.75" customHeight="1">
      <c r="A21" s="224"/>
      <c r="B21" s="228" t="s">
        <v>209</v>
      </c>
      <c r="C21" s="224"/>
      <c r="D21" s="224" t="str">
        <f t="shared" si="0"/>
        <v>Cash Equivalents -  ()</v>
      </c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</row>
    <row r="22" spans="1:26" ht="12.75" customHeight="1">
      <c r="A22" s="224"/>
      <c r="B22" s="226" t="s">
        <v>210</v>
      </c>
      <c r="C22" s="224" t="s">
        <v>211</v>
      </c>
      <c r="D22" s="224" t="str">
        <f t="shared" si="0"/>
        <v>10105010 00 - Treasury Bills ()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</row>
    <row r="23" spans="1:26" ht="12.75" customHeight="1">
      <c r="A23" s="224"/>
      <c r="B23" s="230" t="s">
        <v>212</v>
      </c>
      <c r="C23" s="224"/>
      <c r="D23" s="224" t="str">
        <f t="shared" si="0"/>
        <v>C.1.2 Investments -  ()</v>
      </c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</row>
    <row r="24" spans="1:26" ht="12.75" customHeight="1">
      <c r="A24" s="224"/>
      <c r="B24" s="227" t="s">
        <v>213</v>
      </c>
      <c r="C24" s="224"/>
      <c r="D24" s="224" t="str">
        <f t="shared" si="0"/>
        <v>C.1.3 Receivables -  ()</v>
      </c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</row>
    <row r="25" spans="1:26" ht="12.75" customHeight="1">
      <c r="A25" s="224"/>
      <c r="B25" s="228" t="s">
        <v>214</v>
      </c>
      <c r="C25" s="224"/>
      <c r="D25" s="224" t="str">
        <f t="shared" si="0"/>
        <v>Loans and Receivables Accounts -  ()</v>
      </c>
      <c r="E25" s="224"/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</row>
    <row r="26" spans="1:26" ht="12.75" customHeight="1">
      <c r="A26" s="224">
        <v>121</v>
      </c>
      <c r="B26" s="226" t="s">
        <v>215</v>
      </c>
      <c r="C26" s="224" t="s">
        <v>216</v>
      </c>
      <c r="D26" s="224" t="str">
        <f t="shared" si="0"/>
        <v>10301010 00 - Accounts Receivable (121)</v>
      </c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</row>
    <row r="27" spans="1:26" ht="12.75" customHeight="1">
      <c r="A27" s="224"/>
      <c r="B27" s="226" t="s">
        <v>217</v>
      </c>
      <c r="C27" s="224" t="s">
        <v>218</v>
      </c>
      <c r="D27" s="224" t="str">
        <f t="shared" si="0"/>
        <v>10301011 00 - Allowance for Impairment - Accounts Receivable ()</v>
      </c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</row>
    <row r="28" spans="1:26" ht="12.75" customHeight="1">
      <c r="A28" s="224">
        <v>122</v>
      </c>
      <c r="B28" s="226" t="s">
        <v>219</v>
      </c>
      <c r="C28" s="224" t="s">
        <v>220</v>
      </c>
      <c r="D28" s="224" t="str">
        <f t="shared" si="0"/>
        <v>10301020 00 - Notes Receivable (122)</v>
      </c>
      <c r="E28" s="224"/>
      <c r="F28" s="224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</row>
    <row r="29" spans="1:26" ht="12.75" customHeight="1">
      <c r="A29" s="224"/>
      <c r="B29" s="226" t="s">
        <v>221</v>
      </c>
      <c r="C29" s="224" t="s">
        <v>222</v>
      </c>
      <c r="D29" s="224" t="str">
        <f t="shared" si="0"/>
        <v>10301021 00 - Allowance for Impairment - Notes Receivable ()</v>
      </c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</row>
    <row r="30" spans="1:26" ht="12.75" customHeight="1">
      <c r="A30" s="224">
        <v>124</v>
      </c>
      <c r="B30" s="226" t="s">
        <v>223</v>
      </c>
      <c r="C30" s="224" t="s">
        <v>224</v>
      </c>
      <c r="D30" s="224" t="str">
        <f t="shared" si="0"/>
        <v>10301030 00 - Loans Receivable - GOCCs (124)</v>
      </c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</row>
    <row r="31" spans="1:26" ht="12.75" customHeight="1">
      <c r="A31" s="224"/>
      <c r="B31" s="226" t="s">
        <v>225</v>
      </c>
      <c r="C31" s="224" t="s">
        <v>226</v>
      </c>
      <c r="D31" s="224" t="str">
        <f t="shared" si="0"/>
        <v>10301031 00 - Allowance for Impairment - Loans Receivable - GOCCs ()</v>
      </c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</row>
    <row r="32" spans="1:26" ht="12.75" customHeight="1">
      <c r="A32" s="224">
        <v>125</v>
      </c>
      <c r="B32" s="226" t="s">
        <v>227</v>
      </c>
      <c r="C32" s="224" t="s">
        <v>228</v>
      </c>
      <c r="D32" s="224" t="str">
        <f t="shared" si="0"/>
        <v>10301040 00 - Loans Receivable - LGUs (125)</v>
      </c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</row>
    <row r="33" spans="1:26" ht="12.75" customHeight="1">
      <c r="A33" s="224"/>
      <c r="B33" s="226" t="s">
        <v>229</v>
      </c>
      <c r="C33" s="224" t="s">
        <v>230</v>
      </c>
      <c r="D33" s="224" t="str">
        <f t="shared" si="0"/>
        <v>10301041 00 - Allowance for Impairment - Loans Receivable - LGUs ()</v>
      </c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</row>
    <row r="34" spans="1:26" ht="12.75" customHeight="1">
      <c r="A34" s="224">
        <v>129</v>
      </c>
      <c r="B34" s="226" t="s">
        <v>231</v>
      </c>
      <c r="C34" s="224" t="s">
        <v>232</v>
      </c>
      <c r="D34" s="224" t="str">
        <f t="shared" si="0"/>
        <v>10301050 00 - Interests Receivable (129)</v>
      </c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</row>
    <row r="35" spans="1:26" ht="12.75" customHeight="1">
      <c r="A35" s="224"/>
      <c r="B35" s="226" t="s">
        <v>233</v>
      </c>
      <c r="C35" s="224" t="s">
        <v>234</v>
      </c>
      <c r="D35" s="224" t="str">
        <f t="shared" si="0"/>
        <v>10301051 00 - Allowance for Impairment - Interest Receivable ()</v>
      </c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</row>
    <row r="36" spans="1:26" ht="12.75" customHeight="1">
      <c r="A36" s="224"/>
      <c r="B36" s="226" t="s">
        <v>235</v>
      </c>
      <c r="C36" s="224" t="s">
        <v>236</v>
      </c>
      <c r="D36" s="224" t="str">
        <f t="shared" si="0"/>
        <v>10301060 00 - Dividends Receivable ()</v>
      </c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</row>
    <row r="37" spans="1:26" ht="12.75" customHeight="1">
      <c r="A37" s="224">
        <v>126</v>
      </c>
      <c r="B37" s="226" t="s">
        <v>237</v>
      </c>
      <c r="C37" s="224" t="s">
        <v>238</v>
      </c>
      <c r="D37" s="224" t="str">
        <f t="shared" si="0"/>
        <v>10301990 00 - Loans Receivable - Others (126)</v>
      </c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</row>
    <row r="38" spans="1:26" ht="12.75" customHeight="1">
      <c r="A38" s="224"/>
      <c r="B38" s="226" t="s">
        <v>239</v>
      </c>
      <c r="C38" s="224" t="s">
        <v>238</v>
      </c>
      <c r="D38" s="224" t="str">
        <f t="shared" si="0"/>
        <v>10301991 00 - Loans Receivable - Others ()</v>
      </c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</row>
    <row r="39" spans="1:26" ht="12.75" customHeight="1">
      <c r="A39" s="224"/>
      <c r="B39" s="228" t="s">
        <v>240</v>
      </c>
      <c r="C39" s="224"/>
      <c r="D39" s="224" t="str">
        <f t="shared" si="0"/>
        <v>Inter-Agency Receivables -  ()</v>
      </c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</row>
    <row r="40" spans="1:26" ht="12.75" customHeight="1">
      <c r="A40" s="224">
        <v>136</v>
      </c>
      <c r="B40" s="226" t="s">
        <v>241</v>
      </c>
      <c r="C40" s="224" t="s">
        <v>242</v>
      </c>
      <c r="D40" s="224" t="str">
        <f t="shared" si="0"/>
        <v>10303010 00 - Due from NGAs (136)</v>
      </c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</row>
    <row r="41" spans="1:26" ht="12.75" customHeight="1">
      <c r="A41" s="224">
        <v>137</v>
      </c>
      <c r="B41" s="226" t="s">
        <v>243</v>
      </c>
      <c r="C41" s="224" t="s">
        <v>244</v>
      </c>
      <c r="D41" s="224" t="str">
        <f t="shared" si="0"/>
        <v>10303020 00 - Due from GOCCs (137)</v>
      </c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</row>
    <row r="42" spans="1:26" ht="12.75" customHeight="1">
      <c r="A42" s="224">
        <v>138</v>
      </c>
      <c r="B42" s="226" t="s">
        <v>245</v>
      </c>
      <c r="C42" s="224" t="s">
        <v>246</v>
      </c>
      <c r="D42" s="224" t="str">
        <f t="shared" si="0"/>
        <v>10303030 00 - Due from LGUs (138)</v>
      </c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</row>
    <row r="43" spans="1:26" ht="12.75" customHeight="1">
      <c r="A43" s="224"/>
      <c r="B43" s="226" t="s">
        <v>247</v>
      </c>
      <c r="C43" s="224" t="s">
        <v>248</v>
      </c>
      <c r="D43" s="224" t="str">
        <f t="shared" si="0"/>
        <v>10303040 00 - Due from Joint Venture ()</v>
      </c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</row>
    <row r="44" spans="1:26" ht="12.75" customHeight="1">
      <c r="A44" s="224"/>
      <c r="B44" s="228" t="s">
        <v>249</v>
      </c>
      <c r="C44" s="224"/>
      <c r="D44" s="224" t="str">
        <f t="shared" si="0"/>
        <v>Intra-Agency Receivables -  ()</v>
      </c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</row>
    <row r="45" spans="1:26" ht="12.75" customHeight="1">
      <c r="A45" s="224">
        <v>141</v>
      </c>
      <c r="B45" s="226" t="s">
        <v>250</v>
      </c>
      <c r="C45" s="224" t="s">
        <v>251</v>
      </c>
      <c r="D45" s="224" t="str">
        <f t="shared" si="0"/>
        <v>10304010 00 - Due from Central Office (141)</v>
      </c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</row>
    <row r="46" spans="1:26" ht="12.75" customHeight="1">
      <c r="A46" s="224"/>
      <c r="B46" s="226" t="s">
        <v>252</v>
      </c>
      <c r="C46" s="224" t="s">
        <v>253</v>
      </c>
      <c r="D46" s="224" t="str">
        <f t="shared" si="0"/>
        <v>10304020 00 - Due from Bureaus ()</v>
      </c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</row>
    <row r="47" spans="1:26" ht="12.75" customHeight="1">
      <c r="A47" s="224">
        <v>142</v>
      </c>
      <c r="B47" s="226" t="s">
        <v>254</v>
      </c>
      <c r="C47" s="224" t="s">
        <v>255</v>
      </c>
      <c r="D47" s="224" t="str">
        <f t="shared" si="0"/>
        <v>10304030 00 - Due from Regional Office (142)</v>
      </c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</row>
    <row r="48" spans="1:26" ht="12.75" customHeight="1">
      <c r="A48" s="224">
        <v>143</v>
      </c>
      <c r="B48" s="226" t="s">
        <v>256</v>
      </c>
      <c r="C48" s="224" t="s">
        <v>257</v>
      </c>
      <c r="D48" s="224" t="str">
        <f t="shared" si="0"/>
        <v>10304040 00 - Due from Operating Units (143)</v>
      </c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</row>
    <row r="49" spans="1:26" ht="12.75" customHeight="1">
      <c r="A49" s="224"/>
      <c r="B49" s="228" t="s">
        <v>258</v>
      </c>
      <c r="C49" s="224"/>
      <c r="D49" s="224" t="str">
        <f t="shared" si="0"/>
        <v>Other Receivables -  ()</v>
      </c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</row>
    <row r="50" spans="1:26" ht="12.75" customHeight="1">
      <c r="A50" s="224">
        <v>146</v>
      </c>
      <c r="B50" s="226" t="s">
        <v>259</v>
      </c>
      <c r="C50" s="224" t="s">
        <v>260</v>
      </c>
      <c r="D50" s="224" t="str">
        <f t="shared" si="0"/>
        <v>10305010 00 - Receivables - Disallowances/Charges (146)</v>
      </c>
      <c r="E50" s="224"/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4"/>
      <c r="Y50" s="224"/>
      <c r="Z50" s="224"/>
    </row>
    <row r="51" spans="1:26" ht="12.75" customHeight="1">
      <c r="A51" s="224"/>
      <c r="B51" s="226" t="s">
        <v>261</v>
      </c>
      <c r="C51" s="224" t="s">
        <v>262</v>
      </c>
      <c r="D51" s="224" t="str">
        <f t="shared" si="0"/>
        <v>10305020 00 - Due from Officers &amp; Employees ()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</row>
    <row r="52" spans="1:26" ht="12.75" customHeight="1">
      <c r="A52" s="224"/>
      <c r="B52" s="226" t="s">
        <v>263</v>
      </c>
      <c r="C52" s="224" t="s">
        <v>264</v>
      </c>
      <c r="D52" s="224" t="str">
        <f t="shared" si="0"/>
        <v>10305030 00 - Due from NGOs/People's Organizations ()</v>
      </c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</row>
    <row r="53" spans="1:26" ht="12.75" customHeight="1">
      <c r="A53" s="224">
        <v>149</v>
      </c>
      <c r="B53" s="226" t="s">
        <v>265</v>
      </c>
      <c r="C53" s="224" t="s">
        <v>258</v>
      </c>
      <c r="D53" s="224" t="str">
        <f t="shared" si="0"/>
        <v>10305990 00 - Other Receivables (149)</v>
      </c>
      <c r="E53" s="224"/>
      <c r="F53" s="224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</row>
    <row r="54" spans="1:26" ht="12.75" customHeight="1">
      <c r="A54" s="224"/>
      <c r="B54" s="226" t="s">
        <v>266</v>
      </c>
      <c r="C54" s="224" t="s">
        <v>267</v>
      </c>
      <c r="D54" s="224" t="str">
        <f t="shared" si="0"/>
        <v>103055991 00 - Allowance for Impairment - Other Receivables ()</v>
      </c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</row>
    <row r="55" spans="1:26" ht="12.75" customHeight="1">
      <c r="A55" s="224"/>
      <c r="B55" s="227" t="s">
        <v>268</v>
      </c>
      <c r="C55" s="224"/>
      <c r="D55" s="224" t="str">
        <f t="shared" si="0"/>
        <v>C.1.4 Inventories -  ()</v>
      </c>
      <c r="E55" s="224"/>
      <c r="F55" s="224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</row>
    <row r="56" spans="1:26" ht="12.75" customHeight="1">
      <c r="A56" s="224"/>
      <c r="B56" s="228" t="s">
        <v>269</v>
      </c>
      <c r="C56" s="224"/>
      <c r="D56" s="224" t="str">
        <f t="shared" si="0"/>
        <v>Merchandise Inventory -  ()</v>
      </c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/>
      <c r="X56" s="224"/>
      <c r="Y56" s="224"/>
      <c r="Z56" s="224"/>
    </row>
    <row r="57" spans="1:26" ht="12.75" customHeight="1">
      <c r="A57" s="224">
        <v>154</v>
      </c>
      <c r="B57" s="226" t="s">
        <v>270</v>
      </c>
      <c r="C57" s="224" t="s">
        <v>269</v>
      </c>
      <c r="D57" s="224" t="str">
        <f t="shared" si="0"/>
        <v>10401010 00 - Merchandise Inventory (154)</v>
      </c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</row>
    <row r="58" spans="1:26" ht="12.75" customHeight="1">
      <c r="A58" s="224"/>
      <c r="B58" s="226" t="s">
        <v>271</v>
      </c>
      <c r="C58" s="224" t="s">
        <v>272</v>
      </c>
      <c r="D58" s="224" t="str">
        <f t="shared" si="0"/>
        <v>10401010 01 - Supplies and Materials Inventory ()</v>
      </c>
      <c r="E58" s="224"/>
      <c r="F58" s="224"/>
      <c r="G58" s="224"/>
      <c r="H58" s="224"/>
      <c r="I58" s="224"/>
      <c r="J58" s="224"/>
      <c r="K58" s="224"/>
      <c r="L58" s="224"/>
      <c r="M58" s="224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4"/>
      <c r="Y58" s="224"/>
      <c r="Z58" s="224"/>
    </row>
    <row r="59" spans="1:26" ht="12.75" customHeight="1">
      <c r="A59" s="224">
        <v>159</v>
      </c>
      <c r="B59" s="226" t="s">
        <v>273</v>
      </c>
      <c r="C59" s="224" t="s">
        <v>274</v>
      </c>
      <c r="D59" s="224" t="str">
        <f t="shared" si="0"/>
        <v>10401010 02 - Drugs and Medicines Inventory (159)</v>
      </c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</row>
    <row r="60" spans="1:26" ht="12.75" customHeight="1">
      <c r="A60" s="224"/>
      <c r="B60" s="226" t="s">
        <v>275</v>
      </c>
      <c r="C60" s="224" t="s">
        <v>276</v>
      </c>
      <c r="D60" s="224" t="str">
        <f t="shared" si="0"/>
        <v>10401010 99 - Other Supplies Inventory  ()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4"/>
      <c r="Y60" s="224"/>
      <c r="Z60" s="224"/>
    </row>
    <row r="61" spans="1:26" ht="12.75" customHeight="1">
      <c r="A61" s="224"/>
      <c r="B61" s="228" t="s">
        <v>277</v>
      </c>
      <c r="C61" s="224"/>
      <c r="D61" s="224" t="str">
        <f t="shared" si="0"/>
        <v>Inventory Held for Consumption -  ()</v>
      </c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</row>
    <row r="62" spans="1:26" ht="12.75" customHeight="1">
      <c r="A62" s="224">
        <v>155</v>
      </c>
      <c r="B62" s="226" t="s">
        <v>278</v>
      </c>
      <c r="C62" s="224" t="s">
        <v>279</v>
      </c>
      <c r="D62" s="224" t="str">
        <f t="shared" si="0"/>
        <v>10404010 00 - Office Supplies Inventory (155)</v>
      </c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</row>
    <row r="63" spans="1:26" ht="12.75" customHeight="1">
      <c r="A63" s="224">
        <v>156</v>
      </c>
      <c r="B63" s="226" t="s">
        <v>280</v>
      </c>
      <c r="C63" s="231" t="s">
        <v>281</v>
      </c>
      <c r="D63" s="224" t="str">
        <f t="shared" si="0"/>
        <v>10404020 00 - Accountable Forms, Plates, Stickers Inventory (156)</v>
      </c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</row>
    <row r="64" spans="1:26" ht="12.75" customHeight="1">
      <c r="A64" s="224"/>
      <c r="B64" s="226" t="s">
        <v>282</v>
      </c>
      <c r="C64" s="231" t="s">
        <v>283</v>
      </c>
      <c r="D64" s="224" t="str">
        <f t="shared" si="0"/>
        <v>10404030 00 - Non-accountable Forms Inventory ()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</row>
    <row r="65" spans="1:26" ht="12.75" customHeight="1">
      <c r="A65" s="224">
        <v>157</v>
      </c>
      <c r="B65" s="226" t="s">
        <v>284</v>
      </c>
      <c r="C65" s="224" t="s">
        <v>285</v>
      </c>
      <c r="D65" s="224" t="str">
        <f t="shared" si="0"/>
        <v>10404040 00 - Animal/Zoological Supplies Inventory (157)</v>
      </c>
      <c r="E65" s="224"/>
      <c r="F65" s="224"/>
      <c r="G65" s="224"/>
      <c r="H65" s="224"/>
      <c r="I65" s="224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  <c r="U65" s="224"/>
      <c r="V65" s="224"/>
      <c r="W65" s="224"/>
      <c r="X65" s="224"/>
      <c r="Y65" s="224"/>
      <c r="Z65" s="224"/>
    </row>
    <row r="66" spans="1:26" ht="12.75" customHeight="1">
      <c r="A66" s="224">
        <v>158</v>
      </c>
      <c r="B66" s="226" t="s">
        <v>286</v>
      </c>
      <c r="C66" s="224" t="s">
        <v>287</v>
      </c>
      <c r="D66" s="224" t="str">
        <f t="shared" si="0"/>
        <v>10404050 00 - Food Supplies Inventory (158)</v>
      </c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</row>
    <row r="67" spans="1:26" ht="12.75" customHeight="1">
      <c r="A67" s="224">
        <v>159</v>
      </c>
      <c r="B67" s="226" t="s">
        <v>288</v>
      </c>
      <c r="C67" s="224" t="s">
        <v>274</v>
      </c>
      <c r="D67" s="224" t="str">
        <f t="shared" si="0"/>
        <v>10404060 00 - Drugs and Medicines Inventory (159)</v>
      </c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</row>
    <row r="68" spans="1:26" ht="12.75" customHeight="1">
      <c r="A68" s="224">
        <v>160</v>
      </c>
      <c r="B68" s="226" t="s">
        <v>289</v>
      </c>
      <c r="C68" s="224" t="s">
        <v>290</v>
      </c>
      <c r="D68" s="224" t="str">
        <f t="shared" si="0"/>
        <v>10404070 00 - Medical, Dental and Laboratory Supplies Inventory (160)</v>
      </c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</row>
    <row r="69" spans="1:26" ht="12.75" customHeight="1">
      <c r="A69" s="224">
        <v>161</v>
      </c>
      <c r="B69" s="226" t="s">
        <v>291</v>
      </c>
      <c r="C69" s="224" t="s">
        <v>292</v>
      </c>
      <c r="D69" s="224" t="str">
        <f t="shared" si="0"/>
        <v>10404080 00 - Fuel, Oil and Lubricants Inventory (161)</v>
      </c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</row>
    <row r="70" spans="1:26" ht="12.75" customHeight="1">
      <c r="A70" s="224">
        <v>162</v>
      </c>
      <c r="B70" s="226" t="s">
        <v>293</v>
      </c>
      <c r="C70" s="224" t="s">
        <v>294</v>
      </c>
      <c r="D70" s="224" t="str">
        <f t="shared" si="0"/>
        <v>10404090 00 - Agricultural and Marine Supplies Inventory (162)</v>
      </c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</row>
    <row r="71" spans="1:26" ht="12.75" customHeight="1">
      <c r="A71" s="224">
        <v>163</v>
      </c>
      <c r="B71" s="226" t="s">
        <v>295</v>
      </c>
      <c r="C71" s="224" t="s">
        <v>296</v>
      </c>
      <c r="D71" s="224" t="str">
        <f t="shared" ref="D71:D123" si="1">CONCATENATE(B71," - ",C71," (",A71,")")</f>
        <v>10404100 00 - Textbooks and Instructional Materials Inventory (163)</v>
      </c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</row>
    <row r="72" spans="1:26" ht="12.75" customHeight="1">
      <c r="A72" s="224">
        <v>164</v>
      </c>
      <c r="B72" s="226" t="s">
        <v>297</v>
      </c>
      <c r="C72" s="224" t="s">
        <v>298</v>
      </c>
      <c r="D72" s="224" t="str">
        <f t="shared" si="1"/>
        <v>10404110 00 - Military, Police and Traffic Supplies Inventory (164)</v>
      </c>
      <c r="E72" s="224"/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</row>
    <row r="73" spans="1:26" ht="12.75" customHeight="1">
      <c r="A73" s="224"/>
      <c r="B73" s="226" t="s">
        <v>299</v>
      </c>
      <c r="C73" s="224" t="s">
        <v>300</v>
      </c>
      <c r="D73" s="224" t="str">
        <f t="shared" si="1"/>
        <v>10404120 00 - Chemical and Filtering Supplies Inventory ()</v>
      </c>
      <c r="E73" s="224"/>
      <c r="F73" s="224"/>
      <c r="G73" s="224"/>
      <c r="H73" s="224"/>
      <c r="I73" s="224"/>
      <c r="J73" s="224"/>
      <c r="K73" s="224"/>
      <c r="L73" s="224"/>
      <c r="M73" s="224"/>
      <c r="N73" s="224"/>
      <c r="O73" s="224"/>
      <c r="P73" s="224"/>
      <c r="Q73" s="224"/>
      <c r="R73" s="224"/>
      <c r="S73" s="224"/>
      <c r="T73" s="224"/>
      <c r="U73" s="224"/>
      <c r="V73" s="224"/>
      <c r="W73" s="224"/>
      <c r="X73" s="224"/>
      <c r="Y73" s="224"/>
      <c r="Z73" s="224"/>
    </row>
    <row r="74" spans="1:26" ht="12.75" customHeight="1">
      <c r="A74" s="224">
        <v>168</v>
      </c>
      <c r="B74" s="226" t="s">
        <v>301</v>
      </c>
      <c r="C74" s="224" t="s">
        <v>302</v>
      </c>
      <c r="D74" s="224" t="str">
        <f t="shared" si="1"/>
        <v>10404130 00 - Construction Materials Inventory (168)</v>
      </c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</row>
    <row r="75" spans="1:26" ht="12.75" customHeight="1">
      <c r="A75" s="224"/>
      <c r="B75" s="226" t="s">
        <v>303</v>
      </c>
      <c r="C75" s="224" t="s">
        <v>276</v>
      </c>
      <c r="D75" s="224" t="str">
        <f t="shared" si="1"/>
        <v>10404990 00 - Other Supplies Inventory  ()</v>
      </c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</row>
    <row r="76" spans="1:26" ht="12.75" customHeight="1">
      <c r="A76" s="224"/>
      <c r="B76" s="227" t="s">
        <v>304</v>
      </c>
      <c r="C76" s="224"/>
      <c r="D76" s="224" t="str">
        <f t="shared" si="1"/>
        <v>C.1.5 Investment Property -  ()</v>
      </c>
      <c r="E76" s="224"/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</row>
    <row r="77" spans="1:26" ht="12.75" customHeight="1">
      <c r="A77" s="224"/>
      <c r="B77" s="227" t="s">
        <v>305</v>
      </c>
      <c r="C77" s="224"/>
      <c r="D77" s="224" t="str">
        <f t="shared" si="1"/>
        <v>C.1.6 Property, Plant and Equipment -  ()</v>
      </c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</row>
    <row r="78" spans="1:26" ht="12.75" customHeight="1">
      <c r="A78" s="224">
        <v>226</v>
      </c>
      <c r="B78" s="226" t="s">
        <v>306</v>
      </c>
      <c r="C78" s="224" t="s">
        <v>307</v>
      </c>
      <c r="D78" s="224" t="str">
        <f t="shared" si="1"/>
        <v>10605010 00 - Machineries (226)</v>
      </c>
      <c r="E78" s="224"/>
      <c r="F78" s="224"/>
      <c r="G78" s="224"/>
      <c r="H78" s="224"/>
      <c r="I78" s="224"/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</row>
    <row r="79" spans="1:26" ht="12.75" customHeight="1">
      <c r="A79" s="224">
        <v>326</v>
      </c>
      <c r="B79" s="226" t="s">
        <v>308</v>
      </c>
      <c r="C79" s="224" t="s">
        <v>309</v>
      </c>
      <c r="D79" s="224" t="str">
        <f t="shared" si="1"/>
        <v>10605011 00 - Accumulated Depreciation - Machinery (326)</v>
      </c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</row>
    <row r="80" spans="1:26" ht="12.75" customHeight="1">
      <c r="A80" s="224">
        <v>221</v>
      </c>
      <c r="B80" s="226" t="s">
        <v>310</v>
      </c>
      <c r="C80" s="224" t="s">
        <v>311</v>
      </c>
      <c r="D80" s="224" t="str">
        <f t="shared" si="1"/>
        <v>10605020 00 - Office Equipment (221)</v>
      </c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</row>
    <row r="81" spans="1:26" ht="12.75" customHeight="1">
      <c r="A81" s="224">
        <v>321</v>
      </c>
      <c r="B81" s="226" t="s">
        <v>312</v>
      </c>
      <c r="C81" s="224" t="s">
        <v>313</v>
      </c>
      <c r="D81" s="224" t="str">
        <f t="shared" si="1"/>
        <v>10605021 00 - Accumulated Depreciation - Office Equipment (321)</v>
      </c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</row>
    <row r="82" spans="1:26" ht="12.75" customHeight="1">
      <c r="A82" s="224">
        <v>223</v>
      </c>
      <c r="B82" s="226" t="s">
        <v>314</v>
      </c>
      <c r="C82" s="224" t="s">
        <v>315</v>
      </c>
      <c r="D82" s="224" t="str">
        <f t="shared" si="1"/>
        <v>10605030 00 - Information and Communication Technology Equipment (223)</v>
      </c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</row>
    <row r="83" spans="1:26" ht="12.75" customHeight="1">
      <c r="A83" s="224">
        <v>323</v>
      </c>
      <c r="B83" s="226" t="s">
        <v>316</v>
      </c>
      <c r="C83" s="224" t="s">
        <v>317</v>
      </c>
      <c r="D83" s="224" t="str">
        <f t="shared" si="1"/>
        <v>10605031 00 - Accumulated Depreciation - Information and Communication Technology Equipment (323)</v>
      </c>
      <c r="E83" s="224"/>
      <c r="F83" s="224"/>
      <c r="G83" s="224"/>
      <c r="H83" s="224"/>
      <c r="I83" s="224"/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</row>
    <row r="84" spans="1:26" ht="12.75" customHeight="1">
      <c r="A84" s="224">
        <v>241</v>
      </c>
      <c r="B84" s="226" t="s">
        <v>318</v>
      </c>
      <c r="C84" s="224" t="s">
        <v>319</v>
      </c>
      <c r="D84" s="224" t="str">
        <f t="shared" si="1"/>
        <v>10606010 00 - Motor Vehicles (241)</v>
      </c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</row>
    <row r="85" spans="1:26" ht="12.75" customHeight="1">
      <c r="A85" s="224">
        <v>341</v>
      </c>
      <c r="B85" s="226" t="s">
        <v>320</v>
      </c>
      <c r="C85" s="224" t="s">
        <v>321</v>
      </c>
      <c r="D85" s="224" t="str">
        <f t="shared" si="1"/>
        <v>10606011 00 - Accumulated Depreciation - Motor Vehicles (341)</v>
      </c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</row>
    <row r="86" spans="1:26" ht="12.75" customHeight="1">
      <c r="A86" s="224">
        <v>240</v>
      </c>
      <c r="B86" s="226" t="s">
        <v>322</v>
      </c>
      <c r="C86" s="224" t="s">
        <v>323</v>
      </c>
      <c r="D86" s="224" t="str">
        <f t="shared" si="1"/>
        <v>10605990 00 - Other Machineries and Equipment (240)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</row>
    <row r="87" spans="1:26" ht="12.75" customHeight="1">
      <c r="A87" s="224">
        <v>340</v>
      </c>
      <c r="B87" s="226" t="s">
        <v>324</v>
      </c>
      <c r="C87" s="224" t="s">
        <v>325</v>
      </c>
      <c r="D87" s="224" t="str">
        <f t="shared" si="1"/>
        <v>10605991 00 - Accumulated Depreciation - Other Machinery and Equipment       (340)</v>
      </c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</row>
    <row r="88" spans="1:26" ht="12.75" customHeight="1">
      <c r="A88" s="224">
        <v>250</v>
      </c>
      <c r="B88" s="226"/>
      <c r="C88" s="224" t="s">
        <v>326</v>
      </c>
      <c r="D88" s="224" t="str">
        <f t="shared" si="1"/>
        <v xml:space="preserve"> - Other Property and Equipment (250)</v>
      </c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</row>
    <row r="89" spans="1:26" ht="12.75" customHeight="1">
      <c r="A89" s="224">
        <v>350</v>
      </c>
      <c r="B89" s="226"/>
      <c r="C89" s="224" t="s">
        <v>327</v>
      </c>
      <c r="D89" s="224" t="str">
        <f t="shared" si="1"/>
        <v xml:space="preserve"> - Accumulated Depreciation - Other Property and Equipment (350)</v>
      </c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</row>
    <row r="90" spans="1:26" ht="12.75" customHeight="1">
      <c r="A90" s="224">
        <v>222</v>
      </c>
      <c r="B90" s="226" t="s">
        <v>328</v>
      </c>
      <c r="C90" s="224" t="s">
        <v>329</v>
      </c>
      <c r="D90" s="224" t="str">
        <f t="shared" si="1"/>
        <v>10607010 00 - Furniture and Fixtures (222)</v>
      </c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</row>
    <row r="91" spans="1:26" ht="12.75" customHeight="1">
      <c r="A91" s="224">
        <v>322</v>
      </c>
      <c r="B91" s="226" t="s">
        <v>330</v>
      </c>
      <c r="C91" s="224" t="s">
        <v>331</v>
      </c>
      <c r="D91" s="224" t="str">
        <f t="shared" si="1"/>
        <v>10607011 00 - Accumulated Depreciation - Furniture and Fixture (322)</v>
      </c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</row>
    <row r="92" spans="1:26" ht="12.75" customHeight="1">
      <c r="A92" s="224"/>
      <c r="B92" s="227" t="s">
        <v>332</v>
      </c>
      <c r="C92" s="224"/>
      <c r="D92" s="224" t="str">
        <f t="shared" si="1"/>
        <v>C.1.7 Biological Assets -  ()</v>
      </c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</row>
    <row r="93" spans="1:26" ht="12.75" customHeight="1">
      <c r="A93" s="224"/>
      <c r="B93" s="227" t="s">
        <v>333</v>
      </c>
      <c r="C93" s="224"/>
      <c r="D93" s="224" t="str">
        <f t="shared" si="1"/>
        <v>C.1.8 Intangible Assets -  ()</v>
      </c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</row>
    <row r="94" spans="1:26" ht="12.75" customHeight="1">
      <c r="A94" s="224"/>
      <c r="B94" s="227" t="s">
        <v>334</v>
      </c>
      <c r="C94" s="224"/>
      <c r="D94" s="224" t="str">
        <f t="shared" si="1"/>
        <v>C.1.9 Other Assets -  ()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</row>
    <row r="95" spans="1:26" ht="12.75" customHeight="1">
      <c r="A95" s="229"/>
      <c r="B95" s="228" t="s">
        <v>335</v>
      </c>
      <c r="C95" s="229"/>
      <c r="D95" s="224" t="str">
        <f t="shared" si="1"/>
        <v>Advances -  ()</v>
      </c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.75" customHeight="1">
      <c r="A96" s="229">
        <v>111</v>
      </c>
      <c r="B96" s="226" t="s">
        <v>336</v>
      </c>
      <c r="C96" s="224" t="s">
        <v>337</v>
      </c>
      <c r="D96" s="224" t="str">
        <f t="shared" si="1"/>
        <v>19901010 00 - Advances for Operating Expenses (111)</v>
      </c>
      <c r="E96" s="224"/>
      <c r="F96" s="224"/>
      <c r="G96" s="224"/>
      <c r="H96" s="224"/>
      <c r="I96" s="224"/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</row>
    <row r="97" spans="1:26" ht="12.75" customHeight="1">
      <c r="A97" s="224"/>
      <c r="B97" s="226" t="s">
        <v>338</v>
      </c>
      <c r="C97" s="224" t="s">
        <v>339</v>
      </c>
      <c r="D97" s="224" t="str">
        <f t="shared" si="1"/>
        <v>19901020 00 - Advances for Payroll ()</v>
      </c>
      <c r="E97" s="224"/>
      <c r="F97" s="224"/>
      <c r="G97" s="224"/>
      <c r="H97" s="224"/>
      <c r="I97" s="224"/>
      <c r="J97" s="224"/>
      <c r="K97" s="224"/>
      <c r="L97" s="224"/>
      <c r="M97" s="224"/>
      <c r="N97" s="224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</row>
    <row r="98" spans="1:26" ht="12.75" customHeight="1">
      <c r="A98" s="224"/>
      <c r="B98" s="226" t="s">
        <v>340</v>
      </c>
      <c r="C98" s="224" t="s">
        <v>341</v>
      </c>
      <c r="D98" s="224" t="str">
        <f t="shared" si="1"/>
        <v>19901030 00 - Advances for Special Disbursing Officer ()</v>
      </c>
      <c r="E98" s="224"/>
      <c r="F98" s="224"/>
      <c r="G98" s="224"/>
      <c r="H98" s="224"/>
      <c r="I98" s="224"/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</row>
    <row r="99" spans="1:26" ht="12.75" customHeight="1">
      <c r="A99" s="224">
        <v>148</v>
      </c>
      <c r="B99" s="226" t="s">
        <v>342</v>
      </c>
      <c r="C99" s="224" t="s">
        <v>343</v>
      </c>
      <c r="D99" s="224" t="str">
        <f t="shared" si="1"/>
        <v>19901040 00 - Advances to Officers &amp; Employees (148)</v>
      </c>
      <c r="E99" s="224"/>
      <c r="F99" s="224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</row>
    <row r="100" spans="1:26" ht="12.75" customHeight="1">
      <c r="A100" s="229"/>
      <c r="B100" s="228" t="s">
        <v>344</v>
      </c>
      <c r="C100" s="229"/>
      <c r="D100" s="224" t="str">
        <f t="shared" si="1"/>
        <v>Prepayments -  ()</v>
      </c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.75" customHeight="1">
      <c r="A101" s="224"/>
      <c r="B101" s="226" t="s">
        <v>345</v>
      </c>
      <c r="C101" s="224" t="s">
        <v>346</v>
      </c>
      <c r="D101" s="224" t="str">
        <f t="shared" si="1"/>
        <v>19902010 00 - Advances to Contractors ()</v>
      </c>
      <c r="E101" s="224"/>
      <c r="F101" s="224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</row>
    <row r="102" spans="1:26" ht="12.75" customHeight="1">
      <c r="A102" s="224">
        <v>177</v>
      </c>
      <c r="B102" s="226" t="s">
        <v>347</v>
      </c>
      <c r="C102" s="224" t="s">
        <v>348</v>
      </c>
      <c r="D102" s="224" t="str">
        <f t="shared" si="1"/>
        <v>19902020 00 - Prepaid Rent (177)</v>
      </c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</row>
    <row r="103" spans="1:26" ht="12.75" customHeight="1">
      <c r="A103" s="224"/>
      <c r="B103" s="226" t="s">
        <v>349</v>
      </c>
      <c r="C103" s="224" t="s">
        <v>350</v>
      </c>
      <c r="D103" s="224" t="str">
        <f t="shared" si="1"/>
        <v>19902030 00 - Prepaid Registration ()</v>
      </c>
      <c r="E103" s="224"/>
      <c r="F103" s="224"/>
      <c r="G103" s="224"/>
      <c r="H103" s="224"/>
      <c r="I103" s="224"/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</row>
    <row r="104" spans="1:26" ht="12.75" customHeight="1">
      <c r="A104" s="224">
        <v>179</v>
      </c>
      <c r="B104" s="226" t="s">
        <v>351</v>
      </c>
      <c r="C104" s="224" t="s">
        <v>352</v>
      </c>
      <c r="D104" s="224" t="str">
        <f t="shared" si="1"/>
        <v>19902040 00 - Prepaid Interest (179)</v>
      </c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</row>
    <row r="105" spans="1:26" ht="12.75" customHeight="1">
      <c r="A105" s="224">
        <v>178</v>
      </c>
      <c r="B105" s="226" t="s">
        <v>353</v>
      </c>
      <c r="C105" s="224" t="s">
        <v>354</v>
      </c>
      <c r="D105" s="224" t="str">
        <f t="shared" si="1"/>
        <v>19902050 00 - Prepaid Insurance (178)</v>
      </c>
      <c r="E105" s="224"/>
      <c r="F105" s="224"/>
      <c r="G105" s="224"/>
      <c r="H105" s="224"/>
      <c r="I105" s="224"/>
      <c r="J105" s="224"/>
      <c r="K105" s="224"/>
      <c r="L105" s="224"/>
      <c r="M105" s="224"/>
      <c r="N105" s="224"/>
      <c r="O105" s="224"/>
      <c r="P105" s="224"/>
      <c r="Q105" s="224"/>
      <c r="R105" s="224"/>
      <c r="S105" s="224"/>
      <c r="T105" s="224"/>
      <c r="U105" s="224"/>
      <c r="V105" s="224"/>
      <c r="W105" s="224"/>
      <c r="X105" s="224"/>
      <c r="Y105" s="224"/>
      <c r="Z105" s="224"/>
    </row>
    <row r="106" spans="1:26" ht="12.75" customHeight="1">
      <c r="A106" s="224">
        <v>185</v>
      </c>
      <c r="B106" s="226" t="s">
        <v>355</v>
      </c>
      <c r="C106" s="224" t="s">
        <v>356</v>
      </c>
      <c r="D106" s="224" t="str">
        <f t="shared" si="1"/>
        <v>19902990 00 - Other Prepayments (185)</v>
      </c>
      <c r="E106" s="224"/>
      <c r="F106" s="224"/>
      <c r="G106" s="224"/>
      <c r="H106" s="224"/>
      <c r="I106" s="224"/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</row>
    <row r="107" spans="1:26" ht="12.75" customHeight="1">
      <c r="A107" s="229"/>
      <c r="B107" s="228" t="s">
        <v>357</v>
      </c>
      <c r="C107" s="229"/>
      <c r="D107" s="224" t="str">
        <f t="shared" si="1"/>
        <v>Deposits -  ()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.75" customHeight="1">
      <c r="A108" s="224">
        <v>180</v>
      </c>
      <c r="B108" s="226" t="s">
        <v>358</v>
      </c>
      <c r="C108" s="224" t="s">
        <v>359</v>
      </c>
      <c r="D108" s="224" t="str">
        <f t="shared" si="1"/>
        <v>19903010 00 - Deposit on Letters of Credit (180)</v>
      </c>
      <c r="E108" s="224"/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</row>
    <row r="109" spans="1:26" ht="12.75" customHeight="1">
      <c r="A109" s="224">
        <v>186</v>
      </c>
      <c r="B109" s="226" t="s">
        <v>360</v>
      </c>
      <c r="C109" s="224" t="s">
        <v>361</v>
      </c>
      <c r="D109" s="224" t="str">
        <f t="shared" si="1"/>
        <v>19903020 00 - Guaranty Deposits (186)</v>
      </c>
      <c r="E109" s="224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</row>
    <row r="110" spans="1:26" ht="12.75" customHeight="1">
      <c r="A110" s="224"/>
      <c r="B110" s="226" t="s">
        <v>362</v>
      </c>
      <c r="C110" s="224" t="s">
        <v>363</v>
      </c>
      <c r="D110" s="224" t="str">
        <f t="shared" si="1"/>
        <v>19903990 00 - Other Deposits ()</v>
      </c>
      <c r="E110" s="224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</row>
    <row r="111" spans="1:26" ht="12.75" customHeight="1">
      <c r="A111" s="229"/>
      <c r="B111" s="228" t="s">
        <v>364</v>
      </c>
      <c r="C111" s="229"/>
      <c r="D111" s="224" t="str">
        <f t="shared" si="1"/>
        <v>Other Assets -  ()</v>
      </c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.75" customHeight="1">
      <c r="A112" s="224"/>
      <c r="B112" s="226" t="s">
        <v>365</v>
      </c>
      <c r="C112" s="224" t="s">
        <v>366</v>
      </c>
      <c r="D112" s="224" t="str">
        <f t="shared" si="1"/>
        <v>19999010 00 - Acquired Assets ()</v>
      </c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</row>
    <row r="113" spans="1:26" ht="12.75" customHeight="1">
      <c r="A113" s="224"/>
      <c r="B113" s="226" t="s">
        <v>367</v>
      </c>
      <c r="C113" s="224" t="s">
        <v>368</v>
      </c>
      <c r="D113" s="224" t="str">
        <f t="shared" si="1"/>
        <v>19999011 00 - Accumulated Impairment Losses - Acquired Assets ()</v>
      </c>
      <c r="E113" s="224"/>
      <c r="F113" s="224"/>
      <c r="G113" s="224"/>
      <c r="H113" s="224"/>
      <c r="I113" s="224"/>
      <c r="J113" s="224"/>
      <c r="K113" s="224"/>
      <c r="L113" s="224"/>
      <c r="M113" s="224"/>
      <c r="N113" s="224"/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</row>
    <row r="114" spans="1:26" ht="12.75" customHeight="1">
      <c r="A114" s="224"/>
      <c r="B114" s="226" t="s">
        <v>369</v>
      </c>
      <c r="C114" s="224" t="s">
        <v>370</v>
      </c>
      <c r="D114" s="224" t="str">
        <f t="shared" si="1"/>
        <v>19999020 00 - Foreclosed Property/Assets ()</v>
      </c>
      <c r="E114" s="224"/>
      <c r="F114" s="224"/>
      <c r="G114" s="224"/>
      <c r="H114" s="224"/>
      <c r="I114" s="224"/>
      <c r="J114" s="224"/>
      <c r="K114" s="224"/>
      <c r="L114" s="224"/>
      <c r="M114" s="224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</row>
    <row r="115" spans="1:26" ht="12.75" customHeight="1">
      <c r="A115" s="224"/>
      <c r="B115" s="226" t="s">
        <v>371</v>
      </c>
      <c r="C115" s="224" t="s">
        <v>372</v>
      </c>
      <c r="D115" s="224" t="str">
        <f t="shared" si="1"/>
        <v>19999021 00 - Accumulated Impairment Losses - Foreclosed Property/Assets ()</v>
      </c>
      <c r="E115" s="224"/>
      <c r="F115" s="224"/>
      <c r="G115" s="224"/>
      <c r="H115" s="224"/>
      <c r="I115" s="224"/>
      <c r="J115" s="224"/>
      <c r="K115" s="224"/>
      <c r="L115" s="224"/>
      <c r="M115" s="224"/>
      <c r="N115" s="224"/>
      <c r="O115" s="224"/>
      <c r="P115" s="224"/>
      <c r="Q115" s="224"/>
      <c r="R115" s="224"/>
      <c r="S115" s="224"/>
      <c r="T115" s="224"/>
      <c r="U115" s="224"/>
      <c r="V115" s="224"/>
      <c r="W115" s="224"/>
      <c r="X115" s="224"/>
      <c r="Y115" s="224"/>
      <c r="Z115" s="224"/>
    </row>
    <row r="116" spans="1:26" ht="12.75" customHeight="1">
      <c r="A116" s="224"/>
      <c r="B116" s="226" t="s">
        <v>373</v>
      </c>
      <c r="C116" s="224" t="s">
        <v>374</v>
      </c>
      <c r="D116" s="224" t="str">
        <f t="shared" si="1"/>
        <v>19999030 00 - Forfeited Property/Assets ()</v>
      </c>
      <c r="E116" s="224"/>
      <c r="F116" s="224"/>
      <c r="G116" s="224"/>
      <c r="H116" s="224"/>
      <c r="I116" s="224"/>
      <c r="J116" s="224"/>
      <c r="K116" s="224"/>
      <c r="L116" s="224"/>
      <c r="M116" s="224"/>
      <c r="N116" s="224"/>
      <c r="O116" s="224"/>
      <c r="P116" s="224"/>
      <c r="Q116" s="224"/>
      <c r="R116" s="224"/>
      <c r="S116" s="224"/>
      <c r="T116" s="224"/>
      <c r="U116" s="224"/>
      <c r="V116" s="224"/>
      <c r="W116" s="224"/>
      <c r="X116" s="224"/>
      <c r="Y116" s="224"/>
      <c r="Z116" s="224"/>
    </row>
    <row r="117" spans="1:26" ht="12.75" customHeight="1">
      <c r="A117" s="224"/>
      <c r="B117" s="226" t="s">
        <v>375</v>
      </c>
      <c r="C117" s="224" t="s">
        <v>376</v>
      </c>
      <c r="D117" s="224" t="str">
        <f t="shared" si="1"/>
        <v>19999031 00 - Accumulated Impairment Losses - Forfeited Property/Assets ()</v>
      </c>
      <c r="E117" s="224"/>
      <c r="F117" s="224"/>
      <c r="G117" s="224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</row>
    <row r="118" spans="1:26" ht="12.75" customHeight="1">
      <c r="A118" s="224"/>
      <c r="B118" s="226" t="s">
        <v>377</v>
      </c>
      <c r="C118" s="224" t="s">
        <v>378</v>
      </c>
      <c r="D118" s="224" t="str">
        <f t="shared" si="1"/>
        <v>19999040 00 - Confiscated Property/Assets ()</v>
      </c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</row>
    <row r="119" spans="1:26" ht="12.75" customHeight="1">
      <c r="A119" s="224"/>
      <c r="B119" s="226" t="s">
        <v>379</v>
      </c>
      <c r="C119" s="224" t="s">
        <v>380</v>
      </c>
      <c r="D119" s="224" t="str">
        <f t="shared" si="1"/>
        <v>19999041 00 - Accumulated Impairment Losses - Confiscated Property/Assets ()</v>
      </c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</row>
    <row r="120" spans="1:26" ht="12.75" customHeight="1">
      <c r="A120" s="224"/>
      <c r="B120" s="226" t="s">
        <v>381</v>
      </c>
      <c r="C120" s="224" t="s">
        <v>382</v>
      </c>
      <c r="D120" s="224" t="str">
        <f t="shared" si="1"/>
        <v>19999050 00 - Abandoned Property/Assets ()</v>
      </c>
      <c r="E120" s="224"/>
      <c r="F120" s="224"/>
      <c r="G120" s="224"/>
      <c r="H120" s="224"/>
      <c r="I120" s="224"/>
      <c r="J120" s="224"/>
      <c r="K120" s="224"/>
      <c r="L120" s="224"/>
      <c r="M120" s="224"/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</row>
    <row r="121" spans="1:26" ht="12.75" customHeight="1">
      <c r="A121" s="224"/>
      <c r="B121" s="226" t="s">
        <v>383</v>
      </c>
      <c r="C121" s="224" t="s">
        <v>384</v>
      </c>
      <c r="D121" s="224" t="str">
        <f t="shared" si="1"/>
        <v>19999051 00 - Accumulated Impairment Losses - Abandoned Property/Assets ()</v>
      </c>
      <c r="E121" s="224"/>
      <c r="F121" s="224"/>
      <c r="G121" s="224"/>
      <c r="H121" s="224"/>
      <c r="I121" s="224"/>
      <c r="J121" s="224"/>
      <c r="K121" s="224"/>
      <c r="L121" s="224"/>
      <c r="M121" s="224"/>
      <c r="N121" s="224"/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</row>
    <row r="122" spans="1:26" ht="12.75" customHeight="1">
      <c r="A122" s="224"/>
      <c r="B122" s="226" t="s">
        <v>385</v>
      </c>
      <c r="C122" s="224" t="s">
        <v>364</v>
      </c>
      <c r="D122" s="224" t="str">
        <f t="shared" si="1"/>
        <v>19999990 00 - Other Assets ()</v>
      </c>
      <c r="E122" s="224"/>
      <c r="F122" s="224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</row>
    <row r="123" spans="1:26" ht="12.75" customHeight="1">
      <c r="A123" s="224"/>
      <c r="B123" s="226" t="s">
        <v>386</v>
      </c>
      <c r="C123" s="224" t="s">
        <v>387</v>
      </c>
      <c r="D123" s="224" t="str">
        <f t="shared" si="1"/>
        <v>19999991 00 - Accumulated Impairment Losses - Other Assets ()</v>
      </c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</row>
    <row r="124" spans="1:26" ht="24" customHeight="1">
      <c r="A124" s="224"/>
      <c r="B124" s="6" t="s">
        <v>388</v>
      </c>
      <c r="C124" s="5"/>
      <c r="D124" s="5"/>
      <c r="E124" s="5"/>
      <c r="F124" s="5"/>
      <c r="G124" s="5"/>
      <c r="H124" s="5"/>
      <c r="I124" s="224"/>
      <c r="J124" s="224"/>
      <c r="K124" s="224"/>
      <c r="L124" s="224"/>
      <c r="M124" s="224"/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</row>
    <row r="125" spans="1:26" ht="12.75" customHeight="1">
      <c r="A125" s="224"/>
      <c r="B125" s="227" t="s">
        <v>389</v>
      </c>
      <c r="C125" s="224"/>
      <c r="D125" s="224"/>
      <c r="E125" s="224"/>
      <c r="F125" s="224"/>
      <c r="G125" s="224"/>
      <c r="H125" s="224"/>
      <c r="I125" s="224"/>
      <c r="J125" s="224"/>
      <c r="K125" s="224"/>
      <c r="L125" s="224"/>
      <c r="M125" s="224"/>
      <c r="N125" s="224"/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</row>
    <row r="126" spans="1:26" ht="12.75" customHeight="1">
      <c r="A126" s="232"/>
      <c r="B126" s="228" t="s">
        <v>390</v>
      </c>
      <c r="C126" s="232"/>
      <c r="D126" s="232"/>
      <c r="E126" s="232"/>
      <c r="F126" s="232"/>
      <c r="G126" s="232"/>
      <c r="H126" s="232"/>
      <c r="I126" s="232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</row>
    <row r="127" spans="1:26" ht="12.75" customHeight="1">
      <c r="A127" s="224">
        <v>401</v>
      </c>
      <c r="B127" s="226" t="s">
        <v>391</v>
      </c>
      <c r="C127" s="224" t="s">
        <v>392</v>
      </c>
      <c r="D127" s="224"/>
      <c r="E127" s="224"/>
      <c r="F127" s="224"/>
      <c r="G127" s="224"/>
      <c r="H127" s="224"/>
      <c r="I127" s="224"/>
      <c r="J127" s="224"/>
      <c r="K127" s="224"/>
      <c r="L127" s="224"/>
      <c r="M127" s="224"/>
      <c r="N127" s="224"/>
      <c r="O127" s="224"/>
      <c r="P127" s="224"/>
      <c r="Q127" s="224"/>
      <c r="R127" s="224"/>
      <c r="S127" s="224"/>
      <c r="T127" s="224"/>
      <c r="U127" s="224"/>
      <c r="V127" s="224"/>
      <c r="W127" s="224"/>
      <c r="X127" s="224"/>
      <c r="Y127" s="224"/>
      <c r="Z127" s="224"/>
    </row>
    <row r="128" spans="1:26" ht="12.75" customHeight="1">
      <c r="A128" s="224">
        <v>403</v>
      </c>
      <c r="B128" s="226" t="s">
        <v>393</v>
      </c>
      <c r="C128" s="224" t="s">
        <v>394</v>
      </c>
      <c r="D128" s="224"/>
      <c r="E128" s="224"/>
      <c r="F128" s="224"/>
      <c r="G128" s="224"/>
      <c r="H128" s="224"/>
      <c r="I128" s="224"/>
      <c r="J128" s="224"/>
      <c r="K128" s="224"/>
      <c r="L128" s="224"/>
      <c r="M128" s="224"/>
      <c r="N128" s="224"/>
      <c r="O128" s="224"/>
      <c r="P128" s="224"/>
      <c r="Q128" s="224"/>
      <c r="R128" s="224"/>
      <c r="S128" s="224"/>
      <c r="T128" s="224"/>
      <c r="U128" s="224"/>
      <c r="V128" s="224"/>
      <c r="W128" s="224"/>
      <c r="X128" s="224"/>
      <c r="Y128" s="224"/>
      <c r="Z128" s="224"/>
    </row>
    <row r="129" spans="1:26" ht="12.75" customHeight="1">
      <c r="A129" s="224"/>
      <c r="B129" s="226" t="s">
        <v>395</v>
      </c>
      <c r="C129" s="224" t="s">
        <v>396</v>
      </c>
      <c r="D129" s="224"/>
      <c r="E129" s="224"/>
      <c r="F129" s="224"/>
      <c r="G129" s="224"/>
      <c r="H129" s="224"/>
      <c r="I129" s="224"/>
      <c r="J129" s="224"/>
      <c r="K129" s="224"/>
      <c r="L129" s="224"/>
      <c r="M129" s="224"/>
      <c r="N129" s="224"/>
      <c r="O129" s="224"/>
      <c r="P129" s="224"/>
      <c r="Q129" s="224"/>
      <c r="R129" s="224"/>
      <c r="S129" s="224"/>
      <c r="T129" s="224"/>
      <c r="U129" s="224"/>
      <c r="V129" s="224"/>
      <c r="W129" s="224"/>
      <c r="X129" s="224"/>
      <c r="Y129" s="224"/>
      <c r="Z129" s="224"/>
    </row>
    <row r="130" spans="1:26" ht="12.75" customHeight="1">
      <c r="A130" s="224">
        <v>402</v>
      </c>
      <c r="B130" s="226" t="s">
        <v>397</v>
      </c>
      <c r="C130" s="224" t="s">
        <v>398</v>
      </c>
      <c r="D130" s="224"/>
      <c r="E130" s="224"/>
      <c r="F130" s="224"/>
      <c r="G130" s="224"/>
      <c r="H130" s="224"/>
      <c r="I130" s="224"/>
      <c r="J130" s="224"/>
      <c r="K130" s="224"/>
      <c r="L130" s="224"/>
      <c r="M130" s="224"/>
      <c r="N130" s="224"/>
      <c r="O130" s="224"/>
      <c r="P130" s="224"/>
      <c r="Q130" s="224"/>
      <c r="R130" s="224"/>
      <c r="S130" s="224"/>
      <c r="T130" s="224"/>
      <c r="U130" s="224"/>
      <c r="V130" s="224"/>
      <c r="W130" s="224"/>
      <c r="X130" s="224"/>
      <c r="Y130" s="224"/>
      <c r="Z130" s="224"/>
    </row>
    <row r="131" spans="1:26" ht="12.75" customHeight="1">
      <c r="A131" s="224">
        <v>409</v>
      </c>
      <c r="B131" s="226" t="s">
        <v>399</v>
      </c>
      <c r="C131" s="224" t="s">
        <v>400</v>
      </c>
      <c r="D131" s="224"/>
      <c r="E131" s="224"/>
      <c r="F131" s="224"/>
      <c r="G131" s="224"/>
      <c r="H131" s="224"/>
      <c r="I131" s="224"/>
      <c r="J131" s="224"/>
      <c r="K131" s="224"/>
      <c r="L131" s="224"/>
      <c r="M131" s="224"/>
      <c r="N131" s="224"/>
      <c r="O131" s="224"/>
      <c r="P131" s="224"/>
      <c r="Q131" s="224"/>
      <c r="R131" s="224"/>
      <c r="S131" s="224"/>
      <c r="T131" s="224"/>
      <c r="U131" s="224"/>
      <c r="V131" s="224"/>
      <c r="W131" s="224"/>
      <c r="X131" s="224"/>
      <c r="Y131" s="224"/>
      <c r="Z131" s="224"/>
    </row>
    <row r="132" spans="1:26" ht="12.75" customHeight="1">
      <c r="A132" s="224"/>
      <c r="B132" s="226" t="s">
        <v>401</v>
      </c>
      <c r="C132" s="224" t="s">
        <v>402</v>
      </c>
      <c r="D132" s="224"/>
      <c r="E132" s="224"/>
      <c r="F132" s="224"/>
      <c r="G132" s="224"/>
      <c r="H132" s="224"/>
      <c r="I132" s="224"/>
      <c r="J132" s="224"/>
      <c r="K132" s="224"/>
      <c r="L132" s="224"/>
      <c r="M132" s="224"/>
      <c r="N132" s="224"/>
      <c r="O132" s="224"/>
      <c r="P132" s="224"/>
      <c r="Q132" s="224"/>
      <c r="R132" s="224"/>
      <c r="S132" s="224"/>
      <c r="T132" s="224"/>
      <c r="U132" s="224"/>
      <c r="V132" s="224"/>
      <c r="W132" s="224"/>
      <c r="X132" s="224"/>
      <c r="Y132" s="224"/>
      <c r="Z132" s="224"/>
    </row>
    <row r="133" spans="1:26" ht="12.75" customHeight="1">
      <c r="A133" s="224"/>
      <c r="B133" s="226" t="s">
        <v>403</v>
      </c>
      <c r="C133" s="224" t="s">
        <v>404</v>
      </c>
      <c r="D133" s="224"/>
      <c r="E133" s="224"/>
      <c r="F133" s="224"/>
      <c r="G133" s="224"/>
      <c r="H133" s="224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</row>
    <row r="134" spans="1:26" ht="12.75" customHeight="1">
      <c r="A134" s="224"/>
      <c r="B134" s="226" t="s">
        <v>405</v>
      </c>
      <c r="C134" s="224" t="s">
        <v>406</v>
      </c>
      <c r="D134" s="224"/>
      <c r="E134" s="224"/>
      <c r="F134" s="224"/>
      <c r="G134" s="224"/>
      <c r="H134" s="224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</row>
    <row r="135" spans="1:26" ht="12.75" customHeight="1">
      <c r="A135" s="224"/>
      <c r="B135" s="227" t="s">
        <v>407</v>
      </c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4"/>
      <c r="Z135" s="224"/>
    </row>
    <row r="136" spans="1:26" ht="12.75" customHeight="1">
      <c r="A136" s="232"/>
      <c r="B136" s="228" t="s">
        <v>408</v>
      </c>
      <c r="C136" s="232"/>
      <c r="D136" s="232"/>
      <c r="E136" s="232"/>
      <c r="F136" s="232"/>
      <c r="G136" s="232"/>
      <c r="H136" s="232"/>
      <c r="I136" s="232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</row>
    <row r="137" spans="1:26" ht="12.75" customHeight="1">
      <c r="A137" s="224">
        <v>412</v>
      </c>
      <c r="B137" s="226" t="s">
        <v>409</v>
      </c>
      <c r="C137" s="224" t="s">
        <v>408</v>
      </c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</row>
    <row r="138" spans="1:26" ht="12.75" customHeight="1">
      <c r="A138" s="232"/>
      <c r="B138" s="228" t="s">
        <v>410</v>
      </c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</row>
    <row r="139" spans="1:26" ht="12.75" customHeight="1">
      <c r="A139" s="224">
        <v>413</v>
      </c>
      <c r="B139" s="226" t="s">
        <v>411</v>
      </c>
      <c r="C139" s="224" t="s">
        <v>410</v>
      </c>
      <c r="D139" s="224"/>
      <c r="E139" s="224"/>
      <c r="F139" s="224"/>
      <c r="G139" s="224"/>
      <c r="H139" s="224"/>
      <c r="I139" s="224"/>
      <c r="J139" s="224"/>
      <c r="K139" s="224"/>
      <c r="L139" s="224"/>
      <c r="M139" s="224"/>
      <c r="N139" s="224"/>
      <c r="O139" s="224"/>
      <c r="P139" s="224"/>
      <c r="Q139" s="224"/>
      <c r="R139" s="224"/>
      <c r="S139" s="224"/>
      <c r="T139" s="224"/>
      <c r="U139" s="224"/>
      <c r="V139" s="224"/>
      <c r="W139" s="224"/>
      <c r="X139" s="224"/>
      <c r="Y139" s="224"/>
      <c r="Z139" s="224"/>
    </row>
    <row r="140" spans="1:26" ht="12.75" customHeight="1">
      <c r="A140" s="224"/>
      <c r="B140" s="226" t="s">
        <v>412</v>
      </c>
      <c r="C140" s="224" t="s">
        <v>413</v>
      </c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</row>
    <row r="141" spans="1:26" ht="12.75" customHeight="1">
      <c r="A141" s="224"/>
      <c r="B141" s="226" t="s">
        <v>414</v>
      </c>
      <c r="C141" s="224" t="s">
        <v>415</v>
      </c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</row>
    <row r="142" spans="1:26" ht="12.75" customHeight="1">
      <c r="A142" s="224"/>
      <c r="B142" s="226" t="s">
        <v>416</v>
      </c>
      <c r="C142" s="224" t="s">
        <v>417</v>
      </c>
      <c r="D142" s="224"/>
      <c r="E142" s="224"/>
      <c r="F142" s="224"/>
      <c r="G142" s="224"/>
      <c r="H142" s="224"/>
      <c r="I142" s="224"/>
      <c r="J142" s="224"/>
      <c r="K142" s="224"/>
      <c r="L142" s="224"/>
      <c r="M142" s="224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</row>
    <row r="143" spans="1:26" ht="12.75" customHeight="1">
      <c r="A143" s="224"/>
      <c r="B143" s="226" t="s">
        <v>418</v>
      </c>
      <c r="C143" s="224" t="s">
        <v>419</v>
      </c>
      <c r="D143" s="224"/>
      <c r="E143" s="224"/>
      <c r="F143" s="224"/>
      <c r="G143" s="224"/>
      <c r="H143" s="224"/>
      <c r="I143" s="224"/>
      <c r="J143" s="224"/>
      <c r="K143" s="224"/>
      <c r="L143" s="224"/>
      <c r="M143" s="224"/>
      <c r="N143" s="224"/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</row>
    <row r="144" spans="1:26" ht="12.75" customHeight="1">
      <c r="A144" s="232"/>
      <c r="B144" s="228" t="s">
        <v>420</v>
      </c>
      <c r="C144" s="232"/>
      <c r="D144" s="232"/>
      <c r="E144" s="232"/>
      <c r="F144" s="232"/>
      <c r="G144" s="232"/>
      <c r="H144" s="232"/>
      <c r="I144" s="232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</row>
    <row r="145" spans="1:26" ht="12.75" customHeight="1">
      <c r="A145" s="224">
        <v>414</v>
      </c>
      <c r="B145" s="226" t="s">
        <v>421</v>
      </c>
      <c r="C145" s="224" t="s">
        <v>422</v>
      </c>
      <c r="D145" s="224"/>
      <c r="E145" s="224"/>
      <c r="F145" s="224"/>
      <c r="G145" s="224"/>
      <c r="H145" s="224"/>
      <c r="I145" s="224"/>
      <c r="J145" s="224"/>
      <c r="K145" s="224"/>
      <c r="L145" s="224"/>
      <c r="M145" s="224"/>
      <c r="N145" s="224"/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</row>
    <row r="146" spans="1:26" ht="12.75" customHeight="1">
      <c r="A146" s="224"/>
      <c r="B146" s="226" t="s">
        <v>423</v>
      </c>
      <c r="C146" s="224" t="s">
        <v>424</v>
      </c>
      <c r="D146" s="224"/>
      <c r="E146" s="224"/>
      <c r="F146" s="224"/>
      <c r="G146" s="224"/>
      <c r="H146" s="224"/>
      <c r="I146" s="224"/>
      <c r="J146" s="224"/>
      <c r="K146" s="224"/>
      <c r="L146" s="224"/>
      <c r="M146" s="224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</row>
    <row r="147" spans="1:26" ht="12.75" customHeight="1">
      <c r="A147" s="224"/>
      <c r="B147" s="226" t="s">
        <v>425</v>
      </c>
      <c r="C147" s="224" t="s">
        <v>426</v>
      </c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</row>
    <row r="148" spans="1:26" ht="12.75" customHeight="1">
      <c r="A148" s="224"/>
      <c r="B148" s="226" t="s">
        <v>427</v>
      </c>
      <c r="C148" s="224" t="s">
        <v>428</v>
      </c>
      <c r="D148" s="224"/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</row>
    <row r="149" spans="1:26" ht="12.75" customHeight="1">
      <c r="A149" s="232"/>
      <c r="B149" s="228" t="s">
        <v>429</v>
      </c>
      <c r="C149" s="232"/>
      <c r="D149" s="232"/>
      <c r="E149" s="232"/>
      <c r="F149" s="232"/>
      <c r="G149" s="232"/>
      <c r="H149" s="232"/>
      <c r="I149" s="232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</row>
    <row r="150" spans="1:26" ht="12.75" customHeight="1">
      <c r="A150" s="224">
        <v>415</v>
      </c>
      <c r="B150" s="226" t="s">
        <v>430</v>
      </c>
      <c r="C150" s="224" t="s">
        <v>431</v>
      </c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</row>
    <row r="151" spans="1:26" ht="12.75" customHeight="1">
      <c r="A151" s="224">
        <v>416</v>
      </c>
      <c r="B151" s="226" t="s">
        <v>432</v>
      </c>
      <c r="C151" s="224" t="s">
        <v>433</v>
      </c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</row>
    <row r="152" spans="1:26" ht="12.75" customHeight="1">
      <c r="A152" s="224">
        <v>417</v>
      </c>
      <c r="B152" s="226" t="s">
        <v>434</v>
      </c>
      <c r="C152" s="224" t="s">
        <v>435</v>
      </c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</row>
    <row r="153" spans="1:26" ht="12.75" customHeight="1">
      <c r="A153" s="224">
        <v>418</v>
      </c>
      <c r="B153" s="226" t="s">
        <v>436</v>
      </c>
      <c r="C153" s="224" t="s">
        <v>437</v>
      </c>
      <c r="D153" s="224"/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</row>
    <row r="154" spans="1:26" ht="12.75" customHeight="1">
      <c r="A154" s="224"/>
      <c r="B154" s="226" t="s">
        <v>438</v>
      </c>
      <c r="C154" s="224" t="s">
        <v>439</v>
      </c>
      <c r="D154" s="224"/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</row>
    <row r="155" spans="1:26" ht="12.75" customHeight="1">
      <c r="A155" s="224"/>
      <c r="B155" s="227" t="s">
        <v>440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</row>
    <row r="156" spans="1:26" ht="12.75" customHeight="1">
      <c r="A156" s="224">
        <v>421</v>
      </c>
      <c r="B156" s="226" t="s">
        <v>441</v>
      </c>
      <c r="C156" s="224" t="s">
        <v>442</v>
      </c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</row>
    <row r="157" spans="1:26" ht="12.75" customHeight="1">
      <c r="A157" s="224"/>
      <c r="B157" s="226" t="s">
        <v>443</v>
      </c>
      <c r="C157" s="224" t="s">
        <v>444</v>
      </c>
      <c r="D157" s="224"/>
      <c r="E157" s="224"/>
      <c r="F157" s="224"/>
      <c r="G157" s="224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</row>
    <row r="158" spans="1:26" ht="12.75" customHeight="1">
      <c r="A158" s="224">
        <v>422</v>
      </c>
      <c r="B158" s="226" t="s">
        <v>445</v>
      </c>
      <c r="C158" s="224" t="s">
        <v>446</v>
      </c>
      <c r="D158" s="224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</row>
    <row r="159" spans="1:26" ht="12.75" customHeight="1">
      <c r="A159" s="224">
        <v>423</v>
      </c>
      <c r="B159" s="226" t="s">
        <v>447</v>
      </c>
      <c r="C159" s="224" t="s">
        <v>448</v>
      </c>
      <c r="D159" s="224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</row>
    <row r="160" spans="1:26" ht="12.75" customHeight="1">
      <c r="A160" s="224"/>
      <c r="B160" s="227" t="s">
        <v>449</v>
      </c>
      <c r="C160" s="224"/>
      <c r="D160" s="224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</row>
    <row r="161" spans="1:26" ht="12.75" customHeight="1">
      <c r="A161" s="224"/>
      <c r="B161" s="227" t="s">
        <v>450</v>
      </c>
      <c r="C161" s="224"/>
      <c r="D161" s="224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</row>
    <row r="162" spans="1:26" ht="12.75" customHeight="1">
      <c r="A162" s="224"/>
      <c r="B162" s="227" t="s">
        <v>451</v>
      </c>
      <c r="C162" s="224"/>
      <c r="D162" s="224"/>
      <c r="E162" s="224"/>
      <c r="F162" s="224"/>
      <c r="G162" s="224"/>
      <c r="H162" s="224"/>
      <c r="I162" s="224"/>
      <c r="J162" s="224"/>
      <c r="K162" s="224"/>
      <c r="L162" s="224"/>
      <c r="M162" s="224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</row>
    <row r="163" spans="1:26" ht="12.75" customHeight="1">
      <c r="A163" s="224"/>
      <c r="B163" s="227" t="s">
        <v>452</v>
      </c>
      <c r="C163" s="224"/>
      <c r="D163" s="224"/>
      <c r="E163" s="224"/>
      <c r="F163" s="224"/>
      <c r="G163" s="224"/>
      <c r="H163" s="224"/>
      <c r="I163" s="224"/>
      <c r="J163" s="224"/>
      <c r="K163" s="224"/>
      <c r="L163" s="224"/>
      <c r="M163" s="224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</row>
    <row r="164" spans="1:26" ht="12.75" customHeight="1">
      <c r="A164" s="224">
        <v>439</v>
      </c>
      <c r="B164" s="226" t="s">
        <v>453</v>
      </c>
      <c r="C164" s="224" t="s">
        <v>454</v>
      </c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</row>
    <row r="165" spans="1:26" ht="28.5" customHeight="1">
      <c r="A165" s="224"/>
      <c r="B165" s="6" t="s">
        <v>455</v>
      </c>
      <c r="C165" s="5"/>
      <c r="D165" s="5"/>
      <c r="E165" s="5"/>
      <c r="F165" s="5"/>
      <c r="G165" s="5"/>
      <c r="H165" s="5"/>
      <c r="I165" s="224"/>
      <c r="J165" s="224"/>
      <c r="K165" s="224"/>
      <c r="L165" s="224"/>
      <c r="M165" s="224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</row>
    <row r="166" spans="1:26" ht="12.75" customHeight="1">
      <c r="A166" s="224"/>
      <c r="B166" s="227" t="s">
        <v>456</v>
      </c>
      <c r="C166" s="224"/>
      <c r="D166" s="224"/>
      <c r="E166" s="224"/>
      <c r="F166" s="224"/>
      <c r="G166" s="224"/>
      <c r="H166" s="224"/>
      <c r="I166" s="224"/>
      <c r="J166" s="224"/>
      <c r="K166" s="224"/>
      <c r="L166" s="224"/>
      <c r="M166" s="224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</row>
    <row r="167" spans="1:26" ht="12.75" customHeight="1">
      <c r="A167" s="224">
        <v>501</v>
      </c>
      <c r="B167" s="226" t="s">
        <v>457</v>
      </c>
      <c r="C167" s="224" t="s">
        <v>458</v>
      </c>
      <c r="D167" s="224"/>
      <c r="E167" s="224"/>
      <c r="F167" s="224"/>
      <c r="G167" s="224"/>
      <c r="H167" s="224"/>
      <c r="I167" s="224"/>
      <c r="J167" s="224"/>
      <c r="K167" s="224"/>
      <c r="L167" s="224"/>
      <c r="M167" s="224"/>
      <c r="N167" s="224"/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</row>
    <row r="168" spans="1:26" ht="12.75" customHeight="1">
      <c r="A168" s="224">
        <v>684</v>
      </c>
      <c r="B168" s="226" t="s">
        <v>457</v>
      </c>
      <c r="C168" s="224" t="s">
        <v>459</v>
      </c>
      <c r="D168" s="224"/>
      <c r="E168" s="224"/>
      <c r="F168" s="224"/>
      <c r="G168" s="224"/>
      <c r="H168" s="224"/>
      <c r="I168" s="224"/>
      <c r="J168" s="224"/>
      <c r="K168" s="224"/>
      <c r="L168" s="224"/>
      <c r="M168" s="224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</row>
    <row r="169" spans="1:26" ht="12.75" customHeight="1">
      <c r="A169" s="224"/>
      <c r="B169" s="227" t="s">
        <v>460</v>
      </c>
      <c r="C169" s="224"/>
      <c r="D169" s="224"/>
      <c r="E169" s="224"/>
      <c r="F169" s="224"/>
      <c r="G169" s="224"/>
      <c r="H169" s="224"/>
      <c r="I169" s="224"/>
      <c r="J169" s="224"/>
      <c r="K169" s="224"/>
      <c r="L169" s="224"/>
      <c r="M169" s="224"/>
      <c r="N169" s="224"/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</row>
    <row r="170" spans="1:26" ht="12.75" customHeight="1">
      <c r="A170" s="224"/>
      <c r="B170" s="226" t="s">
        <v>461</v>
      </c>
      <c r="C170" s="224" t="s">
        <v>462</v>
      </c>
      <c r="D170" s="224"/>
      <c r="E170" s="224"/>
      <c r="F170" s="224"/>
      <c r="G170" s="224"/>
      <c r="H170" s="224"/>
      <c r="I170" s="224"/>
      <c r="J170" s="224"/>
      <c r="K170" s="224"/>
      <c r="L170" s="224"/>
      <c r="M170" s="224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</row>
    <row r="171" spans="1:26" ht="12.75" customHeight="1">
      <c r="A171" s="224"/>
      <c r="B171" s="227" t="s">
        <v>463</v>
      </c>
      <c r="C171" s="224"/>
      <c r="D171" s="224"/>
      <c r="E171" s="224"/>
      <c r="F171" s="224"/>
      <c r="G171" s="224"/>
      <c r="H171" s="224"/>
      <c r="I171" s="224"/>
      <c r="J171" s="224"/>
      <c r="K171" s="224"/>
      <c r="L171" s="224"/>
      <c r="M171" s="224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</row>
    <row r="172" spans="1:26" ht="12.75" customHeight="1">
      <c r="A172" s="224"/>
      <c r="B172" s="226" t="s">
        <v>464</v>
      </c>
      <c r="C172" s="224" t="s">
        <v>465</v>
      </c>
      <c r="D172" s="224"/>
      <c r="E172" s="224"/>
      <c r="F172" s="224"/>
      <c r="G172" s="224"/>
      <c r="H172" s="224"/>
      <c r="I172" s="224"/>
      <c r="J172" s="224"/>
      <c r="K172" s="224"/>
      <c r="L172" s="224"/>
      <c r="M172" s="224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</row>
    <row r="173" spans="1:26" ht="12.75" customHeight="1">
      <c r="A173" s="224"/>
      <c r="B173" s="227" t="s">
        <v>466</v>
      </c>
      <c r="C173" s="224"/>
      <c r="D173" s="224"/>
      <c r="E173" s="224"/>
      <c r="F173" s="224"/>
      <c r="G173" s="224"/>
      <c r="H173" s="224"/>
      <c r="I173" s="224"/>
      <c r="J173" s="224"/>
      <c r="K173" s="224"/>
      <c r="L173" s="224"/>
      <c r="M173" s="224"/>
      <c r="N173" s="224"/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</row>
    <row r="174" spans="1:26" ht="12.75" customHeight="1">
      <c r="A174" s="224"/>
      <c r="B174" s="226" t="s">
        <v>467</v>
      </c>
      <c r="C174" s="224" t="s">
        <v>468</v>
      </c>
      <c r="D174" s="224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</row>
    <row r="175" spans="1:26" ht="24" customHeight="1">
      <c r="A175" s="224"/>
      <c r="B175" s="6" t="s">
        <v>469</v>
      </c>
      <c r="C175" s="5"/>
      <c r="D175" s="5"/>
      <c r="E175" s="5"/>
      <c r="F175" s="5"/>
      <c r="G175" s="5"/>
      <c r="H175" s="5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</row>
    <row r="176" spans="1:26" ht="12.75" customHeight="1">
      <c r="A176" s="224"/>
      <c r="B176" s="227" t="s">
        <v>470</v>
      </c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</row>
    <row r="177" spans="1:26" ht="12.75" customHeight="1">
      <c r="A177" s="224"/>
      <c r="B177" s="227" t="s">
        <v>471</v>
      </c>
      <c r="C177" s="224"/>
      <c r="D177" s="224"/>
      <c r="E177" s="224"/>
      <c r="F177" s="224"/>
      <c r="G177" s="224"/>
      <c r="H177" s="224"/>
      <c r="I177" s="224"/>
      <c r="J177" s="224"/>
      <c r="K177" s="224"/>
      <c r="L177" s="224"/>
      <c r="M177" s="224"/>
      <c r="N177" s="224"/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</row>
    <row r="178" spans="1:26" ht="12.75" customHeight="1">
      <c r="A178" s="224"/>
      <c r="B178" s="227" t="s">
        <v>472</v>
      </c>
      <c r="C178" s="224"/>
      <c r="D178" s="224"/>
      <c r="E178" s="224"/>
      <c r="F178" s="224"/>
      <c r="G178" s="224"/>
      <c r="H178" s="224"/>
      <c r="I178" s="224"/>
      <c r="J178" s="224"/>
      <c r="K178" s="224"/>
      <c r="L178" s="224"/>
      <c r="M178" s="224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</row>
    <row r="179" spans="1:26" ht="12.75" customHeight="1">
      <c r="A179" s="224">
        <v>651</v>
      </c>
      <c r="B179" s="226" t="s">
        <v>473</v>
      </c>
      <c r="C179" s="224" t="s">
        <v>474</v>
      </c>
      <c r="D179" s="224"/>
      <c r="E179" s="224"/>
      <c r="F179" s="224"/>
      <c r="G179" s="224"/>
      <c r="H179" s="224"/>
      <c r="I179" s="224"/>
      <c r="J179" s="224"/>
      <c r="K179" s="224"/>
      <c r="L179" s="224"/>
      <c r="M179" s="224"/>
      <c r="N179" s="224"/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</row>
    <row r="180" spans="1:26" ht="12.75" customHeight="1">
      <c r="A180" s="224">
        <v>652</v>
      </c>
      <c r="B180" s="226" t="s">
        <v>475</v>
      </c>
      <c r="C180" s="224" t="s">
        <v>476</v>
      </c>
      <c r="D180" s="224"/>
      <c r="E180" s="224"/>
      <c r="F180" s="224"/>
      <c r="G180" s="224"/>
      <c r="H180" s="224"/>
      <c r="I180" s="224"/>
      <c r="J180" s="224"/>
      <c r="K180" s="224"/>
      <c r="L180" s="224"/>
      <c r="M180" s="224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</row>
    <row r="181" spans="1:26" ht="12.75" customHeight="1">
      <c r="A181" s="224">
        <v>656</v>
      </c>
      <c r="B181" s="226" t="s">
        <v>477</v>
      </c>
      <c r="C181" s="224" t="s">
        <v>478</v>
      </c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</row>
    <row r="182" spans="1:26" ht="12.75" customHeight="1">
      <c r="A182" s="224"/>
      <c r="B182" s="226" t="s">
        <v>479</v>
      </c>
      <c r="C182" s="224" t="s">
        <v>480</v>
      </c>
      <c r="D182" s="224"/>
      <c r="E182" s="224"/>
      <c r="F182" s="224"/>
      <c r="G182" s="224"/>
      <c r="H182" s="224"/>
      <c r="I182" s="224"/>
      <c r="J182" s="224"/>
      <c r="K182" s="224"/>
      <c r="L182" s="224"/>
      <c r="M182" s="224"/>
      <c r="N182" s="224"/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</row>
    <row r="183" spans="1:26" ht="12.75" customHeight="1">
      <c r="A183" s="224">
        <v>657</v>
      </c>
      <c r="B183" s="226" t="s">
        <v>481</v>
      </c>
      <c r="C183" s="224" t="s">
        <v>482</v>
      </c>
      <c r="D183" s="224"/>
      <c r="E183" s="224"/>
      <c r="F183" s="224"/>
      <c r="G183" s="224"/>
      <c r="H183" s="224"/>
      <c r="I183" s="224"/>
      <c r="J183" s="224"/>
      <c r="K183" s="224"/>
      <c r="L183" s="224"/>
      <c r="M183" s="224"/>
      <c r="N183" s="224"/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</row>
    <row r="184" spans="1:26" ht="12.75" customHeight="1">
      <c r="A184" s="224"/>
      <c r="B184" s="227" t="s">
        <v>483</v>
      </c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224"/>
      <c r="T184" s="224"/>
      <c r="U184" s="224"/>
      <c r="V184" s="224"/>
      <c r="W184" s="224"/>
      <c r="X184" s="224"/>
      <c r="Y184" s="224"/>
      <c r="Z184" s="224"/>
    </row>
    <row r="185" spans="1:26" ht="12.75" customHeight="1">
      <c r="A185" s="224"/>
      <c r="B185" s="227" t="s">
        <v>484</v>
      </c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</row>
    <row r="186" spans="1:26" ht="12.75" customHeight="1">
      <c r="A186" s="224"/>
      <c r="B186" s="226" t="s">
        <v>485</v>
      </c>
      <c r="C186" s="224" t="s">
        <v>486</v>
      </c>
      <c r="D186" s="224"/>
      <c r="E186" s="224"/>
      <c r="F186" s="224"/>
      <c r="G186" s="224"/>
      <c r="H186" s="224"/>
      <c r="I186" s="224"/>
      <c r="J186" s="224"/>
      <c r="K186" s="224"/>
      <c r="L186" s="224"/>
      <c r="M186" s="224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</row>
    <row r="187" spans="1:26" ht="12.75" customHeight="1">
      <c r="A187" s="224"/>
      <c r="B187" s="226" t="s">
        <v>487</v>
      </c>
      <c r="C187" s="224" t="s">
        <v>488</v>
      </c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</row>
    <row r="188" spans="1:26" ht="12.75" customHeight="1">
      <c r="A188" s="224"/>
      <c r="B188" s="226" t="s">
        <v>489</v>
      </c>
      <c r="C188" s="224" t="s">
        <v>490</v>
      </c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224"/>
      <c r="T188" s="224"/>
      <c r="U188" s="224"/>
      <c r="V188" s="224"/>
      <c r="W188" s="224"/>
      <c r="X188" s="224"/>
      <c r="Y188" s="224"/>
      <c r="Z188" s="224"/>
    </row>
    <row r="189" spans="1:26" ht="12.75" customHeight="1">
      <c r="A189" s="224"/>
      <c r="B189" s="226" t="s">
        <v>491</v>
      </c>
      <c r="C189" s="224" t="s">
        <v>492</v>
      </c>
      <c r="D189" s="224"/>
      <c r="E189" s="224"/>
      <c r="F189" s="224"/>
      <c r="G189" s="224"/>
      <c r="H189" s="224"/>
      <c r="I189" s="224"/>
      <c r="J189" s="224"/>
      <c r="K189" s="224"/>
      <c r="L189" s="224"/>
      <c r="M189" s="224"/>
      <c r="N189" s="224"/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</row>
    <row r="190" spans="1:26" ht="12.75" customHeight="1">
      <c r="A190" s="224"/>
      <c r="B190" s="226" t="s">
        <v>493</v>
      </c>
      <c r="C190" s="224" t="s">
        <v>494</v>
      </c>
      <c r="D190" s="224"/>
      <c r="E190" s="224"/>
      <c r="F190" s="224"/>
      <c r="G190" s="224"/>
      <c r="H190" s="224"/>
      <c r="I190" s="224"/>
      <c r="J190" s="224"/>
      <c r="K190" s="224"/>
      <c r="L190" s="224"/>
      <c r="M190" s="224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</row>
    <row r="191" spans="1:26" ht="12.75" customHeight="1">
      <c r="A191" s="224"/>
      <c r="B191" s="227" t="s">
        <v>495</v>
      </c>
      <c r="C191" s="224"/>
      <c r="D191" s="224"/>
      <c r="E191" s="224"/>
      <c r="F191" s="224"/>
      <c r="G191" s="224"/>
      <c r="H191" s="224"/>
      <c r="I191" s="224"/>
      <c r="J191" s="224"/>
      <c r="K191" s="224"/>
      <c r="L191" s="224"/>
      <c r="M191" s="224"/>
      <c r="N191" s="224"/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</row>
    <row r="192" spans="1:26" ht="21.75" customHeight="1">
      <c r="A192" s="224"/>
      <c r="B192" s="6" t="s">
        <v>496</v>
      </c>
      <c r="C192" s="5"/>
      <c r="D192" s="5"/>
      <c r="E192" s="5"/>
      <c r="F192" s="5"/>
      <c r="G192" s="5"/>
      <c r="H192" s="5"/>
      <c r="I192" s="224"/>
      <c r="J192" s="224"/>
      <c r="K192" s="224"/>
      <c r="L192" s="224"/>
      <c r="M192" s="224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</row>
    <row r="193" spans="1:26" ht="12.75" customHeight="1">
      <c r="A193" s="224"/>
      <c r="B193" s="227" t="s">
        <v>497</v>
      </c>
      <c r="C193" s="224"/>
      <c r="D193" s="224"/>
      <c r="E193" s="224"/>
      <c r="F193" s="224"/>
      <c r="G193" s="224"/>
      <c r="H193" s="224"/>
      <c r="I193" s="224"/>
      <c r="J193" s="224"/>
      <c r="K193" s="224"/>
      <c r="L193" s="224"/>
      <c r="M193" s="224"/>
      <c r="N193" s="224"/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</row>
    <row r="194" spans="1:26" ht="12.75" customHeight="1">
      <c r="A194" s="224"/>
      <c r="B194" s="228" t="s">
        <v>498</v>
      </c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224"/>
      <c r="T194" s="224"/>
      <c r="U194" s="224"/>
      <c r="V194" s="224"/>
      <c r="W194" s="224"/>
      <c r="X194" s="224"/>
      <c r="Y194" s="224"/>
      <c r="Z194" s="224"/>
    </row>
    <row r="195" spans="1:26" ht="12.75" customHeight="1">
      <c r="A195" s="224">
        <v>701</v>
      </c>
      <c r="B195" s="226" t="s">
        <v>25</v>
      </c>
      <c r="C195" s="224" t="s">
        <v>499</v>
      </c>
      <c r="D195" s="224" t="str">
        <f t="shared" ref="D195:D258" si="2">CONCATENATE(B195," - ",C195," (",A195,")")</f>
        <v>50101010 01 - Basic Salary - Civilian (701)</v>
      </c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</row>
    <row r="196" spans="1:26" ht="12.75" customHeight="1">
      <c r="A196" s="224">
        <v>706</v>
      </c>
      <c r="B196" s="226" t="s">
        <v>500</v>
      </c>
      <c r="C196" s="224" t="s">
        <v>501</v>
      </c>
      <c r="D196" s="224" t="str">
        <f t="shared" si="2"/>
        <v>50101020 00 - Basic Salary - Contractual (706)</v>
      </c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</row>
    <row r="197" spans="1:26" ht="12.75" customHeight="1">
      <c r="A197" s="224"/>
      <c r="B197" s="228" t="s">
        <v>502</v>
      </c>
      <c r="C197" s="224"/>
      <c r="D197" s="224"/>
      <c r="E197" s="224"/>
      <c r="F197" s="224"/>
      <c r="G197" s="224"/>
      <c r="H197" s="224"/>
      <c r="I197" s="224"/>
      <c r="J197" s="224"/>
      <c r="K197" s="224"/>
      <c r="L197" s="224"/>
      <c r="M197" s="224"/>
      <c r="N197" s="224"/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</row>
    <row r="198" spans="1:26" ht="12.75" customHeight="1">
      <c r="A198" s="224">
        <v>711</v>
      </c>
      <c r="B198" s="226" t="s">
        <v>503</v>
      </c>
      <c r="C198" s="224" t="s">
        <v>504</v>
      </c>
      <c r="D198" s="224" t="str">
        <f t="shared" si="2"/>
        <v>50102010 01 - PERA - Civilian (711)</v>
      </c>
      <c r="E198" s="224"/>
      <c r="F198" s="224"/>
      <c r="G198" s="224"/>
      <c r="H198" s="224"/>
      <c r="I198" s="224"/>
      <c r="J198" s="224"/>
      <c r="K198" s="224"/>
      <c r="L198" s="224"/>
      <c r="M198" s="224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</row>
    <row r="199" spans="1:26" ht="12.75" customHeight="1">
      <c r="A199" s="224">
        <v>713</v>
      </c>
      <c r="B199" s="226" t="s">
        <v>20</v>
      </c>
      <c r="C199" s="224" t="s">
        <v>505</v>
      </c>
      <c r="D199" s="224" t="str">
        <f t="shared" si="2"/>
        <v>50102020 00 - Representation Allowance (713)</v>
      </c>
      <c r="E199" s="224"/>
      <c r="F199" s="224"/>
      <c r="G199" s="224"/>
      <c r="H199" s="224"/>
      <c r="I199" s="224"/>
      <c r="J199" s="224"/>
      <c r="K199" s="224"/>
      <c r="L199" s="224"/>
      <c r="M199" s="224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</row>
    <row r="200" spans="1:26" ht="12.75" customHeight="1">
      <c r="A200" s="224">
        <v>714</v>
      </c>
      <c r="B200" s="226" t="s">
        <v>21</v>
      </c>
      <c r="C200" s="224" t="s">
        <v>506</v>
      </c>
      <c r="D200" s="224" t="str">
        <f t="shared" si="2"/>
        <v>50102030 01 - Transportation Allowance   (714)</v>
      </c>
      <c r="E200" s="224"/>
      <c r="F200" s="224"/>
      <c r="G200" s="224"/>
      <c r="H200" s="224"/>
      <c r="I200" s="224"/>
      <c r="J200" s="224"/>
      <c r="K200" s="224"/>
      <c r="L200" s="224"/>
      <c r="M200" s="224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</row>
    <row r="201" spans="1:26" ht="12.75" customHeight="1">
      <c r="A201" s="224">
        <v>715</v>
      </c>
      <c r="B201" s="226" t="s">
        <v>507</v>
      </c>
      <c r="C201" s="224" t="s">
        <v>508</v>
      </c>
      <c r="D201" s="224" t="str">
        <f t="shared" si="2"/>
        <v>50102040 01 - Clothing/Uniform Allowance - Civilian (715)</v>
      </c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</row>
    <row r="202" spans="1:26" ht="12.75" customHeight="1">
      <c r="A202" s="224"/>
      <c r="B202" s="228" t="s">
        <v>509</v>
      </c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224"/>
      <c r="T202" s="224"/>
      <c r="U202" s="224"/>
      <c r="V202" s="224"/>
      <c r="W202" s="224"/>
      <c r="X202" s="224"/>
      <c r="Y202" s="224"/>
      <c r="Z202" s="224"/>
    </row>
    <row r="203" spans="1:26" ht="12.75" customHeight="1">
      <c r="A203" s="224">
        <v>717</v>
      </c>
      <c r="B203" s="226" t="s">
        <v>510</v>
      </c>
      <c r="C203" s="224" t="s">
        <v>511</v>
      </c>
      <c r="D203" s="224" t="str">
        <f t="shared" si="2"/>
        <v>50102080 01 - Productivity Incentive Allowance - Civilian (717)</v>
      </c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</row>
    <row r="204" spans="1:26" ht="12.75" customHeight="1">
      <c r="A204" s="224"/>
      <c r="B204" s="228" t="s">
        <v>512</v>
      </c>
      <c r="C204" s="224"/>
      <c r="D204" s="224"/>
      <c r="E204" s="224"/>
      <c r="F204" s="224"/>
      <c r="G204" s="224"/>
      <c r="H204" s="224"/>
      <c r="I204" s="224"/>
      <c r="J204" s="224"/>
      <c r="K204" s="224"/>
      <c r="L204" s="224"/>
      <c r="M204" s="224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</row>
    <row r="205" spans="1:26" ht="12.75" customHeight="1">
      <c r="A205" s="224">
        <v>722</v>
      </c>
      <c r="B205" s="226" t="s">
        <v>513</v>
      </c>
      <c r="C205" s="224" t="s">
        <v>514</v>
      </c>
      <c r="D205" s="224" t="str">
        <f t="shared" si="2"/>
        <v>50102120 01 - Longevity Pay - Civilian (722)</v>
      </c>
      <c r="E205" s="224"/>
      <c r="F205" s="224"/>
      <c r="G205" s="224"/>
      <c r="H205" s="224"/>
      <c r="I205" s="224"/>
      <c r="J205" s="224"/>
      <c r="K205" s="224"/>
      <c r="L205" s="224"/>
      <c r="M205" s="224"/>
      <c r="N205" s="224"/>
      <c r="O205" s="224"/>
      <c r="P205" s="224"/>
      <c r="Q205" s="224"/>
      <c r="R205" s="224"/>
      <c r="S205" s="224"/>
      <c r="T205" s="224"/>
      <c r="U205" s="224"/>
      <c r="V205" s="224"/>
      <c r="W205" s="224"/>
      <c r="X205" s="224"/>
      <c r="Y205" s="224"/>
      <c r="Z205" s="224"/>
    </row>
    <row r="206" spans="1:26" ht="12.75" customHeight="1">
      <c r="A206" s="224"/>
      <c r="B206" s="228" t="s">
        <v>515</v>
      </c>
      <c r="C206" s="224"/>
      <c r="D206" s="224"/>
      <c r="E206" s="224"/>
      <c r="F206" s="224"/>
      <c r="G206" s="224"/>
      <c r="H206" s="224"/>
      <c r="I206" s="224"/>
      <c r="J206" s="224"/>
      <c r="K206" s="224"/>
      <c r="L206" s="224"/>
      <c r="M206" s="224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</row>
    <row r="207" spans="1:26" ht="12.75" customHeight="1">
      <c r="A207" s="224">
        <v>723</v>
      </c>
      <c r="B207" s="226" t="s">
        <v>516</v>
      </c>
      <c r="C207" s="224" t="s">
        <v>517</v>
      </c>
      <c r="D207" s="224" t="str">
        <f t="shared" si="2"/>
        <v>50102130 01 - Overtime Pay (723)</v>
      </c>
      <c r="E207" s="224"/>
      <c r="F207" s="224"/>
      <c r="G207" s="224"/>
      <c r="H207" s="224"/>
      <c r="I207" s="224"/>
      <c r="J207" s="224"/>
      <c r="K207" s="224"/>
      <c r="L207" s="224"/>
      <c r="M207" s="224"/>
      <c r="N207" s="224"/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</row>
    <row r="208" spans="1:26" ht="12.75" customHeight="1">
      <c r="A208" s="224"/>
      <c r="B208" s="226" t="s">
        <v>518</v>
      </c>
      <c r="C208" s="224" t="s">
        <v>519</v>
      </c>
      <c r="D208" s="224" t="str">
        <f t="shared" si="2"/>
        <v>50102130 02 - Night Shift Differential Pay ()</v>
      </c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</row>
    <row r="209" spans="1:26" ht="12.75" customHeight="1">
      <c r="A209" s="224"/>
      <c r="B209" s="228" t="s">
        <v>520</v>
      </c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</row>
    <row r="210" spans="1:26" ht="12.75" customHeight="1">
      <c r="A210" s="224">
        <v>725</v>
      </c>
      <c r="B210" s="226" t="s">
        <v>521</v>
      </c>
      <c r="C210" s="224" t="s">
        <v>522</v>
      </c>
      <c r="D210" s="224" t="str">
        <f t="shared" si="2"/>
        <v>50102140 01 - Bonus - Civilian (725)</v>
      </c>
      <c r="E210" s="224"/>
      <c r="F210" s="224"/>
      <c r="G210" s="224"/>
      <c r="H210" s="224"/>
      <c r="I210" s="224"/>
      <c r="J210" s="224"/>
      <c r="K210" s="224"/>
      <c r="L210" s="224"/>
      <c r="M210" s="224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</row>
    <row r="211" spans="1:26" ht="12.75" customHeight="1">
      <c r="A211" s="224"/>
      <c r="B211" s="228" t="s">
        <v>523</v>
      </c>
      <c r="C211" s="224"/>
      <c r="D211" s="224"/>
      <c r="E211" s="224"/>
      <c r="F211" s="224"/>
      <c r="G211" s="224"/>
      <c r="H211" s="224"/>
      <c r="I211" s="224"/>
      <c r="J211" s="224"/>
      <c r="K211" s="224"/>
      <c r="L211" s="224"/>
      <c r="M211" s="224"/>
      <c r="N211" s="224"/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</row>
    <row r="212" spans="1:26" ht="12.75" customHeight="1">
      <c r="A212" s="224">
        <v>724</v>
      </c>
      <c r="B212" s="226" t="s">
        <v>524</v>
      </c>
      <c r="C212" s="224" t="s">
        <v>525</v>
      </c>
      <c r="D212" s="224" t="str">
        <f t="shared" si="2"/>
        <v>50102150 01 - Cash Gift - Civilian (724)</v>
      </c>
      <c r="E212" s="224"/>
      <c r="F212" s="224"/>
      <c r="G212" s="224"/>
      <c r="H212" s="224"/>
      <c r="I212" s="224"/>
      <c r="J212" s="224"/>
      <c r="K212" s="224"/>
      <c r="L212" s="224"/>
      <c r="M212" s="224"/>
      <c r="N212" s="224"/>
      <c r="O212" s="224"/>
      <c r="P212" s="224"/>
      <c r="Q212" s="224"/>
      <c r="R212" s="224"/>
      <c r="S212" s="224"/>
      <c r="T212" s="224"/>
      <c r="U212" s="224"/>
      <c r="V212" s="224"/>
      <c r="W212" s="224"/>
      <c r="X212" s="224"/>
      <c r="Y212" s="224"/>
      <c r="Z212" s="224"/>
    </row>
    <row r="213" spans="1:26" ht="12.75" customHeight="1">
      <c r="A213" s="224"/>
      <c r="B213" s="228" t="s">
        <v>526</v>
      </c>
      <c r="C213" s="224"/>
      <c r="D213" s="224"/>
      <c r="E213" s="224"/>
      <c r="F213" s="224"/>
      <c r="G213" s="224"/>
      <c r="H213" s="224"/>
      <c r="I213" s="224"/>
      <c r="J213" s="224"/>
      <c r="K213" s="224"/>
      <c r="L213" s="224"/>
      <c r="M213" s="224"/>
      <c r="N213" s="224"/>
      <c r="O213" s="224"/>
      <c r="P213" s="224"/>
      <c r="Q213" s="224"/>
      <c r="R213" s="224"/>
      <c r="S213" s="224"/>
      <c r="T213" s="224"/>
      <c r="U213" s="224"/>
      <c r="V213" s="224"/>
      <c r="W213" s="224"/>
      <c r="X213" s="224"/>
      <c r="Y213" s="224"/>
      <c r="Z213" s="224"/>
    </row>
    <row r="214" spans="1:26" ht="12.75" customHeight="1">
      <c r="A214" s="224">
        <v>731</v>
      </c>
      <c r="B214" s="226" t="s">
        <v>527</v>
      </c>
      <c r="C214" s="224" t="s">
        <v>528</v>
      </c>
      <c r="D214" s="224" t="str">
        <f t="shared" si="2"/>
        <v>50103010 00 - Retirement and Life Insurance Premiums (731)</v>
      </c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</row>
    <row r="215" spans="1:26" ht="12.75" customHeight="1">
      <c r="A215" s="224"/>
      <c r="B215" s="228" t="s">
        <v>529</v>
      </c>
      <c r="C215" s="224"/>
      <c r="D215" s="224"/>
      <c r="E215" s="224"/>
      <c r="F215" s="224"/>
      <c r="G215" s="224"/>
      <c r="H215" s="224"/>
      <c r="I215" s="224"/>
      <c r="J215" s="224"/>
      <c r="K215" s="224"/>
      <c r="L215" s="224"/>
      <c r="M215" s="224"/>
      <c r="N215" s="224"/>
      <c r="O215" s="224"/>
      <c r="P215" s="224"/>
      <c r="Q215" s="224"/>
      <c r="R215" s="224"/>
      <c r="S215" s="224"/>
      <c r="T215" s="224"/>
      <c r="U215" s="224"/>
      <c r="V215" s="224"/>
      <c r="W215" s="224"/>
      <c r="X215" s="224"/>
      <c r="Y215" s="224"/>
      <c r="Z215" s="224"/>
    </row>
    <row r="216" spans="1:26" ht="12.75" customHeight="1">
      <c r="A216" s="224">
        <v>732</v>
      </c>
      <c r="B216" s="226" t="s">
        <v>22</v>
      </c>
      <c r="C216" s="224" t="s">
        <v>530</v>
      </c>
      <c r="D216" s="224" t="str">
        <f t="shared" si="2"/>
        <v>50103020 01 - Pag-IBIG - Civilian (732)</v>
      </c>
      <c r="E216" s="224"/>
      <c r="F216" s="224"/>
      <c r="G216" s="224"/>
      <c r="H216" s="224"/>
      <c r="I216" s="224"/>
      <c r="J216" s="224"/>
      <c r="K216" s="224"/>
      <c r="L216" s="224"/>
      <c r="M216" s="224"/>
      <c r="N216" s="22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</row>
    <row r="217" spans="1:26" ht="12.75" customHeight="1">
      <c r="A217" s="224"/>
      <c r="B217" s="228" t="s">
        <v>531</v>
      </c>
      <c r="C217" s="224"/>
      <c r="D217" s="224"/>
      <c r="E217" s="224"/>
      <c r="F217" s="224"/>
      <c r="G217" s="224"/>
      <c r="H217" s="224"/>
      <c r="I217" s="224"/>
      <c r="J217" s="224"/>
      <c r="K217" s="224"/>
      <c r="L217" s="224"/>
      <c r="M217" s="224"/>
      <c r="N217" s="224"/>
      <c r="O217" s="224"/>
      <c r="P217" s="224"/>
      <c r="Q217" s="224"/>
      <c r="R217" s="224"/>
      <c r="S217" s="224"/>
      <c r="T217" s="224"/>
      <c r="U217" s="224"/>
      <c r="V217" s="224"/>
      <c r="W217" s="224"/>
      <c r="X217" s="224"/>
      <c r="Y217" s="224"/>
      <c r="Z217" s="224"/>
    </row>
    <row r="218" spans="1:26" ht="12.75" customHeight="1">
      <c r="A218" s="224">
        <v>733</v>
      </c>
      <c r="B218" s="226" t="s">
        <v>23</v>
      </c>
      <c r="C218" s="224" t="s">
        <v>532</v>
      </c>
      <c r="D218" s="224" t="str">
        <f t="shared" si="2"/>
        <v>50103030 01 - PhilHealth - Civilian (733)</v>
      </c>
      <c r="E218" s="224"/>
      <c r="F218" s="224"/>
      <c r="G218" s="224"/>
      <c r="H218" s="224"/>
      <c r="I218" s="224"/>
      <c r="J218" s="224"/>
      <c r="K218" s="224"/>
      <c r="L218" s="224"/>
      <c r="M218" s="224"/>
      <c r="N218" s="22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</row>
    <row r="219" spans="1:26" ht="12.75" customHeight="1">
      <c r="A219" s="224"/>
      <c r="B219" s="228" t="s">
        <v>533</v>
      </c>
      <c r="C219" s="224"/>
      <c r="D219" s="224"/>
      <c r="E219" s="224"/>
      <c r="F219" s="224"/>
      <c r="G219" s="224"/>
      <c r="H219" s="224"/>
      <c r="I219" s="224"/>
      <c r="J219" s="224"/>
      <c r="K219" s="224"/>
      <c r="L219" s="224"/>
      <c r="M219" s="224"/>
      <c r="N219" s="224"/>
      <c r="O219" s="224"/>
      <c r="P219" s="224"/>
      <c r="Q219" s="224"/>
      <c r="R219" s="224"/>
      <c r="S219" s="224"/>
      <c r="T219" s="224"/>
      <c r="U219" s="224"/>
      <c r="V219" s="224"/>
      <c r="W219" s="224"/>
      <c r="X219" s="224"/>
      <c r="Y219" s="224"/>
      <c r="Z219" s="224"/>
    </row>
    <row r="220" spans="1:26" ht="12.75" customHeight="1">
      <c r="A220" s="224">
        <v>734</v>
      </c>
      <c r="B220" s="226" t="s">
        <v>24</v>
      </c>
      <c r="C220" s="224" t="s">
        <v>534</v>
      </c>
      <c r="D220" s="224" t="str">
        <f t="shared" si="2"/>
        <v>50103040 01 - ECIP - Civilian (734)</v>
      </c>
      <c r="E220" s="224"/>
      <c r="F220" s="224"/>
      <c r="G220" s="224"/>
      <c r="H220" s="224"/>
      <c r="I220" s="224"/>
      <c r="J220" s="224"/>
      <c r="K220" s="224"/>
      <c r="L220" s="224"/>
      <c r="M220" s="224"/>
      <c r="N220" s="224"/>
      <c r="O220" s="224"/>
      <c r="P220" s="224"/>
      <c r="Q220" s="224"/>
      <c r="R220" s="224"/>
      <c r="S220" s="224"/>
      <c r="T220" s="224"/>
      <c r="U220" s="224"/>
      <c r="V220" s="224"/>
      <c r="W220" s="224"/>
      <c r="X220" s="224"/>
      <c r="Y220" s="224"/>
      <c r="Z220" s="224"/>
    </row>
    <row r="221" spans="1:26" ht="12.75" customHeight="1">
      <c r="A221" s="224"/>
      <c r="B221" s="228" t="s">
        <v>535</v>
      </c>
      <c r="C221" s="224"/>
      <c r="D221" s="224"/>
      <c r="E221" s="224"/>
      <c r="F221" s="224"/>
      <c r="G221" s="224"/>
      <c r="H221" s="224"/>
      <c r="I221" s="224"/>
      <c r="J221" s="224"/>
      <c r="K221" s="224"/>
      <c r="L221" s="224"/>
      <c r="M221" s="224"/>
      <c r="N221" s="224"/>
      <c r="O221" s="224"/>
      <c r="P221" s="224"/>
      <c r="Q221" s="224"/>
      <c r="R221" s="224"/>
      <c r="S221" s="224"/>
      <c r="T221" s="224"/>
      <c r="U221" s="224"/>
      <c r="V221" s="224"/>
      <c r="W221" s="224"/>
      <c r="X221" s="224"/>
      <c r="Y221" s="224"/>
      <c r="Z221" s="224"/>
    </row>
    <row r="222" spans="1:26" ht="12.75" customHeight="1">
      <c r="A222" s="224"/>
      <c r="B222" s="226" t="s">
        <v>536</v>
      </c>
      <c r="C222" s="224" t="s">
        <v>537</v>
      </c>
      <c r="D222" s="224" t="str">
        <f t="shared" si="2"/>
        <v>50104010 01 - Pension Benefits - Civilian ()</v>
      </c>
      <c r="E222" s="224"/>
      <c r="F222" s="224"/>
      <c r="G222" s="224"/>
      <c r="H222" s="224"/>
      <c r="I222" s="224"/>
      <c r="J222" s="224"/>
      <c r="K222" s="224"/>
      <c r="L222" s="224"/>
      <c r="M222" s="224"/>
      <c r="N222" s="224"/>
      <c r="O222" s="224"/>
      <c r="P222" s="224"/>
      <c r="Q222" s="224"/>
      <c r="R222" s="224"/>
      <c r="S222" s="224"/>
      <c r="T222" s="224"/>
      <c r="U222" s="224"/>
      <c r="V222" s="224"/>
      <c r="W222" s="224"/>
      <c r="X222" s="224"/>
      <c r="Y222" s="224"/>
      <c r="Z222" s="224"/>
    </row>
    <row r="223" spans="1:26" ht="12.75" customHeight="1">
      <c r="A223" s="224"/>
      <c r="B223" s="226" t="s">
        <v>538</v>
      </c>
      <c r="C223" s="224" t="s">
        <v>539</v>
      </c>
      <c r="D223" s="224" t="str">
        <f t="shared" si="2"/>
        <v>50104010 02 - Pension Benefits - Military/Uniformed ()</v>
      </c>
      <c r="E223" s="224"/>
      <c r="F223" s="224"/>
      <c r="G223" s="224"/>
      <c r="H223" s="224"/>
      <c r="I223" s="224"/>
      <c r="J223" s="224"/>
      <c r="K223" s="224"/>
      <c r="L223" s="224"/>
      <c r="M223" s="224"/>
      <c r="N223" s="224"/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</row>
    <row r="224" spans="1:26" ht="12.75" customHeight="1">
      <c r="A224" s="224"/>
      <c r="B224" s="226" t="s">
        <v>540</v>
      </c>
      <c r="C224" s="224" t="s">
        <v>541</v>
      </c>
      <c r="D224" s="224" t="str">
        <f t="shared" si="2"/>
        <v>50104010 03 - Pension Benefits - Veterans ()</v>
      </c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</row>
    <row r="225" spans="1:26" ht="12.75" customHeight="1">
      <c r="A225" s="224"/>
      <c r="B225" s="228" t="s">
        <v>542</v>
      </c>
      <c r="C225" s="224"/>
      <c r="D225" s="224"/>
      <c r="E225" s="224"/>
      <c r="F225" s="224"/>
      <c r="G225" s="224"/>
      <c r="H225" s="224"/>
      <c r="I225" s="224"/>
      <c r="J225" s="224"/>
      <c r="K225" s="224"/>
      <c r="L225" s="224"/>
      <c r="M225" s="224"/>
      <c r="N225" s="224"/>
      <c r="O225" s="224"/>
      <c r="P225" s="224"/>
      <c r="Q225" s="224"/>
      <c r="R225" s="224"/>
      <c r="S225" s="224"/>
      <c r="T225" s="224"/>
      <c r="U225" s="224"/>
      <c r="V225" s="224"/>
      <c r="W225" s="224"/>
      <c r="X225" s="224"/>
      <c r="Y225" s="224"/>
      <c r="Z225" s="224"/>
    </row>
    <row r="226" spans="1:26" ht="12.75" customHeight="1">
      <c r="A226" s="224"/>
      <c r="B226" s="226" t="s">
        <v>543</v>
      </c>
      <c r="C226" s="224" t="s">
        <v>544</v>
      </c>
      <c r="D226" s="224" t="str">
        <f t="shared" si="2"/>
        <v>50104020 01 - Retirement Gratuity - Civilian ()</v>
      </c>
      <c r="E226" s="224"/>
      <c r="F226" s="224"/>
      <c r="G226" s="224"/>
      <c r="H226" s="224"/>
      <c r="I226" s="224"/>
      <c r="J226" s="224"/>
      <c r="K226" s="224"/>
      <c r="L226" s="224"/>
      <c r="M226" s="224"/>
      <c r="N226" s="224"/>
      <c r="O226" s="224"/>
      <c r="P226" s="224"/>
      <c r="Q226" s="224"/>
      <c r="R226" s="224"/>
      <c r="S226" s="224"/>
      <c r="T226" s="224"/>
      <c r="U226" s="224"/>
      <c r="V226" s="224"/>
      <c r="W226" s="224"/>
      <c r="X226" s="224"/>
      <c r="Y226" s="224"/>
      <c r="Z226" s="224"/>
    </row>
    <row r="227" spans="1:26" ht="12.75" customHeight="1">
      <c r="A227" s="224"/>
      <c r="B227" s="226" t="s">
        <v>545</v>
      </c>
      <c r="C227" s="224" t="s">
        <v>546</v>
      </c>
      <c r="D227" s="224" t="str">
        <f t="shared" si="2"/>
        <v>50104020 02 - Retirement Gratuity - Military/Uniformed Personnel ()</v>
      </c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224"/>
      <c r="T227" s="224"/>
      <c r="U227" s="224"/>
      <c r="V227" s="224"/>
      <c r="W227" s="224"/>
      <c r="X227" s="224"/>
      <c r="Y227" s="224"/>
      <c r="Z227" s="224"/>
    </row>
    <row r="228" spans="1:26" ht="12.75" customHeight="1">
      <c r="A228" s="224"/>
      <c r="B228" s="228" t="s">
        <v>547</v>
      </c>
      <c r="C228" s="224"/>
      <c r="D228" s="224"/>
      <c r="E228" s="224"/>
      <c r="F228" s="224"/>
      <c r="G228" s="224"/>
      <c r="H228" s="224"/>
      <c r="I228" s="224"/>
      <c r="J228" s="224"/>
      <c r="K228" s="224"/>
      <c r="L228" s="224"/>
      <c r="M228" s="224"/>
      <c r="N228" s="224"/>
      <c r="O228" s="224"/>
      <c r="P228" s="224"/>
      <c r="Q228" s="224"/>
      <c r="R228" s="224"/>
      <c r="S228" s="224"/>
      <c r="T228" s="224"/>
      <c r="U228" s="224"/>
      <c r="V228" s="224"/>
      <c r="W228" s="224"/>
      <c r="X228" s="224"/>
      <c r="Y228" s="224"/>
      <c r="Z228" s="224"/>
    </row>
    <row r="229" spans="1:26" ht="12.75" customHeight="1">
      <c r="A229" s="224">
        <v>742</v>
      </c>
      <c r="B229" s="226" t="s">
        <v>26</v>
      </c>
      <c r="C229" s="224" t="s">
        <v>548</v>
      </c>
      <c r="D229" s="224" t="str">
        <f t="shared" si="2"/>
        <v>50104030 01 - Terminal Leave Benefits - Civilian (742)</v>
      </c>
      <c r="E229" s="224"/>
      <c r="F229" s="224"/>
      <c r="G229" s="224"/>
      <c r="H229" s="224"/>
      <c r="I229" s="224"/>
      <c r="J229" s="224"/>
      <c r="K229" s="224"/>
      <c r="L229" s="224"/>
      <c r="M229" s="224"/>
      <c r="N229" s="224"/>
      <c r="O229" s="224"/>
      <c r="P229" s="224"/>
      <c r="Q229" s="224"/>
      <c r="R229" s="224"/>
      <c r="S229" s="224"/>
      <c r="T229" s="224"/>
      <c r="U229" s="224"/>
      <c r="V229" s="224"/>
      <c r="W229" s="224"/>
      <c r="X229" s="224"/>
      <c r="Y229" s="224"/>
      <c r="Z229" s="224"/>
    </row>
    <row r="230" spans="1:26" ht="12.75" customHeight="1">
      <c r="A230" s="224"/>
      <c r="B230" s="226" t="s">
        <v>549</v>
      </c>
      <c r="C230" s="224" t="s">
        <v>550</v>
      </c>
      <c r="D230" s="224" t="str">
        <f t="shared" si="2"/>
        <v>50104030 02 - Terminal Leave Benefits - Military/Uniformed Personnel ()</v>
      </c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224"/>
      <c r="T230" s="224"/>
      <c r="U230" s="224"/>
      <c r="V230" s="224"/>
      <c r="W230" s="224"/>
      <c r="X230" s="224"/>
      <c r="Y230" s="224"/>
      <c r="Z230" s="224"/>
    </row>
    <row r="231" spans="1:26" ht="12.75" customHeight="1">
      <c r="A231" s="224"/>
      <c r="B231" s="228" t="s">
        <v>535</v>
      </c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224"/>
      <c r="T231" s="224"/>
      <c r="U231" s="224"/>
      <c r="V231" s="224"/>
      <c r="W231" s="224"/>
      <c r="X231" s="224"/>
      <c r="Y231" s="224"/>
      <c r="Z231" s="224"/>
    </row>
    <row r="232" spans="1:26" ht="12.75" customHeight="1">
      <c r="A232" s="224">
        <v>749</v>
      </c>
      <c r="B232" s="226" t="s">
        <v>551</v>
      </c>
      <c r="C232" s="224" t="s">
        <v>535</v>
      </c>
      <c r="D232" s="224" t="str">
        <f t="shared" si="2"/>
        <v>50104990 99 - Other Personnel Benefits (749)</v>
      </c>
      <c r="E232" s="224"/>
      <c r="F232" s="224"/>
      <c r="G232" s="224"/>
      <c r="H232" s="224"/>
      <c r="I232" s="224"/>
      <c r="J232" s="224"/>
      <c r="K232" s="224"/>
      <c r="L232" s="224"/>
      <c r="M232" s="224"/>
      <c r="N232" s="224"/>
      <c r="O232" s="224"/>
      <c r="P232" s="224"/>
      <c r="Q232" s="224"/>
      <c r="R232" s="224"/>
      <c r="S232" s="224"/>
      <c r="T232" s="224"/>
      <c r="U232" s="224"/>
      <c r="V232" s="224"/>
      <c r="W232" s="224"/>
      <c r="X232" s="224"/>
      <c r="Y232" s="224"/>
      <c r="Z232" s="224"/>
    </row>
    <row r="233" spans="1:26" ht="12.75" customHeight="1">
      <c r="A233" s="224"/>
      <c r="B233" s="227" t="s">
        <v>552</v>
      </c>
      <c r="C233" s="224"/>
      <c r="D233" s="224"/>
      <c r="E233" s="224"/>
      <c r="F233" s="224"/>
      <c r="G233" s="224"/>
      <c r="H233" s="224"/>
      <c r="I233" s="224"/>
      <c r="J233" s="224"/>
      <c r="K233" s="224"/>
      <c r="L233" s="224"/>
      <c r="M233" s="224"/>
      <c r="N233" s="224"/>
      <c r="O233" s="224"/>
      <c r="P233" s="224"/>
      <c r="Q233" s="224"/>
      <c r="R233" s="224"/>
      <c r="S233" s="224"/>
      <c r="T233" s="224"/>
      <c r="U233" s="224"/>
      <c r="V233" s="224"/>
      <c r="W233" s="224"/>
      <c r="X233" s="224"/>
      <c r="Y233" s="224"/>
      <c r="Z233" s="224"/>
    </row>
    <row r="234" spans="1:26" ht="12.75" customHeight="1">
      <c r="A234" s="224"/>
      <c r="B234" s="228" t="s">
        <v>553</v>
      </c>
      <c r="C234" s="224"/>
      <c r="D234" s="224"/>
      <c r="E234" s="224"/>
      <c r="F234" s="224"/>
      <c r="G234" s="224"/>
      <c r="H234" s="224"/>
      <c r="I234" s="224"/>
      <c r="J234" s="224"/>
      <c r="K234" s="224"/>
      <c r="L234" s="224"/>
      <c r="M234" s="224"/>
      <c r="N234" s="224"/>
      <c r="O234" s="224"/>
      <c r="P234" s="224"/>
      <c r="Q234" s="224"/>
      <c r="R234" s="224"/>
      <c r="S234" s="224"/>
      <c r="T234" s="224"/>
      <c r="U234" s="224"/>
      <c r="V234" s="224"/>
      <c r="W234" s="224"/>
      <c r="X234" s="224"/>
      <c r="Y234" s="224"/>
      <c r="Z234" s="224"/>
    </row>
    <row r="235" spans="1:26" ht="12.75" customHeight="1">
      <c r="A235" s="224">
        <v>751</v>
      </c>
      <c r="B235" s="226" t="s">
        <v>554</v>
      </c>
      <c r="C235" s="224" t="s">
        <v>555</v>
      </c>
      <c r="D235" s="224" t="str">
        <f t="shared" si="2"/>
        <v>50201010 00 - Traveling Expenses - Local (751)</v>
      </c>
      <c r="E235" s="224"/>
      <c r="F235" s="224"/>
      <c r="G235" s="224"/>
      <c r="H235" s="224"/>
      <c r="I235" s="224"/>
      <c r="J235" s="224"/>
      <c r="K235" s="224"/>
      <c r="L235" s="224"/>
      <c r="M235" s="224"/>
      <c r="N235" s="224"/>
      <c r="O235" s="224"/>
      <c r="P235" s="224"/>
      <c r="Q235" s="224"/>
      <c r="R235" s="224"/>
      <c r="S235" s="224"/>
      <c r="T235" s="224"/>
      <c r="U235" s="224"/>
      <c r="V235" s="224"/>
      <c r="W235" s="224"/>
      <c r="X235" s="224"/>
      <c r="Y235" s="224"/>
      <c r="Z235" s="224"/>
    </row>
    <row r="236" spans="1:26" ht="12.75" customHeight="1">
      <c r="A236" s="224">
        <v>752</v>
      </c>
      <c r="B236" s="226" t="s">
        <v>556</v>
      </c>
      <c r="C236" s="224" t="s">
        <v>557</v>
      </c>
      <c r="D236" s="224" t="str">
        <f t="shared" si="2"/>
        <v>50201020 00 - Traveling Expenses - Foreign (752)</v>
      </c>
      <c r="E236" s="224"/>
      <c r="F236" s="224"/>
      <c r="G236" s="224"/>
      <c r="H236" s="224"/>
      <c r="I236" s="224"/>
      <c r="J236" s="224"/>
      <c r="K236" s="224"/>
      <c r="L236" s="224"/>
      <c r="M236" s="224"/>
      <c r="N236" s="224"/>
      <c r="O236" s="224"/>
      <c r="P236" s="224"/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</row>
    <row r="237" spans="1:26" ht="12.75" customHeight="1">
      <c r="A237" s="224"/>
      <c r="B237" s="228" t="s">
        <v>558</v>
      </c>
      <c r="C237" s="224"/>
      <c r="D237" s="224"/>
      <c r="E237" s="224"/>
      <c r="F237" s="224"/>
      <c r="G237" s="224"/>
      <c r="H237" s="224"/>
      <c r="I237" s="224"/>
      <c r="J237" s="224"/>
      <c r="K237" s="224"/>
      <c r="L237" s="224"/>
      <c r="M237" s="224"/>
      <c r="N237" s="224"/>
      <c r="O237" s="224"/>
      <c r="P237" s="224"/>
      <c r="Q237" s="224"/>
      <c r="R237" s="224"/>
      <c r="S237" s="224"/>
      <c r="T237" s="224"/>
      <c r="U237" s="224"/>
      <c r="V237" s="224"/>
      <c r="W237" s="224"/>
      <c r="X237" s="224"/>
      <c r="Y237" s="224"/>
      <c r="Z237" s="224"/>
    </row>
    <row r="238" spans="1:26" ht="12.75" customHeight="1">
      <c r="A238" s="224">
        <v>753</v>
      </c>
      <c r="B238" s="226" t="s">
        <v>559</v>
      </c>
      <c r="C238" s="224" t="s">
        <v>560</v>
      </c>
      <c r="D238" s="224" t="str">
        <f t="shared" si="2"/>
        <v>50202010 00 - Training Expenses (753)</v>
      </c>
      <c r="E238" s="224"/>
      <c r="F238" s="224"/>
      <c r="G238" s="224"/>
      <c r="H238" s="224"/>
      <c r="I238" s="224"/>
      <c r="J238" s="224"/>
      <c r="K238" s="224"/>
      <c r="L238" s="224"/>
      <c r="M238" s="224"/>
      <c r="N238" s="224"/>
      <c r="O238" s="224"/>
      <c r="P238" s="224"/>
      <c r="Q238" s="224"/>
      <c r="R238" s="224"/>
      <c r="S238" s="224"/>
      <c r="T238" s="224"/>
      <c r="U238" s="224"/>
      <c r="V238" s="224"/>
      <c r="W238" s="224"/>
      <c r="X238" s="224"/>
      <c r="Y238" s="224"/>
      <c r="Z238" s="224"/>
    </row>
    <row r="239" spans="1:26" ht="12.75" customHeight="1">
      <c r="A239" s="224">
        <v>754</v>
      </c>
      <c r="B239" s="226" t="s">
        <v>561</v>
      </c>
      <c r="C239" s="224" t="s">
        <v>562</v>
      </c>
      <c r="D239" s="224" t="str">
        <f t="shared" si="2"/>
        <v>50202020 00 - Scholarship Grants/Expenses (754)</v>
      </c>
      <c r="E239" s="224"/>
      <c r="F239" s="224"/>
      <c r="G239" s="224"/>
      <c r="H239" s="224"/>
      <c r="I239" s="224"/>
      <c r="J239" s="224"/>
      <c r="K239" s="224"/>
      <c r="L239" s="224"/>
      <c r="M239" s="224"/>
      <c r="N239" s="224"/>
      <c r="O239" s="224"/>
      <c r="P239" s="224"/>
      <c r="Q239" s="224"/>
      <c r="R239" s="224"/>
      <c r="S239" s="224"/>
      <c r="T239" s="224"/>
      <c r="U239" s="224"/>
      <c r="V239" s="224"/>
      <c r="W239" s="224"/>
      <c r="X239" s="224"/>
      <c r="Y239" s="224"/>
      <c r="Z239" s="224"/>
    </row>
    <row r="240" spans="1:26" ht="12.75" customHeight="1">
      <c r="A240" s="224"/>
      <c r="B240" s="228" t="s">
        <v>563</v>
      </c>
      <c r="C240" s="224"/>
      <c r="D240" s="224"/>
      <c r="E240" s="224"/>
      <c r="F240" s="224"/>
      <c r="G240" s="224"/>
      <c r="H240" s="224"/>
      <c r="I240" s="224"/>
      <c r="J240" s="224"/>
      <c r="K240" s="224"/>
      <c r="L240" s="224"/>
      <c r="M240" s="224"/>
      <c r="N240" s="224"/>
      <c r="O240" s="224"/>
      <c r="P240" s="224"/>
      <c r="Q240" s="224"/>
      <c r="R240" s="224"/>
      <c r="S240" s="224"/>
      <c r="T240" s="224"/>
      <c r="U240" s="224"/>
      <c r="V240" s="224"/>
      <c r="W240" s="224"/>
      <c r="X240" s="224"/>
      <c r="Y240" s="224"/>
      <c r="Z240" s="224"/>
    </row>
    <row r="241" spans="1:26" ht="12.75" customHeight="1">
      <c r="A241" s="224">
        <v>755</v>
      </c>
      <c r="B241" s="226" t="s">
        <v>564</v>
      </c>
      <c r="C241" s="224" t="s">
        <v>565</v>
      </c>
      <c r="D241" s="224" t="str">
        <f t="shared" si="2"/>
        <v>50203010 00 - Office Supplies Expenses (755)</v>
      </c>
      <c r="E241" s="224"/>
      <c r="F241" s="224"/>
      <c r="G241" s="224"/>
      <c r="H241" s="224"/>
      <c r="I241" s="224"/>
      <c r="J241" s="224"/>
      <c r="K241" s="224"/>
      <c r="L241" s="224"/>
      <c r="M241" s="224"/>
      <c r="N241" s="224"/>
      <c r="O241" s="224"/>
      <c r="P241" s="224"/>
      <c r="Q241" s="224"/>
      <c r="R241" s="224"/>
      <c r="S241" s="224"/>
      <c r="T241" s="224"/>
      <c r="U241" s="224"/>
      <c r="V241" s="224"/>
      <c r="W241" s="224"/>
      <c r="X241" s="224"/>
      <c r="Y241" s="224"/>
      <c r="Z241" s="224"/>
    </row>
    <row r="242" spans="1:26" ht="12.75" customHeight="1">
      <c r="A242" s="224">
        <v>756</v>
      </c>
      <c r="B242" s="226" t="s">
        <v>566</v>
      </c>
      <c r="C242" s="224" t="s">
        <v>567</v>
      </c>
      <c r="D242" s="224" t="str">
        <f t="shared" si="2"/>
        <v>50203020 00 - Accountable Forms Expenses  (756)</v>
      </c>
      <c r="E242" s="224"/>
      <c r="F242" s="224"/>
      <c r="G242" s="224"/>
      <c r="H242" s="224"/>
      <c r="I242" s="224"/>
      <c r="J242" s="224"/>
      <c r="K242" s="224"/>
      <c r="L242" s="224"/>
      <c r="M242" s="224"/>
      <c r="N242" s="224"/>
      <c r="O242" s="224"/>
      <c r="P242" s="224"/>
      <c r="Q242" s="224"/>
      <c r="R242" s="224"/>
      <c r="S242" s="224"/>
      <c r="T242" s="224"/>
      <c r="U242" s="224"/>
      <c r="V242" s="224"/>
      <c r="W242" s="224"/>
      <c r="X242" s="224"/>
      <c r="Y242" s="224"/>
      <c r="Z242" s="224"/>
    </row>
    <row r="243" spans="1:26" ht="12.75" customHeight="1">
      <c r="A243" s="224"/>
      <c r="B243" s="226" t="s">
        <v>568</v>
      </c>
      <c r="C243" s="224" t="s">
        <v>569</v>
      </c>
      <c r="D243" s="224" t="str">
        <f t="shared" si="2"/>
        <v>50203030 00 - Non-Accountable Forms Expenses  ()</v>
      </c>
      <c r="E243" s="224"/>
      <c r="F243" s="224"/>
      <c r="G243" s="224"/>
      <c r="H243" s="224"/>
      <c r="I243" s="224"/>
      <c r="J243" s="224"/>
      <c r="K243" s="224"/>
      <c r="L243" s="224"/>
      <c r="M243" s="224"/>
      <c r="N243" s="224"/>
      <c r="O243" s="224"/>
      <c r="P243" s="224"/>
      <c r="Q243" s="224"/>
      <c r="R243" s="224"/>
      <c r="S243" s="224"/>
      <c r="T243" s="224"/>
      <c r="U243" s="224"/>
      <c r="V243" s="224"/>
      <c r="W243" s="224"/>
      <c r="X243" s="224"/>
      <c r="Y243" s="224"/>
      <c r="Z243" s="224"/>
    </row>
    <row r="244" spans="1:26" ht="12.75" customHeight="1">
      <c r="A244" s="224">
        <v>757</v>
      </c>
      <c r="B244" s="226" t="s">
        <v>570</v>
      </c>
      <c r="C244" s="224" t="s">
        <v>571</v>
      </c>
      <c r="D244" s="224" t="str">
        <f t="shared" si="2"/>
        <v>50203040 00 - Animal/Zoological Supplies Expenses (757)</v>
      </c>
      <c r="E244" s="224"/>
      <c r="F244" s="224"/>
      <c r="G244" s="224"/>
      <c r="H244" s="224"/>
      <c r="I244" s="224"/>
      <c r="J244" s="224"/>
      <c r="K244" s="224"/>
      <c r="L244" s="224"/>
      <c r="M244" s="224"/>
      <c r="N244" s="224"/>
      <c r="O244" s="224"/>
      <c r="P244" s="224"/>
      <c r="Q244" s="224"/>
      <c r="R244" s="224"/>
      <c r="S244" s="224"/>
      <c r="T244" s="224"/>
      <c r="U244" s="224"/>
      <c r="V244" s="224"/>
      <c r="W244" s="224"/>
      <c r="X244" s="224"/>
      <c r="Y244" s="224"/>
      <c r="Z244" s="224"/>
    </row>
    <row r="245" spans="1:26" ht="12.75" customHeight="1">
      <c r="A245" s="224">
        <v>758</v>
      </c>
      <c r="B245" s="226" t="s">
        <v>572</v>
      </c>
      <c r="C245" s="224" t="s">
        <v>573</v>
      </c>
      <c r="D245" s="224" t="str">
        <f t="shared" si="2"/>
        <v>50203050 00 - Food Supplies Expenses (758)</v>
      </c>
      <c r="E245" s="224"/>
      <c r="F245" s="224"/>
      <c r="G245" s="224"/>
      <c r="H245" s="224"/>
      <c r="I245" s="224"/>
      <c r="J245" s="224"/>
      <c r="K245" s="224"/>
      <c r="L245" s="224"/>
      <c r="M245" s="224"/>
      <c r="N245" s="224"/>
      <c r="O245" s="224"/>
      <c r="P245" s="224"/>
      <c r="Q245" s="224"/>
      <c r="R245" s="224"/>
      <c r="S245" s="224"/>
      <c r="T245" s="224"/>
      <c r="U245" s="224"/>
      <c r="V245" s="224"/>
      <c r="W245" s="224"/>
      <c r="X245" s="224"/>
      <c r="Y245" s="224"/>
      <c r="Z245" s="224"/>
    </row>
    <row r="246" spans="1:26" ht="12.75" customHeight="1">
      <c r="A246" s="224"/>
      <c r="B246" s="226" t="s">
        <v>574</v>
      </c>
      <c r="C246" s="224" t="s">
        <v>575</v>
      </c>
      <c r="D246" s="224" t="str">
        <f t="shared" si="2"/>
        <v>50203060 00 - Welfare Goods Expenses ()</v>
      </c>
      <c r="E246" s="224"/>
      <c r="F246" s="224"/>
      <c r="G246" s="224"/>
      <c r="H246" s="224"/>
      <c r="I246" s="224"/>
      <c r="J246" s="224"/>
      <c r="K246" s="224"/>
      <c r="L246" s="224"/>
      <c r="M246" s="224"/>
      <c r="N246" s="224"/>
      <c r="O246" s="224"/>
      <c r="P246" s="224"/>
      <c r="Q246" s="224"/>
      <c r="R246" s="224"/>
      <c r="S246" s="224"/>
      <c r="T246" s="224"/>
      <c r="U246" s="224"/>
      <c r="V246" s="224"/>
      <c r="W246" s="224"/>
      <c r="X246" s="224"/>
      <c r="Y246" s="224"/>
      <c r="Z246" s="224"/>
    </row>
    <row r="247" spans="1:26" ht="12.75" customHeight="1">
      <c r="A247" s="224">
        <v>759</v>
      </c>
      <c r="B247" s="226" t="s">
        <v>576</v>
      </c>
      <c r="C247" s="224" t="s">
        <v>577</v>
      </c>
      <c r="D247" s="224" t="str">
        <f t="shared" si="2"/>
        <v>50203070 00 - Drugs and Medicines Expenses (759)</v>
      </c>
      <c r="E247" s="224"/>
      <c r="F247" s="224"/>
      <c r="G247" s="224"/>
      <c r="H247" s="224"/>
      <c r="I247" s="224"/>
      <c r="J247" s="224"/>
      <c r="K247" s="224"/>
      <c r="L247" s="224"/>
      <c r="M247" s="224"/>
      <c r="N247" s="224"/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</row>
    <row r="248" spans="1:26" ht="12.75" customHeight="1">
      <c r="A248" s="224">
        <v>760</v>
      </c>
      <c r="B248" s="226" t="s">
        <v>578</v>
      </c>
      <c r="C248" s="224" t="s">
        <v>579</v>
      </c>
      <c r="D248" s="224" t="str">
        <f t="shared" si="2"/>
        <v>50203080 00 - Medical, Dental and Laboratory Supplies Expenses (760)</v>
      </c>
      <c r="E248" s="224"/>
      <c r="F248" s="224"/>
      <c r="G248" s="224"/>
      <c r="H248" s="224"/>
      <c r="I248" s="224"/>
      <c r="J248" s="224"/>
      <c r="K248" s="224"/>
      <c r="L248" s="224"/>
      <c r="M248" s="224"/>
      <c r="N248" s="224"/>
      <c r="O248" s="224"/>
      <c r="P248" s="224"/>
      <c r="Q248" s="224"/>
      <c r="R248" s="224"/>
      <c r="S248" s="224"/>
      <c r="T248" s="224"/>
      <c r="U248" s="224"/>
      <c r="V248" s="224"/>
      <c r="W248" s="224"/>
      <c r="X248" s="224"/>
      <c r="Y248" s="224"/>
      <c r="Z248" s="224"/>
    </row>
    <row r="249" spans="1:26" ht="12.75" customHeight="1">
      <c r="A249" s="224">
        <v>761</v>
      </c>
      <c r="B249" s="226" t="s">
        <v>580</v>
      </c>
      <c r="C249" s="224" t="s">
        <v>581</v>
      </c>
      <c r="D249" s="224" t="str">
        <f t="shared" si="2"/>
        <v>50203090 00 - Fuel, Oil and Lubricants Expenses (761)</v>
      </c>
      <c r="E249" s="224"/>
      <c r="F249" s="224"/>
      <c r="G249" s="224"/>
      <c r="H249" s="224"/>
      <c r="I249" s="224"/>
      <c r="J249" s="224"/>
      <c r="K249" s="224"/>
      <c r="L249" s="224"/>
      <c r="M249" s="224"/>
      <c r="N249" s="224"/>
      <c r="O249" s="224"/>
      <c r="P249" s="224"/>
      <c r="Q249" s="224"/>
      <c r="R249" s="224"/>
      <c r="S249" s="224"/>
      <c r="T249" s="224"/>
      <c r="U249" s="224"/>
      <c r="V249" s="224"/>
      <c r="W249" s="224"/>
      <c r="X249" s="224"/>
      <c r="Y249" s="224"/>
      <c r="Z249" s="224"/>
    </row>
    <row r="250" spans="1:26" ht="12.75" customHeight="1">
      <c r="A250" s="224">
        <v>762</v>
      </c>
      <c r="B250" s="226" t="s">
        <v>582</v>
      </c>
      <c r="C250" s="224" t="s">
        <v>583</v>
      </c>
      <c r="D250" s="224" t="str">
        <f t="shared" si="2"/>
        <v>50203100 00 - Agricultural and Marine Supplies Expenses (762)</v>
      </c>
      <c r="E250" s="224"/>
      <c r="F250" s="224"/>
      <c r="G250" s="224"/>
      <c r="H250" s="224"/>
      <c r="I250" s="224"/>
      <c r="J250" s="224"/>
      <c r="K250" s="224"/>
      <c r="L250" s="224"/>
      <c r="M250" s="224"/>
      <c r="N250" s="224"/>
      <c r="O250" s="224"/>
      <c r="P250" s="224"/>
      <c r="Q250" s="224"/>
      <c r="R250" s="224"/>
      <c r="S250" s="224"/>
      <c r="T250" s="224"/>
      <c r="U250" s="224"/>
      <c r="V250" s="224"/>
      <c r="W250" s="224"/>
      <c r="X250" s="224"/>
      <c r="Y250" s="224"/>
      <c r="Z250" s="224"/>
    </row>
    <row r="251" spans="1:26" ht="12.75" customHeight="1">
      <c r="A251" s="224"/>
      <c r="B251" s="228" t="s">
        <v>584</v>
      </c>
      <c r="C251" s="224"/>
      <c r="D251" s="224"/>
      <c r="E251" s="224"/>
      <c r="F251" s="224"/>
      <c r="G251" s="224"/>
      <c r="H251" s="224"/>
      <c r="I251" s="224"/>
      <c r="J251" s="224"/>
      <c r="K251" s="224"/>
      <c r="L251" s="224"/>
      <c r="M251" s="224"/>
      <c r="N251" s="224"/>
      <c r="O251" s="224"/>
      <c r="P251" s="224"/>
      <c r="Q251" s="224"/>
      <c r="R251" s="224"/>
      <c r="S251" s="224"/>
      <c r="T251" s="224"/>
      <c r="U251" s="224"/>
      <c r="V251" s="224"/>
      <c r="W251" s="224"/>
      <c r="X251" s="224"/>
      <c r="Y251" s="224"/>
      <c r="Z251" s="224"/>
    </row>
    <row r="252" spans="1:26" ht="12.75" customHeight="1">
      <c r="A252" s="224">
        <v>763</v>
      </c>
      <c r="B252" s="226" t="s">
        <v>585</v>
      </c>
      <c r="C252" s="224" t="s">
        <v>584</v>
      </c>
      <c r="D252" s="224" t="str">
        <f t="shared" si="2"/>
        <v>50203110 01 - Textbooks and Instructional Materials Expenses (763)</v>
      </c>
      <c r="E252" s="224"/>
      <c r="F252" s="224"/>
      <c r="G252" s="224"/>
      <c r="H252" s="224"/>
      <c r="I252" s="224"/>
      <c r="J252" s="224"/>
      <c r="K252" s="224"/>
      <c r="L252" s="224"/>
      <c r="M252" s="224"/>
      <c r="N252" s="224"/>
      <c r="O252" s="224"/>
      <c r="P252" s="224"/>
      <c r="Q252" s="224"/>
      <c r="R252" s="224"/>
      <c r="S252" s="224"/>
      <c r="T252" s="224"/>
      <c r="U252" s="224"/>
      <c r="V252" s="224"/>
      <c r="W252" s="224"/>
      <c r="X252" s="224"/>
      <c r="Y252" s="224"/>
      <c r="Z252" s="224"/>
    </row>
    <row r="253" spans="1:26" ht="12.75" customHeight="1">
      <c r="A253" s="224"/>
      <c r="B253" s="226" t="s">
        <v>586</v>
      </c>
      <c r="C253" s="224" t="s">
        <v>587</v>
      </c>
      <c r="D253" s="224" t="str">
        <f t="shared" si="2"/>
        <v>50203110 02 - Chalk Allowance ()</v>
      </c>
      <c r="E253" s="224"/>
      <c r="F253" s="224"/>
      <c r="G253" s="224"/>
      <c r="H253" s="224"/>
      <c r="I253" s="224"/>
      <c r="J253" s="224"/>
      <c r="K253" s="224"/>
      <c r="L253" s="224"/>
      <c r="M253" s="224"/>
      <c r="N253" s="224"/>
      <c r="O253" s="224"/>
      <c r="P253" s="224"/>
      <c r="Q253" s="224"/>
      <c r="R253" s="224"/>
      <c r="S253" s="224"/>
      <c r="T253" s="224"/>
      <c r="U253" s="224"/>
      <c r="V253" s="224"/>
      <c r="W253" s="224"/>
      <c r="X253" s="224"/>
      <c r="Y253" s="224"/>
      <c r="Z253" s="224"/>
    </row>
    <row r="254" spans="1:26" ht="12.75" customHeight="1">
      <c r="A254" s="224">
        <v>764</v>
      </c>
      <c r="B254" s="226" t="s">
        <v>588</v>
      </c>
      <c r="C254" s="224" t="s">
        <v>589</v>
      </c>
      <c r="D254" s="224" t="str">
        <f t="shared" si="2"/>
        <v>50203120 00 - Military, Police and Traffic Supplies Expenses (764)</v>
      </c>
      <c r="E254" s="224"/>
      <c r="F254" s="224"/>
      <c r="G254" s="224"/>
      <c r="H254" s="224"/>
      <c r="I254" s="224"/>
      <c r="J254" s="224"/>
      <c r="K254" s="224"/>
      <c r="L254" s="224"/>
      <c r="M254" s="224"/>
      <c r="N254" s="224"/>
      <c r="O254" s="224"/>
      <c r="P254" s="224"/>
      <c r="Q254" s="224"/>
      <c r="R254" s="224"/>
      <c r="S254" s="224"/>
      <c r="T254" s="224"/>
      <c r="U254" s="224"/>
      <c r="V254" s="224"/>
      <c r="W254" s="224"/>
      <c r="X254" s="224"/>
      <c r="Y254" s="224"/>
      <c r="Z254" s="224"/>
    </row>
    <row r="255" spans="1:26" ht="12.75" customHeight="1">
      <c r="A255" s="224"/>
      <c r="B255" s="226" t="s">
        <v>590</v>
      </c>
      <c r="C255" s="224" t="s">
        <v>591</v>
      </c>
      <c r="D255" s="224" t="str">
        <f t="shared" si="2"/>
        <v>50203130 00 - Chemical and Filtering Supplies Expenses ()</v>
      </c>
      <c r="E255" s="224"/>
      <c r="F255" s="224"/>
      <c r="G255" s="224"/>
      <c r="H255" s="224"/>
      <c r="I255" s="224"/>
      <c r="J255" s="224"/>
      <c r="K255" s="224"/>
      <c r="L255" s="224"/>
      <c r="M255" s="224"/>
      <c r="N255" s="224"/>
      <c r="O255" s="224"/>
      <c r="P255" s="224"/>
      <c r="Q255" s="224"/>
      <c r="R255" s="224"/>
      <c r="S255" s="224"/>
      <c r="T255" s="224"/>
      <c r="U255" s="224"/>
      <c r="V255" s="224"/>
      <c r="W255" s="224"/>
      <c r="X255" s="224"/>
      <c r="Y255" s="224"/>
      <c r="Z255" s="224"/>
    </row>
    <row r="256" spans="1:26" ht="12.75" customHeight="1">
      <c r="A256" s="224">
        <v>765</v>
      </c>
      <c r="B256" s="226" t="s">
        <v>592</v>
      </c>
      <c r="C256" s="224" t="s">
        <v>593</v>
      </c>
      <c r="D256" s="224" t="str">
        <f t="shared" si="2"/>
        <v>50203990 00 - Other Supplies and Materials Expenses (765)</v>
      </c>
      <c r="E256" s="224"/>
      <c r="F256" s="224"/>
      <c r="G256" s="224"/>
      <c r="H256" s="224"/>
      <c r="I256" s="224"/>
      <c r="J256" s="224"/>
      <c r="K256" s="224"/>
      <c r="L256" s="224"/>
      <c r="M256" s="224"/>
      <c r="N256" s="224"/>
      <c r="O256" s="224"/>
      <c r="P256" s="224"/>
      <c r="Q256" s="224"/>
      <c r="R256" s="224"/>
      <c r="S256" s="224"/>
      <c r="T256" s="224"/>
      <c r="U256" s="224"/>
      <c r="V256" s="224"/>
      <c r="W256" s="224"/>
      <c r="X256" s="224"/>
      <c r="Y256" s="224"/>
      <c r="Z256" s="224"/>
    </row>
    <row r="257" spans="1:26" ht="12.75" customHeight="1">
      <c r="A257" s="224"/>
      <c r="B257" s="228" t="s">
        <v>594</v>
      </c>
      <c r="C257" s="224"/>
      <c r="D257" s="224"/>
      <c r="E257" s="224"/>
      <c r="F257" s="224"/>
      <c r="G257" s="224"/>
      <c r="H257" s="224"/>
      <c r="I257" s="224"/>
      <c r="J257" s="224"/>
      <c r="K257" s="224"/>
      <c r="L257" s="224"/>
      <c r="M257" s="224"/>
      <c r="N257" s="224"/>
      <c r="O257" s="224"/>
      <c r="P257" s="224"/>
      <c r="Q257" s="224"/>
      <c r="R257" s="224"/>
      <c r="S257" s="224"/>
      <c r="T257" s="224"/>
      <c r="U257" s="224"/>
      <c r="V257" s="224"/>
      <c r="W257" s="224"/>
      <c r="X257" s="224"/>
      <c r="Y257" s="224"/>
      <c r="Z257" s="224"/>
    </row>
    <row r="258" spans="1:26" ht="12.75" customHeight="1">
      <c r="A258" s="224">
        <v>766</v>
      </c>
      <c r="B258" s="226" t="s">
        <v>595</v>
      </c>
      <c r="C258" s="224" t="s">
        <v>596</v>
      </c>
      <c r="D258" s="224" t="str">
        <f t="shared" si="2"/>
        <v>50204010 00 - Water Expenses (766)</v>
      </c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</row>
    <row r="259" spans="1:26" ht="12.75" customHeight="1">
      <c r="A259" s="224">
        <v>767</v>
      </c>
      <c r="B259" s="226" t="s">
        <v>597</v>
      </c>
      <c r="C259" s="224" t="s">
        <v>598</v>
      </c>
      <c r="D259" s="224" t="str">
        <f t="shared" ref="D259:D322" si="3">CONCATENATE(B259," - ",C259," (",A259,")")</f>
        <v>50204020 00 - Electricity Expense (767)</v>
      </c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</row>
    <row r="260" spans="1:26" ht="12.75" customHeight="1">
      <c r="A260" s="224"/>
      <c r="B260" s="228" t="s">
        <v>599</v>
      </c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</row>
    <row r="261" spans="1:26" ht="12.75" customHeight="1">
      <c r="A261" s="224">
        <v>771</v>
      </c>
      <c r="B261" s="226" t="s">
        <v>600</v>
      </c>
      <c r="C261" s="224" t="s">
        <v>601</v>
      </c>
      <c r="D261" s="224" t="str">
        <f t="shared" si="3"/>
        <v>50205010 00 - Postage and Courier Services (771)</v>
      </c>
      <c r="E261" s="224"/>
      <c r="F261" s="224"/>
      <c r="G261" s="224"/>
      <c r="H261" s="224"/>
      <c r="I261" s="224"/>
      <c r="J261" s="224"/>
      <c r="K261" s="224"/>
      <c r="L261" s="224"/>
      <c r="M261" s="224"/>
      <c r="N261" s="224"/>
      <c r="O261" s="224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</row>
    <row r="262" spans="1:26" ht="12.75" customHeight="1">
      <c r="A262" s="224">
        <v>773</v>
      </c>
      <c r="B262" s="226" t="s">
        <v>602</v>
      </c>
      <c r="C262" s="224" t="s">
        <v>603</v>
      </c>
      <c r="D262" s="224" t="str">
        <f t="shared" si="3"/>
        <v>50205020 01 - Telephone Expenses - Mobile  (773)</v>
      </c>
      <c r="E262" s="224"/>
      <c r="F262" s="224"/>
      <c r="G262" s="224"/>
      <c r="H262" s="224"/>
      <c r="I262" s="224"/>
      <c r="J262" s="224"/>
      <c r="K262" s="224"/>
      <c r="L262" s="224"/>
      <c r="M262" s="224"/>
      <c r="N262" s="224"/>
      <c r="O262" s="224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</row>
    <row r="263" spans="1:26" ht="12.75" customHeight="1">
      <c r="A263" s="224">
        <v>772</v>
      </c>
      <c r="B263" s="226" t="s">
        <v>604</v>
      </c>
      <c r="C263" s="224" t="s">
        <v>605</v>
      </c>
      <c r="D263" s="224" t="str">
        <f t="shared" si="3"/>
        <v>50205020 02 - Telephone Expenses - Landline  (772)</v>
      </c>
      <c r="E263" s="224"/>
      <c r="F263" s="224"/>
      <c r="G263" s="224"/>
      <c r="H263" s="224"/>
      <c r="I263" s="224"/>
      <c r="J263" s="224"/>
      <c r="K263" s="224"/>
      <c r="L263" s="224"/>
      <c r="M263" s="224"/>
      <c r="N263" s="224"/>
      <c r="O263" s="224"/>
      <c r="P263" s="224"/>
      <c r="Q263" s="224"/>
      <c r="R263" s="224"/>
      <c r="S263" s="224"/>
      <c r="T263" s="224"/>
      <c r="U263" s="224"/>
      <c r="V263" s="224"/>
      <c r="W263" s="224"/>
      <c r="X263" s="224"/>
      <c r="Y263" s="224"/>
      <c r="Z263" s="224"/>
    </row>
    <row r="264" spans="1:26" ht="12.75" customHeight="1">
      <c r="A264" s="224">
        <v>774</v>
      </c>
      <c r="B264" s="226" t="s">
        <v>606</v>
      </c>
      <c r="C264" s="224" t="s">
        <v>607</v>
      </c>
      <c r="D264" s="224" t="str">
        <f t="shared" si="3"/>
        <v>50205030 00 - Internet Subscription Expenses (774)</v>
      </c>
      <c r="E264" s="224"/>
      <c r="F264" s="224"/>
      <c r="G264" s="224"/>
      <c r="H264" s="224"/>
      <c r="I264" s="224"/>
      <c r="J264" s="224"/>
      <c r="K264" s="224"/>
      <c r="L264" s="224"/>
      <c r="M264" s="224"/>
      <c r="N264" s="224"/>
      <c r="O264" s="224"/>
      <c r="P264" s="224"/>
      <c r="Q264" s="224"/>
      <c r="R264" s="224"/>
      <c r="S264" s="224"/>
      <c r="T264" s="224"/>
      <c r="U264" s="224"/>
      <c r="V264" s="224"/>
      <c r="W264" s="224"/>
      <c r="X264" s="224"/>
      <c r="Y264" s="224"/>
      <c r="Z264" s="224"/>
    </row>
    <row r="265" spans="1:26" ht="12.75" customHeight="1">
      <c r="A265" s="224">
        <v>775</v>
      </c>
      <c r="B265" s="226" t="s">
        <v>608</v>
      </c>
      <c r="C265" s="224" t="s">
        <v>609</v>
      </c>
      <c r="D265" s="224" t="str">
        <f t="shared" si="3"/>
        <v>50205040 00 - Cable, Satellite, Telegraph, and Radio Expenses (775)</v>
      </c>
      <c r="E265" s="224"/>
      <c r="F265" s="224"/>
      <c r="G265" s="224"/>
      <c r="H265" s="224"/>
      <c r="I265" s="224"/>
      <c r="J265" s="224"/>
      <c r="K265" s="224"/>
      <c r="L265" s="224"/>
      <c r="M265" s="224"/>
      <c r="N265" s="224"/>
      <c r="O265" s="224"/>
      <c r="P265" s="224"/>
      <c r="Q265" s="224"/>
      <c r="R265" s="224"/>
      <c r="S265" s="224"/>
      <c r="T265" s="224"/>
      <c r="U265" s="224"/>
      <c r="V265" s="224"/>
      <c r="W265" s="224"/>
      <c r="X265" s="224"/>
      <c r="Y265" s="224"/>
      <c r="Z265" s="224"/>
    </row>
    <row r="266" spans="1:26" ht="12.75" customHeight="1">
      <c r="A266" s="224"/>
      <c r="B266" s="228" t="s">
        <v>610</v>
      </c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4"/>
      <c r="Y266" s="224"/>
      <c r="Z266" s="224"/>
    </row>
    <row r="267" spans="1:26" ht="12.75" customHeight="1">
      <c r="A267" s="224" t="s">
        <v>611</v>
      </c>
      <c r="B267" s="226" t="s">
        <v>612</v>
      </c>
      <c r="C267" s="224" t="s">
        <v>613</v>
      </c>
      <c r="D267" s="224" t="str">
        <f t="shared" si="3"/>
        <v>50206010 01 - Awards/Rewards Expenses (AWARDS)</v>
      </c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224"/>
      <c r="T267" s="224"/>
      <c r="U267" s="224"/>
      <c r="V267" s="224"/>
      <c r="W267" s="224"/>
      <c r="X267" s="224"/>
      <c r="Y267" s="224"/>
      <c r="Z267" s="224"/>
    </row>
    <row r="268" spans="1:26" ht="12.75" customHeight="1">
      <c r="A268" s="224"/>
      <c r="B268" s="226" t="s">
        <v>614</v>
      </c>
      <c r="C268" s="224" t="s">
        <v>615</v>
      </c>
      <c r="D268" s="224" t="str">
        <f t="shared" si="3"/>
        <v>50206010 02 - Rewards and Incentives ()</v>
      </c>
      <c r="E268" s="224"/>
      <c r="F268" s="224"/>
      <c r="G268" s="224"/>
      <c r="H268" s="224"/>
      <c r="I268" s="224"/>
      <c r="J268" s="224"/>
      <c r="K268" s="224"/>
      <c r="L268" s="224"/>
      <c r="M268" s="224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4"/>
      <c r="Y268" s="224"/>
      <c r="Z268" s="224"/>
    </row>
    <row r="269" spans="1:26" ht="12.75" customHeight="1">
      <c r="A269" s="224"/>
      <c r="B269" s="226" t="s">
        <v>616</v>
      </c>
      <c r="C269" s="224" t="s">
        <v>617</v>
      </c>
      <c r="D269" s="224" t="str">
        <f t="shared" si="3"/>
        <v>50206020 00 - Prizes ()</v>
      </c>
      <c r="E269" s="224"/>
      <c r="F269" s="224"/>
      <c r="G269" s="224"/>
      <c r="H269" s="224"/>
      <c r="I269" s="224"/>
      <c r="J269" s="224"/>
      <c r="K269" s="224"/>
      <c r="L269" s="224"/>
      <c r="M269" s="224"/>
      <c r="N269" s="224"/>
      <c r="O269" s="224"/>
      <c r="P269" s="224"/>
      <c r="Q269" s="224"/>
      <c r="R269" s="224"/>
      <c r="S269" s="224"/>
      <c r="T269" s="224"/>
      <c r="U269" s="224"/>
      <c r="V269" s="224"/>
      <c r="W269" s="224"/>
      <c r="X269" s="224"/>
      <c r="Y269" s="224"/>
      <c r="Z269" s="224"/>
    </row>
    <row r="270" spans="1:26" ht="12.75" customHeight="1">
      <c r="A270" s="224"/>
      <c r="B270" s="228" t="s">
        <v>618</v>
      </c>
      <c r="C270" s="224"/>
      <c r="D270" s="224"/>
      <c r="E270" s="224"/>
      <c r="F270" s="224"/>
      <c r="G270" s="224"/>
      <c r="H270" s="224"/>
      <c r="I270" s="224"/>
      <c r="J270" s="224"/>
      <c r="K270" s="224"/>
      <c r="L270" s="224"/>
      <c r="M270" s="224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4"/>
      <c r="Y270" s="224"/>
      <c r="Z270" s="224"/>
    </row>
    <row r="271" spans="1:26" ht="12.75" customHeight="1">
      <c r="A271" s="224">
        <v>881</v>
      </c>
      <c r="B271" s="226" t="s">
        <v>619</v>
      </c>
      <c r="C271" s="224" t="s">
        <v>620</v>
      </c>
      <c r="D271" s="224" t="str">
        <f t="shared" si="3"/>
        <v>50210010 00 - Confidential Expenses (881)</v>
      </c>
      <c r="E271" s="224"/>
      <c r="F271" s="224"/>
      <c r="G271" s="224"/>
      <c r="H271" s="224"/>
      <c r="I271" s="224"/>
      <c r="J271" s="224"/>
      <c r="K271" s="224"/>
      <c r="L271" s="224"/>
      <c r="M271" s="224"/>
      <c r="N271" s="224"/>
      <c r="O271" s="224"/>
      <c r="P271" s="224"/>
      <c r="Q271" s="224"/>
      <c r="R271" s="224"/>
      <c r="S271" s="224"/>
      <c r="T271" s="224"/>
      <c r="U271" s="224"/>
      <c r="V271" s="224"/>
      <c r="W271" s="224"/>
      <c r="X271" s="224"/>
      <c r="Y271" s="224"/>
      <c r="Z271" s="224"/>
    </row>
    <row r="272" spans="1:26" ht="12.75" customHeight="1">
      <c r="A272" s="224">
        <v>882</v>
      </c>
      <c r="B272" s="226" t="s">
        <v>621</v>
      </c>
      <c r="C272" s="224" t="s">
        <v>622</v>
      </c>
      <c r="D272" s="224" t="str">
        <f t="shared" si="3"/>
        <v>50210020 00 - Intelligence Expenses (882)</v>
      </c>
      <c r="E272" s="224"/>
      <c r="F272" s="224"/>
      <c r="G272" s="224"/>
      <c r="H272" s="224"/>
      <c r="I272" s="224"/>
      <c r="J272" s="224"/>
      <c r="K272" s="224"/>
      <c r="L272" s="224"/>
      <c r="M272" s="224"/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4"/>
      <c r="Y272" s="224"/>
      <c r="Z272" s="224"/>
    </row>
    <row r="273" spans="1:26" ht="12.75" customHeight="1">
      <c r="A273" s="224">
        <v>883</v>
      </c>
      <c r="B273" s="226" t="s">
        <v>623</v>
      </c>
      <c r="C273" s="224" t="s">
        <v>624</v>
      </c>
      <c r="D273" s="224" t="str">
        <f t="shared" si="3"/>
        <v>50210030 00 - Extraordinary and Miscellaneous Expense (883)</v>
      </c>
      <c r="E273" s="224"/>
      <c r="F273" s="224"/>
      <c r="G273" s="224"/>
      <c r="H273" s="224"/>
      <c r="I273" s="224"/>
      <c r="J273" s="224"/>
      <c r="K273" s="224"/>
      <c r="L273" s="224"/>
      <c r="M273" s="224"/>
      <c r="N273" s="224"/>
      <c r="O273" s="224"/>
      <c r="P273" s="224"/>
      <c r="Q273" s="224"/>
      <c r="R273" s="224"/>
      <c r="S273" s="224"/>
      <c r="T273" s="224"/>
      <c r="U273" s="224"/>
      <c r="V273" s="224"/>
      <c r="W273" s="224"/>
      <c r="X273" s="224"/>
      <c r="Y273" s="224"/>
      <c r="Z273" s="224"/>
    </row>
    <row r="274" spans="1:26" ht="12.75" customHeight="1">
      <c r="A274" s="224"/>
      <c r="B274" s="228" t="s">
        <v>625</v>
      </c>
      <c r="C274" s="224"/>
      <c r="D274" s="224"/>
      <c r="E274" s="224"/>
      <c r="F274" s="224"/>
      <c r="G274" s="224"/>
      <c r="H274" s="224"/>
      <c r="I274" s="224"/>
      <c r="J274" s="224"/>
      <c r="K274" s="224"/>
      <c r="L274" s="224"/>
      <c r="M274" s="224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4"/>
      <c r="Y274" s="224"/>
      <c r="Z274" s="224"/>
    </row>
    <row r="275" spans="1:26" ht="12.75" customHeight="1">
      <c r="A275" s="224">
        <v>791</v>
      </c>
      <c r="B275" s="226" t="s">
        <v>626</v>
      </c>
      <c r="C275" s="224" t="s">
        <v>627</v>
      </c>
      <c r="D275" s="224" t="str">
        <f t="shared" si="3"/>
        <v>50211010 00 - Legal Services (791)</v>
      </c>
      <c r="E275" s="224"/>
      <c r="F275" s="224"/>
      <c r="G275" s="224"/>
      <c r="H275" s="224"/>
      <c r="I275" s="224"/>
      <c r="J275" s="224"/>
      <c r="K275" s="224"/>
      <c r="L275" s="224"/>
      <c r="M275" s="224"/>
      <c r="N275" s="224"/>
      <c r="O275" s="224"/>
      <c r="P275" s="224"/>
      <c r="Q275" s="224"/>
      <c r="R275" s="224"/>
      <c r="S275" s="224"/>
      <c r="T275" s="224"/>
      <c r="U275" s="224"/>
      <c r="V275" s="224"/>
      <c r="W275" s="224"/>
      <c r="X275" s="224"/>
      <c r="Y275" s="224"/>
      <c r="Z275" s="224"/>
    </row>
    <row r="276" spans="1:26" ht="12.75" customHeight="1">
      <c r="A276" s="224">
        <v>792</v>
      </c>
      <c r="B276" s="226" t="s">
        <v>628</v>
      </c>
      <c r="C276" s="224" t="s">
        <v>629</v>
      </c>
      <c r="D276" s="224" t="str">
        <f t="shared" si="3"/>
        <v>50211020 00 - Auditing Services (792)</v>
      </c>
      <c r="E276" s="224"/>
      <c r="F276" s="224"/>
      <c r="G276" s="224"/>
      <c r="H276" s="224"/>
      <c r="I276" s="224"/>
      <c r="J276" s="224"/>
      <c r="K276" s="224"/>
      <c r="L276" s="224"/>
      <c r="M276" s="224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4"/>
      <c r="Y276" s="224"/>
      <c r="Z276" s="224"/>
    </row>
    <row r="277" spans="1:26" ht="12.75" customHeight="1">
      <c r="A277" s="224">
        <v>793</v>
      </c>
      <c r="B277" s="226" t="s">
        <v>630</v>
      </c>
      <c r="C277" s="224" t="s">
        <v>631</v>
      </c>
      <c r="D277" s="224" t="str">
        <f t="shared" si="3"/>
        <v>50211030 00 - Consultancy Services (793)</v>
      </c>
      <c r="E277" s="224"/>
      <c r="F277" s="224"/>
      <c r="G277" s="224"/>
      <c r="H277" s="224"/>
      <c r="I277" s="224"/>
      <c r="J277" s="224"/>
      <c r="K277" s="224"/>
      <c r="L277" s="224"/>
      <c r="M277" s="224"/>
      <c r="N277" s="224"/>
      <c r="O277" s="224"/>
      <c r="P277" s="224"/>
      <c r="Q277" s="224"/>
      <c r="R277" s="224"/>
      <c r="S277" s="224"/>
      <c r="T277" s="224"/>
      <c r="U277" s="224"/>
      <c r="V277" s="224"/>
      <c r="W277" s="224"/>
      <c r="X277" s="224"/>
      <c r="Y277" s="224"/>
      <c r="Z277" s="224"/>
    </row>
    <row r="278" spans="1:26" ht="12.75" customHeight="1">
      <c r="A278" s="224">
        <v>799</v>
      </c>
      <c r="B278" s="226" t="s">
        <v>632</v>
      </c>
      <c r="C278" s="224" t="s">
        <v>633</v>
      </c>
      <c r="D278" s="224" t="str">
        <f t="shared" si="3"/>
        <v>50211990 00 - Other Professional Services (799)</v>
      </c>
      <c r="E278" s="224"/>
      <c r="F278" s="224"/>
      <c r="G278" s="224"/>
      <c r="H278" s="224"/>
      <c r="I278" s="224"/>
      <c r="J278" s="224"/>
      <c r="K278" s="224"/>
      <c r="L278" s="224"/>
      <c r="M278" s="224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4"/>
      <c r="Y278" s="224"/>
      <c r="Z278" s="224"/>
    </row>
    <row r="279" spans="1:26" ht="12.75" customHeight="1">
      <c r="A279" s="224"/>
      <c r="B279" s="228" t="s">
        <v>634</v>
      </c>
      <c r="C279" s="224"/>
      <c r="D279" s="224"/>
      <c r="E279" s="224"/>
      <c r="F279" s="224"/>
      <c r="G279" s="224"/>
      <c r="H279" s="224"/>
      <c r="I279" s="224"/>
      <c r="J279" s="224"/>
      <c r="K279" s="224"/>
      <c r="L279" s="224"/>
      <c r="M279" s="224"/>
      <c r="N279" s="224"/>
      <c r="O279" s="224"/>
      <c r="P279" s="224"/>
      <c r="Q279" s="224"/>
      <c r="R279" s="224"/>
      <c r="S279" s="224"/>
      <c r="T279" s="224"/>
      <c r="U279" s="224"/>
      <c r="V279" s="224"/>
      <c r="W279" s="224"/>
      <c r="X279" s="224"/>
      <c r="Y279" s="224"/>
      <c r="Z279" s="224"/>
    </row>
    <row r="280" spans="1:26" ht="12.75" customHeight="1">
      <c r="A280" s="224">
        <v>794</v>
      </c>
      <c r="B280" s="226" t="s">
        <v>635</v>
      </c>
      <c r="C280" s="224" t="s">
        <v>636</v>
      </c>
      <c r="D280" s="224" t="str">
        <f t="shared" si="3"/>
        <v>50212010 00 - Environment/Sanitary Services (794)</v>
      </c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4"/>
      <c r="Y280" s="224"/>
      <c r="Z280" s="224"/>
    </row>
    <row r="281" spans="1:26" ht="12.75" customHeight="1">
      <c r="A281" s="224">
        <v>796</v>
      </c>
      <c r="B281" s="226" t="s">
        <v>637</v>
      </c>
      <c r="C281" s="224" t="s">
        <v>638</v>
      </c>
      <c r="D281" s="224" t="str">
        <f t="shared" si="3"/>
        <v>50212020 00 - Janitorial Services (796)</v>
      </c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224"/>
      <c r="T281" s="224"/>
      <c r="U281" s="224"/>
      <c r="V281" s="224"/>
      <c r="W281" s="224"/>
      <c r="X281" s="224"/>
      <c r="Y281" s="224"/>
      <c r="Z281" s="224"/>
    </row>
    <row r="282" spans="1:26" ht="12.75" customHeight="1">
      <c r="A282" s="224">
        <v>797</v>
      </c>
      <c r="B282" s="226" t="s">
        <v>639</v>
      </c>
      <c r="C282" s="224" t="s">
        <v>640</v>
      </c>
      <c r="D282" s="224" t="str">
        <f t="shared" si="3"/>
        <v>50212030 00 - Security Services (797)</v>
      </c>
      <c r="E282" s="224"/>
      <c r="F282" s="224"/>
      <c r="G282" s="224"/>
      <c r="H282" s="224"/>
      <c r="I282" s="224"/>
      <c r="J282" s="224"/>
      <c r="K282" s="224"/>
      <c r="L282" s="224"/>
      <c r="M282" s="224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4"/>
      <c r="Y282" s="224"/>
      <c r="Z282" s="224"/>
    </row>
    <row r="283" spans="1:26" ht="12.75" customHeight="1">
      <c r="A283" s="224">
        <v>795</v>
      </c>
      <c r="B283" s="226" t="s">
        <v>641</v>
      </c>
      <c r="C283" s="224" t="s">
        <v>642</v>
      </c>
      <c r="D283" s="224" t="str">
        <f t="shared" si="3"/>
        <v>50212990 00 - Other General Services (795)</v>
      </c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</row>
    <row r="284" spans="1:26" ht="12.75" customHeight="1">
      <c r="A284" s="224"/>
      <c r="B284" s="228" t="s">
        <v>643</v>
      </c>
      <c r="C284" s="224"/>
      <c r="D284" s="224" t="str">
        <f t="shared" si="3"/>
        <v>Repairs and Maintenance -  ()</v>
      </c>
      <c r="E284" s="224"/>
      <c r="F284" s="224"/>
      <c r="G284" s="224"/>
      <c r="H284" s="224"/>
      <c r="I284" s="224"/>
      <c r="J284" s="224"/>
      <c r="K284" s="224"/>
      <c r="L284" s="224"/>
      <c r="M284" s="224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4"/>
      <c r="Y284" s="224"/>
      <c r="Z284" s="224"/>
    </row>
    <row r="285" spans="1:26" ht="12.75" customHeight="1">
      <c r="A285" s="224"/>
      <c r="B285" s="228" t="s">
        <v>644</v>
      </c>
      <c r="C285" s="224"/>
      <c r="D285" s="224" t="str">
        <f t="shared" si="3"/>
        <v xml:space="preserve">   Repairs and Maintenance - Machinery and Equipment -  ()</v>
      </c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4"/>
      <c r="P285" s="224"/>
      <c r="Q285" s="224"/>
      <c r="R285" s="224"/>
      <c r="S285" s="224"/>
      <c r="T285" s="224"/>
      <c r="U285" s="224"/>
      <c r="V285" s="224"/>
      <c r="W285" s="224"/>
      <c r="X285" s="224"/>
      <c r="Y285" s="224"/>
      <c r="Z285" s="224"/>
    </row>
    <row r="286" spans="1:26" ht="12.75" customHeight="1">
      <c r="A286" s="224">
        <v>820</v>
      </c>
      <c r="B286" s="226" t="s">
        <v>645</v>
      </c>
      <c r="C286" s="224" t="s">
        <v>646</v>
      </c>
      <c r="D286" s="224" t="str">
        <f t="shared" si="3"/>
        <v>50213040 01 - Buildings (820)</v>
      </c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4"/>
      <c r="Y286" s="224"/>
      <c r="Z286" s="224"/>
    </row>
    <row r="287" spans="1:26" ht="12.75" customHeight="1">
      <c r="A287" s="224">
        <v>826</v>
      </c>
      <c r="B287" s="226" t="s">
        <v>647</v>
      </c>
      <c r="C287" s="224" t="s">
        <v>648</v>
      </c>
      <c r="D287" s="224" t="str">
        <f t="shared" si="3"/>
        <v>50213050 01 - Machinery (826)</v>
      </c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ht="12.75" customHeight="1">
      <c r="A288" s="224">
        <v>821</v>
      </c>
      <c r="B288" s="226" t="s">
        <v>649</v>
      </c>
      <c r="C288" s="224" t="s">
        <v>311</v>
      </c>
      <c r="D288" s="224" t="str">
        <f t="shared" si="3"/>
        <v>50213050 02 - Office Equipment (821)</v>
      </c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ht="12.75" customHeight="1">
      <c r="A289" s="224">
        <v>823</v>
      </c>
      <c r="B289" s="226" t="s">
        <v>650</v>
      </c>
      <c r="C289" s="224" t="s">
        <v>651</v>
      </c>
      <c r="D289" s="224" t="str">
        <f t="shared" si="3"/>
        <v>50213050 03 - ICT Equipment (823)</v>
      </c>
      <c r="E289" s="224"/>
      <c r="F289" s="224"/>
      <c r="G289" s="224"/>
      <c r="H289" s="224"/>
      <c r="I289" s="224"/>
      <c r="J289" s="224"/>
      <c r="K289" s="224"/>
      <c r="L289" s="224"/>
      <c r="M289" s="224"/>
      <c r="N289" s="224"/>
      <c r="O289" s="224"/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ht="12.75" customHeight="1">
      <c r="A290" s="224">
        <v>840</v>
      </c>
      <c r="B290" s="226" t="s">
        <v>652</v>
      </c>
      <c r="C290" s="224" t="s">
        <v>653</v>
      </c>
      <c r="D290" s="224" t="str">
        <f t="shared" si="3"/>
        <v>50213050 99 - Other Machinery and Equipment (840)</v>
      </c>
      <c r="E290" s="224"/>
      <c r="F290" s="224"/>
      <c r="G290" s="224"/>
      <c r="H290" s="224"/>
      <c r="I290" s="224"/>
      <c r="J290" s="224"/>
      <c r="K290" s="224"/>
      <c r="L290" s="224"/>
      <c r="M290" s="224"/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ht="12.75" customHeight="1">
      <c r="A291" s="224">
        <v>850</v>
      </c>
      <c r="B291" s="226" t="s">
        <v>654</v>
      </c>
      <c r="C291" s="224" t="s">
        <v>655</v>
      </c>
      <c r="D291" s="224" t="str">
        <f t="shared" si="3"/>
        <v>50213990 99 - Other PPE (850)</v>
      </c>
      <c r="E291" s="224"/>
      <c r="F291" s="224"/>
      <c r="G291" s="224"/>
      <c r="H291" s="224"/>
      <c r="I291" s="224"/>
      <c r="J291" s="224"/>
      <c r="K291" s="224"/>
      <c r="L291" s="224"/>
      <c r="M291" s="224"/>
      <c r="N291" s="224"/>
      <c r="O291" s="224"/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ht="12.75" customHeight="1">
      <c r="A292" s="224"/>
      <c r="B292" s="228" t="s">
        <v>656</v>
      </c>
      <c r="C292" s="224"/>
      <c r="D292" s="224" t="str">
        <f t="shared" si="3"/>
        <v xml:space="preserve">   Repairs and Maintenance - Transportation Equipment -  ()</v>
      </c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ht="12.75" customHeight="1">
      <c r="A293" s="224">
        <v>841</v>
      </c>
      <c r="B293" s="226" t="s">
        <v>657</v>
      </c>
      <c r="C293" s="224" t="s">
        <v>319</v>
      </c>
      <c r="D293" s="224" t="str">
        <f t="shared" si="3"/>
        <v>50213060 01 - Motor Vehicles (841)</v>
      </c>
      <c r="E293" s="224"/>
      <c r="F293" s="224"/>
      <c r="G293" s="224"/>
      <c r="H293" s="224"/>
      <c r="I293" s="224"/>
      <c r="J293" s="224"/>
      <c r="K293" s="224"/>
      <c r="L293" s="224"/>
      <c r="M293" s="224"/>
      <c r="N293" s="224"/>
      <c r="O293" s="224"/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ht="12.75" customHeight="1">
      <c r="A294" s="224"/>
      <c r="B294" s="226" t="s">
        <v>658</v>
      </c>
      <c r="C294" s="224" t="s">
        <v>659</v>
      </c>
      <c r="D294" s="224" t="str">
        <f t="shared" si="3"/>
        <v>50213060 99 - Other Transportation Equipment ()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4"/>
      <c r="Y294" s="224"/>
      <c r="Z294" s="224"/>
    </row>
    <row r="295" spans="1:26" ht="12.75" customHeight="1">
      <c r="A295" s="224"/>
      <c r="B295" s="228" t="s">
        <v>660</v>
      </c>
      <c r="C295" s="224"/>
      <c r="D295" s="224" t="str">
        <f t="shared" si="3"/>
        <v xml:space="preserve">   Repairs and Maintenance - Furniture and Fixture -  ()</v>
      </c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ht="12.75" customHeight="1">
      <c r="A296" s="224">
        <v>822</v>
      </c>
      <c r="B296" s="226" t="s">
        <v>661</v>
      </c>
      <c r="C296" s="224" t="s">
        <v>662</v>
      </c>
      <c r="D296" s="224" t="str">
        <f t="shared" si="3"/>
        <v>50213070 00 - Furniture and Fixture (822)</v>
      </c>
      <c r="E296" s="224"/>
      <c r="F296" s="224"/>
      <c r="G296" s="224"/>
      <c r="H296" s="224"/>
      <c r="I296" s="224"/>
      <c r="J296" s="224"/>
      <c r="K296" s="224"/>
      <c r="L296" s="224"/>
      <c r="M296" s="224"/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ht="12.75" customHeight="1">
      <c r="A297" s="224"/>
      <c r="B297" s="228" t="s">
        <v>663</v>
      </c>
      <c r="C297" s="224"/>
      <c r="D297" s="224" t="str">
        <f t="shared" si="3"/>
        <v>Taxes, Insurance Premiums and Others Fees -  ()</v>
      </c>
      <c r="E297" s="224"/>
      <c r="F297" s="224"/>
      <c r="G297" s="224"/>
      <c r="H297" s="224"/>
      <c r="I297" s="224"/>
      <c r="J297" s="224"/>
      <c r="K297" s="224"/>
      <c r="L297" s="224"/>
      <c r="M297" s="224"/>
      <c r="N297" s="224"/>
      <c r="O297" s="224"/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</row>
    <row r="298" spans="1:26" ht="12.75" customHeight="1">
      <c r="A298" s="224">
        <v>891</v>
      </c>
      <c r="B298" s="226" t="s">
        <v>664</v>
      </c>
      <c r="C298" s="224" t="s">
        <v>665</v>
      </c>
      <c r="D298" s="224" t="str">
        <f t="shared" si="3"/>
        <v>50215010 01 - Taxes, Duties and Licenses (891)</v>
      </c>
      <c r="E298" s="224"/>
      <c r="F298" s="224"/>
      <c r="G298" s="224"/>
      <c r="H298" s="224"/>
      <c r="I298" s="224"/>
      <c r="J298" s="224"/>
      <c r="K298" s="224"/>
      <c r="L298" s="224"/>
      <c r="M298" s="224"/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4"/>
      <c r="Y298" s="224"/>
      <c r="Z298" s="224"/>
    </row>
    <row r="299" spans="1:26" ht="12.75" customHeight="1">
      <c r="A299" s="224"/>
      <c r="B299" s="226" t="s">
        <v>666</v>
      </c>
      <c r="C299" s="224" t="s">
        <v>667</v>
      </c>
      <c r="D299" s="224" t="str">
        <f t="shared" si="3"/>
        <v>50215010 02 - Tax Refund ()</v>
      </c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</row>
    <row r="300" spans="1:26" ht="12.75" customHeight="1">
      <c r="A300" s="224">
        <v>892</v>
      </c>
      <c r="B300" s="226" t="s">
        <v>668</v>
      </c>
      <c r="C300" s="224" t="s">
        <v>669</v>
      </c>
      <c r="D300" s="224" t="str">
        <f t="shared" si="3"/>
        <v>50215020 00 - Fidelity Bond Premiums (892)</v>
      </c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4"/>
      <c r="Y300" s="224"/>
      <c r="Z300" s="224"/>
    </row>
    <row r="301" spans="1:26" ht="12.75" customHeight="1">
      <c r="A301" s="224">
        <v>893</v>
      </c>
      <c r="B301" s="226" t="s">
        <v>670</v>
      </c>
      <c r="C301" s="224" t="s">
        <v>671</v>
      </c>
      <c r="D301" s="224" t="str">
        <f t="shared" si="3"/>
        <v>50215030 00 - Insurance Expense (893)</v>
      </c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224"/>
      <c r="T301" s="224"/>
      <c r="U301" s="224"/>
      <c r="V301" s="224"/>
      <c r="W301" s="224"/>
      <c r="X301" s="224"/>
      <c r="Y301" s="224"/>
      <c r="Z301" s="224"/>
    </row>
    <row r="302" spans="1:26" ht="12.75" customHeight="1">
      <c r="A302" s="224"/>
      <c r="B302" s="228" t="s">
        <v>672</v>
      </c>
      <c r="C302" s="224"/>
      <c r="D302" s="224" t="str">
        <f t="shared" si="3"/>
        <v>Other Maintenance and Operating Expenses -  ()</v>
      </c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4"/>
      <c r="Y302" s="224"/>
      <c r="Z302" s="224"/>
    </row>
    <row r="303" spans="1:26" ht="12.75" customHeight="1">
      <c r="A303" s="224">
        <v>780</v>
      </c>
      <c r="B303" s="226" t="s">
        <v>673</v>
      </c>
      <c r="C303" s="224" t="s">
        <v>674</v>
      </c>
      <c r="D303" s="224" t="str">
        <f t="shared" si="3"/>
        <v>50299010 00 - Advertising Expenses (780)</v>
      </c>
      <c r="E303" s="224"/>
      <c r="F303" s="224"/>
      <c r="G303" s="224"/>
      <c r="H303" s="224"/>
      <c r="I303" s="224"/>
      <c r="J303" s="224"/>
      <c r="K303" s="224"/>
      <c r="L303" s="224"/>
      <c r="M303" s="224"/>
      <c r="N303" s="224"/>
      <c r="O303" s="224"/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</row>
    <row r="304" spans="1:26" ht="12.75" customHeight="1">
      <c r="A304" s="224">
        <v>781</v>
      </c>
      <c r="B304" s="226" t="s">
        <v>675</v>
      </c>
      <c r="C304" s="224" t="s">
        <v>676</v>
      </c>
      <c r="D304" s="224" t="str">
        <f t="shared" si="3"/>
        <v>50299020 00 - Printing and Binding Expenses (781)</v>
      </c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4"/>
      <c r="Y304" s="224"/>
      <c r="Z304" s="224"/>
    </row>
    <row r="305" spans="1:26" ht="12.75" customHeight="1">
      <c r="A305" s="224">
        <v>783</v>
      </c>
      <c r="B305" s="226" t="s">
        <v>677</v>
      </c>
      <c r="C305" s="224" t="s">
        <v>678</v>
      </c>
      <c r="D305" s="224" t="str">
        <f t="shared" si="3"/>
        <v>50299030 00 - Representation Expenses (783)</v>
      </c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</row>
    <row r="306" spans="1:26" ht="12.75" customHeight="1">
      <c r="A306" s="224">
        <v>784</v>
      </c>
      <c r="B306" s="226" t="s">
        <v>679</v>
      </c>
      <c r="C306" s="224" t="s">
        <v>680</v>
      </c>
      <c r="D306" s="224" t="str">
        <f t="shared" si="3"/>
        <v>50299040 00 - Transportation and Delivery Expenses (784)</v>
      </c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</row>
    <row r="307" spans="1:26" ht="12.75" customHeight="1">
      <c r="A307" s="224"/>
      <c r="B307" s="228" t="s">
        <v>681</v>
      </c>
      <c r="C307" s="224"/>
      <c r="D307" s="224" t="str">
        <f t="shared" si="3"/>
        <v>Rent/Lease Expense -  ()</v>
      </c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</row>
    <row r="308" spans="1:26" ht="12.75" customHeight="1">
      <c r="A308" s="224">
        <v>782</v>
      </c>
      <c r="B308" s="226" t="s">
        <v>682</v>
      </c>
      <c r="C308" s="224" t="s">
        <v>683</v>
      </c>
      <c r="D308" s="224" t="str">
        <f t="shared" si="3"/>
        <v>50299050 01 - Rent - Buildings and Structures (782)</v>
      </c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</row>
    <row r="309" spans="1:26" ht="12.75" customHeight="1">
      <c r="A309" s="224" t="s">
        <v>684</v>
      </c>
      <c r="B309" s="226" t="s">
        <v>685</v>
      </c>
      <c r="C309" s="224" t="s">
        <v>686</v>
      </c>
      <c r="D309" s="224" t="str">
        <f t="shared" si="3"/>
        <v>50299050 04 - Rent - Equipment (782-1)</v>
      </c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</row>
    <row r="310" spans="1:26" ht="12.75" customHeight="1">
      <c r="A310" s="224" t="s">
        <v>687</v>
      </c>
      <c r="B310" s="226" t="s">
        <v>688</v>
      </c>
      <c r="C310" s="224" t="s">
        <v>689</v>
      </c>
      <c r="D310" s="224" t="str">
        <f t="shared" si="3"/>
        <v>50299050 03 - Rent - Motor Vehicle (782-VEH)</v>
      </c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</row>
    <row r="311" spans="1:26" ht="12.75" customHeight="1">
      <c r="A311" s="224">
        <v>778</v>
      </c>
      <c r="B311" s="226" t="s">
        <v>690</v>
      </c>
      <c r="C311" s="224" t="s">
        <v>691</v>
      </c>
      <c r="D311" s="224" t="str">
        <f t="shared" si="3"/>
        <v>50299060 00 - Membership Dues and Contributions to Organizations (778)</v>
      </c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</row>
    <row r="312" spans="1:26" ht="12.75" customHeight="1">
      <c r="A312" s="224">
        <v>786</v>
      </c>
      <c r="B312" s="226" t="s">
        <v>692</v>
      </c>
      <c r="C312" s="224" t="s">
        <v>693</v>
      </c>
      <c r="D312" s="224" t="str">
        <f t="shared" si="3"/>
        <v>50299070 00 - Subscriptions Expenses (786)</v>
      </c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</row>
    <row r="313" spans="1:26" ht="12.75" customHeight="1">
      <c r="A313" s="224">
        <v>878</v>
      </c>
      <c r="B313" s="226" t="s">
        <v>694</v>
      </c>
      <c r="C313" s="224" t="s">
        <v>695</v>
      </c>
      <c r="D313" s="224" t="str">
        <f t="shared" si="3"/>
        <v>50299080 00 - Donations (878)</v>
      </c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</row>
    <row r="314" spans="1:26" ht="12.75" customHeight="1">
      <c r="A314" s="224">
        <v>879</v>
      </c>
      <c r="B314" s="226" t="s">
        <v>696</v>
      </c>
      <c r="C314" s="224" t="s">
        <v>697</v>
      </c>
      <c r="D314" s="224" t="str">
        <f t="shared" si="3"/>
        <v>50214990 00 - Subsidy - Others (879)</v>
      </c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</row>
    <row r="315" spans="1:26" ht="12.75" customHeight="1">
      <c r="A315" s="224"/>
      <c r="B315" s="228" t="s">
        <v>672</v>
      </c>
      <c r="C315" s="224"/>
      <c r="D315" s="224" t="str">
        <f t="shared" si="3"/>
        <v>Other Maintenance and Operating Expenses -  ()</v>
      </c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</row>
    <row r="316" spans="1:26" ht="12.75" customHeight="1">
      <c r="A316" s="224"/>
      <c r="B316" s="226" t="s">
        <v>698</v>
      </c>
      <c r="C316" s="224" t="s">
        <v>699</v>
      </c>
      <c r="D316" s="224" t="str">
        <f t="shared" si="3"/>
        <v>50299990 01 - Website Maintenance ()</v>
      </c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</row>
    <row r="317" spans="1:26" ht="12.75" customHeight="1">
      <c r="A317" s="224">
        <v>969</v>
      </c>
      <c r="B317" s="226" t="s">
        <v>700</v>
      </c>
      <c r="C317" s="224" t="s">
        <v>672</v>
      </c>
      <c r="D317" s="224" t="str">
        <f t="shared" si="3"/>
        <v>50299990 99 - Other Maintenance and Operating Expenses (969)</v>
      </c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</row>
    <row r="318" spans="1:26" ht="12.75" customHeight="1">
      <c r="A318" s="224"/>
      <c r="B318" s="227" t="s">
        <v>701</v>
      </c>
      <c r="C318" s="224"/>
      <c r="D318" s="224" t="str">
        <f t="shared" si="3"/>
        <v>C.5.3 Financial Expenses -  ()</v>
      </c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</row>
    <row r="319" spans="1:26" ht="12.75" customHeight="1">
      <c r="A319" s="224">
        <v>971</v>
      </c>
      <c r="B319" s="226" t="s">
        <v>702</v>
      </c>
      <c r="C319" s="224" t="s">
        <v>703</v>
      </c>
      <c r="D319" s="224" t="str">
        <f t="shared" si="3"/>
        <v>50301040 00 - Bank Charge (971)</v>
      </c>
      <c r="E319" s="224"/>
      <c r="F319" s="224"/>
      <c r="G319" s="224"/>
      <c r="H319" s="224"/>
      <c r="I319" s="224"/>
      <c r="J319" s="224"/>
      <c r="K319" s="224"/>
      <c r="L319" s="224"/>
      <c r="M319" s="224"/>
      <c r="N319" s="224"/>
      <c r="O319" s="224"/>
      <c r="P319" s="224"/>
      <c r="Q319" s="224"/>
      <c r="R319" s="224"/>
      <c r="S319" s="224"/>
      <c r="T319" s="224"/>
      <c r="U319" s="224"/>
      <c r="V319" s="224"/>
      <c r="W319" s="224"/>
      <c r="X319" s="224"/>
      <c r="Y319" s="224"/>
      <c r="Z319" s="224"/>
    </row>
    <row r="320" spans="1:26" ht="12.75" customHeight="1">
      <c r="A320" s="224"/>
      <c r="B320" s="227" t="s">
        <v>704</v>
      </c>
      <c r="C320" s="224"/>
      <c r="D320" s="224" t="str">
        <f t="shared" si="3"/>
        <v>C.5.4 Direct Costs -  ()</v>
      </c>
      <c r="E320" s="224"/>
      <c r="F320" s="224"/>
      <c r="G320" s="224"/>
      <c r="H320" s="224"/>
      <c r="I320" s="224"/>
      <c r="J320" s="224"/>
      <c r="K320" s="224"/>
      <c r="L320" s="224"/>
      <c r="M320" s="224"/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4"/>
      <c r="Y320" s="224"/>
      <c r="Z320" s="224"/>
    </row>
    <row r="321" spans="1:26" ht="12.75" customHeight="1">
      <c r="A321" s="224"/>
      <c r="B321" s="227" t="s">
        <v>705</v>
      </c>
      <c r="C321" s="224"/>
      <c r="D321" s="224" t="str">
        <f t="shared" si="3"/>
        <v>C.5.5 Non-Cash Expenses -  ()</v>
      </c>
      <c r="E321" s="224"/>
      <c r="F321" s="224"/>
      <c r="G321" s="224"/>
      <c r="H321" s="224"/>
      <c r="I321" s="224"/>
      <c r="J321" s="224"/>
      <c r="K321" s="224"/>
      <c r="L321" s="224"/>
      <c r="M321" s="224"/>
      <c r="N321" s="224"/>
      <c r="O321" s="224"/>
      <c r="P321" s="224"/>
      <c r="Q321" s="224"/>
      <c r="R321" s="224"/>
      <c r="S321" s="224"/>
      <c r="T321" s="224"/>
      <c r="U321" s="224"/>
      <c r="V321" s="224"/>
      <c r="W321" s="224"/>
      <c r="X321" s="224"/>
      <c r="Y321" s="224"/>
      <c r="Z321" s="224"/>
    </row>
    <row r="322" spans="1:26" ht="12.75" customHeight="1">
      <c r="A322" s="224"/>
      <c r="B322" s="228" t="s">
        <v>706</v>
      </c>
      <c r="C322" s="224"/>
      <c r="D322" s="224" t="str">
        <f t="shared" si="3"/>
        <v>Depreciation - Buildings and Other Sturctures -  ()</v>
      </c>
      <c r="E322" s="224"/>
      <c r="F322" s="224"/>
      <c r="G322" s="224"/>
      <c r="H322" s="224"/>
      <c r="I322" s="224"/>
      <c r="J322" s="224"/>
      <c r="K322" s="224"/>
      <c r="L322" s="224"/>
      <c r="M322" s="224"/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4"/>
      <c r="Y322" s="224"/>
      <c r="Z322" s="224"/>
    </row>
    <row r="323" spans="1:26" ht="12.75" customHeight="1">
      <c r="A323" s="224"/>
      <c r="B323" s="226" t="s">
        <v>707</v>
      </c>
      <c r="C323" s="224" t="s">
        <v>646</v>
      </c>
      <c r="D323" s="224" t="str">
        <f t="shared" ref="D323:D358" si="4">CONCATENATE(B323," - ",C323," (",A323,")")</f>
        <v>50501040 01 - Buildings ()</v>
      </c>
      <c r="E323" s="224"/>
      <c r="F323" s="224"/>
      <c r="G323" s="224"/>
      <c r="H323" s="224"/>
      <c r="I323" s="224"/>
      <c r="J323" s="224"/>
      <c r="K323" s="224"/>
      <c r="L323" s="224"/>
      <c r="M323" s="224"/>
      <c r="N323" s="224"/>
      <c r="O323" s="224"/>
      <c r="P323" s="224"/>
      <c r="Q323" s="224"/>
      <c r="R323" s="224"/>
      <c r="S323" s="224"/>
      <c r="T323" s="224"/>
      <c r="U323" s="224"/>
      <c r="V323" s="224"/>
      <c r="W323" s="224"/>
      <c r="X323" s="224"/>
      <c r="Y323" s="224"/>
      <c r="Z323" s="224"/>
    </row>
    <row r="324" spans="1:26" ht="12.75" customHeight="1">
      <c r="A324" s="224"/>
      <c r="B324" s="226" t="s">
        <v>708</v>
      </c>
      <c r="C324" s="224" t="s">
        <v>709</v>
      </c>
      <c r="D324" s="224" t="str">
        <f t="shared" si="4"/>
        <v>50501040 99 - Other Structures ()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4"/>
      <c r="Y324" s="224"/>
      <c r="Z324" s="224"/>
    </row>
    <row r="325" spans="1:26" ht="12.75" customHeight="1">
      <c r="A325" s="224"/>
      <c r="B325" s="228" t="s">
        <v>710</v>
      </c>
      <c r="C325" s="224"/>
      <c r="D325" s="224" t="str">
        <f t="shared" si="4"/>
        <v>Depreciation - Machinery and Equipment -  ()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224"/>
      <c r="T325" s="224"/>
      <c r="U325" s="224"/>
      <c r="V325" s="224"/>
      <c r="W325" s="224"/>
      <c r="X325" s="224"/>
      <c r="Y325" s="224"/>
      <c r="Z325" s="224"/>
    </row>
    <row r="326" spans="1:26" ht="12.75" customHeight="1">
      <c r="A326" s="224"/>
      <c r="B326" s="226" t="s">
        <v>711</v>
      </c>
      <c r="C326" s="224" t="s">
        <v>648</v>
      </c>
      <c r="D326" s="224" t="str">
        <f t="shared" si="4"/>
        <v>50501050 01 - Machinery ()</v>
      </c>
      <c r="E326" s="224"/>
      <c r="F326" s="224"/>
      <c r="G326" s="224"/>
      <c r="H326" s="224"/>
      <c r="I326" s="224"/>
      <c r="J326" s="224"/>
      <c r="K326" s="224"/>
      <c r="L326" s="224"/>
      <c r="M326" s="224"/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4"/>
      <c r="Y326" s="224"/>
      <c r="Z326" s="224"/>
    </row>
    <row r="327" spans="1:26" ht="12.75" customHeight="1">
      <c r="A327" s="224"/>
      <c r="B327" s="226" t="s">
        <v>712</v>
      </c>
      <c r="C327" s="224" t="s">
        <v>311</v>
      </c>
      <c r="D327" s="224" t="str">
        <f t="shared" si="4"/>
        <v>50501050 02 - Office Equipment ()</v>
      </c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</row>
    <row r="328" spans="1:26" ht="12.75" customHeight="1">
      <c r="A328" s="224"/>
      <c r="B328" s="226" t="s">
        <v>713</v>
      </c>
      <c r="C328" s="224" t="s">
        <v>651</v>
      </c>
      <c r="D328" s="224" t="str">
        <f t="shared" si="4"/>
        <v>50501050 03 - ICT Equipment ()</v>
      </c>
      <c r="E328" s="224"/>
      <c r="F328" s="224"/>
      <c r="G328" s="224"/>
      <c r="H328" s="224"/>
      <c r="I328" s="224"/>
      <c r="J328" s="224"/>
      <c r="K328" s="224"/>
      <c r="L328" s="224"/>
      <c r="M328" s="224"/>
      <c r="N328" s="224"/>
      <c r="O328" s="224"/>
      <c r="P328" s="224"/>
      <c r="Q328" s="224"/>
      <c r="R328" s="224"/>
      <c r="S328" s="224"/>
      <c r="T328" s="224"/>
      <c r="U328" s="224"/>
      <c r="V328" s="224"/>
      <c r="W328" s="224"/>
      <c r="X328" s="224"/>
      <c r="Y328" s="224"/>
      <c r="Z328" s="224"/>
    </row>
    <row r="329" spans="1:26" ht="12.75" customHeight="1">
      <c r="A329" s="224"/>
      <c r="B329" s="226" t="s">
        <v>714</v>
      </c>
      <c r="C329" s="224" t="s">
        <v>653</v>
      </c>
      <c r="D329" s="224" t="str">
        <f t="shared" si="4"/>
        <v>50501050 99 - Other Machinery and Equipment ()</v>
      </c>
      <c r="E329" s="224"/>
      <c r="F329" s="224"/>
      <c r="G329" s="224"/>
      <c r="H329" s="224"/>
      <c r="I329" s="224"/>
      <c r="J329" s="224"/>
      <c r="K329" s="224"/>
      <c r="L329" s="224"/>
      <c r="M329" s="224"/>
      <c r="N329" s="224"/>
      <c r="O329" s="224"/>
      <c r="P329" s="224"/>
      <c r="Q329" s="224"/>
      <c r="R329" s="224"/>
      <c r="S329" s="224"/>
      <c r="T329" s="224"/>
      <c r="U329" s="224"/>
      <c r="V329" s="224"/>
      <c r="W329" s="224"/>
      <c r="X329" s="224"/>
      <c r="Y329" s="224"/>
      <c r="Z329" s="224"/>
    </row>
    <row r="330" spans="1:26" ht="12.75" customHeight="1">
      <c r="A330" s="224"/>
      <c r="B330" s="228" t="s">
        <v>715</v>
      </c>
      <c r="C330" s="224"/>
      <c r="D330" s="224" t="str">
        <f t="shared" si="4"/>
        <v>Depreciation - Transportation Equipment -  ()</v>
      </c>
      <c r="E330" s="224"/>
      <c r="F330" s="224"/>
      <c r="G330" s="224"/>
      <c r="H330" s="224"/>
      <c r="I330" s="224"/>
      <c r="J330" s="224"/>
      <c r="K330" s="224"/>
      <c r="L330" s="224"/>
      <c r="M330" s="224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4"/>
      <c r="Y330" s="224"/>
      <c r="Z330" s="224"/>
    </row>
    <row r="331" spans="1:26" ht="12.75" customHeight="1">
      <c r="A331" s="224"/>
      <c r="B331" s="226" t="s">
        <v>716</v>
      </c>
      <c r="C331" s="224" t="s">
        <v>319</v>
      </c>
      <c r="D331" s="224" t="str">
        <f t="shared" si="4"/>
        <v>50501060 01 - Motor Vehicles ()</v>
      </c>
      <c r="E331" s="224"/>
      <c r="F331" s="224"/>
      <c r="G331" s="224"/>
      <c r="H331" s="224"/>
      <c r="I331" s="224"/>
      <c r="J331" s="224"/>
      <c r="K331" s="224"/>
      <c r="L331" s="224"/>
      <c r="M331" s="224"/>
      <c r="N331" s="224"/>
      <c r="O331" s="224"/>
      <c r="P331" s="224"/>
      <c r="Q331" s="224"/>
      <c r="R331" s="224"/>
      <c r="S331" s="224"/>
      <c r="T331" s="224"/>
      <c r="U331" s="224"/>
      <c r="V331" s="224"/>
      <c r="W331" s="224"/>
      <c r="X331" s="224"/>
      <c r="Y331" s="224"/>
      <c r="Z331" s="224"/>
    </row>
    <row r="332" spans="1:26" ht="12.75" customHeight="1">
      <c r="A332" s="224"/>
      <c r="B332" s="226" t="s">
        <v>717</v>
      </c>
      <c r="C332" s="224" t="s">
        <v>659</v>
      </c>
      <c r="D332" s="224" t="str">
        <f t="shared" si="4"/>
        <v>50501060 99 - Other Transportation Equipment ()</v>
      </c>
      <c r="E332" s="224"/>
      <c r="F332" s="224"/>
      <c r="G332" s="224"/>
      <c r="H332" s="224"/>
      <c r="I332" s="224"/>
      <c r="J332" s="224"/>
      <c r="K332" s="224"/>
      <c r="L332" s="224"/>
      <c r="M332" s="224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4"/>
      <c r="Y332" s="224"/>
      <c r="Z332" s="224"/>
    </row>
    <row r="333" spans="1:26" ht="12.75" customHeight="1">
      <c r="A333" s="224"/>
      <c r="B333" s="228" t="s">
        <v>718</v>
      </c>
      <c r="C333" s="224"/>
      <c r="D333" s="224" t="str">
        <f t="shared" si="4"/>
        <v>Depreciation - Furnitures, Fixtures and Books -  ()</v>
      </c>
      <c r="E333" s="224"/>
      <c r="F333" s="224"/>
      <c r="G333" s="224"/>
      <c r="H333" s="224"/>
      <c r="I333" s="224"/>
      <c r="J333" s="224"/>
      <c r="K333" s="224"/>
      <c r="L333" s="224"/>
      <c r="M333" s="224"/>
      <c r="N333" s="224"/>
      <c r="O333" s="224"/>
      <c r="P333" s="224"/>
      <c r="Q333" s="224"/>
      <c r="R333" s="224"/>
      <c r="S333" s="224"/>
      <c r="T333" s="224"/>
      <c r="U333" s="224"/>
      <c r="V333" s="224"/>
      <c r="W333" s="224"/>
      <c r="X333" s="224"/>
      <c r="Y333" s="224"/>
      <c r="Z333" s="224"/>
    </row>
    <row r="334" spans="1:26" ht="12.75" customHeight="1">
      <c r="A334" s="224"/>
      <c r="B334" s="226" t="s">
        <v>719</v>
      </c>
      <c r="C334" s="224" t="s">
        <v>662</v>
      </c>
      <c r="D334" s="224" t="str">
        <f t="shared" si="4"/>
        <v>50501070 01 - Furniture and Fixture ()</v>
      </c>
      <c r="E334" s="224"/>
      <c r="F334" s="224"/>
      <c r="G334" s="224"/>
      <c r="H334" s="224"/>
      <c r="I334" s="224"/>
      <c r="J334" s="224"/>
      <c r="K334" s="224"/>
      <c r="L334" s="224"/>
      <c r="M334" s="224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4"/>
      <c r="Y334" s="224"/>
      <c r="Z334" s="224"/>
    </row>
    <row r="335" spans="1:26" ht="12.75" customHeight="1">
      <c r="A335" s="224"/>
      <c r="B335" s="226" t="s">
        <v>720</v>
      </c>
      <c r="C335" s="224" t="s">
        <v>721</v>
      </c>
      <c r="D335" s="224" t="str">
        <f t="shared" si="4"/>
        <v>50501070 02 - Books ()</v>
      </c>
      <c r="E335" s="224"/>
      <c r="F335" s="224"/>
      <c r="G335" s="224"/>
      <c r="H335" s="224"/>
      <c r="I335" s="224"/>
      <c r="J335" s="224"/>
      <c r="K335" s="224"/>
      <c r="L335" s="224"/>
      <c r="M335" s="224"/>
      <c r="N335" s="224"/>
      <c r="O335" s="224"/>
      <c r="P335" s="224"/>
      <c r="Q335" s="224"/>
      <c r="R335" s="224"/>
      <c r="S335" s="224"/>
      <c r="T335" s="224"/>
      <c r="U335" s="224"/>
      <c r="V335" s="224"/>
      <c r="W335" s="224"/>
      <c r="X335" s="224"/>
      <c r="Y335" s="224"/>
      <c r="Z335" s="224"/>
    </row>
    <row r="336" spans="1:26" ht="12.75" customHeight="1">
      <c r="A336" s="224"/>
      <c r="B336" s="228" t="s">
        <v>722</v>
      </c>
      <c r="C336" s="224"/>
      <c r="D336" s="224" t="str">
        <f t="shared" si="4"/>
        <v>Losses -  ()</v>
      </c>
      <c r="E336" s="224"/>
      <c r="F336" s="224"/>
      <c r="G336" s="224"/>
      <c r="H336" s="224"/>
      <c r="I336" s="224"/>
      <c r="J336" s="224"/>
      <c r="K336" s="224"/>
      <c r="L336" s="224"/>
      <c r="M336" s="224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4"/>
      <c r="Y336" s="224"/>
      <c r="Z336" s="224"/>
    </row>
    <row r="337" spans="1:26" ht="12.75" customHeight="1">
      <c r="A337" s="224"/>
      <c r="B337" s="226" t="s">
        <v>723</v>
      </c>
      <c r="C337" s="224" t="s">
        <v>724</v>
      </c>
      <c r="D337" s="224" t="str">
        <f t="shared" si="4"/>
        <v>50504010 00 - Loss on Foreign Exchange (FOREX) ()</v>
      </c>
      <c r="E337" s="224"/>
      <c r="F337" s="224"/>
      <c r="G337" s="224"/>
      <c r="H337" s="224"/>
      <c r="I337" s="224"/>
      <c r="J337" s="224"/>
      <c r="K337" s="224"/>
      <c r="L337" s="224"/>
      <c r="M337" s="224"/>
      <c r="N337" s="224"/>
      <c r="O337" s="224"/>
      <c r="P337" s="224"/>
      <c r="Q337" s="224"/>
      <c r="R337" s="224"/>
      <c r="S337" s="224"/>
      <c r="T337" s="224"/>
      <c r="U337" s="224"/>
      <c r="V337" s="224"/>
      <c r="W337" s="224"/>
      <c r="X337" s="224"/>
      <c r="Y337" s="224"/>
      <c r="Z337" s="224"/>
    </row>
    <row r="338" spans="1:26" ht="12.75" customHeight="1">
      <c r="A338" s="224"/>
      <c r="B338" s="226" t="s">
        <v>725</v>
      </c>
      <c r="C338" s="224" t="s">
        <v>726</v>
      </c>
      <c r="D338" s="224" t="str">
        <f t="shared" si="4"/>
        <v>50504020 00 - Loss on Sale of Investments ()</v>
      </c>
      <c r="E338" s="224"/>
      <c r="F338" s="224"/>
      <c r="G338" s="224"/>
      <c r="H338" s="224"/>
      <c r="I338" s="224"/>
      <c r="J338" s="224"/>
      <c r="K338" s="224"/>
      <c r="L338" s="224"/>
      <c r="M338" s="224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4"/>
      <c r="Y338" s="224"/>
      <c r="Z338" s="224"/>
    </row>
    <row r="339" spans="1:26" ht="12.75" customHeight="1">
      <c r="A339" s="224"/>
      <c r="B339" s="226" t="s">
        <v>727</v>
      </c>
      <c r="C339" s="224" t="s">
        <v>728</v>
      </c>
      <c r="D339" s="224" t="str">
        <f t="shared" si="4"/>
        <v>50504030 00 - Loss on Sale of Investment Property ()</v>
      </c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</row>
    <row r="340" spans="1:26" ht="12.75" customHeight="1">
      <c r="A340" s="224"/>
      <c r="B340" s="226" t="s">
        <v>729</v>
      </c>
      <c r="C340" s="224" t="s">
        <v>730</v>
      </c>
      <c r="D340" s="224" t="str">
        <f t="shared" si="4"/>
        <v>50504040 00 - Loss on Sale of Property, Plant and Equipment ()</v>
      </c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</row>
    <row r="341" spans="1:26" ht="12.75" customHeight="1">
      <c r="A341" s="224"/>
      <c r="B341" s="226" t="s">
        <v>731</v>
      </c>
      <c r="C341" s="224" t="s">
        <v>732</v>
      </c>
      <c r="D341" s="224" t="str">
        <f t="shared" si="4"/>
        <v>50504080 00 - Loss on Sale of Assets ()</v>
      </c>
      <c r="E341" s="224"/>
      <c r="F341" s="224"/>
      <c r="G341" s="224"/>
      <c r="H341" s="224"/>
      <c r="I341" s="224"/>
      <c r="J341" s="224"/>
      <c r="K341" s="224"/>
      <c r="L341" s="224"/>
      <c r="M341" s="224"/>
      <c r="N341" s="224"/>
      <c r="O341" s="224"/>
      <c r="P341" s="224"/>
      <c r="Q341" s="224"/>
      <c r="R341" s="224"/>
      <c r="S341" s="224"/>
      <c r="T341" s="224"/>
      <c r="U341" s="224"/>
      <c r="V341" s="224"/>
      <c r="W341" s="224"/>
      <c r="X341" s="224"/>
      <c r="Y341" s="224"/>
      <c r="Z341" s="224"/>
    </row>
    <row r="342" spans="1:26" ht="12.75" customHeight="1">
      <c r="A342" s="224"/>
      <c r="B342" s="226" t="s">
        <v>733</v>
      </c>
      <c r="C342" s="224" t="s">
        <v>734</v>
      </c>
      <c r="D342" s="224" t="str">
        <f t="shared" si="4"/>
        <v>50504990 00 - Other Losses ()</v>
      </c>
      <c r="E342" s="224"/>
      <c r="F342" s="224"/>
      <c r="G342" s="224"/>
      <c r="H342" s="224"/>
      <c r="I342" s="224"/>
      <c r="J342" s="224"/>
      <c r="K342" s="224"/>
      <c r="L342" s="224"/>
      <c r="M342" s="224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4"/>
      <c r="Y342" s="224"/>
      <c r="Z342" s="224"/>
    </row>
    <row r="343" spans="1:26" ht="12.75" customHeight="1">
      <c r="A343" s="224"/>
      <c r="B343" s="227" t="s">
        <v>735</v>
      </c>
      <c r="C343" s="224"/>
      <c r="D343" s="224" t="str">
        <f t="shared" si="4"/>
        <v>C.5.6 Capital Outlays -  ()</v>
      </c>
      <c r="E343" s="224"/>
      <c r="F343" s="224"/>
      <c r="G343" s="224"/>
      <c r="H343" s="224"/>
      <c r="I343" s="224"/>
      <c r="J343" s="224"/>
      <c r="K343" s="224"/>
      <c r="L343" s="224"/>
      <c r="M343" s="224"/>
      <c r="N343" s="224"/>
      <c r="O343" s="224"/>
      <c r="P343" s="224"/>
      <c r="Q343" s="224"/>
      <c r="R343" s="224"/>
      <c r="S343" s="224"/>
      <c r="T343" s="224"/>
      <c r="U343" s="224"/>
      <c r="V343" s="224"/>
      <c r="W343" s="224"/>
      <c r="X343" s="224"/>
      <c r="Y343" s="224"/>
      <c r="Z343" s="224"/>
    </row>
    <row r="344" spans="1:26" ht="12.75" customHeight="1">
      <c r="A344" s="224"/>
      <c r="B344" s="228" t="s">
        <v>736</v>
      </c>
      <c r="C344" s="224"/>
      <c r="D344" s="224" t="str">
        <f t="shared" si="4"/>
        <v>Property, Plant and Equipment Outlay -  ()</v>
      </c>
      <c r="E344" s="224"/>
      <c r="F344" s="224"/>
      <c r="G344" s="224"/>
      <c r="H344" s="224"/>
      <c r="I344" s="224"/>
      <c r="J344" s="224"/>
      <c r="K344" s="224"/>
      <c r="L344" s="224"/>
      <c r="M344" s="224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4"/>
      <c r="Y344" s="224"/>
      <c r="Z344" s="224"/>
    </row>
    <row r="345" spans="1:26" ht="12.75" customHeight="1">
      <c r="A345" s="224"/>
      <c r="B345" s="228" t="s">
        <v>737</v>
      </c>
      <c r="C345" s="224"/>
      <c r="D345" s="224" t="str">
        <f t="shared" si="4"/>
        <v xml:space="preserve">    Buildings and Other Sturctures Outlay -  ()</v>
      </c>
      <c r="E345" s="224"/>
      <c r="F345" s="224"/>
      <c r="G345" s="224"/>
      <c r="H345" s="224"/>
      <c r="I345" s="224"/>
      <c r="J345" s="224"/>
      <c r="K345" s="224"/>
      <c r="L345" s="224"/>
      <c r="M345" s="224"/>
      <c r="N345" s="224"/>
      <c r="O345" s="224"/>
      <c r="P345" s="224"/>
      <c r="Q345" s="224"/>
      <c r="R345" s="224"/>
      <c r="S345" s="224"/>
      <c r="T345" s="224"/>
      <c r="U345" s="224"/>
      <c r="V345" s="224"/>
      <c r="W345" s="224"/>
      <c r="X345" s="224"/>
      <c r="Y345" s="224"/>
      <c r="Z345" s="224"/>
    </row>
    <row r="346" spans="1:26" ht="12.75" customHeight="1">
      <c r="A346" s="224"/>
      <c r="B346" s="226" t="s">
        <v>738</v>
      </c>
      <c r="C346" s="224" t="s">
        <v>646</v>
      </c>
      <c r="D346" s="224" t="str">
        <f t="shared" si="4"/>
        <v>50604040 01 - Buildings ()</v>
      </c>
      <c r="E346" s="224"/>
      <c r="F346" s="224"/>
      <c r="G346" s="224"/>
      <c r="H346" s="224"/>
      <c r="I346" s="224"/>
      <c r="J346" s="224"/>
      <c r="K346" s="224"/>
      <c r="L346" s="224"/>
      <c r="M346" s="224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4"/>
      <c r="Y346" s="224"/>
      <c r="Z346" s="224"/>
    </row>
    <row r="347" spans="1:26" ht="12.75" customHeight="1">
      <c r="A347" s="224"/>
      <c r="B347" s="226" t="s">
        <v>739</v>
      </c>
      <c r="C347" s="224" t="s">
        <v>709</v>
      </c>
      <c r="D347" s="224" t="str">
        <f t="shared" si="4"/>
        <v>50604040 99 - Other Structures ()</v>
      </c>
      <c r="E347" s="224"/>
      <c r="F347" s="224"/>
      <c r="G347" s="224"/>
      <c r="H347" s="224"/>
      <c r="I347" s="224"/>
      <c r="J347" s="224"/>
      <c r="K347" s="224"/>
      <c r="L347" s="224"/>
      <c r="M347" s="224"/>
      <c r="N347" s="224"/>
      <c r="O347" s="224"/>
      <c r="P347" s="224"/>
      <c r="Q347" s="224"/>
      <c r="R347" s="224"/>
      <c r="S347" s="224"/>
      <c r="T347" s="224"/>
      <c r="U347" s="224"/>
      <c r="V347" s="224"/>
      <c r="W347" s="224"/>
      <c r="X347" s="224"/>
      <c r="Y347" s="224"/>
      <c r="Z347" s="224"/>
    </row>
    <row r="348" spans="1:26" ht="12.75" customHeight="1">
      <c r="A348" s="224"/>
      <c r="B348" s="228" t="s">
        <v>740</v>
      </c>
      <c r="C348" s="224"/>
      <c r="D348" s="224" t="str">
        <f t="shared" si="4"/>
        <v xml:space="preserve">    Machinery and Equipment Outlay -  ()</v>
      </c>
      <c r="E348" s="224"/>
      <c r="F348" s="224"/>
      <c r="G348" s="224"/>
      <c r="H348" s="224"/>
      <c r="I348" s="224"/>
      <c r="J348" s="224"/>
      <c r="K348" s="224"/>
      <c r="L348" s="224"/>
      <c r="M348" s="224"/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4"/>
      <c r="Y348" s="224"/>
      <c r="Z348" s="224"/>
    </row>
    <row r="349" spans="1:26" ht="12.75" customHeight="1">
      <c r="A349" s="224"/>
      <c r="B349" s="226" t="s">
        <v>741</v>
      </c>
      <c r="C349" s="224" t="s">
        <v>648</v>
      </c>
      <c r="D349" s="224" t="str">
        <f t="shared" si="4"/>
        <v>50604050 01 - Machinery ()</v>
      </c>
      <c r="E349" s="224"/>
      <c r="F349" s="224"/>
      <c r="G349" s="224"/>
      <c r="H349" s="224"/>
      <c r="I349" s="224"/>
      <c r="J349" s="224"/>
      <c r="K349" s="224"/>
      <c r="L349" s="224"/>
      <c r="M349" s="224"/>
      <c r="N349" s="224"/>
      <c r="O349" s="224"/>
      <c r="P349" s="224"/>
      <c r="Q349" s="224"/>
      <c r="R349" s="224"/>
      <c r="S349" s="224"/>
      <c r="T349" s="224"/>
      <c r="U349" s="224"/>
      <c r="V349" s="224"/>
      <c r="W349" s="224"/>
      <c r="X349" s="224"/>
      <c r="Y349" s="224"/>
      <c r="Z349" s="224"/>
    </row>
    <row r="350" spans="1:26" ht="12.75" customHeight="1">
      <c r="A350" s="224">
        <v>221</v>
      </c>
      <c r="B350" s="226" t="s">
        <v>742</v>
      </c>
      <c r="C350" s="224" t="s">
        <v>311</v>
      </c>
      <c r="D350" s="224" t="str">
        <f t="shared" si="4"/>
        <v>50604050 02 - Office Equipment (221)</v>
      </c>
      <c r="E350" s="224"/>
      <c r="F350" s="224"/>
      <c r="G350" s="224"/>
      <c r="H350" s="224"/>
      <c r="I350" s="224"/>
      <c r="J350" s="224"/>
      <c r="K350" s="224"/>
      <c r="L350" s="224"/>
      <c r="M350" s="224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4"/>
      <c r="Y350" s="224"/>
      <c r="Z350" s="224"/>
    </row>
    <row r="351" spans="1:26" ht="12.75" customHeight="1">
      <c r="A351" s="224" t="s">
        <v>743</v>
      </c>
      <c r="B351" s="226" t="s">
        <v>744</v>
      </c>
      <c r="C351" s="224" t="s">
        <v>651</v>
      </c>
      <c r="D351" s="224" t="str">
        <f t="shared" si="4"/>
        <v>50604050 03 - ICT Equipment (223 CO)</v>
      </c>
      <c r="E351" s="224"/>
      <c r="F351" s="224"/>
      <c r="G351" s="224"/>
      <c r="H351" s="224"/>
      <c r="I351" s="224"/>
      <c r="J351" s="224"/>
      <c r="K351" s="224"/>
      <c r="L351" s="224"/>
      <c r="M351" s="224"/>
      <c r="N351" s="224"/>
      <c r="O351" s="224"/>
      <c r="P351" s="224"/>
      <c r="Q351" s="224"/>
      <c r="R351" s="224"/>
      <c r="S351" s="224"/>
      <c r="T351" s="224"/>
      <c r="U351" s="224"/>
      <c r="V351" s="224"/>
      <c r="W351" s="224"/>
      <c r="X351" s="224"/>
      <c r="Y351" s="224"/>
      <c r="Z351" s="224"/>
    </row>
    <row r="352" spans="1:26" ht="12.75" customHeight="1">
      <c r="A352" s="224">
        <v>239</v>
      </c>
      <c r="B352" s="226" t="s">
        <v>745</v>
      </c>
      <c r="C352" s="224" t="s">
        <v>653</v>
      </c>
      <c r="D352" s="224" t="str">
        <f t="shared" si="4"/>
        <v>50604050 99 - Other Machinery and Equipment (239)</v>
      </c>
      <c r="E352" s="224"/>
      <c r="F352" s="224"/>
      <c r="G352" s="224"/>
      <c r="H352" s="224"/>
      <c r="I352" s="224"/>
      <c r="J352" s="224"/>
      <c r="K352" s="224"/>
      <c r="L352" s="224"/>
      <c r="M352" s="224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</row>
    <row r="353" spans="1:26" ht="12.75" customHeight="1">
      <c r="A353" s="224"/>
      <c r="B353" s="228" t="s">
        <v>746</v>
      </c>
      <c r="C353" s="224"/>
      <c r="D353" s="224" t="str">
        <f t="shared" si="4"/>
        <v xml:space="preserve">    Transportation and Equipment Outlay -  ()</v>
      </c>
      <c r="E353" s="224"/>
      <c r="F353" s="224"/>
      <c r="G353" s="224"/>
      <c r="H353" s="224"/>
      <c r="I353" s="224"/>
      <c r="J353" s="224"/>
      <c r="K353" s="224"/>
      <c r="L353" s="224"/>
      <c r="M353" s="224"/>
      <c r="N353" s="224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</row>
    <row r="354" spans="1:26" ht="12.75" customHeight="1">
      <c r="A354" s="224"/>
      <c r="B354" s="226" t="s">
        <v>747</v>
      </c>
      <c r="C354" s="224" t="s">
        <v>319</v>
      </c>
      <c r="D354" s="224" t="str">
        <f t="shared" si="4"/>
        <v>50604060 01 - Motor Vehicles ()</v>
      </c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</row>
    <row r="355" spans="1:26" ht="12.75" customHeight="1">
      <c r="A355" s="224"/>
      <c r="B355" s="226" t="s">
        <v>748</v>
      </c>
      <c r="C355" s="224" t="s">
        <v>659</v>
      </c>
      <c r="D355" s="224" t="str">
        <f t="shared" si="4"/>
        <v>50604060 99 - Other Transportation Equipment ()</v>
      </c>
      <c r="E355" s="224"/>
      <c r="F355" s="224"/>
      <c r="G355" s="224"/>
      <c r="H355" s="224"/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</row>
    <row r="356" spans="1:26" ht="12.75" customHeight="1">
      <c r="A356" s="224"/>
      <c r="B356" s="228" t="s">
        <v>749</v>
      </c>
      <c r="C356" s="224"/>
      <c r="D356" s="224" t="str">
        <f t="shared" si="4"/>
        <v xml:space="preserve">    Furnitures, Fixtures and Books Outlay -  ()</v>
      </c>
      <c r="E356" s="224"/>
      <c r="F356" s="224"/>
      <c r="G356" s="224"/>
      <c r="H356" s="224"/>
      <c r="I356" s="224"/>
      <c r="J356" s="224"/>
      <c r="K356" s="224"/>
      <c r="L356" s="224"/>
      <c r="M356" s="224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</row>
    <row r="357" spans="1:26" ht="12.75" customHeight="1">
      <c r="A357" s="224">
        <v>222</v>
      </c>
      <c r="B357" s="226" t="s">
        <v>750</v>
      </c>
      <c r="C357" s="224" t="s">
        <v>662</v>
      </c>
      <c r="D357" s="224" t="str">
        <f t="shared" si="4"/>
        <v>50604070 01 - Furniture and Fixture (222)</v>
      </c>
      <c r="E357" s="224"/>
      <c r="F357" s="224"/>
      <c r="G357" s="224"/>
      <c r="H357" s="224"/>
      <c r="I357" s="224"/>
      <c r="J357" s="224"/>
      <c r="K357" s="224"/>
      <c r="L357" s="224"/>
      <c r="M357" s="224"/>
      <c r="N357" s="224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</row>
    <row r="358" spans="1:26" ht="12.75" customHeight="1">
      <c r="A358" s="224"/>
      <c r="B358" s="226" t="s">
        <v>751</v>
      </c>
      <c r="C358" s="224" t="s">
        <v>721</v>
      </c>
      <c r="D358" s="224" t="str">
        <f t="shared" si="4"/>
        <v>50604070 02 - Books ()</v>
      </c>
      <c r="E358" s="224"/>
      <c r="F358" s="224"/>
      <c r="G358" s="224"/>
      <c r="H358" s="224"/>
      <c r="I358" s="224"/>
      <c r="J358" s="224"/>
      <c r="K358" s="224"/>
      <c r="L358" s="224"/>
      <c r="M358" s="224"/>
      <c r="N358" s="224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</row>
    <row r="359" spans="1:26" ht="12.75" customHeight="1">
      <c r="A359" s="224"/>
      <c r="B359" s="226"/>
      <c r="C359" s="224"/>
      <c r="D359" s="224"/>
      <c r="E359" s="224"/>
      <c r="F359" s="224"/>
      <c r="G359" s="224"/>
      <c r="H359" s="224"/>
      <c r="I359" s="224"/>
      <c r="J359" s="224"/>
      <c r="K359" s="224"/>
      <c r="L359" s="224"/>
      <c r="M359" s="224"/>
      <c r="N359" s="224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</row>
    <row r="360" spans="1:26" ht="12.75" customHeight="1">
      <c r="A360" s="224"/>
      <c r="B360" s="226"/>
      <c r="C360" s="224"/>
      <c r="D360" s="224"/>
      <c r="E360" s="224"/>
      <c r="F360" s="224"/>
      <c r="G360" s="224"/>
      <c r="H360" s="224"/>
      <c r="I360" s="224"/>
      <c r="J360" s="224"/>
      <c r="K360" s="224"/>
      <c r="L360" s="224"/>
      <c r="M360" s="224"/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</row>
    <row r="361" spans="1:26" ht="12.75" customHeight="1">
      <c r="A361" s="224"/>
      <c r="B361" s="226"/>
      <c r="C361" s="224"/>
      <c r="D361" s="224"/>
      <c r="E361" s="224"/>
      <c r="F361" s="224"/>
      <c r="G361" s="224"/>
      <c r="H361" s="224"/>
      <c r="I361" s="224"/>
      <c r="J361" s="224"/>
      <c r="K361" s="224"/>
      <c r="L361" s="224"/>
      <c r="M361" s="224"/>
      <c r="N361" s="224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</row>
    <row r="362" spans="1:26" ht="12.75" customHeight="1">
      <c r="A362" s="224"/>
      <c r="B362" s="226" t="s">
        <v>752</v>
      </c>
      <c r="C362" s="224"/>
      <c r="D362" s="224"/>
      <c r="E362" s="224"/>
      <c r="F362" s="224"/>
      <c r="G362" s="224"/>
      <c r="H362" s="224"/>
      <c r="I362" s="224"/>
      <c r="J362" s="224"/>
      <c r="K362" s="224"/>
      <c r="L362" s="224"/>
      <c r="M362" s="224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</row>
    <row r="363" spans="1:26" ht="12.75" customHeight="1">
      <c r="A363" s="224"/>
      <c r="B363" s="226" t="s">
        <v>752</v>
      </c>
      <c r="C363" s="224"/>
      <c r="D363" s="224"/>
      <c r="E363" s="224"/>
      <c r="F363" s="224"/>
      <c r="G363" s="224"/>
      <c r="H363" s="224"/>
      <c r="I363" s="224"/>
      <c r="J363" s="224"/>
      <c r="K363" s="224"/>
      <c r="L363" s="224"/>
      <c r="M363" s="224"/>
      <c r="N363" s="224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</row>
    <row r="364" spans="1:26" ht="12.75" customHeight="1">
      <c r="A364" s="224"/>
      <c r="B364" s="226"/>
      <c r="C364" s="224"/>
      <c r="D364" s="224"/>
      <c r="E364" s="224"/>
      <c r="F364" s="224"/>
      <c r="G364" s="224"/>
      <c r="H364" s="224"/>
      <c r="I364" s="224"/>
      <c r="J364" s="224"/>
      <c r="K364" s="224"/>
      <c r="L364" s="224"/>
      <c r="M364" s="224"/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</row>
    <row r="365" spans="1:26" ht="12.75" customHeight="1">
      <c r="A365" s="224"/>
      <c r="B365" s="226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</row>
    <row r="366" spans="1:26" ht="12.75" customHeight="1">
      <c r="A366" s="224"/>
      <c r="B366" s="226"/>
      <c r="C366" s="224"/>
      <c r="D366" s="224"/>
      <c r="E366" s="224"/>
      <c r="F366" s="224"/>
      <c r="G366" s="224"/>
      <c r="H366" s="224"/>
      <c r="I366" s="224"/>
      <c r="J366" s="224"/>
      <c r="K366" s="224"/>
      <c r="L366" s="224"/>
      <c r="M366" s="224"/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</row>
    <row r="367" spans="1:26" ht="12.75" customHeight="1">
      <c r="A367" s="224"/>
      <c r="B367" s="226"/>
      <c r="C367" s="224"/>
      <c r="D367" s="224"/>
      <c r="E367" s="224"/>
      <c r="F367" s="224"/>
      <c r="G367" s="224"/>
      <c r="H367" s="224"/>
      <c r="I367" s="224"/>
      <c r="J367" s="224"/>
      <c r="K367" s="224"/>
      <c r="L367" s="224"/>
      <c r="M367" s="224"/>
      <c r="N367" s="224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</row>
    <row r="368" spans="1:26" ht="12.75" customHeight="1">
      <c r="A368" s="224"/>
      <c r="B368" s="226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</row>
    <row r="369" spans="1:26" ht="12.75" customHeight="1">
      <c r="A369" s="224"/>
      <c r="B369" s="226"/>
      <c r="C369" s="224"/>
      <c r="D369" s="224"/>
      <c r="E369" s="224"/>
      <c r="F369" s="224"/>
      <c r="G369" s="224"/>
      <c r="H369" s="224"/>
      <c r="I369" s="224"/>
      <c r="J369" s="224"/>
      <c r="K369" s="224"/>
      <c r="L369" s="224"/>
      <c r="M369" s="224"/>
      <c r="N369" s="224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</row>
    <row r="370" spans="1:26" ht="12.75" customHeight="1">
      <c r="A370" s="224"/>
      <c r="B370" s="226"/>
      <c r="C370" s="224"/>
      <c r="D370" s="224"/>
      <c r="E370" s="224"/>
      <c r="F370" s="224"/>
      <c r="G370" s="224"/>
      <c r="H370" s="224"/>
      <c r="I370" s="224"/>
      <c r="J370" s="224"/>
      <c r="K370" s="224"/>
      <c r="L370" s="224"/>
      <c r="M370" s="224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</row>
    <row r="371" spans="1:26" ht="12.75" customHeight="1">
      <c r="A371" s="224"/>
      <c r="B371" s="226"/>
      <c r="C371" s="224"/>
      <c r="D371" s="224"/>
      <c r="E371" s="224"/>
      <c r="F371" s="224"/>
      <c r="G371" s="224"/>
      <c r="H371" s="224"/>
      <c r="I371" s="224"/>
      <c r="J371" s="224"/>
      <c r="K371" s="224"/>
      <c r="L371" s="224"/>
      <c r="M371" s="224"/>
      <c r="N371" s="224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</row>
    <row r="372" spans="1:26" ht="12.75" customHeight="1">
      <c r="A372" s="224"/>
      <c r="B372" s="226"/>
      <c r="C372" s="224"/>
      <c r="D372" s="224"/>
      <c r="E372" s="224"/>
      <c r="F372" s="224"/>
      <c r="G372" s="224"/>
      <c r="H372" s="224"/>
      <c r="I372" s="224"/>
      <c r="J372" s="224"/>
      <c r="K372" s="224"/>
      <c r="L372" s="224"/>
      <c r="M372" s="224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</row>
    <row r="373" spans="1:26" ht="12.75" customHeight="1">
      <c r="A373" s="224"/>
      <c r="B373" s="226"/>
      <c r="C373" s="224"/>
      <c r="D373" s="224"/>
      <c r="E373" s="224"/>
      <c r="F373" s="224"/>
      <c r="G373" s="224"/>
      <c r="H373" s="224"/>
      <c r="I373" s="224"/>
      <c r="J373" s="224"/>
      <c r="K373" s="224"/>
      <c r="L373" s="224"/>
      <c r="M373" s="224"/>
      <c r="N373" s="224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</row>
    <row r="374" spans="1:26" ht="12.75" customHeight="1">
      <c r="A374" s="224"/>
      <c r="B374" s="226"/>
      <c r="C374" s="224"/>
      <c r="D374" s="224"/>
      <c r="E374" s="224"/>
      <c r="F374" s="224"/>
      <c r="G374" s="224"/>
      <c r="H374" s="224"/>
      <c r="I374" s="224"/>
      <c r="J374" s="224"/>
      <c r="K374" s="224"/>
      <c r="L374" s="224"/>
      <c r="M374" s="224"/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</row>
    <row r="375" spans="1:26" ht="12.75" customHeight="1">
      <c r="A375" s="224"/>
      <c r="B375" s="226"/>
      <c r="C375" s="224"/>
      <c r="D375" s="224"/>
      <c r="E375" s="224"/>
      <c r="F375" s="224"/>
      <c r="G375" s="224"/>
      <c r="H375" s="224"/>
      <c r="I375" s="224"/>
      <c r="J375" s="224"/>
      <c r="K375" s="224"/>
      <c r="L375" s="224"/>
      <c r="M375" s="224"/>
      <c r="N375" s="224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</row>
    <row r="376" spans="1:26" ht="12.75" customHeight="1">
      <c r="A376" s="224"/>
      <c r="B376" s="226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</row>
    <row r="377" spans="1:26" ht="12.75" customHeight="1">
      <c r="A377" s="224"/>
      <c r="B377" s="226"/>
      <c r="C377" s="224"/>
      <c r="D377" s="224"/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</row>
    <row r="378" spans="1:26" ht="12.75" customHeight="1">
      <c r="A378" s="224"/>
      <c r="B378" s="226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</row>
    <row r="379" spans="1:26" ht="12.75" customHeight="1">
      <c r="A379" s="224"/>
      <c r="B379" s="226"/>
      <c r="C379" s="224"/>
      <c r="D379" s="224"/>
      <c r="E379" s="224"/>
      <c r="F379" s="224"/>
      <c r="G379" s="224"/>
      <c r="H379" s="224"/>
      <c r="I379" s="224"/>
      <c r="J379" s="224"/>
      <c r="K379" s="224"/>
      <c r="L379" s="224"/>
      <c r="M379" s="224"/>
      <c r="N379" s="224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</row>
    <row r="380" spans="1:26" ht="12.75" customHeight="1">
      <c r="A380" s="224"/>
      <c r="B380" s="226"/>
      <c r="C380" s="224"/>
      <c r="D380" s="224"/>
      <c r="E380" s="224"/>
      <c r="F380" s="224"/>
      <c r="G380" s="224"/>
      <c r="H380" s="224"/>
      <c r="I380" s="224"/>
      <c r="J380" s="224"/>
      <c r="K380" s="224"/>
      <c r="L380" s="224"/>
      <c r="M380" s="224"/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</row>
    <row r="381" spans="1:26" ht="12.75" customHeight="1">
      <c r="A381" s="224"/>
      <c r="B381" s="226"/>
      <c r="C381" s="224"/>
      <c r="D381" s="224"/>
      <c r="E381" s="224"/>
      <c r="F381" s="224"/>
      <c r="G381" s="224"/>
      <c r="H381" s="224"/>
      <c r="I381" s="224"/>
      <c r="J381" s="224"/>
      <c r="K381" s="224"/>
      <c r="L381" s="224"/>
      <c r="M381" s="224"/>
      <c r="N381" s="224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</row>
    <row r="382" spans="1:26" ht="12.75" customHeight="1">
      <c r="A382" s="224"/>
      <c r="B382" s="226"/>
      <c r="C382" s="224"/>
      <c r="D382" s="224"/>
      <c r="E382" s="224"/>
      <c r="F382" s="224"/>
      <c r="G382" s="224"/>
      <c r="H382" s="224"/>
      <c r="I382" s="224"/>
      <c r="J382" s="224"/>
      <c r="K382" s="224"/>
      <c r="L382" s="224"/>
      <c r="M382" s="224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</row>
    <row r="383" spans="1:26" ht="12.75" customHeight="1">
      <c r="A383" s="224"/>
      <c r="B383" s="226"/>
      <c r="C383" s="224"/>
      <c r="D383" s="224"/>
      <c r="E383" s="224"/>
      <c r="F383" s="224"/>
      <c r="G383" s="224"/>
      <c r="H383" s="224"/>
      <c r="I383" s="224"/>
      <c r="J383" s="224"/>
      <c r="K383" s="224"/>
      <c r="L383" s="224"/>
      <c r="M383" s="224"/>
      <c r="N383" s="224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</row>
    <row r="384" spans="1:26" ht="12.75" customHeight="1">
      <c r="A384" s="224"/>
      <c r="B384" s="226"/>
      <c r="C384" s="224"/>
      <c r="D384" s="224"/>
      <c r="E384" s="224"/>
      <c r="F384" s="224"/>
      <c r="G384" s="224"/>
      <c r="H384" s="224"/>
      <c r="I384" s="224"/>
      <c r="J384" s="224"/>
      <c r="K384" s="224"/>
      <c r="L384" s="224"/>
      <c r="M384" s="224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</row>
    <row r="385" spans="1:26" ht="12.75" customHeight="1">
      <c r="A385" s="224"/>
      <c r="B385" s="226"/>
      <c r="C385" s="224"/>
      <c r="D385" s="224"/>
      <c r="E385" s="224"/>
      <c r="F385" s="224"/>
      <c r="G385" s="224"/>
      <c r="H385" s="224"/>
      <c r="I385" s="224"/>
      <c r="J385" s="224"/>
      <c r="K385" s="224"/>
      <c r="L385" s="224"/>
      <c r="M385" s="224"/>
      <c r="N385" s="224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</row>
    <row r="386" spans="1:26" ht="12.75" customHeight="1">
      <c r="A386" s="224"/>
      <c r="B386" s="226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</row>
    <row r="387" spans="1:26" ht="12.75" customHeight="1">
      <c r="A387" s="224"/>
      <c r="B387" s="226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</row>
    <row r="388" spans="1:26" ht="12.75" customHeight="1">
      <c r="A388" s="224"/>
      <c r="B388" s="226"/>
      <c r="C388" s="224"/>
      <c r="D388" s="224"/>
      <c r="E388" s="224"/>
      <c r="F388" s="224"/>
      <c r="G388" s="224"/>
      <c r="H388" s="224"/>
      <c r="I388" s="224"/>
      <c r="J388" s="224"/>
      <c r="K388" s="224"/>
      <c r="L388" s="224"/>
      <c r="M388" s="224"/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</row>
    <row r="389" spans="1:26" ht="12.75" customHeight="1">
      <c r="A389" s="224"/>
      <c r="B389" s="226"/>
      <c r="C389" s="224"/>
      <c r="D389" s="224"/>
      <c r="E389" s="224"/>
      <c r="F389" s="224"/>
      <c r="G389" s="224"/>
      <c r="H389" s="224"/>
      <c r="I389" s="224"/>
      <c r="J389" s="224"/>
      <c r="K389" s="224"/>
      <c r="L389" s="224"/>
      <c r="M389" s="224"/>
      <c r="N389" s="224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</row>
    <row r="390" spans="1:26" ht="12.75" customHeight="1">
      <c r="A390" s="224"/>
      <c r="B390" s="226"/>
      <c r="C390" s="224"/>
      <c r="D390" s="224"/>
      <c r="E390" s="224"/>
      <c r="F390" s="224"/>
      <c r="G390" s="224"/>
      <c r="H390" s="224"/>
      <c r="I390" s="224"/>
      <c r="J390" s="224"/>
      <c r="K390" s="224"/>
      <c r="L390" s="224"/>
      <c r="M390" s="224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</row>
    <row r="391" spans="1:26" ht="12.75" customHeight="1">
      <c r="A391" s="224"/>
      <c r="B391" s="226"/>
      <c r="C391" s="224"/>
      <c r="D391" s="224"/>
      <c r="E391" s="224"/>
      <c r="F391" s="224"/>
      <c r="G391" s="224"/>
      <c r="H391" s="224"/>
      <c r="I391" s="224"/>
      <c r="J391" s="224"/>
      <c r="K391" s="224"/>
      <c r="L391" s="224"/>
      <c r="M391" s="224"/>
      <c r="N391" s="224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</row>
    <row r="392" spans="1:26" ht="12.75" customHeight="1">
      <c r="A392" s="224"/>
      <c r="B392" s="226"/>
      <c r="C392" s="224"/>
      <c r="D392" s="224"/>
      <c r="E392" s="224"/>
      <c r="F392" s="224"/>
      <c r="G392" s="224"/>
      <c r="H392" s="224"/>
      <c r="I392" s="224"/>
      <c r="J392" s="224"/>
      <c r="K392" s="224"/>
      <c r="L392" s="224"/>
      <c r="M392" s="224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</row>
    <row r="393" spans="1:26" ht="12.75" customHeight="1">
      <c r="A393" s="224"/>
      <c r="B393" s="226"/>
      <c r="C393" s="224"/>
      <c r="D393" s="224"/>
      <c r="E393" s="224"/>
      <c r="F393" s="224"/>
      <c r="G393" s="224"/>
      <c r="H393" s="224"/>
      <c r="I393" s="224"/>
      <c r="J393" s="224"/>
      <c r="K393" s="224"/>
      <c r="L393" s="224"/>
      <c r="M393" s="224"/>
      <c r="N393" s="224"/>
      <c r="O393" s="224"/>
      <c r="P393" s="224"/>
      <c r="Q393" s="224"/>
      <c r="R393" s="224"/>
      <c r="S393" s="224"/>
      <c r="T393" s="224"/>
      <c r="U393" s="224"/>
      <c r="V393" s="224"/>
      <c r="W393" s="224"/>
      <c r="X393" s="224"/>
      <c r="Y393" s="224"/>
      <c r="Z393" s="224"/>
    </row>
    <row r="394" spans="1:26" ht="12.75" customHeight="1">
      <c r="A394" s="224"/>
      <c r="B394" s="226"/>
      <c r="C394" s="224"/>
      <c r="D394" s="224"/>
      <c r="E394" s="224"/>
      <c r="F394" s="224"/>
      <c r="G394" s="224"/>
      <c r="H394" s="224"/>
      <c r="I394" s="224"/>
      <c r="J394" s="224"/>
      <c r="K394" s="224"/>
      <c r="L394" s="224"/>
      <c r="M394" s="224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4"/>
      <c r="Y394" s="224"/>
      <c r="Z394" s="224"/>
    </row>
    <row r="395" spans="1:26" ht="12.75" customHeight="1">
      <c r="A395" s="224"/>
      <c r="B395" s="226"/>
      <c r="C395" s="224"/>
      <c r="D395" s="224"/>
      <c r="E395" s="224"/>
      <c r="F395" s="224"/>
      <c r="G395" s="224"/>
      <c r="H395" s="224"/>
      <c r="I395" s="224"/>
      <c r="J395" s="224"/>
      <c r="K395" s="224"/>
      <c r="L395" s="224"/>
      <c r="M395" s="224"/>
      <c r="N395" s="224"/>
      <c r="O395" s="224"/>
      <c r="P395" s="224"/>
      <c r="Q395" s="224"/>
      <c r="R395" s="224"/>
      <c r="S395" s="224"/>
      <c r="T395" s="224"/>
      <c r="U395" s="224"/>
      <c r="V395" s="224"/>
      <c r="W395" s="224"/>
      <c r="X395" s="224"/>
      <c r="Y395" s="224"/>
      <c r="Z395" s="224"/>
    </row>
    <row r="396" spans="1:26" ht="12.75" customHeight="1">
      <c r="A396" s="224"/>
      <c r="B396" s="226"/>
      <c r="C396" s="224"/>
      <c r="D396" s="224"/>
      <c r="E396" s="224"/>
      <c r="F396" s="224"/>
      <c r="G396" s="224"/>
      <c r="H396" s="224"/>
      <c r="I396" s="224"/>
      <c r="J396" s="224"/>
      <c r="K396" s="224"/>
      <c r="L396" s="224"/>
      <c r="M396" s="224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4"/>
      <c r="Y396" s="224"/>
      <c r="Z396" s="224"/>
    </row>
    <row r="397" spans="1:26" ht="12.75" customHeight="1">
      <c r="A397" s="224"/>
      <c r="B397" s="226"/>
      <c r="C397" s="224"/>
      <c r="D397" s="224"/>
      <c r="E397" s="224"/>
      <c r="F397" s="224"/>
      <c r="G397" s="224"/>
      <c r="H397" s="224"/>
      <c r="I397" s="224"/>
      <c r="J397" s="224"/>
      <c r="K397" s="224"/>
      <c r="L397" s="224"/>
      <c r="M397" s="224"/>
      <c r="N397" s="224"/>
      <c r="O397" s="224"/>
      <c r="P397" s="224"/>
      <c r="Q397" s="224"/>
      <c r="R397" s="224"/>
      <c r="S397" s="224"/>
      <c r="T397" s="224"/>
      <c r="U397" s="224"/>
      <c r="V397" s="224"/>
      <c r="W397" s="224"/>
      <c r="X397" s="224"/>
      <c r="Y397" s="224"/>
      <c r="Z397" s="224"/>
    </row>
    <row r="398" spans="1:26" ht="12.75" customHeight="1">
      <c r="A398" s="224"/>
      <c r="B398" s="226"/>
      <c r="C398" s="224"/>
      <c r="D398" s="224"/>
      <c r="E398" s="224"/>
      <c r="F398" s="224"/>
      <c r="G398" s="224"/>
      <c r="H398" s="224"/>
      <c r="I398" s="224"/>
      <c r="J398" s="224"/>
      <c r="K398" s="224"/>
      <c r="L398" s="224"/>
      <c r="M398" s="224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4"/>
      <c r="Y398" s="224"/>
      <c r="Z398" s="224"/>
    </row>
    <row r="399" spans="1:26" ht="12.75" customHeight="1">
      <c r="A399" s="224"/>
      <c r="B399" s="226"/>
      <c r="C399" s="224"/>
      <c r="D399" s="224"/>
      <c r="E399" s="224"/>
      <c r="F399" s="224"/>
      <c r="G399" s="224"/>
      <c r="H399" s="224"/>
      <c r="I399" s="224"/>
      <c r="J399" s="224"/>
      <c r="K399" s="224"/>
      <c r="L399" s="224"/>
      <c r="M399" s="224"/>
      <c r="N399" s="224"/>
      <c r="O399" s="224"/>
      <c r="P399" s="224"/>
      <c r="Q399" s="224"/>
      <c r="R399" s="224"/>
      <c r="S399" s="224"/>
      <c r="T399" s="224"/>
      <c r="U399" s="224"/>
      <c r="V399" s="224"/>
      <c r="W399" s="224"/>
      <c r="X399" s="224"/>
      <c r="Y399" s="224"/>
      <c r="Z399" s="224"/>
    </row>
    <row r="400" spans="1:26" ht="12.75" customHeight="1">
      <c r="A400" s="224"/>
      <c r="B400" s="226"/>
      <c r="C400" s="224"/>
      <c r="D400" s="224"/>
      <c r="E400" s="224"/>
      <c r="F400" s="224"/>
      <c r="G400" s="224"/>
      <c r="H400" s="224"/>
      <c r="I400" s="224"/>
      <c r="J400" s="224"/>
      <c r="K400" s="224"/>
      <c r="L400" s="224"/>
      <c r="M400" s="224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4"/>
      <c r="Y400" s="224"/>
      <c r="Z400" s="224"/>
    </row>
    <row r="401" spans="1:26" ht="12.75" customHeight="1">
      <c r="A401" s="224"/>
      <c r="B401" s="226"/>
      <c r="C401" s="224"/>
      <c r="D401" s="224"/>
      <c r="E401" s="224"/>
      <c r="F401" s="224"/>
      <c r="G401" s="224"/>
      <c r="H401" s="224"/>
      <c r="I401" s="224"/>
      <c r="J401" s="224"/>
      <c r="K401" s="224"/>
      <c r="L401" s="224"/>
      <c r="M401" s="224"/>
      <c r="N401" s="224"/>
      <c r="O401" s="224"/>
      <c r="P401" s="224"/>
      <c r="Q401" s="224"/>
      <c r="R401" s="224"/>
      <c r="S401" s="224"/>
      <c r="T401" s="224"/>
      <c r="U401" s="224"/>
      <c r="V401" s="224"/>
      <c r="W401" s="224"/>
      <c r="X401" s="224"/>
      <c r="Y401" s="224"/>
      <c r="Z401" s="224"/>
    </row>
    <row r="402" spans="1:26" ht="12.75" customHeight="1">
      <c r="A402" s="224"/>
      <c r="B402" s="226"/>
      <c r="C402" s="224"/>
      <c r="D402" s="224"/>
      <c r="E402" s="224"/>
      <c r="F402" s="224"/>
      <c r="G402" s="224"/>
      <c r="H402" s="224"/>
      <c r="I402" s="224"/>
      <c r="J402" s="224"/>
      <c r="K402" s="224"/>
      <c r="L402" s="224"/>
      <c r="M402" s="224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4"/>
      <c r="Y402" s="224"/>
      <c r="Z402" s="224"/>
    </row>
    <row r="403" spans="1:26" ht="12.75" customHeight="1">
      <c r="A403" s="224"/>
      <c r="B403" s="226"/>
      <c r="C403" s="224"/>
      <c r="D403" s="224"/>
      <c r="E403" s="224"/>
      <c r="F403" s="224"/>
      <c r="G403" s="224"/>
      <c r="H403" s="224"/>
      <c r="I403" s="224"/>
      <c r="J403" s="224"/>
      <c r="K403" s="224"/>
      <c r="L403" s="224"/>
      <c r="M403" s="224"/>
      <c r="N403" s="224"/>
      <c r="O403" s="224"/>
      <c r="P403" s="224"/>
      <c r="Q403" s="224"/>
      <c r="R403" s="224"/>
      <c r="S403" s="224"/>
      <c r="T403" s="224"/>
      <c r="U403" s="224"/>
      <c r="V403" s="224"/>
      <c r="W403" s="224"/>
      <c r="X403" s="224"/>
      <c r="Y403" s="224"/>
      <c r="Z403" s="224"/>
    </row>
    <row r="404" spans="1:26" ht="12.75" customHeight="1">
      <c r="A404" s="224"/>
      <c r="B404" s="226"/>
      <c r="C404" s="224"/>
      <c r="D404" s="224"/>
      <c r="E404" s="224"/>
      <c r="F404" s="224"/>
      <c r="G404" s="224"/>
      <c r="H404" s="224"/>
      <c r="I404" s="224"/>
      <c r="J404" s="224"/>
      <c r="K404" s="224"/>
      <c r="L404" s="224"/>
      <c r="M404" s="224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4"/>
      <c r="Y404" s="224"/>
      <c r="Z404" s="224"/>
    </row>
    <row r="405" spans="1:26" ht="12.75" customHeight="1">
      <c r="A405" s="224"/>
      <c r="B405" s="226"/>
      <c r="C405" s="224"/>
      <c r="D405" s="224"/>
      <c r="E405" s="224"/>
      <c r="F405" s="224"/>
      <c r="G405" s="224"/>
      <c r="H405" s="224"/>
      <c r="I405" s="224"/>
      <c r="J405" s="224"/>
      <c r="K405" s="224"/>
      <c r="L405" s="224"/>
      <c r="M405" s="224"/>
      <c r="N405" s="224"/>
      <c r="O405" s="224"/>
      <c r="P405" s="224"/>
      <c r="Q405" s="224"/>
      <c r="R405" s="224"/>
      <c r="S405" s="224"/>
      <c r="T405" s="224"/>
      <c r="U405" s="224"/>
      <c r="V405" s="224"/>
      <c r="W405" s="224"/>
      <c r="X405" s="224"/>
      <c r="Y405" s="224"/>
      <c r="Z405" s="224"/>
    </row>
    <row r="406" spans="1:26" ht="12.75" customHeight="1">
      <c r="A406" s="224"/>
      <c r="B406" s="226"/>
      <c r="C406" s="224"/>
      <c r="D406" s="224"/>
      <c r="E406" s="224"/>
      <c r="F406" s="224"/>
      <c r="G406" s="224"/>
      <c r="H406" s="224"/>
      <c r="I406" s="224"/>
      <c r="J406" s="224"/>
      <c r="K406" s="224"/>
      <c r="L406" s="224"/>
      <c r="M406" s="224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4"/>
      <c r="Y406" s="224"/>
      <c r="Z406" s="224"/>
    </row>
    <row r="407" spans="1:26" ht="12.75" customHeight="1">
      <c r="A407" s="224"/>
      <c r="B407" s="226"/>
      <c r="C407" s="224"/>
      <c r="D407" s="224"/>
      <c r="E407" s="224"/>
      <c r="F407" s="224"/>
      <c r="G407" s="224"/>
      <c r="H407" s="224"/>
      <c r="I407" s="224"/>
      <c r="J407" s="224"/>
      <c r="K407" s="224"/>
      <c r="L407" s="224"/>
      <c r="M407" s="224"/>
      <c r="N407" s="224"/>
      <c r="O407" s="224"/>
      <c r="P407" s="224"/>
      <c r="Q407" s="224"/>
      <c r="R407" s="224"/>
      <c r="S407" s="224"/>
      <c r="T407" s="224"/>
      <c r="U407" s="224"/>
      <c r="V407" s="224"/>
      <c r="W407" s="224"/>
      <c r="X407" s="224"/>
      <c r="Y407" s="224"/>
      <c r="Z407" s="224"/>
    </row>
    <row r="408" spans="1:26" ht="12.75" customHeight="1">
      <c r="A408" s="224"/>
      <c r="B408" s="226"/>
      <c r="C408" s="224"/>
      <c r="D408" s="224"/>
      <c r="E408" s="224"/>
      <c r="F408" s="224"/>
      <c r="G408" s="224"/>
      <c r="H408" s="224"/>
      <c r="I408" s="224"/>
      <c r="J408" s="224"/>
      <c r="K408" s="224"/>
      <c r="L408" s="224"/>
      <c r="M408" s="224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4"/>
      <c r="Y408" s="224"/>
      <c r="Z408" s="224"/>
    </row>
    <row r="409" spans="1:26" ht="12.75" customHeight="1">
      <c r="A409" s="224"/>
      <c r="B409" s="226"/>
      <c r="C409" s="224"/>
      <c r="D409" s="224"/>
      <c r="E409" s="224"/>
      <c r="F409" s="224"/>
      <c r="G409" s="224"/>
      <c r="H409" s="224"/>
      <c r="I409" s="224"/>
      <c r="J409" s="224"/>
      <c r="K409" s="224"/>
      <c r="L409" s="224"/>
      <c r="M409" s="224"/>
      <c r="N409" s="224"/>
      <c r="O409" s="224"/>
      <c r="P409" s="224"/>
      <c r="Q409" s="224"/>
      <c r="R409" s="224"/>
      <c r="S409" s="224"/>
      <c r="T409" s="224"/>
      <c r="U409" s="224"/>
      <c r="V409" s="224"/>
      <c r="W409" s="224"/>
      <c r="X409" s="224"/>
      <c r="Y409" s="224"/>
      <c r="Z409" s="224"/>
    </row>
    <row r="410" spans="1:26" ht="12.75" customHeight="1">
      <c r="A410" s="224"/>
      <c r="B410" s="226"/>
      <c r="C410" s="224"/>
      <c r="D410" s="224"/>
      <c r="E410" s="224"/>
      <c r="F410" s="224"/>
      <c r="G410" s="224"/>
      <c r="H410" s="224"/>
      <c r="I410" s="224"/>
      <c r="J410" s="224"/>
      <c r="K410" s="224"/>
      <c r="L410" s="224"/>
      <c r="M410" s="224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4"/>
      <c r="Y410" s="224"/>
      <c r="Z410" s="224"/>
    </row>
    <row r="411" spans="1:26" ht="12.75" customHeight="1">
      <c r="A411" s="224"/>
      <c r="B411" s="226"/>
      <c r="C411" s="224"/>
      <c r="D411" s="224"/>
      <c r="E411" s="224"/>
      <c r="F411" s="224"/>
      <c r="G411" s="224"/>
      <c r="H411" s="224"/>
      <c r="I411" s="224"/>
      <c r="J411" s="224"/>
      <c r="K411" s="224"/>
      <c r="L411" s="224"/>
      <c r="M411" s="224"/>
      <c r="N411" s="224"/>
      <c r="O411" s="224"/>
      <c r="P411" s="224"/>
      <c r="Q411" s="224"/>
      <c r="R411" s="224"/>
      <c r="S411" s="224"/>
      <c r="T411" s="224"/>
      <c r="U411" s="224"/>
      <c r="V411" s="224"/>
      <c r="W411" s="224"/>
      <c r="X411" s="224"/>
      <c r="Y411" s="224"/>
      <c r="Z411" s="224"/>
    </row>
    <row r="412" spans="1:26" ht="12.75" customHeight="1">
      <c r="A412" s="224"/>
      <c r="B412" s="226"/>
      <c r="C412" s="224"/>
      <c r="D412" s="224"/>
      <c r="E412" s="224"/>
      <c r="F412" s="224"/>
      <c r="G412" s="224"/>
      <c r="H412" s="224"/>
      <c r="I412" s="224"/>
      <c r="J412" s="224"/>
      <c r="K412" s="224"/>
      <c r="L412" s="224"/>
      <c r="M412" s="224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4"/>
      <c r="Y412" s="224"/>
      <c r="Z412" s="224"/>
    </row>
    <row r="413" spans="1:26" ht="12.75" customHeight="1">
      <c r="A413" s="224"/>
      <c r="B413" s="226"/>
      <c r="C413" s="224"/>
      <c r="D413" s="224"/>
      <c r="E413" s="224"/>
      <c r="F413" s="224"/>
      <c r="G413" s="224"/>
      <c r="H413" s="224"/>
      <c r="I413" s="224"/>
      <c r="J413" s="224"/>
      <c r="K413" s="224"/>
      <c r="L413" s="224"/>
      <c r="M413" s="224"/>
      <c r="N413" s="224"/>
      <c r="O413" s="224"/>
      <c r="P413" s="224"/>
      <c r="Q413" s="224"/>
      <c r="R413" s="224"/>
      <c r="S413" s="224"/>
      <c r="T413" s="224"/>
      <c r="U413" s="224"/>
      <c r="V413" s="224"/>
      <c r="W413" s="224"/>
      <c r="X413" s="224"/>
      <c r="Y413" s="224"/>
      <c r="Z413" s="224"/>
    </row>
    <row r="414" spans="1:26" ht="12.75" customHeight="1">
      <c r="A414" s="224"/>
      <c r="B414" s="226"/>
      <c r="C414" s="224"/>
      <c r="D414" s="224"/>
      <c r="E414" s="224"/>
      <c r="F414" s="224"/>
      <c r="G414" s="224"/>
      <c r="H414" s="224"/>
      <c r="I414" s="224"/>
      <c r="J414" s="224"/>
      <c r="K414" s="224"/>
      <c r="L414" s="224"/>
      <c r="M414" s="224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4"/>
      <c r="Y414" s="224"/>
      <c r="Z414" s="224"/>
    </row>
    <row r="415" spans="1:26" ht="12.75" customHeight="1">
      <c r="A415" s="224"/>
      <c r="B415" s="226"/>
      <c r="C415" s="224"/>
      <c r="D415" s="224"/>
      <c r="E415" s="224"/>
      <c r="F415" s="224"/>
      <c r="G415" s="224"/>
      <c r="H415" s="224"/>
      <c r="I415" s="224"/>
      <c r="J415" s="224"/>
      <c r="K415" s="224"/>
      <c r="L415" s="224"/>
      <c r="M415" s="224"/>
      <c r="N415" s="224"/>
      <c r="O415" s="224"/>
      <c r="P415" s="224"/>
      <c r="Q415" s="224"/>
      <c r="R415" s="224"/>
      <c r="S415" s="224"/>
      <c r="T415" s="224"/>
      <c r="U415" s="224"/>
      <c r="V415" s="224"/>
      <c r="W415" s="224"/>
      <c r="X415" s="224"/>
      <c r="Y415" s="224"/>
      <c r="Z415" s="224"/>
    </row>
    <row r="416" spans="1:26" ht="12.75" customHeight="1">
      <c r="A416" s="224"/>
      <c r="B416" s="226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4"/>
      <c r="Y416" s="224"/>
      <c r="Z416" s="224"/>
    </row>
    <row r="417" spans="1:26" ht="12.75" customHeight="1">
      <c r="A417" s="224"/>
      <c r="B417" s="226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224"/>
      <c r="T417" s="224"/>
      <c r="U417" s="224"/>
      <c r="V417" s="224"/>
      <c r="W417" s="224"/>
      <c r="X417" s="224"/>
      <c r="Y417" s="224"/>
      <c r="Z417" s="224"/>
    </row>
    <row r="418" spans="1:26" ht="12.75" customHeight="1">
      <c r="A418" s="224"/>
      <c r="B418" s="226"/>
      <c r="C418" s="224"/>
      <c r="D418" s="224"/>
      <c r="E418" s="224"/>
      <c r="F418" s="224"/>
      <c r="G418" s="224"/>
      <c r="H418" s="224"/>
      <c r="I418" s="224"/>
      <c r="J418" s="224"/>
      <c r="K418" s="224"/>
      <c r="L418" s="224"/>
      <c r="M418" s="224"/>
      <c r="N418" s="224"/>
      <c r="O418" s="224"/>
      <c r="P418" s="224"/>
      <c r="Q418" s="224"/>
      <c r="R418" s="224"/>
      <c r="S418" s="224"/>
      <c r="T418" s="224"/>
      <c r="U418" s="224"/>
      <c r="V418" s="224"/>
      <c r="W418" s="224"/>
      <c r="X418" s="224"/>
      <c r="Y418" s="224"/>
      <c r="Z418" s="224"/>
    </row>
    <row r="419" spans="1:26" ht="12.75" customHeight="1">
      <c r="A419" s="224"/>
      <c r="B419" s="226"/>
      <c r="C419" s="224"/>
      <c r="D419" s="224"/>
      <c r="E419" s="224"/>
      <c r="F419" s="224"/>
      <c r="G419" s="224"/>
      <c r="H419" s="224"/>
      <c r="I419" s="224"/>
      <c r="J419" s="224"/>
      <c r="K419" s="224"/>
      <c r="L419" s="224"/>
      <c r="M419" s="224"/>
      <c r="N419" s="224"/>
      <c r="O419" s="224"/>
      <c r="P419" s="224"/>
      <c r="Q419" s="224"/>
      <c r="R419" s="224"/>
      <c r="S419" s="224"/>
      <c r="T419" s="224"/>
      <c r="U419" s="224"/>
      <c r="V419" s="224"/>
      <c r="W419" s="224"/>
      <c r="X419" s="224"/>
      <c r="Y419" s="224"/>
      <c r="Z419" s="224"/>
    </row>
    <row r="420" spans="1:26" ht="12.75" customHeight="1">
      <c r="A420" s="224"/>
      <c r="B420" s="226"/>
      <c r="C420" s="224"/>
      <c r="D420" s="224"/>
      <c r="E420" s="224"/>
      <c r="F420" s="224"/>
      <c r="G420" s="224"/>
      <c r="H420" s="224"/>
      <c r="I420" s="224"/>
      <c r="J420" s="224"/>
      <c r="K420" s="224"/>
      <c r="L420" s="224"/>
      <c r="M420" s="224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4"/>
      <c r="Y420" s="224"/>
      <c r="Z420" s="224"/>
    </row>
    <row r="421" spans="1:26" ht="12.75" customHeight="1">
      <c r="A421" s="224"/>
      <c r="B421" s="226"/>
      <c r="C421" s="224"/>
      <c r="D421" s="224"/>
      <c r="E421" s="224"/>
      <c r="F421" s="224"/>
      <c r="G421" s="224"/>
      <c r="H421" s="224"/>
      <c r="I421" s="224"/>
      <c r="J421" s="224"/>
      <c r="K421" s="224"/>
      <c r="L421" s="224"/>
      <c r="M421" s="224"/>
      <c r="N421" s="224"/>
      <c r="O421" s="224"/>
      <c r="P421" s="224"/>
      <c r="Q421" s="224"/>
      <c r="R421" s="224"/>
      <c r="S421" s="224"/>
      <c r="T421" s="224"/>
      <c r="U421" s="224"/>
      <c r="V421" s="224"/>
      <c r="W421" s="224"/>
      <c r="X421" s="224"/>
      <c r="Y421" s="224"/>
      <c r="Z421" s="224"/>
    </row>
    <row r="422" spans="1:26" ht="12.75" customHeight="1">
      <c r="A422" s="224"/>
      <c r="B422" s="226"/>
      <c r="C422" s="224"/>
      <c r="D422" s="224"/>
      <c r="E422" s="224"/>
      <c r="F422" s="224"/>
      <c r="G422" s="224"/>
      <c r="H422" s="224"/>
      <c r="I422" s="224"/>
      <c r="J422" s="224"/>
      <c r="K422" s="224"/>
      <c r="L422" s="224"/>
      <c r="M422" s="224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4"/>
      <c r="Y422" s="224"/>
      <c r="Z422" s="224"/>
    </row>
    <row r="423" spans="1:26" ht="12.75" customHeight="1">
      <c r="A423" s="224"/>
      <c r="B423" s="226"/>
      <c r="C423" s="224"/>
      <c r="D423" s="224"/>
      <c r="E423" s="224"/>
      <c r="F423" s="224"/>
      <c r="G423" s="224"/>
      <c r="H423" s="224"/>
      <c r="I423" s="224"/>
      <c r="J423" s="224"/>
      <c r="K423" s="224"/>
      <c r="L423" s="224"/>
      <c r="M423" s="224"/>
      <c r="N423" s="224"/>
      <c r="O423" s="224"/>
      <c r="P423" s="224"/>
      <c r="Q423" s="224"/>
      <c r="R423" s="224"/>
      <c r="S423" s="224"/>
      <c r="T423" s="224"/>
      <c r="U423" s="224"/>
      <c r="V423" s="224"/>
      <c r="W423" s="224"/>
      <c r="X423" s="224"/>
      <c r="Y423" s="224"/>
      <c r="Z423" s="224"/>
    </row>
    <row r="424" spans="1:26" ht="12.75" customHeight="1">
      <c r="A424" s="224"/>
      <c r="B424" s="226"/>
      <c r="C424" s="224"/>
      <c r="D424" s="224"/>
      <c r="E424" s="224"/>
      <c r="F424" s="224"/>
      <c r="G424" s="224"/>
      <c r="H424" s="224"/>
      <c r="I424" s="224"/>
      <c r="J424" s="224"/>
      <c r="K424" s="224"/>
      <c r="L424" s="224"/>
      <c r="M424" s="224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4"/>
      <c r="Y424" s="224"/>
      <c r="Z424" s="224"/>
    </row>
    <row r="425" spans="1:26" ht="12.75" customHeight="1">
      <c r="A425" s="224"/>
      <c r="B425" s="226"/>
      <c r="C425" s="224"/>
      <c r="D425" s="224"/>
      <c r="E425" s="224"/>
      <c r="F425" s="224"/>
      <c r="G425" s="224"/>
      <c r="H425" s="224"/>
      <c r="I425" s="224"/>
      <c r="J425" s="224"/>
      <c r="K425" s="224"/>
      <c r="L425" s="224"/>
      <c r="M425" s="224"/>
      <c r="N425" s="224"/>
      <c r="O425" s="224"/>
      <c r="P425" s="224"/>
      <c r="Q425" s="224"/>
      <c r="R425" s="224"/>
      <c r="S425" s="224"/>
      <c r="T425" s="224"/>
      <c r="U425" s="224"/>
      <c r="V425" s="224"/>
      <c r="W425" s="224"/>
      <c r="X425" s="224"/>
      <c r="Y425" s="224"/>
      <c r="Z425" s="224"/>
    </row>
    <row r="426" spans="1:26" ht="12.75" customHeight="1">
      <c r="A426" s="224"/>
      <c r="B426" s="226"/>
      <c r="C426" s="224"/>
      <c r="D426" s="224"/>
      <c r="E426" s="224"/>
      <c r="F426" s="224"/>
      <c r="G426" s="224"/>
      <c r="H426" s="224"/>
      <c r="I426" s="224"/>
      <c r="J426" s="224"/>
      <c r="K426" s="224"/>
      <c r="L426" s="224"/>
      <c r="M426" s="224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4"/>
      <c r="Y426" s="224"/>
      <c r="Z426" s="224"/>
    </row>
    <row r="427" spans="1:26" ht="12.75" customHeight="1">
      <c r="A427" s="224"/>
      <c r="B427" s="226"/>
      <c r="C427" s="224"/>
      <c r="D427" s="224"/>
      <c r="E427" s="224"/>
      <c r="F427" s="224"/>
      <c r="G427" s="224"/>
      <c r="H427" s="224"/>
      <c r="I427" s="224"/>
      <c r="J427" s="224"/>
      <c r="K427" s="224"/>
      <c r="L427" s="224"/>
      <c r="M427" s="224"/>
      <c r="N427" s="224"/>
      <c r="O427" s="224"/>
      <c r="P427" s="224"/>
      <c r="Q427" s="224"/>
      <c r="R427" s="224"/>
      <c r="S427" s="224"/>
      <c r="T427" s="224"/>
      <c r="U427" s="224"/>
      <c r="V427" s="224"/>
      <c r="W427" s="224"/>
      <c r="X427" s="224"/>
      <c r="Y427" s="224"/>
      <c r="Z427" s="224"/>
    </row>
    <row r="428" spans="1:26" ht="12.75" customHeight="1">
      <c r="A428" s="224"/>
      <c r="B428" s="226"/>
      <c r="C428" s="224"/>
      <c r="D428" s="224"/>
      <c r="E428" s="224"/>
      <c r="F428" s="224"/>
      <c r="G428" s="224"/>
      <c r="H428" s="224"/>
      <c r="I428" s="224"/>
      <c r="J428" s="224"/>
      <c r="K428" s="224"/>
      <c r="L428" s="224"/>
      <c r="M428" s="224"/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4"/>
      <c r="Y428" s="224"/>
      <c r="Z428" s="224"/>
    </row>
    <row r="429" spans="1:26" ht="12.75" customHeight="1">
      <c r="A429" s="224"/>
      <c r="B429" s="226"/>
      <c r="C429" s="224"/>
      <c r="D429" s="224"/>
      <c r="E429" s="224"/>
      <c r="F429" s="224"/>
      <c r="G429" s="224"/>
      <c r="H429" s="224"/>
      <c r="I429" s="224"/>
      <c r="J429" s="224"/>
      <c r="K429" s="224"/>
      <c r="L429" s="224"/>
      <c r="M429" s="224"/>
      <c r="N429" s="224"/>
      <c r="O429" s="224"/>
      <c r="P429" s="224"/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</row>
    <row r="430" spans="1:26" ht="12.75" customHeight="1">
      <c r="A430" s="224"/>
      <c r="B430" s="226"/>
      <c r="C430" s="224"/>
      <c r="D430" s="224"/>
      <c r="E430" s="224"/>
      <c r="F430" s="224"/>
      <c r="G430" s="224"/>
      <c r="H430" s="224"/>
      <c r="I430" s="224"/>
      <c r="J430" s="224"/>
      <c r="K430" s="224"/>
      <c r="L430" s="224"/>
      <c r="M430" s="224"/>
      <c r="N430" s="224"/>
      <c r="O430" s="224"/>
      <c r="P430" s="224"/>
      <c r="Q430" s="224"/>
      <c r="R430" s="224"/>
      <c r="S430" s="224"/>
      <c r="T430" s="224"/>
      <c r="U430" s="224"/>
      <c r="V430" s="224"/>
      <c r="W430" s="224"/>
      <c r="X430" s="224"/>
      <c r="Y430" s="224"/>
      <c r="Z430" s="224"/>
    </row>
    <row r="431" spans="1:26" ht="12.75" customHeight="1">
      <c r="A431" s="224"/>
      <c r="B431" s="226"/>
      <c r="C431" s="224"/>
      <c r="D431" s="224"/>
      <c r="E431" s="224"/>
      <c r="F431" s="224"/>
      <c r="G431" s="224"/>
      <c r="H431" s="224"/>
      <c r="I431" s="224"/>
      <c r="J431" s="224"/>
      <c r="K431" s="224"/>
      <c r="L431" s="224"/>
      <c r="M431" s="224"/>
      <c r="N431" s="224"/>
      <c r="O431" s="224"/>
      <c r="P431" s="224"/>
      <c r="Q431" s="224"/>
      <c r="R431" s="224"/>
      <c r="S431" s="224"/>
      <c r="T431" s="224"/>
      <c r="U431" s="224"/>
      <c r="V431" s="224"/>
      <c r="W431" s="224"/>
      <c r="X431" s="224"/>
      <c r="Y431" s="224"/>
      <c r="Z431" s="224"/>
    </row>
    <row r="432" spans="1:26" ht="12.75" customHeight="1">
      <c r="A432" s="224"/>
      <c r="B432" s="226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4"/>
      <c r="Y432" s="224"/>
      <c r="Z432" s="224"/>
    </row>
    <row r="433" spans="1:26" ht="12.75" customHeight="1">
      <c r="A433" s="224"/>
      <c r="B433" s="226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224"/>
      <c r="T433" s="224"/>
      <c r="U433" s="224"/>
      <c r="V433" s="224"/>
      <c r="W433" s="224"/>
      <c r="X433" s="224"/>
      <c r="Y433" s="224"/>
      <c r="Z433" s="224"/>
    </row>
    <row r="434" spans="1:26" ht="12.75" customHeight="1">
      <c r="A434" s="224"/>
      <c r="B434" s="226"/>
      <c r="C434" s="224"/>
      <c r="D434" s="224"/>
      <c r="E434" s="224"/>
      <c r="F434" s="224"/>
      <c r="G434" s="224"/>
      <c r="H434" s="224"/>
      <c r="I434" s="224"/>
      <c r="J434" s="224"/>
      <c r="K434" s="224"/>
      <c r="L434" s="224"/>
      <c r="M434" s="224"/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4"/>
      <c r="Y434" s="224"/>
      <c r="Z434" s="224"/>
    </row>
    <row r="435" spans="1:26" ht="12.75" customHeight="1">
      <c r="A435" s="224"/>
      <c r="B435" s="226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224"/>
      <c r="T435" s="224"/>
      <c r="U435" s="224"/>
      <c r="V435" s="224"/>
      <c r="W435" s="224"/>
      <c r="X435" s="224"/>
      <c r="Y435" s="224"/>
      <c r="Z435" s="224"/>
    </row>
    <row r="436" spans="1:26" ht="12.75" customHeight="1">
      <c r="A436" s="224"/>
      <c r="B436" s="226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4"/>
      <c r="Y436" s="224"/>
      <c r="Z436" s="224"/>
    </row>
    <row r="437" spans="1:26" ht="12.75" customHeight="1">
      <c r="A437" s="224"/>
      <c r="B437" s="226"/>
      <c r="C437" s="224"/>
      <c r="D437" s="224"/>
      <c r="E437" s="224"/>
      <c r="F437" s="224"/>
      <c r="G437" s="224"/>
      <c r="H437" s="224"/>
      <c r="I437" s="224"/>
      <c r="J437" s="224"/>
      <c r="K437" s="224"/>
      <c r="L437" s="224"/>
      <c r="M437" s="224"/>
      <c r="N437" s="224"/>
      <c r="O437" s="224"/>
      <c r="P437" s="224"/>
      <c r="Q437" s="224"/>
      <c r="R437" s="224"/>
      <c r="S437" s="224"/>
      <c r="T437" s="224"/>
      <c r="U437" s="224"/>
      <c r="V437" s="224"/>
      <c r="W437" s="224"/>
      <c r="X437" s="224"/>
      <c r="Y437" s="224"/>
      <c r="Z437" s="224"/>
    </row>
    <row r="438" spans="1:26" ht="12.75" customHeight="1">
      <c r="A438" s="224"/>
      <c r="B438" s="226"/>
      <c r="C438" s="224"/>
      <c r="D438" s="224"/>
      <c r="E438" s="224"/>
      <c r="F438" s="224"/>
      <c r="G438" s="224"/>
      <c r="H438" s="224"/>
      <c r="I438" s="224"/>
      <c r="J438" s="224"/>
      <c r="K438" s="224"/>
      <c r="L438" s="224"/>
      <c r="M438" s="224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4"/>
      <c r="Y438" s="224"/>
      <c r="Z438" s="224"/>
    </row>
    <row r="439" spans="1:26" ht="12.75" customHeight="1">
      <c r="A439" s="224"/>
      <c r="B439" s="226"/>
      <c r="C439" s="224"/>
      <c r="D439" s="224"/>
      <c r="E439" s="224"/>
      <c r="F439" s="224"/>
      <c r="G439" s="224"/>
      <c r="H439" s="224"/>
      <c r="I439" s="224"/>
      <c r="J439" s="224"/>
      <c r="K439" s="224"/>
      <c r="L439" s="224"/>
      <c r="M439" s="224"/>
      <c r="N439" s="224"/>
      <c r="O439" s="224"/>
      <c r="P439" s="224"/>
      <c r="Q439" s="224"/>
      <c r="R439" s="224"/>
      <c r="S439" s="224"/>
      <c r="T439" s="224"/>
      <c r="U439" s="224"/>
      <c r="V439" s="224"/>
      <c r="W439" s="224"/>
      <c r="X439" s="224"/>
      <c r="Y439" s="224"/>
      <c r="Z439" s="224"/>
    </row>
    <row r="440" spans="1:26" ht="12.75" customHeight="1">
      <c r="A440" s="224"/>
      <c r="B440" s="226"/>
      <c r="C440" s="224"/>
      <c r="D440" s="224"/>
      <c r="E440" s="224"/>
      <c r="F440" s="224"/>
      <c r="G440" s="224"/>
      <c r="H440" s="224"/>
      <c r="I440" s="224"/>
      <c r="J440" s="224"/>
      <c r="K440" s="224"/>
      <c r="L440" s="224"/>
      <c r="M440" s="224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4"/>
      <c r="Y440" s="224"/>
      <c r="Z440" s="224"/>
    </row>
    <row r="441" spans="1:26" ht="12.75" customHeight="1">
      <c r="A441" s="224"/>
      <c r="B441" s="226"/>
      <c r="C441" s="224"/>
      <c r="D441" s="224"/>
      <c r="E441" s="224"/>
      <c r="F441" s="224"/>
      <c r="G441" s="224"/>
      <c r="H441" s="224"/>
      <c r="I441" s="224"/>
      <c r="J441" s="224"/>
      <c r="K441" s="224"/>
      <c r="L441" s="224"/>
      <c r="M441" s="224"/>
      <c r="N441" s="224"/>
      <c r="O441" s="224"/>
      <c r="P441" s="224"/>
      <c r="Q441" s="224"/>
      <c r="R441" s="224"/>
      <c r="S441" s="224"/>
      <c r="T441" s="224"/>
      <c r="U441" s="224"/>
      <c r="V441" s="224"/>
      <c r="W441" s="224"/>
      <c r="X441" s="224"/>
      <c r="Y441" s="224"/>
      <c r="Z441" s="224"/>
    </row>
    <row r="442" spans="1:26" ht="12.75" customHeight="1">
      <c r="A442" s="224"/>
      <c r="B442" s="226"/>
      <c r="C442" s="224"/>
      <c r="D442" s="224"/>
      <c r="E442" s="224"/>
      <c r="F442" s="224"/>
      <c r="G442" s="224"/>
      <c r="H442" s="224"/>
      <c r="I442" s="224"/>
      <c r="J442" s="224"/>
      <c r="K442" s="224"/>
      <c r="L442" s="224"/>
      <c r="M442" s="224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4"/>
      <c r="Y442" s="224"/>
      <c r="Z442" s="224"/>
    </row>
    <row r="443" spans="1:26" ht="12.75" customHeight="1">
      <c r="A443" s="224"/>
      <c r="B443" s="226"/>
      <c r="C443" s="224"/>
      <c r="D443" s="224"/>
      <c r="E443" s="224"/>
      <c r="F443" s="224"/>
      <c r="G443" s="224"/>
      <c r="H443" s="224"/>
      <c r="I443" s="224"/>
      <c r="J443" s="224"/>
      <c r="K443" s="224"/>
      <c r="L443" s="224"/>
      <c r="M443" s="224"/>
      <c r="N443" s="224"/>
      <c r="O443" s="224"/>
      <c r="P443" s="224"/>
      <c r="Q443" s="224"/>
      <c r="R443" s="224"/>
      <c r="S443" s="224"/>
      <c r="T443" s="224"/>
      <c r="U443" s="224"/>
      <c r="V443" s="224"/>
      <c r="W443" s="224"/>
      <c r="X443" s="224"/>
      <c r="Y443" s="224"/>
      <c r="Z443" s="224"/>
    </row>
    <row r="444" spans="1:26" ht="12.75" customHeight="1">
      <c r="A444" s="224"/>
      <c r="B444" s="226"/>
      <c r="C444" s="224"/>
      <c r="D444" s="224"/>
      <c r="E444" s="224"/>
      <c r="F444" s="224"/>
      <c r="G444" s="224"/>
      <c r="H444" s="224"/>
      <c r="I444" s="224"/>
      <c r="J444" s="224"/>
      <c r="K444" s="224"/>
      <c r="L444" s="224"/>
      <c r="M444" s="224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4"/>
      <c r="Y444" s="224"/>
      <c r="Z444" s="224"/>
    </row>
    <row r="445" spans="1:26" ht="12.75" customHeight="1">
      <c r="A445" s="224"/>
      <c r="B445" s="226"/>
      <c r="C445" s="224"/>
      <c r="D445" s="224"/>
      <c r="E445" s="224"/>
      <c r="F445" s="224"/>
      <c r="G445" s="224"/>
      <c r="H445" s="224"/>
      <c r="I445" s="224"/>
      <c r="J445" s="224"/>
      <c r="K445" s="224"/>
      <c r="L445" s="224"/>
      <c r="M445" s="224"/>
      <c r="N445" s="224"/>
      <c r="O445" s="224"/>
      <c r="P445" s="224"/>
      <c r="Q445" s="224"/>
      <c r="R445" s="224"/>
      <c r="S445" s="224"/>
      <c r="T445" s="224"/>
      <c r="U445" s="224"/>
      <c r="V445" s="224"/>
      <c r="W445" s="224"/>
      <c r="X445" s="224"/>
      <c r="Y445" s="224"/>
      <c r="Z445" s="224"/>
    </row>
    <row r="446" spans="1:26" ht="12.75" customHeight="1">
      <c r="A446" s="224"/>
      <c r="B446" s="226"/>
      <c r="C446" s="224"/>
      <c r="D446" s="224"/>
      <c r="E446" s="224"/>
      <c r="F446" s="224"/>
      <c r="G446" s="224"/>
      <c r="H446" s="224"/>
      <c r="I446" s="224"/>
      <c r="J446" s="224"/>
      <c r="K446" s="224"/>
      <c r="L446" s="224"/>
      <c r="M446" s="224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4"/>
      <c r="Y446" s="224"/>
      <c r="Z446" s="224"/>
    </row>
    <row r="447" spans="1:26" ht="12.75" customHeight="1">
      <c r="A447" s="224"/>
      <c r="B447" s="226"/>
      <c r="C447" s="224"/>
      <c r="D447" s="224"/>
      <c r="E447" s="224"/>
      <c r="F447" s="224"/>
      <c r="G447" s="224"/>
      <c r="H447" s="224"/>
      <c r="I447" s="224"/>
      <c r="J447" s="224"/>
      <c r="K447" s="224"/>
      <c r="L447" s="224"/>
      <c r="M447" s="224"/>
      <c r="N447" s="224"/>
      <c r="O447" s="224"/>
      <c r="P447" s="224"/>
      <c r="Q447" s="224"/>
      <c r="R447" s="224"/>
      <c r="S447" s="224"/>
      <c r="T447" s="224"/>
      <c r="U447" s="224"/>
      <c r="V447" s="224"/>
      <c r="W447" s="224"/>
      <c r="X447" s="224"/>
      <c r="Y447" s="224"/>
      <c r="Z447" s="224"/>
    </row>
    <row r="448" spans="1:26" ht="12.75" customHeight="1">
      <c r="A448" s="224"/>
      <c r="B448" s="226"/>
      <c r="C448" s="224"/>
      <c r="D448" s="224"/>
      <c r="E448" s="224"/>
      <c r="F448" s="224"/>
      <c r="G448" s="224"/>
      <c r="H448" s="224"/>
      <c r="I448" s="224"/>
      <c r="J448" s="224"/>
      <c r="K448" s="224"/>
      <c r="L448" s="224"/>
      <c r="M448" s="224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4"/>
      <c r="Y448" s="224"/>
      <c r="Z448" s="224"/>
    </row>
    <row r="449" spans="1:26" ht="12.75" customHeight="1">
      <c r="A449" s="224"/>
      <c r="B449" s="226"/>
      <c r="C449" s="224"/>
      <c r="D449" s="224"/>
      <c r="E449" s="224"/>
      <c r="F449" s="224"/>
      <c r="G449" s="224"/>
      <c r="H449" s="224"/>
      <c r="I449" s="224"/>
      <c r="J449" s="224"/>
      <c r="K449" s="224"/>
      <c r="L449" s="224"/>
      <c r="M449" s="224"/>
      <c r="N449" s="224"/>
      <c r="O449" s="224"/>
      <c r="P449" s="224"/>
      <c r="Q449" s="224"/>
      <c r="R449" s="224"/>
      <c r="S449" s="224"/>
      <c r="T449" s="224"/>
      <c r="U449" s="224"/>
      <c r="V449" s="224"/>
      <c r="W449" s="224"/>
      <c r="X449" s="224"/>
      <c r="Y449" s="224"/>
      <c r="Z449" s="224"/>
    </row>
    <row r="450" spans="1:26" ht="12.75" customHeight="1">
      <c r="A450" s="224"/>
      <c r="B450" s="226"/>
      <c r="C450" s="224"/>
      <c r="D450" s="224"/>
      <c r="E450" s="224"/>
      <c r="F450" s="224"/>
      <c r="G450" s="224"/>
      <c r="H450" s="224"/>
      <c r="I450" s="224"/>
      <c r="J450" s="224"/>
      <c r="K450" s="224"/>
      <c r="L450" s="224"/>
      <c r="M450" s="224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4"/>
      <c r="Y450" s="224"/>
      <c r="Z450" s="224"/>
    </row>
    <row r="451" spans="1:26" ht="12.75" customHeight="1">
      <c r="A451" s="224"/>
      <c r="B451" s="226"/>
      <c r="C451" s="224"/>
      <c r="D451" s="224"/>
      <c r="E451" s="224"/>
      <c r="F451" s="224"/>
      <c r="G451" s="224"/>
      <c r="H451" s="224"/>
      <c r="I451" s="224"/>
      <c r="J451" s="224"/>
      <c r="K451" s="224"/>
      <c r="L451" s="224"/>
      <c r="M451" s="224"/>
      <c r="N451" s="224"/>
      <c r="O451" s="224"/>
      <c r="P451" s="224"/>
      <c r="Q451" s="224"/>
      <c r="R451" s="224"/>
      <c r="S451" s="224"/>
      <c r="T451" s="224"/>
      <c r="U451" s="224"/>
      <c r="V451" s="224"/>
      <c r="W451" s="224"/>
      <c r="X451" s="224"/>
      <c r="Y451" s="224"/>
      <c r="Z451" s="224"/>
    </row>
    <row r="452" spans="1:26" ht="12.75" customHeight="1">
      <c r="A452" s="224"/>
      <c r="B452" s="226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</row>
    <row r="453" spans="1:26" ht="12.75" customHeight="1">
      <c r="A453" s="224"/>
      <c r="B453" s="226"/>
      <c r="C453" s="224"/>
      <c r="D453" s="224"/>
      <c r="E453" s="224"/>
      <c r="F453" s="224"/>
      <c r="G453" s="224"/>
      <c r="H453" s="224"/>
      <c r="I453" s="224"/>
      <c r="J453" s="224"/>
      <c r="K453" s="224"/>
      <c r="L453" s="224"/>
      <c r="M453" s="224"/>
      <c r="N453" s="224"/>
      <c r="O453" s="224"/>
      <c r="P453" s="224"/>
      <c r="Q453" s="224"/>
      <c r="R453" s="224"/>
      <c r="S453" s="224"/>
      <c r="T453" s="224"/>
      <c r="U453" s="224"/>
      <c r="V453" s="224"/>
      <c r="W453" s="224"/>
      <c r="X453" s="224"/>
      <c r="Y453" s="224"/>
      <c r="Z453" s="224"/>
    </row>
    <row r="454" spans="1:26" ht="12.75" customHeight="1">
      <c r="A454" s="224"/>
      <c r="B454" s="226"/>
      <c r="C454" s="224"/>
      <c r="D454" s="224"/>
      <c r="E454" s="224"/>
      <c r="F454" s="224"/>
      <c r="G454" s="224"/>
      <c r="H454" s="224"/>
      <c r="I454" s="224"/>
      <c r="J454" s="224"/>
      <c r="K454" s="224"/>
      <c r="L454" s="224"/>
      <c r="M454" s="224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4"/>
      <c r="Y454" s="224"/>
      <c r="Z454" s="224"/>
    </row>
    <row r="455" spans="1:26" ht="12.75" customHeight="1">
      <c r="A455" s="224"/>
      <c r="B455" s="226"/>
      <c r="C455" s="224"/>
      <c r="D455" s="224"/>
      <c r="E455" s="224"/>
      <c r="F455" s="224"/>
      <c r="G455" s="224"/>
      <c r="H455" s="224"/>
      <c r="I455" s="224"/>
      <c r="J455" s="224"/>
      <c r="K455" s="224"/>
      <c r="L455" s="224"/>
      <c r="M455" s="224"/>
      <c r="N455" s="224"/>
      <c r="O455" s="224"/>
      <c r="P455" s="224"/>
      <c r="Q455" s="224"/>
      <c r="R455" s="224"/>
      <c r="S455" s="224"/>
      <c r="T455" s="224"/>
      <c r="U455" s="224"/>
      <c r="V455" s="224"/>
      <c r="W455" s="224"/>
      <c r="X455" s="224"/>
      <c r="Y455" s="224"/>
      <c r="Z455" s="224"/>
    </row>
    <row r="456" spans="1:26" ht="12.75" customHeight="1">
      <c r="A456" s="224"/>
      <c r="B456" s="226"/>
      <c r="C456" s="224"/>
      <c r="D456" s="224"/>
      <c r="E456" s="224"/>
      <c r="F456" s="224"/>
      <c r="G456" s="224"/>
      <c r="H456" s="224"/>
      <c r="I456" s="224"/>
      <c r="J456" s="224"/>
      <c r="K456" s="224"/>
      <c r="L456" s="224"/>
      <c r="M456" s="224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4"/>
      <c r="Y456" s="224"/>
      <c r="Z456" s="224"/>
    </row>
    <row r="457" spans="1:26" ht="12.75" customHeight="1">
      <c r="A457" s="224"/>
      <c r="B457" s="226"/>
      <c r="C457" s="224"/>
      <c r="D457" s="224"/>
      <c r="E457" s="224"/>
      <c r="F457" s="224"/>
      <c r="G457" s="224"/>
      <c r="H457" s="224"/>
      <c r="I457" s="224"/>
      <c r="J457" s="224"/>
      <c r="K457" s="224"/>
      <c r="L457" s="224"/>
      <c r="M457" s="224"/>
      <c r="N457" s="224"/>
      <c r="O457" s="224"/>
      <c r="P457" s="224"/>
      <c r="Q457" s="224"/>
      <c r="R457" s="224"/>
      <c r="S457" s="224"/>
      <c r="T457" s="224"/>
      <c r="U457" s="224"/>
      <c r="V457" s="224"/>
      <c r="W457" s="224"/>
      <c r="X457" s="224"/>
      <c r="Y457" s="224"/>
      <c r="Z457" s="224"/>
    </row>
    <row r="458" spans="1:26" ht="12.75" customHeight="1">
      <c r="A458" s="224"/>
      <c r="B458" s="226"/>
      <c r="C458" s="224"/>
      <c r="D458" s="224"/>
      <c r="E458" s="224"/>
      <c r="F458" s="224"/>
      <c r="G458" s="224"/>
      <c r="H458" s="224"/>
      <c r="I458" s="224"/>
      <c r="J458" s="224"/>
      <c r="K458" s="224"/>
      <c r="L458" s="224"/>
      <c r="M458" s="224"/>
      <c r="N458" s="224"/>
      <c r="O458" s="224"/>
      <c r="P458" s="224"/>
      <c r="Q458" s="224"/>
      <c r="R458" s="224"/>
      <c r="S458" s="224"/>
      <c r="T458" s="224"/>
      <c r="U458" s="224"/>
      <c r="V458" s="224"/>
      <c r="W458" s="224"/>
      <c r="X458" s="224"/>
      <c r="Y458" s="224"/>
      <c r="Z458" s="224"/>
    </row>
    <row r="459" spans="1:26" ht="12.75" customHeight="1">
      <c r="A459" s="224"/>
      <c r="B459" s="226"/>
      <c r="C459" s="224"/>
      <c r="D459" s="224"/>
      <c r="E459" s="224"/>
      <c r="F459" s="224"/>
      <c r="G459" s="224"/>
      <c r="H459" s="224"/>
      <c r="I459" s="224"/>
      <c r="J459" s="224"/>
      <c r="K459" s="224"/>
      <c r="L459" s="224"/>
      <c r="M459" s="224"/>
      <c r="N459" s="224"/>
      <c r="O459" s="224"/>
      <c r="P459" s="224"/>
      <c r="Q459" s="224"/>
      <c r="R459" s="224"/>
      <c r="S459" s="224"/>
      <c r="T459" s="224"/>
      <c r="U459" s="224"/>
      <c r="V459" s="224"/>
      <c r="W459" s="224"/>
      <c r="X459" s="224"/>
      <c r="Y459" s="224"/>
      <c r="Z459" s="224"/>
    </row>
    <row r="460" spans="1:26" ht="12.75" customHeight="1">
      <c r="A460" s="224"/>
      <c r="B460" s="226"/>
      <c r="C460" s="224"/>
      <c r="D460" s="224"/>
      <c r="E460" s="224"/>
      <c r="F460" s="224"/>
      <c r="G460" s="224"/>
      <c r="H460" s="224"/>
      <c r="I460" s="224"/>
      <c r="J460" s="224"/>
      <c r="K460" s="224"/>
      <c r="L460" s="224"/>
      <c r="M460" s="224"/>
      <c r="N460" s="224"/>
      <c r="O460" s="224"/>
      <c r="P460" s="224"/>
      <c r="Q460" s="224"/>
      <c r="R460" s="224"/>
      <c r="S460" s="224"/>
      <c r="T460" s="224"/>
      <c r="U460" s="224"/>
      <c r="V460" s="224"/>
      <c r="W460" s="224"/>
      <c r="X460" s="224"/>
      <c r="Y460" s="224"/>
      <c r="Z460" s="224"/>
    </row>
    <row r="461" spans="1:26" ht="12.75" customHeight="1">
      <c r="A461" s="224"/>
      <c r="B461" s="226"/>
      <c r="C461" s="224"/>
      <c r="D461" s="224"/>
      <c r="E461" s="224"/>
      <c r="F461" s="224"/>
      <c r="G461" s="224"/>
      <c r="H461" s="224"/>
      <c r="I461" s="224"/>
      <c r="J461" s="224"/>
      <c r="K461" s="224"/>
      <c r="L461" s="224"/>
      <c r="M461" s="224"/>
      <c r="N461" s="224"/>
      <c r="O461" s="224"/>
      <c r="P461" s="224"/>
      <c r="Q461" s="224"/>
      <c r="R461" s="224"/>
      <c r="S461" s="224"/>
      <c r="T461" s="224"/>
      <c r="U461" s="224"/>
      <c r="V461" s="224"/>
      <c r="W461" s="224"/>
      <c r="X461" s="224"/>
      <c r="Y461" s="224"/>
      <c r="Z461" s="224"/>
    </row>
    <row r="462" spans="1:26" ht="12.75" customHeight="1">
      <c r="A462" s="224"/>
      <c r="B462" s="226"/>
      <c r="C462" s="224"/>
      <c r="D462" s="224"/>
      <c r="E462" s="224"/>
      <c r="F462" s="224"/>
      <c r="G462" s="224"/>
      <c r="H462" s="224"/>
      <c r="I462" s="224"/>
      <c r="J462" s="224"/>
      <c r="K462" s="224"/>
      <c r="L462" s="224"/>
      <c r="M462" s="224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4"/>
      <c r="Y462" s="224"/>
      <c r="Z462" s="224"/>
    </row>
    <row r="463" spans="1:26" ht="12.75" customHeight="1">
      <c r="A463" s="224"/>
      <c r="B463" s="226"/>
      <c r="C463" s="224"/>
      <c r="D463" s="224"/>
      <c r="E463" s="224"/>
      <c r="F463" s="224"/>
      <c r="G463" s="224"/>
      <c r="H463" s="224"/>
      <c r="I463" s="224"/>
      <c r="J463" s="224"/>
      <c r="K463" s="224"/>
      <c r="L463" s="224"/>
      <c r="M463" s="224"/>
      <c r="N463" s="224"/>
      <c r="O463" s="224"/>
      <c r="P463" s="224"/>
      <c r="Q463" s="224"/>
      <c r="R463" s="224"/>
      <c r="S463" s="224"/>
      <c r="T463" s="224"/>
      <c r="U463" s="224"/>
      <c r="V463" s="224"/>
      <c r="W463" s="224"/>
      <c r="X463" s="224"/>
      <c r="Y463" s="224"/>
      <c r="Z463" s="224"/>
    </row>
    <row r="464" spans="1:26" ht="12.75" customHeight="1">
      <c r="A464" s="224"/>
      <c r="B464" s="226"/>
      <c r="C464" s="224"/>
      <c r="D464" s="224"/>
      <c r="E464" s="224"/>
      <c r="F464" s="224"/>
      <c r="G464" s="224"/>
      <c r="H464" s="224"/>
      <c r="I464" s="224"/>
      <c r="J464" s="224"/>
      <c r="K464" s="224"/>
      <c r="L464" s="224"/>
      <c r="M464" s="224"/>
      <c r="N464" s="224"/>
      <c r="O464" s="224"/>
      <c r="P464" s="224"/>
      <c r="Q464" s="224"/>
      <c r="R464" s="224"/>
      <c r="S464" s="224"/>
      <c r="T464" s="224"/>
      <c r="U464" s="224"/>
      <c r="V464" s="224"/>
      <c r="W464" s="224"/>
      <c r="X464" s="224"/>
      <c r="Y464" s="224"/>
      <c r="Z464" s="224"/>
    </row>
    <row r="465" spans="1:26" ht="12.75" customHeight="1">
      <c r="A465" s="224"/>
      <c r="B465" s="226"/>
      <c r="C465" s="224"/>
      <c r="D465" s="224"/>
      <c r="E465" s="224"/>
      <c r="F465" s="224"/>
      <c r="G465" s="224"/>
      <c r="H465" s="224"/>
      <c r="I465" s="224"/>
      <c r="J465" s="224"/>
      <c r="K465" s="224"/>
      <c r="L465" s="224"/>
      <c r="M465" s="224"/>
      <c r="N465" s="224"/>
      <c r="O465" s="224"/>
      <c r="P465" s="224"/>
      <c r="Q465" s="224"/>
      <c r="R465" s="224"/>
      <c r="S465" s="224"/>
      <c r="T465" s="224"/>
      <c r="U465" s="224"/>
      <c r="V465" s="224"/>
      <c r="W465" s="224"/>
      <c r="X465" s="224"/>
      <c r="Y465" s="224"/>
      <c r="Z465" s="224"/>
    </row>
    <row r="466" spans="1:26" ht="12.75" customHeight="1">
      <c r="A466" s="224"/>
      <c r="B466" s="226"/>
      <c r="C466" s="224"/>
      <c r="D466" s="224"/>
      <c r="E466" s="224"/>
      <c r="F466" s="224"/>
      <c r="G466" s="224"/>
      <c r="H466" s="224"/>
      <c r="I466" s="224"/>
      <c r="J466" s="224"/>
      <c r="K466" s="224"/>
      <c r="L466" s="224"/>
      <c r="M466" s="224"/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4"/>
      <c r="Y466" s="224"/>
      <c r="Z466" s="224"/>
    </row>
    <row r="467" spans="1:26" ht="12.75" customHeight="1">
      <c r="A467" s="224"/>
      <c r="B467" s="226"/>
      <c r="C467" s="224"/>
      <c r="D467" s="224"/>
      <c r="E467" s="224"/>
      <c r="F467" s="224"/>
      <c r="G467" s="224"/>
      <c r="H467" s="224"/>
      <c r="I467" s="224"/>
      <c r="J467" s="224"/>
      <c r="K467" s="224"/>
      <c r="L467" s="224"/>
      <c r="M467" s="224"/>
      <c r="N467" s="224"/>
      <c r="O467" s="224"/>
      <c r="P467" s="224"/>
      <c r="Q467" s="224"/>
      <c r="R467" s="224"/>
      <c r="S467" s="224"/>
      <c r="T467" s="224"/>
      <c r="U467" s="224"/>
      <c r="V467" s="224"/>
      <c r="W467" s="224"/>
      <c r="X467" s="224"/>
      <c r="Y467" s="224"/>
      <c r="Z467" s="224"/>
    </row>
    <row r="468" spans="1:26" ht="12.75" customHeight="1">
      <c r="A468" s="224"/>
      <c r="B468" s="226"/>
      <c r="C468" s="224"/>
      <c r="D468" s="224"/>
      <c r="E468" s="224"/>
      <c r="F468" s="224"/>
      <c r="G468" s="224"/>
      <c r="H468" s="224"/>
      <c r="I468" s="224"/>
      <c r="J468" s="224"/>
      <c r="K468" s="224"/>
      <c r="L468" s="224"/>
      <c r="M468" s="224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4"/>
      <c r="Y468" s="224"/>
      <c r="Z468" s="224"/>
    </row>
    <row r="469" spans="1:26" ht="12.75" customHeight="1">
      <c r="A469" s="224"/>
      <c r="B469" s="226"/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224"/>
      <c r="X469" s="224"/>
      <c r="Y469" s="224"/>
      <c r="Z469" s="224"/>
    </row>
    <row r="470" spans="1:26" ht="12.75" customHeight="1">
      <c r="A470" s="224"/>
      <c r="B470" s="226"/>
      <c r="C470" s="224"/>
      <c r="D470" s="224"/>
      <c r="E470" s="224"/>
      <c r="F470" s="224"/>
      <c r="G470" s="224"/>
      <c r="H470" s="224"/>
      <c r="I470" s="224"/>
      <c r="J470" s="224"/>
      <c r="K470" s="224"/>
      <c r="L470" s="224"/>
      <c r="M470" s="224"/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4"/>
      <c r="Y470" s="224"/>
      <c r="Z470" s="224"/>
    </row>
    <row r="471" spans="1:26" ht="12.75" customHeight="1">
      <c r="A471" s="224"/>
      <c r="B471" s="226"/>
      <c r="C471" s="224"/>
      <c r="D471" s="224"/>
      <c r="E471" s="224"/>
      <c r="F471" s="224"/>
      <c r="G471" s="224"/>
      <c r="H471" s="224"/>
      <c r="I471" s="224"/>
      <c r="J471" s="224"/>
      <c r="K471" s="224"/>
      <c r="L471" s="224"/>
      <c r="M471" s="224"/>
      <c r="N471" s="224"/>
      <c r="O471" s="224"/>
      <c r="P471" s="224"/>
      <c r="Q471" s="224"/>
      <c r="R471" s="224"/>
      <c r="S471" s="224"/>
      <c r="T471" s="224"/>
      <c r="U471" s="224"/>
      <c r="V471" s="224"/>
      <c r="W471" s="224"/>
      <c r="X471" s="224"/>
      <c r="Y471" s="224"/>
      <c r="Z471" s="224"/>
    </row>
    <row r="472" spans="1:26" ht="12.75" customHeight="1">
      <c r="A472" s="224"/>
      <c r="B472" s="226"/>
      <c r="C472" s="224"/>
      <c r="D472" s="224"/>
      <c r="E472" s="224"/>
      <c r="F472" s="224"/>
      <c r="G472" s="224"/>
      <c r="H472" s="224"/>
      <c r="I472" s="224"/>
      <c r="J472" s="224"/>
      <c r="K472" s="224"/>
      <c r="L472" s="224"/>
      <c r="M472" s="224"/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4"/>
      <c r="Y472" s="224"/>
      <c r="Z472" s="224"/>
    </row>
    <row r="473" spans="1:26" ht="12.75" customHeight="1">
      <c r="A473" s="224"/>
      <c r="B473" s="226"/>
      <c r="C473" s="224"/>
      <c r="D473" s="224"/>
      <c r="E473" s="224"/>
      <c r="F473" s="224"/>
      <c r="G473" s="224"/>
      <c r="H473" s="224"/>
      <c r="I473" s="224"/>
      <c r="J473" s="224"/>
      <c r="K473" s="224"/>
      <c r="L473" s="224"/>
      <c r="M473" s="224"/>
      <c r="N473" s="224"/>
      <c r="O473" s="224"/>
      <c r="P473" s="224"/>
      <c r="Q473" s="224"/>
      <c r="R473" s="224"/>
      <c r="S473" s="224"/>
      <c r="T473" s="224"/>
      <c r="U473" s="224"/>
      <c r="V473" s="224"/>
      <c r="W473" s="224"/>
      <c r="X473" s="224"/>
      <c r="Y473" s="224"/>
      <c r="Z473" s="224"/>
    </row>
    <row r="474" spans="1:26" ht="12.75" customHeight="1">
      <c r="A474" s="224"/>
      <c r="B474" s="226"/>
      <c r="C474" s="224"/>
      <c r="D474" s="224"/>
      <c r="E474" s="224"/>
      <c r="F474" s="224"/>
      <c r="G474" s="224"/>
      <c r="H474" s="224"/>
      <c r="I474" s="224"/>
      <c r="J474" s="224"/>
      <c r="K474" s="224"/>
      <c r="L474" s="224"/>
      <c r="M474" s="224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4"/>
      <c r="Y474" s="224"/>
      <c r="Z474" s="224"/>
    </row>
    <row r="475" spans="1:26" ht="12.75" customHeight="1">
      <c r="A475" s="224"/>
      <c r="B475" s="226"/>
      <c r="C475" s="224"/>
      <c r="D475" s="224"/>
      <c r="E475" s="224"/>
      <c r="F475" s="224"/>
      <c r="G475" s="224"/>
      <c r="H475" s="224"/>
      <c r="I475" s="224"/>
      <c r="J475" s="224"/>
      <c r="K475" s="224"/>
      <c r="L475" s="224"/>
      <c r="M475" s="224"/>
      <c r="N475" s="224"/>
      <c r="O475" s="224"/>
      <c r="P475" s="224"/>
      <c r="Q475" s="224"/>
      <c r="R475" s="224"/>
      <c r="S475" s="224"/>
      <c r="T475" s="224"/>
      <c r="U475" s="224"/>
      <c r="V475" s="224"/>
      <c r="W475" s="224"/>
      <c r="X475" s="224"/>
      <c r="Y475" s="224"/>
      <c r="Z475" s="224"/>
    </row>
    <row r="476" spans="1:26" ht="12.75" customHeight="1">
      <c r="A476" s="224"/>
      <c r="B476" s="226"/>
      <c r="C476" s="224"/>
      <c r="D476" s="224"/>
      <c r="E476" s="224"/>
      <c r="F476" s="224"/>
      <c r="G476" s="224"/>
      <c r="H476" s="224"/>
      <c r="I476" s="224"/>
      <c r="J476" s="224"/>
      <c r="K476" s="224"/>
      <c r="L476" s="224"/>
      <c r="M476" s="224"/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4"/>
      <c r="Y476" s="224"/>
      <c r="Z476" s="224"/>
    </row>
    <row r="477" spans="1:26" ht="12.75" customHeight="1">
      <c r="A477" s="224"/>
      <c r="B477" s="226"/>
      <c r="C477" s="224"/>
      <c r="D477" s="224"/>
      <c r="E477" s="224"/>
      <c r="F477" s="224"/>
      <c r="G477" s="224"/>
      <c r="H477" s="224"/>
      <c r="I477" s="224"/>
      <c r="J477" s="224"/>
      <c r="K477" s="224"/>
      <c r="L477" s="224"/>
      <c r="M477" s="224"/>
      <c r="N477" s="224"/>
      <c r="O477" s="224"/>
      <c r="P477" s="224"/>
      <c r="Q477" s="224"/>
      <c r="R477" s="224"/>
      <c r="S477" s="224"/>
      <c r="T477" s="224"/>
      <c r="U477" s="224"/>
      <c r="V477" s="224"/>
      <c r="W477" s="224"/>
      <c r="X477" s="224"/>
      <c r="Y477" s="224"/>
      <c r="Z477" s="224"/>
    </row>
    <row r="478" spans="1:26" ht="12.75" customHeight="1">
      <c r="A478" s="224"/>
      <c r="B478" s="226"/>
      <c r="C478" s="224"/>
      <c r="D478" s="224"/>
      <c r="E478" s="224"/>
      <c r="F478" s="224"/>
      <c r="G478" s="224"/>
      <c r="H478" s="224"/>
      <c r="I478" s="224"/>
      <c r="J478" s="224"/>
      <c r="K478" s="224"/>
      <c r="L478" s="224"/>
      <c r="M478" s="224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4"/>
      <c r="Y478" s="224"/>
      <c r="Z478" s="224"/>
    </row>
    <row r="479" spans="1:26" ht="12.75" customHeight="1">
      <c r="A479" s="224"/>
      <c r="B479" s="226"/>
      <c r="C479" s="224"/>
      <c r="D479" s="224"/>
      <c r="E479" s="224"/>
      <c r="F479" s="224"/>
      <c r="G479" s="224"/>
      <c r="H479" s="224"/>
      <c r="I479" s="224"/>
      <c r="J479" s="224"/>
      <c r="K479" s="224"/>
      <c r="L479" s="224"/>
      <c r="M479" s="224"/>
      <c r="N479" s="224"/>
      <c r="O479" s="224"/>
      <c r="P479" s="224"/>
      <c r="Q479" s="224"/>
      <c r="R479" s="224"/>
      <c r="S479" s="224"/>
      <c r="T479" s="224"/>
      <c r="U479" s="224"/>
      <c r="V479" s="224"/>
      <c r="W479" s="224"/>
      <c r="X479" s="224"/>
      <c r="Y479" s="224"/>
      <c r="Z479" s="224"/>
    </row>
    <row r="480" spans="1:26" ht="12.75" customHeight="1">
      <c r="A480" s="224"/>
      <c r="B480" s="226"/>
      <c r="C480" s="224"/>
      <c r="D480" s="224"/>
      <c r="E480" s="224"/>
      <c r="F480" s="224"/>
      <c r="G480" s="224"/>
      <c r="H480" s="224"/>
      <c r="I480" s="224"/>
      <c r="J480" s="224"/>
      <c r="K480" s="224"/>
      <c r="L480" s="224"/>
      <c r="M480" s="224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4"/>
      <c r="Y480" s="224"/>
      <c r="Z480" s="224"/>
    </row>
    <row r="481" spans="1:26" ht="12.75" customHeight="1">
      <c r="A481" s="224"/>
      <c r="B481" s="226"/>
      <c r="C481" s="224"/>
      <c r="D481" s="224"/>
      <c r="E481" s="224"/>
      <c r="F481" s="224"/>
      <c r="G481" s="224"/>
      <c r="H481" s="224"/>
      <c r="I481" s="224"/>
      <c r="J481" s="224"/>
      <c r="K481" s="224"/>
      <c r="L481" s="224"/>
      <c r="M481" s="224"/>
      <c r="N481" s="224"/>
      <c r="O481" s="224"/>
      <c r="P481" s="224"/>
      <c r="Q481" s="224"/>
      <c r="R481" s="224"/>
      <c r="S481" s="224"/>
      <c r="T481" s="224"/>
      <c r="U481" s="224"/>
      <c r="V481" s="224"/>
      <c r="W481" s="224"/>
      <c r="X481" s="224"/>
      <c r="Y481" s="224"/>
      <c r="Z481" s="224"/>
    </row>
    <row r="482" spans="1:26" ht="12.75" customHeight="1">
      <c r="A482" s="224"/>
      <c r="B482" s="226"/>
      <c r="C482" s="224"/>
      <c r="D482" s="224"/>
      <c r="E482" s="224"/>
      <c r="F482" s="224"/>
      <c r="G482" s="224"/>
      <c r="H482" s="224"/>
      <c r="I482" s="224"/>
      <c r="J482" s="224"/>
      <c r="K482" s="224"/>
      <c r="L482" s="224"/>
      <c r="M482" s="224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4"/>
      <c r="Y482" s="224"/>
      <c r="Z482" s="224"/>
    </row>
    <row r="483" spans="1:26" ht="12.75" customHeight="1">
      <c r="A483" s="224"/>
      <c r="B483" s="226"/>
      <c r="C483" s="224"/>
      <c r="D483" s="224"/>
      <c r="E483" s="224"/>
      <c r="F483" s="224"/>
      <c r="G483" s="224"/>
      <c r="H483" s="224"/>
      <c r="I483" s="224"/>
      <c r="J483" s="224"/>
      <c r="K483" s="224"/>
      <c r="L483" s="224"/>
      <c r="M483" s="224"/>
      <c r="N483" s="224"/>
      <c r="O483" s="224"/>
      <c r="P483" s="224"/>
      <c r="Q483" s="224"/>
      <c r="R483" s="224"/>
      <c r="S483" s="224"/>
      <c r="T483" s="224"/>
      <c r="U483" s="224"/>
      <c r="V483" s="224"/>
      <c r="W483" s="224"/>
      <c r="X483" s="224"/>
      <c r="Y483" s="224"/>
      <c r="Z483" s="224"/>
    </row>
    <row r="484" spans="1:26" ht="12.75" customHeight="1">
      <c r="A484" s="224"/>
      <c r="B484" s="226"/>
      <c r="C484" s="224"/>
      <c r="D484" s="224"/>
      <c r="E484" s="224"/>
      <c r="F484" s="224"/>
      <c r="G484" s="224"/>
      <c r="H484" s="224"/>
      <c r="I484" s="224"/>
      <c r="J484" s="224"/>
      <c r="K484" s="224"/>
      <c r="L484" s="224"/>
      <c r="M484" s="224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4"/>
      <c r="Y484" s="224"/>
      <c r="Z484" s="224"/>
    </row>
    <row r="485" spans="1:26" ht="12.75" customHeight="1">
      <c r="A485" s="224"/>
      <c r="B485" s="226"/>
      <c r="C485" s="224"/>
      <c r="D485" s="224"/>
      <c r="E485" s="224"/>
      <c r="F485" s="224"/>
      <c r="G485" s="224"/>
      <c r="H485" s="224"/>
      <c r="I485" s="224"/>
      <c r="J485" s="224"/>
      <c r="K485" s="224"/>
      <c r="L485" s="224"/>
      <c r="M485" s="224"/>
      <c r="N485" s="224"/>
      <c r="O485" s="224"/>
      <c r="P485" s="224"/>
      <c r="Q485" s="224"/>
      <c r="R485" s="224"/>
      <c r="S485" s="224"/>
      <c r="T485" s="224"/>
      <c r="U485" s="224"/>
      <c r="V485" s="224"/>
      <c r="W485" s="224"/>
      <c r="X485" s="224"/>
      <c r="Y485" s="224"/>
      <c r="Z485" s="224"/>
    </row>
    <row r="486" spans="1:26" ht="12.75" customHeight="1">
      <c r="A486" s="224"/>
      <c r="B486" s="226"/>
      <c r="C486" s="224"/>
      <c r="D486" s="224"/>
      <c r="E486" s="224"/>
      <c r="F486" s="224"/>
      <c r="G486" s="224"/>
      <c r="H486" s="224"/>
      <c r="I486" s="224"/>
      <c r="J486" s="224"/>
      <c r="K486" s="224"/>
      <c r="L486" s="224"/>
      <c r="M486" s="224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4"/>
      <c r="Y486" s="224"/>
      <c r="Z486" s="224"/>
    </row>
    <row r="487" spans="1:26" ht="12.75" customHeight="1">
      <c r="A487" s="224"/>
      <c r="B487" s="226"/>
      <c r="C487" s="224"/>
      <c r="D487" s="224"/>
      <c r="E487" s="224"/>
      <c r="F487" s="224"/>
      <c r="G487" s="224"/>
      <c r="H487" s="224"/>
      <c r="I487" s="224"/>
      <c r="J487" s="224"/>
      <c r="K487" s="224"/>
      <c r="L487" s="224"/>
      <c r="M487" s="224"/>
      <c r="N487" s="224"/>
      <c r="O487" s="224"/>
      <c r="P487" s="224"/>
      <c r="Q487" s="224"/>
      <c r="R487" s="224"/>
      <c r="S487" s="224"/>
      <c r="T487" s="224"/>
      <c r="U487" s="224"/>
      <c r="V487" s="224"/>
      <c r="W487" s="224"/>
      <c r="X487" s="224"/>
      <c r="Y487" s="224"/>
      <c r="Z487" s="224"/>
    </row>
    <row r="488" spans="1:26" ht="12.75" customHeight="1">
      <c r="A488" s="224"/>
      <c r="B488" s="226"/>
      <c r="C488" s="224"/>
      <c r="D488" s="224"/>
      <c r="E488" s="224"/>
      <c r="F488" s="224"/>
      <c r="G488" s="224"/>
      <c r="H488" s="224"/>
      <c r="I488" s="224"/>
      <c r="J488" s="224"/>
      <c r="K488" s="224"/>
      <c r="L488" s="224"/>
      <c r="M488" s="224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4"/>
      <c r="Y488" s="224"/>
      <c r="Z488" s="224"/>
    </row>
    <row r="489" spans="1:26" ht="12.75" customHeight="1">
      <c r="A489" s="224"/>
      <c r="B489" s="226"/>
      <c r="C489" s="224"/>
      <c r="D489" s="224"/>
      <c r="E489" s="224"/>
      <c r="F489" s="224"/>
      <c r="G489" s="224"/>
      <c r="H489" s="224"/>
      <c r="I489" s="224"/>
      <c r="J489" s="224"/>
      <c r="K489" s="224"/>
      <c r="L489" s="224"/>
      <c r="M489" s="224"/>
      <c r="N489" s="224"/>
      <c r="O489" s="224"/>
      <c r="P489" s="224"/>
      <c r="Q489" s="224"/>
      <c r="R489" s="224"/>
      <c r="S489" s="224"/>
      <c r="T489" s="224"/>
      <c r="U489" s="224"/>
      <c r="V489" s="224"/>
      <c r="W489" s="224"/>
      <c r="X489" s="224"/>
      <c r="Y489" s="224"/>
      <c r="Z489" s="224"/>
    </row>
    <row r="490" spans="1:26" ht="12.75" customHeight="1">
      <c r="A490" s="224"/>
      <c r="B490" s="226"/>
      <c r="C490" s="224"/>
      <c r="D490" s="224"/>
      <c r="E490" s="224"/>
      <c r="F490" s="224"/>
      <c r="G490" s="224"/>
      <c r="H490" s="224"/>
      <c r="I490" s="224"/>
      <c r="J490" s="224"/>
      <c r="K490" s="224"/>
      <c r="L490" s="224"/>
      <c r="M490" s="224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4"/>
      <c r="Y490" s="224"/>
      <c r="Z490" s="224"/>
    </row>
    <row r="491" spans="1:26" ht="12.75" customHeight="1">
      <c r="A491" s="224"/>
      <c r="B491" s="226"/>
      <c r="C491" s="224"/>
      <c r="D491" s="224"/>
      <c r="E491" s="224"/>
      <c r="F491" s="224"/>
      <c r="G491" s="224"/>
      <c r="H491" s="224"/>
      <c r="I491" s="224"/>
      <c r="J491" s="224"/>
      <c r="K491" s="224"/>
      <c r="L491" s="224"/>
      <c r="M491" s="224"/>
      <c r="N491" s="224"/>
      <c r="O491" s="224"/>
      <c r="P491" s="224"/>
      <c r="Q491" s="224"/>
      <c r="R491" s="224"/>
      <c r="S491" s="224"/>
      <c r="T491" s="224"/>
      <c r="U491" s="224"/>
      <c r="V491" s="224"/>
      <c r="W491" s="224"/>
      <c r="X491" s="224"/>
      <c r="Y491" s="224"/>
      <c r="Z491" s="224"/>
    </row>
    <row r="492" spans="1:26" ht="12.75" customHeight="1">
      <c r="A492" s="224"/>
      <c r="B492" s="226"/>
      <c r="C492" s="224"/>
      <c r="D492" s="224"/>
      <c r="E492" s="224"/>
      <c r="F492" s="224"/>
      <c r="G492" s="224"/>
      <c r="H492" s="224"/>
      <c r="I492" s="224"/>
      <c r="J492" s="224"/>
      <c r="K492" s="224"/>
      <c r="L492" s="224"/>
      <c r="M492" s="224"/>
      <c r="N492" s="224"/>
      <c r="O492" s="224"/>
      <c r="P492" s="224"/>
      <c r="Q492" s="224"/>
      <c r="R492" s="224"/>
      <c r="S492" s="224"/>
      <c r="T492" s="224"/>
      <c r="U492" s="224"/>
      <c r="V492" s="224"/>
      <c r="W492" s="224"/>
      <c r="X492" s="224"/>
      <c r="Y492" s="224"/>
      <c r="Z492" s="224"/>
    </row>
    <row r="493" spans="1:26" ht="12.75" customHeight="1">
      <c r="A493" s="224"/>
      <c r="B493" s="226"/>
      <c r="C493" s="224"/>
      <c r="D493" s="224"/>
      <c r="E493" s="224"/>
      <c r="F493" s="224"/>
      <c r="G493" s="224"/>
      <c r="H493" s="224"/>
      <c r="I493" s="224"/>
      <c r="J493" s="224"/>
      <c r="K493" s="224"/>
      <c r="L493" s="224"/>
      <c r="M493" s="224"/>
      <c r="N493" s="224"/>
      <c r="O493" s="224"/>
      <c r="P493" s="224"/>
      <c r="Q493" s="224"/>
      <c r="R493" s="224"/>
      <c r="S493" s="224"/>
      <c r="T493" s="224"/>
      <c r="U493" s="224"/>
      <c r="V493" s="224"/>
      <c r="W493" s="224"/>
      <c r="X493" s="224"/>
      <c r="Y493" s="224"/>
      <c r="Z493" s="224"/>
    </row>
    <row r="494" spans="1:26" ht="12.75" customHeight="1">
      <c r="A494" s="224"/>
      <c r="B494" s="226"/>
      <c r="C494" s="224"/>
      <c r="D494" s="224"/>
      <c r="E494" s="224"/>
      <c r="F494" s="224"/>
      <c r="G494" s="224"/>
      <c r="H494" s="224"/>
      <c r="I494" s="224"/>
      <c r="J494" s="224"/>
      <c r="K494" s="224"/>
      <c r="L494" s="224"/>
      <c r="M494" s="224"/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4"/>
      <c r="Y494" s="224"/>
      <c r="Z494" s="224"/>
    </row>
    <row r="495" spans="1:26" ht="12.75" customHeight="1">
      <c r="A495" s="224"/>
      <c r="B495" s="226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224"/>
      <c r="T495" s="224"/>
      <c r="U495" s="224"/>
      <c r="V495" s="224"/>
      <c r="W495" s="224"/>
      <c r="X495" s="224"/>
      <c r="Y495" s="224"/>
      <c r="Z495" s="224"/>
    </row>
    <row r="496" spans="1:26" ht="12.75" customHeight="1">
      <c r="A496" s="224"/>
      <c r="B496" s="226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4"/>
      <c r="Y496" s="224"/>
      <c r="Z496" s="224"/>
    </row>
    <row r="497" spans="1:26" ht="12.75" customHeight="1">
      <c r="A497" s="224"/>
      <c r="B497" s="226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224"/>
      <c r="T497" s="224"/>
      <c r="U497" s="224"/>
      <c r="V497" s="224"/>
      <c r="W497" s="224"/>
      <c r="X497" s="224"/>
      <c r="Y497" s="224"/>
      <c r="Z497" s="224"/>
    </row>
    <row r="498" spans="1:26" ht="12.75" customHeight="1">
      <c r="A498" s="224"/>
      <c r="B498" s="226"/>
      <c r="C498" s="224"/>
      <c r="D498" s="224"/>
      <c r="E498" s="224"/>
      <c r="F498" s="224"/>
      <c r="G498" s="224"/>
      <c r="H498" s="224"/>
      <c r="I498" s="224"/>
      <c r="J498" s="224"/>
      <c r="K498" s="224"/>
      <c r="L498" s="224"/>
      <c r="M498" s="224"/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4"/>
      <c r="Y498" s="224"/>
      <c r="Z498" s="224"/>
    </row>
    <row r="499" spans="1:26" ht="12.75" customHeight="1">
      <c r="A499" s="224"/>
      <c r="B499" s="226"/>
      <c r="C499" s="224"/>
      <c r="D499" s="224"/>
      <c r="E499" s="224"/>
      <c r="F499" s="224"/>
      <c r="G499" s="224"/>
      <c r="H499" s="224"/>
      <c r="I499" s="224"/>
      <c r="J499" s="224"/>
      <c r="K499" s="224"/>
      <c r="L499" s="224"/>
      <c r="M499" s="224"/>
      <c r="N499" s="224"/>
      <c r="O499" s="224"/>
      <c r="P499" s="224"/>
      <c r="Q499" s="224"/>
      <c r="R499" s="224"/>
      <c r="S499" s="224"/>
      <c r="T499" s="224"/>
      <c r="U499" s="224"/>
      <c r="V499" s="224"/>
      <c r="W499" s="224"/>
      <c r="X499" s="224"/>
      <c r="Y499" s="224"/>
      <c r="Z499" s="224"/>
    </row>
    <row r="500" spans="1:26" ht="12.75" customHeight="1">
      <c r="A500" s="224"/>
      <c r="B500" s="226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</row>
    <row r="501" spans="1:26" ht="12.75" customHeight="1">
      <c r="A501" s="224"/>
      <c r="B501" s="226"/>
      <c r="C501" s="224"/>
      <c r="D501" s="224"/>
      <c r="E501" s="224"/>
      <c r="F501" s="224"/>
      <c r="G501" s="224"/>
      <c r="H501" s="224"/>
      <c r="I501" s="224"/>
      <c r="J501" s="224"/>
      <c r="K501" s="224"/>
      <c r="L501" s="224"/>
      <c r="M501" s="224"/>
      <c r="N501" s="224"/>
      <c r="O501" s="224"/>
      <c r="P501" s="224"/>
      <c r="Q501" s="224"/>
      <c r="R501" s="224"/>
      <c r="S501" s="224"/>
      <c r="T501" s="224"/>
      <c r="U501" s="224"/>
      <c r="V501" s="224"/>
      <c r="W501" s="224"/>
      <c r="X501" s="224"/>
      <c r="Y501" s="224"/>
      <c r="Z501" s="224"/>
    </row>
    <row r="502" spans="1:26" ht="12.75" customHeight="1">
      <c r="A502" s="224"/>
      <c r="B502" s="226"/>
      <c r="C502" s="224"/>
      <c r="D502" s="224"/>
      <c r="E502" s="224"/>
      <c r="F502" s="224"/>
      <c r="G502" s="224"/>
      <c r="H502" s="224"/>
      <c r="I502" s="224"/>
      <c r="J502" s="224"/>
      <c r="K502" s="224"/>
      <c r="L502" s="224"/>
      <c r="M502" s="224"/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4"/>
      <c r="Y502" s="224"/>
      <c r="Z502" s="224"/>
    </row>
    <row r="503" spans="1:26" ht="12.75" customHeight="1">
      <c r="A503" s="224"/>
      <c r="B503" s="226"/>
      <c r="C503" s="224"/>
      <c r="D503" s="224"/>
      <c r="E503" s="224"/>
      <c r="F503" s="224"/>
      <c r="G503" s="224"/>
      <c r="H503" s="224"/>
      <c r="I503" s="224"/>
      <c r="J503" s="224"/>
      <c r="K503" s="224"/>
      <c r="L503" s="224"/>
      <c r="M503" s="224"/>
      <c r="N503" s="224"/>
      <c r="O503" s="224"/>
      <c r="P503" s="224"/>
      <c r="Q503" s="224"/>
      <c r="R503" s="224"/>
      <c r="S503" s="224"/>
      <c r="T503" s="224"/>
      <c r="U503" s="224"/>
      <c r="V503" s="224"/>
      <c r="W503" s="224"/>
      <c r="X503" s="224"/>
      <c r="Y503" s="224"/>
      <c r="Z503" s="224"/>
    </row>
    <row r="504" spans="1:26" ht="12.75" customHeight="1">
      <c r="A504" s="224"/>
      <c r="B504" s="226"/>
      <c r="C504" s="224"/>
      <c r="D504" s="224"/>
      <c r="E504" s="224"/>
      <c r="F504" s="224"/>
      <c r="G504" s="224"/>
      <c r="H504" s="224"/>
      <c r="I504" s="224"/>
      <c r="J504" s="224"/>
      <c r="K504" s="224"/>
      <c r="L504" s="224"/>
      <c r="M504" s="224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4"/>
      <c r="Y504" s="224"/>
      <c r="Z504" s="224"/>
    </row>
    <row r="505" spans="1:26" ht="12.75" customHeight="1">
      <c r="A505" s="224"/>
      <c r="B505" s="226"/>
      <c r="C505" s="224"/>
      <c r="D505" s="224"/>
      <c r="E505" s="224"/>
      <c r="F505" s="224"/>
      <c r="G505" s="224"/>
      <c r="H505" s="224"/>
      <c r="I505" s="224"/>
      <c r="J505" s="224"/>
      <c r="K505" s="224"/>
      <c r="L505" s="224"/>
      <c r="M505" s="224"/>
      <c r="N505" s="224"/>
      <c r="O505" s="224"/>
      <c r="P505" s="224"/>
      <c r="Q505" s="224"/>
      <c r="R505" s="224"/>
      <c r="S505" s="224"/>
      <c r="T505" s="224"/>
      <c r="U505" s="224"/>
      <c r="V505" s="224"/>
      <c r="W505" s="224"/>
      <c r="X505" s="224"/>
      <c r="Y505" s="224"/>
      <c r="Z505" s="224"/>
    </row>
    <row r="506" spans="1:26" ht="12.75" customHeight="1">
      <c r="A506" s="224"/>
      <c r="B506" s="226"/>
      <c r="C506" s="224"/>
      <c r="D506" s="224"/>
      <c r="E506" s="224"/>
      <c r="F506" s="224"/>
      <c r="G506" s="224"/>
      <c r="H506" s="224"/>
      <c r="I506" s="224"/>
      <c r="J506" s="224"/>
      <c r="K506" s="224"/>
      <c r="L506" s="224"/>
      <c r="M506" s="224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4"/>
      <c r="Y506" s="224"/>
      <c r="Z506" s="224"/>
    </row>
    <row r="507" spans="1:26" ht="12.75" customHeight="1">
      <c r="A507" s="224"/>
      <c r="B507" s="226"/>
      <c r="C507" s="224"/>
      <c r="D507" s="224"/>
      <c r="E507" s="224"/>
      <c r="F507" s="224"/>
      <c r="G507" s="224"/>
      <c r="H507" s="224"/>
      <c r="I507" s="224"/>
      <c r="J507" s="224"/>
      <c r="K507" s="224"/>
      <c r="L507" s="224"/>
      <c r="M507" s="224"/>
      <c r="N507" s="224"/>
      <c r="O507" s="224"/>
      <c r="P507" s="224"/>
      <c r="Q507" s="224"/>
      <c r="R507" s="224"/>
      <c r="S507" s="224"/>
      <c r="T507" s="224"/>
      <c r="U507" s="224"/>
      <c r="V507" s="224"/>
      <c r="W507" s="224"/>
      <c r="X507" s="224"/>
      <c r="Y507" s="224"/>
      <c r="Z507" s="224"/>
    </row>
    <row r="508" spans="1:26" ht="12.75" customHeight="1">
      <c r="A508" s="224"/>
      <c r="B508" s="226"/>
      <c r="C508" s="224"/>
      <c r="D508" s="224"/>
      <c r="E508" s="224"/>
      <c r="F508" s="224"/>
      <c r="G508" s="224"/>
      <c r="H508" s="224"/>
      <c r="I508" s="224"/>
      <c r="J508" s="224"/>
      <c r="K508" s="224"/>
      <c r="L508" s="224"/>
      <c r="M508" s="224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4"/>
      <c r="Y508" s="224"/>
      <c r="Z508" s="224"/>
    </row>
    <row r="509" spans="1:26" ht="12.75" customHeight="1">
      <c r="A509" s="224"/>
      <c r="B509" s="226"/>
      <c r="C509" s="224"/>
      <c r="D509" s="224"/>
      <c r="E509" s="224"/>
      <c r="F509" s="224"/>
      <c r="G509" s="224"/>
      <c r="H509" s="224"/>
      <c r="I509" s="224"/>
      <c r="J509" s="224"/>
      <c r="K509" s="224"/>
      <c r="L509" s="224"/>
      <c r="M509" s="224"/>
      <c r="N509" s="224"/>
      <c r="O509" s="224"/>
      <c r="P509" s="224"/>
      <c r="Q509" s="224"/>
      <c r="R509" s="224"/>
      <c r="S509" s="224"/>
      <c r="T509" s="224"/>
      <c r="U509" s="224"/>
      <c r="V509" s="224"/>
      <c r="W509" s="224"/>
      <c r="X509" s="224"/>
      <c r="Y509" s="224"/>
      <c r="Z509" s="224"/>
    </row>
    <row r="510" spans="1:26" ht="12.75" customHeight="1">
      <c r="A510" s="224"/>
      <c r="B510" s="226"/>
      <c r="C510" s="224"/>
      <c r="D510" s="224"/>
      <c r="E510" s="224"/>
      <c r="F510" s="224"/>
      <c r="G510" s="224"/>
      <c r="H510" s="224"/>
      <c r="I510" s="224"/>
      <c r="J510" s="224"/>
      <c r="K510" s="224"/>
      <c r="L510" s="224"/>
      <c r="M510" s="224"/>
      <c r="N510" s="224"/>
      <c r="O510" s="224"/>
      <c r="P510" s="224"/>
      <c r="Q510" s="224"/>
      <c r="R510" s="224"/>
      <c r="S510" s="224"/>
      <c r="T510" s="224"/>
      <c r="U510" s="224"/>
      <c r="V510" s="224"/>
      <c r="W510" s="224"/>
      <c r="X510" s="224"/>
      <c r="Y510" s="224"/>
      <c r="Z510" s="224"/>
    </row>
    <row r="511" spans="1:26" ht="12.75" customHeight="1">
      <c r="A511" s="224"/>
      <c r="B511" s="226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</row>
    <row r="512" spans="1:26" ht="12.75" customHeight="1">
      <c r="A512" s="224"/>
      <c r="B512" s="226"/>
      <c r="C512" s="224"/>
      <c r="D512" s="224"/>
      <c r="E512" s="224"/>
      <c r="F512" s="224"/>
      <c r="G512" s="224"/>
      <c r="H512" s="224"/>
      <c r="I512" s="224"/>
      <c r="J512" s="224"/>
      <c r="K512" s="224"/>
      <c r="L512" s="224"/>
      <c r="M512" s="224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4"/>
      <c r="Y512" s="224"/>
      <c r="Z512" s="224"/>
    </row>
    <row r="513" spans="1:26" ht="12.75" customHeight="1">
      <c r="A513" s="224"/>
      <c r="B513" s="226"/>
      <c r="C513" s="224"/>
      <c r="D513" s="224"/>
      <c r="E513" s="224"/>
      <c r="F513" s="224"/>
      <c r="G513" s="224"/>
      <c r="H513" s="224"/>
      <c r="I513" s="224"/>
      <c r="J513" s="224"/>
      <c r="K513" s="224"/>
      <c r="L513" s="224"/>
      <c r="M513" s="224"/>
      <c r="N513" s="224"/>
      <c r="O513" s="224"/>
      <c r="P513" s="224"/>
      <c r="Q513" s="224"/>
      <c r="R513" s="224"/>
      <c r="S513" s="224"/>
      <c r="T513" s="224"/>
      <c r="U513" s="224"/>
      <c r="V513" s="224"/>
      <c r="W513" s="224"/>
      <c r="X513" s="224"/>
      <c r="Y513" s="224"/>
      <c r="Z513" s="224"/>
    </row>
    <row r="514" spans="1:26" ht="12.75" customHeight="1">
      <c r="A514" s="224"/>
      <c r="B514" s="226"/>
      <c r="C514" s="224"/>
      <c r="D514" s="224"/>
      <c r="E514" s="224"/>
      <c r="F514" s="224"/>
      <c r="G514" s="224"/>
      <c r="H514" s="224"/>
      <c r="I514" s="224"/>
      <c r="J514" s="224"/>
      <c r="K514" s="224"/>
      <c r="L514" s="224"/>
      <c r="M514" s="224"/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4"/>
      <c r="Y514" s="224"/>
      <c r="Z514" s="224"/>
    </row>
    <row r="515" spans="1:26" ht="12.75" customHeight="1">
      <c r="A515" s="224"/>
      <c r="B515" s="226"/>
      <c r="C515" s="224"/>
      <c r="D515" s="224"/>
      <c r="E515" s="224"/>
      <c r="F515" s="224"/>
      <c r="G515" s="224"/>
      <c r="H515" s="224"/>
      <c r="I515" s="224"/>
      <c r="J515" s="224"/>
      <c r="K515" s="224"/>
      <c r="L515" s="224"/>
      <c r="M515" s="224"/>
      <c r="N515" s="224"/>
      <c r="O515" s="224"/>
      <c r="P515" s="224"/>
      <c r="Q515" s="224"/>
      <c r="R515" s="224"/>
      <c r="S515" s="224"/>
      <c r="T515" s="224"/>
      <c r="U515" s="224"/>
      <c r="V515" s="224"/>
      <c r="W515" s="224"/>
      <c r="X515" s="224"/>
      <c r="Y515" s="224"/>
      <c r="Z515" s="224"/>
    </row>
    <row r="516" spans="1:26" ht="12.75" customHeight="1">
      <c r="A516" s="224"/>
      <c r="B516" s="226"/>
      <c r="C516" s="224"/>
      <c r="D516" s="224"/>
      <c r="E516" s="224"/>
      <c r="F516" s="224"/>
      <c r="G516" s="224"/>
      <c r="H516" s="224"/>
      <c r="I516" s="224"/>
      <c r="J516" s="224"/>
      <c r="K516" s="224"/>
      <c r="L516" s="224"/>
      <c r="M516" s="224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4"/>
      <c r="Y516" s="224"/>
      <c r="Z516" s="224"/>
    </row>
    <row r="517" spans="1:26" ht="12.75" customHeight="1">
      <c r="A517" s="224"/>
      <c r="B517" s="226"/>
      <c r="C517" s="224"/>
      <c r="D517" s="224"/>
      <c r="E517" s="224"/>
      <c r="F517" s="224"/>
      <c r="G517" s="224"/>
      <c r="H517" s="224"/>
      <c r="I517" s="224"/>
      <c r="J517" s="224"/>
      <c r="K517" s="224"/>
      <c r="L517" s="224"/>
      <c r="M517" s="224"/>
      <c r="N517" s="224"/>
      <c r="O517" s="224"/>
      <c r="P517" s="224"/>
      <c r="Q517" s="224"/>
      <c r="R517" s="224"/>
      <c r="S517" s="224"/>
      <c r="T517" s="224"/>
      <c r="U517" s="224"/>
      <c r="V517" s="224"/>
      <c r="W517" s="224"/>
      <c r="X517" s="224"/>
      <c r="Y517" s="224"/>
      <c r="Z517" s="224"/>
    </row>
    <row r="518" spans="1:26" ht="12.75" customHeight="1">
      <c r="A518" s="224"/>
      <c r="B518" s="226"/>
      <c r="C518" s="224"/>
      <c r="D518" s="224"/>
      <c r="E518" s="224"/>
      <c r="F518" s="224"/>
      <c r="G518" s="224"/>
      <c r="H518" s="224"/>
      <c r="I518" s="224"/>
      <c r="J518" s="224"/>
      <c r="K518" s="224"/>
      <c r="L518" s="224"/>
      <c r="M518" s="224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4"/>
      <c r="Y518" s="224"/>
      <c r="Z518" s="224"/>
    </row>
    <row r="519" spans="1:26" ht="12.75" customHeight="1">
      <c r="A519" s="224"/>
      <c r="B519" s="226"/>
      <c r="C519" s="224"/>
      <c r="D519" s="224"/>
      <c r="E519" s="224"/>
      <c r="F519" s="224"/>
      <c r="G519" s="224"/>
      <c r="H519" s="224"/>
      <c r="I519" s="224"/>
      <c r="J519" s="224"/>
      <c r="K519" s="224"/>
      <c r="L519" s="224"/>
      <c r="M519" s="224"/>
      <c r="N519" s="224"/>
      <c r="O519" s="224"/>
      <c r="P519" s="224"/>
      <c r="Q519" s="224"/>
      <c r="R519" s="224"/>
      <c r="S519" s="224"/>
      <c r="T519" s="224"/>
      <c r="U519" s="224"/>
      <c r="V519" s="224"/>
      <c r="W519" s="224"/>
      <c r="X519" s="224"/>
      <c r="Y519" s="224"/>
      <c r="Z519" s="224"/>
    </row>
    <row r="520" spans="1:26" ht="12.75" customHeight="1">
      <c r="A520" s="224"/>
      <c r="B520" s="226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4"/>
      <c r="Y520" s="224"/>
      <c r="Z520" s="224"/>
    </row>
    <row r="521" spans="1:26" ht="12.75" customHeight="1">
      <c r="A521" s="224"/>
      <c r="B521" s="22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224"/>
      <c r="T521" s="224"/>
      <c r="U521" s="224"/>
      <c r="V521" s="224"/>
      <c r="W521" s="224"/>
      <c r="X521" s="224"/>
      <c r="Y521" s="224"/>
      <c r="Z521" s="224"/>
    </row>
    <row r="522" spans="1:26" ht="12.75" customHeight="1">
      <c r="A522" s="224"/>
      <c r="B522" s="22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4"/>
      <c r="Y522" s="224"/>
      <c r="Z522" s="224"/>
    </row>
    <row r="523" spans="1:26" ht="12.75" customHeight="1">
      <c r="A523" s="224"/>
      <c r="B523" s="226"/>
      <c r="C523" s="224"/>
      <c r="D523" s="224"/>
      <c r="E523" s="224"/>
      <c r="F523" s="224"/>
      <c r="G523" s="224"/>
      <c r="H523" s="224"/>
      <c r="I523" s="224"/>
      <c r="J523" s="224"/>
      <c r="K523" s="224"/>
      <c r="L523" s="224"/>
      <c r="M523" s="224"/>
      <c r="N523" s="224"/>
      <c r="O523" s="224"/>
      <c r="P523" s="224"/>
      <c r="Q523" s="224"/>
      <c r="R523" s="224"/>
      <c r="S523" s="224"/>
      <c r="T523" s="224"/>
      <c r="U523" s="224"/>
      <c r="V523" s="224"/>
      <c r="W523" s="224"/>
      <c r="X523" s="224"/>
      <c r="Y523" s="224"/>
      <c r="Z523" s="224"/>
    </row>
    <row r="524" spans="1:26" ht="12.75" customHeight="1">
      <c r="A524" s="224"/>
      <c r="B524" s="22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4"/>
      <c r="Y524" s="224"/>
      <c r="Z524" s="224"/>
    </row>
    <row r="525" spans="1:26" ht="12.75" customHeight="1">
      <c r="A525" s="224"/>
      <c r="B525" s="22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224"/>
      <c r="T525" s="224"/>
      <c r="U525" s="224"/>
      <c r="V525" s="224"/>
      <c r="W525" s="224"/>
      <c r="X525" s="224"/>
      <c r="Y525" s="224"/>
      <c r="Z525" s="224"/>
    </row>
    <row r="526" spans="1:26" ht="12.75" customHeight="1">
      <c r="A526" s="224"/>
      <c r="B526" s="226"/>
      <c r="C526" s="224"/>
      <c r="D526" s="224"/>
      <c r="E526" s="224"/>
      <c r="F526" s="224"/>
      <c r="G526" s="224"/>
      <c r="H526" s="224"/>
      <c r="I526" s="224"/>
      <c r="J526" s="224"/>
      <c r="K526" s="224"/>
      <c r="L526" s="224"/>
      <c r="M526" s="224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4"/>
      <c r="Y526" s="224"/>
      <c r="Z526" s="224"/>
    </row>
    <row r="527" spans="1:26" ht="12.75" customHeight="1">
      <c r="A527" s="224"/>
      <c r="B527" s="226"/>
      <c r="C527" s="224"/>
      <c r="D527" s="224"/>
      <c r="E527" s="224"/>
      <c r="F527" s="224"/>
      <c r="G527" s="224"/>
      <c r="H527" s="224"/>
      <c r="I527" s="224"/>
      <c r="J527" s="224"/>
      <c r="K527" s="224"/>
      <c r="L527" s="224"/>
      <c r="M527" s="224"/>
      <c r="N527" s="224"/>
      <c r="O527" s="224"/>
      <c r="P527" s="224"/>
      <c r="Q527" s="224"/>
      <c r="R527" s="224"/>
      <c r="S527" s="224"/>
      <c r="T527" s="224"/>
      <c r="U527" s="224"/>
      <c r="V527" s="224"/>
      <c r="W527" s="224"/>
      <c r="X527" s="224"/>
      <c r="Y527" s="224"/>
      <c r="Z527" s="224"/>
    </row>
    <row r="528" spans="1:26" ht="12.75" customHeight="1">
      <c r="A528" s="224"/>
      <c r="B528" s="226"/>
      <c r="C528" s="224"/>
      <c r="D528" s="224"/>
      <c r="E528" s="224"/>
      <c r="F528" s="224"/>
      <c r="G528" s="224"/>
      <c r="H528" s="224"/>
      <c r="I528" s="224"/>
      <c r="J528" s="224"/>
      <c r="K528" s="224"/>
      <c r="L528" s="224"/>
      <c r="M528" s="224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4"/>
      <c r="Y528" s="224"/>
      <c r="Z528" s="224"/>
    </row>
    <row r="529" spans="1:26" ht="12.75" customHeight="1">
      <c r="A529" s="224"/>
      <c r="B529" s="226"/>
      <c r="C529" s="224"/>
      <c r="D529" s="224"/>
      <c r="E529" s="224"/>
      <c r="F529" s="224"/>
      <c r="G529" s="224"/>
      <c r="H529" s="224"/>
      <c r="I529" s="224"/>
      <c r="J529" s="224"/>
      <c r="K529" s="224"/>
      <c r="L529" s="224"/>
      <c r="M529" s="224"/>
      <c r="N529" s="224"/>
      <c r="O529" s="224"/>
      <c r="P529" s="224"/>
      <c r="Q529" s="224"/>
      <c r="R529" s="224"/>
      <c r="S529" s="224"/>
      <c r="T529" s="224"/>
      <c r="U529" s="224"/>
      <c r="V529" s="224"/>
      <c r="W529" s="224"/>
      <c r="X529" s="224"/>
      <c r="Y529" s="224"/>
      <c r="Z529" s="224"/>
    </row>
    <row r="530" spans="1:26" ht="12.75" customHeight="1">
      <c r="A530" s="224"/>
      <c r="B530" s="226"/>
      <c r="C530" s="224"/>
      <c r="D530" s="224"/>
      <c r="E530" s="224"/>
      <c r="F530" s="224"/>
      <c r="G530" s="224"/>
      <c r="H530" s="224"/>
      <c r="I530" s="224"/>
      <c r="J530" s="224"/>
      <c r="K530" s="224"/>
      <c r="L530" s="224"/>
      <c r="M530" s="224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4"/>
      <c r="Y530" s="224"/>
      <c r="Z530" s="224"/>
    </row>
    <row r="531" spans="1:26" ht="12.75" customHeight="1">
      <c r="A531" s="224"/>
      <c r="B531" s="226"/>
      <c r="C531" s="224"/>
      <c r="D531" s="224"/>
      <c r="E531" s="224"/>
      <c r="F531" s="224"/>
      <c r="G531" s="224"/>
      <c r="H531" s="224"/>
      <c r="I531" s="224"/>
      <c r="J531" s="224"/>
      <c r="K531" s="224"/>
      <c r="L531" s="224"/>
      <c r="M531" s="224"/>
      <c r="N531" s="224"/>
      <c r="O531" s="224"/>
      <c r="P531" s="224"/>
      <c r="Q531" s="224"/>
      <c r="R531" s="224"/>
      <c r="S531" s="224"/>
      <c r="T531" s="224"/>
      <c r="U531" s="224"/>
      <c r="V531" s="224"/>
      <c r="W531" s="224"/>
      <c r="X531" s="224"/>
      <c r="Y531" s="224"/>
      <c r="Z531" s="224"/>
    </row>
    <row r="532" spans="1:26" ht="12.75" customHeight="1">
      <c r="A532" s="224"/>
      <c r="B532" s="226"/>
      <c r="C532" s="224"/>
      <c r="D532" s="224"/>
      <c r="E532" s="224"/>
      <c r="F532" s="224"/>
      <c r="G532" s="224"/>
      <c r="H532" s="224"/>
      <c r="I532" s="224"/>
      <c r="J532" s="224"/>
      <c r="K532" s="224"/>
      <c r="L532" s="224"/>
      <c r="M532" s="224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4"/>
      <c r="Y532" s="224"/>
      <c r="Z532" s="224"/>
    </row>
    <row r="533" spans="1:26" ht="12.75" customHeight="1">
      <c r="A533" s="224"/>
      <c r="B533" s="226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224"/>
      <c r="T533" s="224"/>
      <c r="U533" s="224"/>
      <c r="V533" s="224"/>
      <c r="W533" s="224"/>
      <c r="X533" s="224"/>
      <c r="Y533" s="224"/>
      <c r="Z533" s="224"/>
    </row>
    <row r="534" spans="1:26" ht="12.75" customHeight="1">
      <c r="A534" s="224"/>
      <c r="B534" s="226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4"/>
      <c r="Y534" s="224"/>
      <c r="Z534" s="224"/>
    </row>
    <row r="535" spans="1:26" ht="12.75" customHeight="1">
      <c r="A535" s="224"/>
      <c r="B535" s="226"/>
      <c r="C535" s="224"/>
      <c r="D535" s="224"/>
      <c r="E535" s="224"/>
      <c r="F535" s="224"/>
      <c r="G535" s="224"/>
      <c r="H535" s="224"/>
      <c r="I535" s="224"/>
      <c r="J535" s="224"/>
      <c r="K535" s="224"/>
      <c r="L535" s="224"/>
      <c r="M535" s="224"/>
      <c r="N535" s="224"/>
      <c r="O535" s="224"/>
      <c r="P535" s="224"/>
      <c r="Q535" s="224"/>
      <c r="R535" s="224"/>
      <c r="S535" s="224"/>
      <c r="T535" s="224"/>
      <c r="U535" s="224"/>
      <c r="V535" s="224"/>
      <c r="W535" s="224"/>
      <c r="X535" s="224"/>
      <c r="Y535" s="224"/>
      <c r="Z535" s="224"/>
    </row>
    <row r="536" spans="1:26" ht="12.75" customHeight="1">
      <c r="A536" s="224"/>
      <c r="B536" s="226"/>
      <c r="C536" s="224"/>
      <c r="D536" s="224"/>
      <c r="E536" s="224"/>
      <c r="F536" s="224"/>
      <c r="G536" s="224"/>
      <c r="H536" s="224"/>
      <c r="I536" s="224"/>
      <c r="J536" s="224"/>
      <c r="K536" s="224"/>
      <c r="L536" s="224"/>
      <c r="M536" s="224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4"/>
      <c r="Y536" s="224"/>
      <c r="Z536" s="224"/>
    </row>
    <row r="537" spans="1:26" ht="12.75" customHeight="1">
      <c r="A537" s="224"/>
      <c r="B537" s="226"/>
      <c r="C537" s="224"/>
      <c r="D537" s="224"/>
      <c r="E537" s="224"/>
      <c r="F537" s="224"/>
      <c r="G537" s="224"/>
      <c r="H537" s="224"/>
      <c r="I537" s="224"/>
      <c r="J537" s="224"/>
      <c r="K537" s="224"/>
      <c r="L537" s="224"/>
      <c r="M537" s="224"/>
      <c r="N537" s="224"/>
      <c r="O537" s="224"/>
      <c r="P537" s="224"/>
      <c r="Q537" s="224"/>
      <c r="R537" s="224"/>
      <c r="S537" s="224"/>
      <c r="T537" s="224"/>
      <c r="U537" s="224"/>
      <c r="V537" s="224"/>
      <c r="W537" s="224"/>
      <c r="X537" s="224"/>
      <c r="Y537" s="224"/>
      <c r="Z537" s="224"/>
    </row>
    <row r="538" spans="1:26" ht="12.75" customHeight="1">
      <c r="A538" s="224"/>
      <c r="B538" s="226"/>
      <c r="C538" s="224"/>
      <c r="D538" s="224"/>
      <c r="E538" s="224"/>
      <c r="F538" s="224"/>
      <c r="G538" s="224"/>
      <c r="H538" s="224"/>
      <c r="I538" s="224"/>
      <c r="J538" s="224"/>
      <c r="K538" s="224"/>
      <c r="L538" s="224"/>
      <c r="M538" s="224"/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4"/>
      <c r="Y538" s="224"/>
      <c r="Z538" s="224"/>
    </row>
    <row r="539" spans="1:26" ht="12.75" customHeight="1">
      <c r="A539" s="224"/>
      <c r="B539" s="226"/>
      <c r="C539" s="224"/>
      <c r="D539" s="224"/>
      <c r="E539" s="224"/>
      <c r="F539" s="224"/>
      <c r="G539" s="224"/>
      <c r="H539" s="224"/>
      <c r="I539" s="224"/>
      <c r="J539" s="224"/>
      <c r="K539" s="224"/>
      <c r="L539" s="224"/>
      <c r="M539" s="224"/>
      <c r="N539" s="224"/>
      <c r="O539" s="224"/>
      <c r="P539" s="224"/>
      <c r="Q539" s="224"/>
      <c r="R539" s="224"/>
      <c r="S539" s="224"/>
      <c r="T539" s="224"/>
      <c r="U539" s="224"/>
      <c r="V539" s="224"/>
      <c r="W539" s="224"/>
      <c r="X539" s="224"/>
      <c r="Y539" s="224"/>
      <c r="Z539" s="224"/>
    </row>
    <row r="540" spans="1:26" ht="12.75" customHeight="1">
      <c r="A540" s="224"/>
      <c r="B540" s="226"/>
      <c r="C540" s="224"/>
      <c r="D540" s="224"/>
      <c r="E540" s="224"/>
      <c r="F540" s="224"/>
      <c r="G540" s="224"/>
      <c r="H540" s="224"/>
      <c r="I540" s="224"/>
      <c r="J540" s="224"/>
      <c r="K540" s="224"/>
      <c r="L540" s="224"/>
      <c r="M540" s="224"/>
      <c r="N540" s="224"/>
      <c r="O540" s="224"/>
      <c r="P540" s="224"/>
      <c r="Q540" s="224"/>
      <c r="R540" s="224"/>
      <c r="S540" s="224"/>
      <c r="T540" s="224"/>
      <c r="U540" s="224"/>
      <c r="V540" s="224"/>
      <c r="W540" s="224"/>
      <c r="X540" s="224"/>
      <c r="Y540" s="224"/>
      <c r="Z540" s="224"/>
    </row>
    <row r="541" spans="1:26" ht="12.75" customHeight="1">
      <c r="A541" s="224"/>
      <c r="B541" s="226"/>
      <c r="C541" s="224"/>
      <c r="D541" s="224"/>
      <c r="E541" s="224"/>
      <c r="F541" s="224"/>
      <c r="G541" s="224"/>
      <c r="H541" s="224"/>
      <c r="I541" s="224"/>
      <c r="J541" s="224"/>
      <c r="K541" s="224"/>
      <c r="L541" s="224"/>
      <c r="M541" s="224"/>
      <c r="N541" s="224"/>
      <c r="O541" s="224"/>
      <c r="P541" s="224"/>
      <c r="Q541" s="224"/>
      <c r="R541" s="224"/>
      <c r="S541" s="224"/>
      <c r="T541" s="224"/>
      <c r="U541" s="224"/>
      <c r="V541" s="224"/>
      <c r="W541" s="224"/>
      <c r="X541" s="224"/>
      <c r="Y541" s="224"/>
      <c r="Z541" s="224"/>
    </row>
    <row r="542" spans="1:26" ht="12.75" customHeight="1">
      <c r="A542" s="224"/>
      <c r="B542" s="226"/>
      <c r="C542" s="224"/>
      <c r="D542" s="224"/>
      <c r="E542" s="224"/>
      <c r="F542" s="224"/>
      <c r="G542" s="224"/>
      <c r="H542" s="224"/>
      <c r="I542" s="224"/>
      <c r="J542" s="224"/>
      <c r="K542" s="224"/>
      <c r="L542" s="224"/>
      <c r="M542" s="224"/>
      <c r="N542" s="224"/>
      <c r="O542" s="224"/>
      <c r="P542" s="224"/>
      <c r="Q542" s="224"/>
      <c r="R542" s="224"/>
      <c r="S542" s="224"/>
      <c r="T542" s="224"/>
      <c r="U542" s="224"/>
      <c r="V542" s="224"/>
      <c r="W542" s="224"/>
      <c r="X542" s="224"/>
      <c r="Y542" s="224"/>
      <c r="Z542" s="224"/>
    </row>
    <row r="543" spans="1:26" ht="12.75" customHeight="1">
      <c r="A543" s="224"/>
      <c r="B543" s="226"/>
      <c r="C543" s="224"/>
      <c r="D543" s="224"/>
      <c r="E543" s="224"/>
      <c r="F543" s="224"/>
      <c r="G543" s="224"/>
      <c r="H543" s="224"/>
      <c r="I543" s="224"/>
      <c r="J543" s="224"/>
      <c r="K543" s="224"/>
      <c r="L543" s="224"/>
      <c r="M543" s="224"/>
      <c r="N543" s="224"/>
      <c r="O543" s="224"/>
      <c r="P543" s="224"/>
      <c r="Q543" s="224"/>
      <c r="R543" s="224"/>
      <c r="S543" s="224"/>
      <c r="T543" s="224"/>
      <c r="U543" s="224"/>
      <c r="V543" s="224"/>
      <c r="W543" s="224"/>
      <c r="X543" s="224"/>
      <c r="Y543" s="224"/>
      <c r="Z543" s="224"/>
    </row>
    <row r="544" spans="1:26" ht="12.75" customHeight="1">
      <c r="A544" s="224"/>
      <c r="B544" s="226"/>
      <c r="C544" s="224"/>
      <c r="D544" s="224"/>
      <c r="E544" s="224"/>
      <c r="F544" s="224"/>
      <c r="G544" s="224"/>
      <c r="H544" s="224"/>
      <c r="I544" s="224"/>
      <c r="J544" s="224"/>
      <c r="K544" s="224"/>
      <c r="L544" s="224"/>
      <c r="M544" s="224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4"/>
      <c r="Y544" s="224"/>
      <c r="Z544" s="224"/>
    </row>
    <row r="545" spans="1:26" ht="12.75" customHeight="1">
      <c r="A545" s="224"/>
      <c r="B545" s="226"/>
      <c r="C545" s="224"/>
      <c r="D545" s="224"/>
      <c r="E545" s="224"/>
      <c r="F545" s="224"/>
      <c r="G545" s="224"/>
      <c r="H545" s="224"/>
      <c r="I545" s="224"/>
      <c r="J545" s="224"/>
      <c r="K545" s="224"/>
      <c r="L545" s="224"/>
      <c r="M545" s="224"/>
      <c r="N545" s="224"/>
      <c r="O545" s="224"/>
      <c r="P545" s="224"/>
      <c r="Q545" s="224"/>
      <c r="R545" s="224"/>
      <c r="S545" s="224"/>
      <c r="T545" s="224"/>
      <c r="U545" s="224"/>
      <c r="V545" s="224"/>
      <c r="W545" s="224"/>
      <c r="X545" s="224"/>
      <c r="Y545" s="224"/>
      <c r="Z545" s="224"/>
    </row>
    <row r="546" spans="1:26" ht="12.75" customHeight="1">
      <c r="A546" s="224"/>
      <c r="B546" s="226"/>
      <c r="C546" s="224"/>
      <c r="D546" s="224"/>
      <c r="E546" s="224"/>
      <c r="F546" s="224"/>
      <c r="G546" s="224"/>
      <c r="H546" s="224"/>
      <c r="I546" s="224"/>
      <c r="J546" s="224"/>
      <c r="K546" s="224"/>
      <c r="L546" s="224"/>
      <c r="M546" s="224"/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4"/>
      <c r="Y546" s="224"/>
      <c r="Z546" s="224"/>
    </row>
    <row r="547" spans="1:26" ht="12.75" customHeight="1">
      <c r="A547" s="224"/>
      <c r="B547" s="226"/>
      <c r="C547" s="224"/>
      <c r="D547" s="224"/>
      <c r="E547" s="224"/>
      <c r="F547" s="224"/>
      <c r="G547" s="224"/>
      <c r="H547" s="224"/>
      <c r="I547" s="224"/>
      <c r="J547" s="224"/>
      <c r="K547" s="224"/>
      <c r="L547" s="224"/>
      <c r="M547" s="224"/>
      <c r="N547" s="224"/>
      <c r="O547" s="224"/>
      <c r="P547" s="224"/>
      <c r="Q547" s="224"/>
      <c r="R547" s="224"/>
      <c r="S547" s="224"/>
      <c r="T547" s="224"/>
      <c r="U547" s="224"/>
      <c r="V547" s="224"/>
      <c r="W547" s="224"/>
      <c r="X547" s="224"/>
      <c r="Y547" s="224"/>
      <c r="Z547" s="224"/>
    </row>
    <row r="548" spans="1:26" ht="12.75" customHeight="1">
      <c r="A548" s="224"/>
      <c r="B548" s="226"/>
      <c r="C548" s="224"/>
      <c r="D548" s="224"/>
      <c r="E548" s="224"/>
      <c r="F548" s="224"/>
      <c r="G548" s="224"/>
      <c r="H548" s="224"/>
      <c r="I548" s="224"/>
      <c r="J548" s="224"/>
      <c r="K548" s="224"/>
      <c r="L548" s="224"/>
      <c r="M548" s="224"/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4"/>
      <c r="Y548" s="224"/>
      <c r="Z548" s="224"/>
    </row>
    <row r="549" spans="1:26" ht="12.75" customHeight="1">
      <c r="A549" s="224"/>
      <c r="B549" s="226"/>
      <c r="C549" s="224"/>
      <c r="D549" s="224"/>
      <c r="E549" s="224"/>
      <c r="F549" s="224"/>
      <c r="G549" s="224"/>
      <c r="H549" s="224"/>
      <c r="I549" s="224"/>
      <c r="J549" s="224"/>
      <c r="K549" s="224"/>
      <c r="L549" s="224"/>
      <c r="M549" s="224"/>
      <c r="N549" s="224"/>
      <c r="O549" s="224"/>
      <c r="P549" s="224"/>
      <c r="Q549" s="224"/>
      <c r="R549" s="224"/>
      <c r="S549" s="224"/>
      <c r="T549" s="224"/>
      <c r="U549" s="224"/>
      <c r="V549" s="224"/>
      <c r="W549" s="224"/>
      <c r="X549" s="224"/>
      <c r="Y549" s="224"/>
      <c r="Z549" s="224"/>
    </row>
    <row r="550" spans="1:26" ht="12.75" customHeight="1">
      <c r="A550" s="224"/>
      <c r="B550" s="226"/>
      <c r="C550" s="224"/>
      <c r="D550" s="224"/>
      <c r="E550" s="224"/>
      <c r="F550" s="224"/>
      <c r="G550" s="224"/>
      <c r="H550" s="224"/>
      <c r="I550" s="224"/>
      <c r="J550" s="224"/>
      <c r="K550" s="224"/>
      <c r="L550" s="224"/>
      <c r="M550" s="224"/>
      <c r="N550" s="224"/>
      <c r="O550" s="224"/>
      <c r="P550" s="224"/>
      <c r="Q550" s="224"/>
      <c r="R550" s="224"/>
      <c r="S550" s="224"/>
      <c r="T550" s="224"/>
      <c r="U550" s="224"/>
      <c r="V550" s="224"/>
      <c r="W550" s="224"/>
      <c r="X550" s="224"/>
      <c r="Y550" s="224"/>
      <c r="Z550" s="224"/>
    </row>
    <row r="551" spans="1:26" ht="12.75" customHeight="1">
      <c r="A551" s="224"/>
      <c r="B551" s="226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</row>
    <row r="552" spans="1:26" ht="12.75" customHeight="1">
      <c r="A552" s="224"/>
      <c r="B552" s="226"/>
      <c r="C552" s="224"/>
      <c r="D552" s="224"/>
      <c r="E552" s="224"/>
      <c r="F552" s="224"/>
      <c r="G552" s="224"/>
      <c r="H552" s="224"/>
      <c r="I552" s="224"/>
      <c r="J552" s="224"/>
      <c r="K552" s="224"/>
      <c r="L552" s="224"/>
      <c r="M552" s="224"/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4"/>
      <c r="Y552" s="224"/>
      <c r="Z552" s="224"/>
    </row>
    <row r="553" spans="1:26" ht="12.75" customHeight="1">
      <c r="A553" s="224"/>
      <c r="B553" s="226"/>
      <c r="C553" s="224"/>
      <c r="D553" s="224"/>
      <c r="E553" s="224"/>
      <c r="F553" s="224"/>
      <c r="G553" s="224"/>
      <c r="H553" s="224"/>
      <c r="I553" s="224"/>
      <c r="J553" s="224"/>
      <c r="K553" s="224"/>
      <c r="L553" s="224"/>
      <c r="M553" s="224"/>
      <c r="N553" s="224"/>
      <c r="O553" s="224"/>
      <c r="P553" s="224"/>
      <c r="Q553" s="224"/>
      <c r="R553" s="224"/>
      <c r="S553" s="224"/>
      <c r="T553" s="224"/>
      <c r="U553" s="224"/>
      <c r="V553" s="224"/>
      <c r="W553" s="224"/>
      <c r="X553" s="224"/>
      <c r="Y553" s="224"/>
      <c r="Z553" s="224"/>
    </row>
    <row r="554" spans="1:26" ht="12.75" customHeight="1">
      <c r="A554" s="224"/>
      <c r="B554" s="226"/>
      <c r="C554" s="224"/>
      <c r="D554" s="224"/>
      <c r="E554" s="224"/>
      <c r="F554" s="224"/>
      <c r="G554" s="224"/>
      <c r="H554" s="224"/>
      <c r="I554" s="224"/>
      <c r="J554" s="224"/>
      <c r="K554" s="224"/>
      <c r="L554" s="224"/>
      <c r="M554" s="224"/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4"/>
      <c r="Y554" s="224"/>
      <c r="Z554" s="224"/>
    </row>
    <row r="555" spans="1:26" ht="12.75" customHeight="1">
      <c r="A555" s="224"/>
      <c r="B555" s="226"/>
      <c r="C555" s="224"/>
      <c r="D555" s="224"/>
      <c r="E555" s="224"/>
      <c r="F555" s="224"/>
      <c r="G555" s="224"/>
      <c r="H555" s="224"/>
      <c r="I555" s="224"/>
      <c r="J555" s="224"/>
      <c r="K555" s="224"/>
      <c r="L555" s="224"/>
      <c r="M555" s="224"/>
      <c r="N555" s="224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</row>
    <row r="556" spans="1:26" ht="12.75" customHeight="1">
      <c r="A556" s="224"/>
      <c r="B556" s="226"/>
      <c r="C556" s="224"/>
      <c r="D556" s="224"/>
      <c r="E556" s="224"/>
      <c r="F556" s="224"/>
      <c r="G556" s="224"/>
      <c r="H556" s="224"/>
      <c r="I556" s="224"/>
      <c r="J556" s="224"/>
      <c r="K556" s="224"/>
      <c r="L556" s="224"/>
      <c r="M556" s="224"/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</row>
    <row r="557" spans="1:26" ht="12.75" customHeight="1">
      <c r="A557" s="224"/>
      <c r="B557" s="226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</row>
    <row r="558" spans="1:26" ht="12.75" customHeight="1">
      <c r="A558" s="224"/>
      <c r="B558" s="226"/>
      <c r="C558" s="224"/>
      <c r="D558" s="224"/>
      <c r="E558" s="224"/>
      <c r="F558" s="224"/>
      <c r="G558" s="224"/>
      <c r="H558" s="224"/>
      <c r="I558" s="224"/>
      <c r="J558" s="224"/>
      <c r="K558" s="224"/>
      <c r="L558" s="224"/>
      <c r="M558" s="224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</row>
    <row r="559" spans="1:26" ht="12.75" customHeight="1">
      <c r="A559" s="224"/>
      <c r="B559" s="226"/>
      <c r="C559" s="224"/>
      <c r="D559" s="224"/>
      <c r="E559" s="224"/>
      <c r="F559" s="224"/>
      <c r="G559" s="224"/>
      <c r="H559" s="224"/>
      <c r="I559" s="224"/>
      <c r="J559" s="224"/>
      <c r="K559" s="224"/>
      <c r="L559" s="224"/>
      <c r="M559" s="224"/>
      <c r="N559" s="224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</row>
    <row r="560" spans="1:26" ht="12.75" customHeight="1">
      <c r="A560" s="224"/>
      <c r="B560" s="226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</row>
    <row r="561" spans="1:26" ht="12.75" customHeight="1">
      <c r="A561" s="224"/>
      <c r="B561" s="226"/>
      <c r="C561" s="224"/>
      <c r="D561" s="224"/>
      <c r="E561" s="224"/>
      <c r="F561" s="224"/>
      <c r="G561" s="224"/>
      <c r="H561" s="224"/>
      <c r="I561" s="224"/>
      <c r="J561" s="224"/>
      <c r="K561" s="224"/>
      <c r="L561" s="224"/>
      <c r="M561" s="224"/>
      <c r="N561" s="224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</row>
    <row r="562" spans="1:26" ht="12.75" customHeight="1">
      <c r="A562" s="224"/>
      <c r="B562" s="226"/>
      <c r="C562" s="224"/>
      <c r="D562" s="224"/>
      <c r="E562" s="224"/>
      <c r="F562" s="224"/>
      <c r="G562" s="224"/>
      <c r="H562" s="224"/>
      <c r="I562" s="224"/>
      <c r="J562" s="224"/>
      <c r="K562" s="224"/>
      <c r="L562" s="224"/>
      <c r="M562" s="224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</row>
    <row r="563" spans="1:26" ht="12.75" customHeight="1">
      <c r="A563" s="224"/>
      <c r="B563" s="226"/>
      <c r="C563" s="224"/>
      <c r="D563" s="224"/>
      <c r="E563" s="224"/>
      <c r="F563" s="224"/>
      <c r="G563" s="224"/>
      <c r="H563" s="224"/>
      <c r="I563" s="224"/>
      <c r="J563" s="224"/>
      <c r="K563" s="224"/>
      <c r="L563" s="224"/>
      <c r="M563" s="224"/>
      <c r="N563" s="224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</row>
    <row r="564" spans="1:26" ht="12.75" customHeight="1">
      <c r="A564" s="224"/>
      <c r="B564" s="226"/>
      <c r="C564" s="224"/>
      <c r="D564" s="224"/>
      <c r="E564" s="224"/>
      <c r="F564" s="224"/>
      <c r="G564" s="224"/>
      <c r="H564" s="224"/>
      <c r="I564" s="224"/>
      <c r="J564" s="224"/>
      <c r="K564" s="224"/>
      <c r="L564" s="224"/>
      <c r="M564" s="224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</row>
    <row r="565" spans="1:26" ht="12.75" customHeight="1">
      <c r="A565" s="224"/>
      <c r="B565" s="226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</row>
    <row r="566" spans="1:26" ht="12.75" customHeight="1">
      <c r="A566" s="224"/>
      <c r="B566" s="226"/>
      <c r="C566" s="224"/>
      <c r="D566" s="224"/>
      <c r="E566" s="224"/>
      <c r="F566" s="224"/>
      <c r="G566" s="224"/>
      <c r="H566" s="224"/>
      <c r="I566" s="224"/>
      <c r="J566" s="224"/>
      <c r="K566" s="224"/>
      <c r="L566" s="224"/>
      <c r="M566" s="224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</row>
    <row r="567" spans="1:26" ht="12.75" customHeight="1">
      <c r="A567" s="224"/>
      <c r="B567" s="226"/>
      <c r="C567" s="224"/>
      <c r="D567" s="224"/>
      <c r="E567" s="224"/>
      <c r="F567" s="224"/>
      <c r="G567" s="224"/>
      <c r="H567" s="224"/>
      <c r="I567" s="224"/>
      <c r="J567" s="224"/>
      <c r="K567" s="224"/>
      <c r="L567" s="224"/>
      <c r="M567" s="224"/>
      <c r="N567" s="224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</row>
    <row r="568" spans="1:26" ht="12.75" customHeight="1">
      <c r="A568" s="224"/>
      <c r="B568" s="226"/>
      <c r="C568" s="224"/>
      <c r="D568" s="224"/>
      <c r="E568" s="224"/>
      <c r="F568" s="224"/>
      <c r="G568" s="224"/>
      <c r="H568" s="224"/>
      <c r="I568" s="224"/>
      <c r="J568" s="224"/>
      <c r="K568" s="224"/>
      <c r="L568" s="224"/>
      <c r="M568" s="224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</row>
    <row r="569" spans="1:26" ht="12.75" customHeight="1">
      <c r="A569" s="224"/>
      <c r="B569" s="226"/>
      <c r="C569" s="224"/>
      <c r="D569" s="224"/>
      <c r="E569" s="224"/>
      <c r="F569" s="224"/>
      <c r="G569" s="224"/>
      <c r="H569" s="224"/>
      <c r="I569" s="224"/>
      <c r="J569" s="224"/>
      <c r="K569" s="224"/>
      <c r="L569" s="224"/>
      <c r="M569" s="224"/>
      <c r="N569" s="224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</row>
    <row r="570" spans="1:26" ht="12.75" customHeight="1">
      <c r="A570" s="224"/>
      <c r="B570" s="226"/>
      <c r="C570" s="224"/>
      <c r="D570" s="224"/>
      <c r="E570" s="224"/>
      <c r="F570" s="224"/>
      <c r="G570" s="224"/>
      <c r="H570" s="224"/>
      <c r="I570" s="224"/>
      <c r="J570" s="224"/>
      <c r="K570" s="224"/>
      <c r="L570" s="224"/>
      <c r="M570" s="224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</row>
    <row r="571" spans="1:26" ht="12.75" customHeight="1">
      <c r="A571" s="224"/>
      <c r="B571" s="226"/>
      <c r="C571" s="224"/>
      <c r="D571" s="224"/>
      <c r="E571" s="224"/>
      <c r="F571" s="224"/>
      <c r="G571" s="224"/>
      <c r="H571" s="224"/>
      <c r="I571" s="224"/>
      <c r="J571" s="224"/>
      <c r="K571" s="224"/>
      <c r="L571" s="224"/>
      <c r="M571" s="224"/>
      <c r="N571" s="224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</row>
    <row r="572" spans="1:26" ht="12.75" customHeight="1">
      <c r="A572" s="224"/>
      <c r="B572" s="226"/>
      <c r="C572" s="224"/>
      <c r="D572" s="224"/>
      <c r="E572" s="224"/>
      <c r="F572" s="224"/>
      <c r="G572" s="224"/>
      <c r="H572" s="224"/>
      <c r="I572" s="224"/>
      <c r="J572" s="224"/>
      <c r="K572" s="224"/>
      <c r="L572" s="224"/>
      <c r="M572" s="224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</row>
    <row r="573" spans="1:26" ht="12.75" customHeight="1">
      <c r="A573" s="224"/>
      <c r="B573" s="226"/>
      <c r="C573" s="224"/>
      <c r="D573" s="224"/>
      <c r="E573" s="224"/>
      <c r="F573" s="224"/>
      <c r="G573" s="224"/>
      <c r="H573" s="224"/>
      <c r="I573" s="224"/>
      <c r="J573" s="224"/>
      <c r="K573" s="224"/>
      <c r="L573" s="224"/>
      <c r="M573" s="224"/>
      <c r="N573" s="224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</row>
    <row r="574" spans="1:26" ht="12.75" customHeight="1">
      <c r="A574" s="224"/>
      <c r="B574" s="226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</row>
    <row r="575" spans="1:26" ht="12.75" customHeight="1">
      <c r="A575" s="224"/>
      <c r="B575" s="226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</row>
    <row r="576" spans="1:26" ht="12.75" customHeight="1">
      <c r="A576" s="224"/>
      <c r="B576" s="226"/>
      <c r="C576" s="224"/>
      <c r="D576" s="224"/>
      <c r="E576" s="224"/>
      <c r="F576" s="224"/>
      <c r="G576" s="224"/>
      <c r="H576" s="224"/>
      <c r="I576" s="224"/>
      <c r="J576" s="224"/>
      <c r="K576" s="224"/>
      <c r="L576" s="224"/>
      <c r="M576" s="224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</row>
    <row r="577" spans="1:26" ht="12.75" customHeight="1">
      <c r="A577" s="224"/>
      <c r="B577" s="226"/>
      <c r="C577" s="224"/>
      <c r="D577" s="224"/>
      <c r="E577" s="224"/>
      <c r="F577" s="224"/>
      <c r="G577" s="224"/>
      <c r="H577" s="224"/>
      <c r="I577" s="224"/>
      <c r="J577" s="224"/>
      <c r="K577" s="224"/>
      <c r="L577" s="224"/>
      <c r="M577" s="224"/>
      <c r="N577" s="224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</row>
    <row r="578" spans="1:26" ht="12.75" customHeight="1">
      <c r="A578" s="224"/>
      <c r="B578" s="226"/>
      <c r="C578" s="224"/>
      <c r="D578" s="224"/>
      <c r="E578" s="224"/>
      <c r="F578" s="224"/>
      <c r="G578" s="224"/>
      <c r="H578" s="224"/>
      <c r="I578" s="224"/>
      <c r="J578" s="224"/>
      <c r="K578" s="224"/>
      <c r="L578" s="224"/>
      <c r="M578" s="224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</row>
    <row r="579" spans="1:26" ht="12.75" customHeight="1">
      <c r="A579" s="224"/>
      <c r="B579" s="226"/>
      <c r="C579" s="224"/>
      <c r="D579" s="224"/>
      <c r="E579" s="224"/>
      <c r="F579" s="224"/>
      <c r="G579" s="224"/>
      <c r="H579" s="224"/>
      <c r="I579" s="224"/>
      <c r="J579" s="224"/>
      <c r="K579" s="224"/>
      <c r="L579" s="224"/>
      <c r="M579" s="224"/>
      <c r="N579" s="224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</row>
    <row r="580" spans="1:26" ht="12.75" customHeight="1">
      <c r="A580" s="224"/>
      <c r="B580" s="226"/>
      <c r="C580" s="224"/>
      <c r="D580" s="224"/>
      <c r="E580" s="224"/>
      <c r="F580" s="224"/>
      <c r="G580" s="224"/>
      <c r="H580" s="224"/>
      <c r="I580" s="224"/>
      <c r="J580" s="224"/>
      <c r="K580" s="224"/>
      <c r="L580" s="224"/>
      <c r="M580" s="224"/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</row>
    <row r="581" spans="1:26" ht="12.75" customHeight="1">
      <c r="A581" s="224"/>
      <c r="B581" s="226"/>
      <c r="C581" s="224"/>
      <c r="D581" s="224"/>
      <c r="E581" s="224"/>
      <c r="F581" s="224"/>
      <c r="G581" s="224"/>
      <c r="H581" s="224"/>
      <c r="I581" s="224"/>
      <c r="J581" s="224"/>
      <c r="K581" s="224"/>
      <c r="L581" s="224"/>
      <c r="M581" s="224"/>
      <c r="N581" s="224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</row>
    <row r="582" spans="1:26" ht="12.75" customHeight="1">
      <c r="A582" s="224"/>
      <c r="B582" s="226"/>
      <c r="C582" s="224"/>
      <c r="D582" s="224"/>
      <c r="E582" s="224"/>
      <c r="F582" s="224"/>
      <c r="G582" s="224"/>
      <c r="H582" s="224"/>
      <c r="I582" s="224"/>
      <c r="J582" s="224"/>
      <c r="K582" s="224"/>
      <c r="L582" s="224"/>
      <c r="M582" s="224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4"/>
      <c r="Y582" s="224"/>
      <c r="Z582" s="224"/>
    </row>
    <row r="583" spans="1:26" ht="12.75" customHeight="1">
      <c r="A583" s="224"/>
      <c r="B583" s="226"/>
      <c r="C583" s="224"/>
      <c r="D583" s="224"/>
      <c r="E583" s="224"/>
      <c r="F583" s="224"/>
      <c r="G583" s="224"/>
      <c r="H583" s="224"/>
      <c r="I583" s="224"/>
      <c r="J583" s="224"/>
      <c r="K583" s="224"/>
      <c r="L583" s="224"/>
      <c r="M583" s="224"/>
      <c r="N583" s="224"/>
      <c r="O583" s="224"/>
      <c r="P583" s="224"/>
      <c r="Q583" s="224"/>
      <c r="R583" s="224"/>
      <c r="S583" s="224"/>
      <c r="T583" s="224"/>
      <c r="U583" s="224"/>
      <c r="V583" s="224"/>
      <c r="W583" s="224"/>
      <c r="X583" s="224"/>
      <c r="Y583" s="224"/>
      <c r="Z583" s="224"/>
    </row>
    <row r="584" spans="1:26" ht="12.75" customHeight="1">
      <c r="A584" s="224"/>
      <c r="B584" s="226"/>
      <c r="C584" s="224"/>
      <c r="D584" s="224"/>
      <c r="E584" s="224"/>
      <c r="F584" s="224"/>
      <c r="G584" s="224"/>
      <c r="H584" s="224"/>
      <c r="I584" s="224"/>
      <c r="J584" s="224"/>
      <c r="K584" s="224"/>
      <c r="L584" s="224"/>
      <c r="M584" s="224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4"/>
      <c r="Y584" s="224"/>
      <c r="Z584" s="224"/>
    </row>
    <row r="585" spans="1:26" ht="12.75" customHeight="1">
      <c r="A585" s="224"/>
      <c r="B585" s="226"/>
      <c r="C585" s="224"/>
      <c r="D585" s="224"/>
      <c r="E585" s="224"/>
      <c r="F585" s="224"/>
      <c r="G585" s="224"/>
      <c r="H585" s="224"/>
      <c r="I585" s="224"/>
      <c r="J585" s="224"/>
      <c r="K585" s="224"/>
      <c r="L585" s="224"/>
      <c r="M585" s="224"/>
      <c r="N585" s="224"/>
      <c r="O585" s="224"/>
      <c r="P585" s="224"/>
      <c r="Q585" s="224"/>
      <c r="R585" s="224"/>
      <c r="S585" s="224"/>
      <c r="T585" s="224"/>
      <c r="U585" s="224"/>
      <c r="V585" s="224"/>
      <c r="W585" s="224"/>
      <c r="X585" s="224"/>
      <c r="Y585" s="224"/>
      <c r="Z585" s="224"/>
    </row>
    <row r="586" spans="1:26" ht="12.75" customHeight="1">
      <c r="A586" s="224"/>
      <c r="B586" s="226"/>
      <c r="C586" s="224"/>
      <c r="D586" s="224"/>
      <c r="E586" s="224"/>
      <c r="F586" s="224"/>
      <c r="G586" s="224"/>
      <c r="H586" s="224"/>
      <c r="I586" s="224"/>
      <c r="J586" s="224"/>
      <c r="K586" s="224"/>
      <c r="L586" s="224"/>
      <c r="M586" s="224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4"/>
      <c r="Y586" s="224"/>
      <c r="Z586" s="224"/>
    </row>
    <row r="587" spans="1:26" ht="12.75" customHeight="1">
      <c r="A587" s="224"/>
      <c r="B587" s="226"/>
      <c r="C587" s="224"/>
      <c r="D587" s="224"/>
      <c r="E587" s="224"/>
      <c r="F587" s="224"/>
      <c r="G587" s="224"/>
      <c r="H587" s="224"/>
      <c r="I587" s="224"/>
      <c r="J587" s="224"/>
      <c r="K587" s="224"/>
      <c r="L587" s="224"/>
      <c r="M587" s="224"/>
      <c r="N587" s="224"/>
      <c r="O587" s="224"/>
      <c r="P587" s="224"/>
      <c r="Q587" s="224"/>
      <c r="R587" s="224"/>
      <c r="S587" s="224"/>
      <c r="T587" s="224"/>
      <c r="U587" s="224"/>
      <c r="V587" s="224"/>
      <c r="W587" s="224"/>
      <c r="X587" s="224"/>
      <c r="Y587" s="224"/>
      <c r="Z587" s="224"/>
    </row>
    <row r="588" spans="1:26" ht="12.75" customHeight="1">
      <c r="A588" s="224"/>
      <c r="B588" s="226"/>
      <c r="C588" s="224"/>
      <c r="D588" s="224"/>
      <c r="E588" s="224"/>
      <c r="F588" s="224"/>
      <c r="G588" s="224"/>
      <c r="H588" s="224"/>
      <c r="I588" s="224"/>
      <c r="J588" s="224"/>
      <c r="K588" s="224"/>
      <c r="L588" s="224"/>
      <c r="M588" s="224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4"/>
      <c r="Y588" s="224"/>
      <c r="Z588" s="224"/>
    </row>
    <row r="589" spans="1:26" ht="12.75" customHeight="1">
      <c r="A589" s="224"/>
      <c r="B589" s="226"/>
      <c r="C589" s="224"/>
      <c r="D589" s="224"/>
      <c r="E589" s="224"/>
      <c r="F589" s="224"/>
      <c r="G589" s="224"/>
      <c r="H589" s="224"/>
      <c r="I589" s="224"/>
      <c r="J589" s="224"/>
      <c r="K589" s="224"/>
      <c r="L589" s="224"/>
      <c r="M589" s="224"/>
      <c r="N589" s="224"/>
      <c r="O589" s="224"/>
      <c r="P589" s="224"/>
      <c r="Q589" s="224"/>
      <c r="R589" s="224"/>
      <c r="S589" s="224"/>
      <c r="T589" s="224"/>
      <c r="U589" s="224"/>
      <c r="V589" s="224"/>
      <c r="W589" s="224"/>
      <c r="X589" s="224"/>
      <c r="Y589" s="224"/>
      <c r="Z589" s="224"/>
    </row>
    <row r="590" spans="1:26" ht="12.75" customHeight="1">
      <c r="A590" s="224"/>
      <c r="B590" s="226"/>
      <c r="C590" s="224"/>
      <c r="D590" s="224"/>
      <c r="E590" s="224"/>
      <c r="F590" s="224"/>
      <c r="G590" s="224"/>
      <c r="H590" s="224"/>
      <c r="I590" s="224"/>
      <c r="J590" s="224"/>
      <c r="K590" s="224"/>
      <c r="L590" s="224"/>
      <c r="M590" s="224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4"/>
      <c r="Y590" s="224"/>
      <c r="Z590" s="224"/>
    </row>
    <row r="591" spans="1:26" ht="12.75" customHeight="1">
      <c r="A591" s="224"/>
      <c r="B591" s="226"/>
      <c r="C591" s="224"/>
      <c r="D591" s="224"/>
      <c r="E591" s="224"/>
      <c r="F591" s="224"/>
      <c r="G591" s="224"/>
      <c r="H591" s="224"/>
      <c r="I591" s="224"/>
      <c r="J591" s="224"/>
      <c r="K591" s="224"/>
      <c r="L591" s="224"/>
      <c r="M591" s="224"/>
      <c r="N591" s="224"/>
      <c r="O591" s="224"/>
      <c r="P591" s="224"/>
      <c r="Q591" s="224"/>
      <c r="R591" s="224"/>
      <c r="S591" s="224"/>
      <c r="T591" s="224"/>
      <c r="U591" s="224"/>
      <c r="V591" s="224"/>
      <c r="W591" s="224"/>
      <c r="X591" s="224"/>
      <c r="Y591" s="224"/>
      <c r="Z591" s="224"/>
    </row>
    <row r="592" spans="1:26" ht="12.75" customHeight="1">
      <c r="A592" s="224"/>
      <c r="B592" s="226"/>
      <c r="C592" s="224"/>
      <c r="D592" s="224"/>
      <c r="E592" s="224"/>
      <c r="F592" s="224"/>
      <c r="G592" s="224"/>
      <c r="H592" s="224"/>
      <c r="I592" s="224"/>
      <c r="J592" s="224"/>
      <c r="K592" s="224"/>
      <c r="L592" s="224"/>
      <c r="M592" s="224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4"/>
      <c r="Y592" s="224"/>
      <c r="Z592" s="224"/>
    </row>
    <row r="593" spans="1:26" ht="12.75" customHeight="1">
      <c r="A593" s="224"/>
      <c r="B593" s="226"/>
      <c r="C593" s="224"/>
      <c r="D593" s="224"/>
      <c r="E593" s="224"/>
      <c r="F593" s="224"/>
      <c r="G593" s="224"/>
      <c r="H593" s="224"/>
      <c r="I593" s="224"/>
      <c r="J593" s="224"/>
      <c r="K593" s="224"/>
      <c r="L593" s="224"/>
      <c r="M593" s="224"/>
      <c r="N593" s="224"/>
      <c r="O593" s="224"/>
      <c r="P593" s="224"/>
      <c r="Q593" s="224"/>
      <c r="R593" s="224"/>
      <c r="S593" s="224"/>
      <c r="T593" s="224"/>
      <c r="U593" s="224"/>
      <c r="V593" s="224"/>
      <c r="W593" s="224"/>
      <c r="X593" s="224"/>
      <c r="Y593" s="224"/>
      <c r="Z593" s="224"/>
    </row>
    <row r="594" spans="1:26" ht="12.75" customHeight="1">
      <c r="A594" s="224"/>
      <c r="B594" s="226"/>
      <c r="C594" s="224"/>
      <c r="D594" s="224"/>
      <c r="E594" s="224"/>
      <c r="F594" s="224"/>
      <c r="G594" s="224"/>
      <c r="H594" s="224"/>
      <c r="I594" s="224"/>
      <c r="J594" s="224"/>
      <c r="K594" s="224"/>
      <c r="L594" s="224"/>
      <c r="M594" s="224"/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4"/>
      <c r="Y594" s="224"/>
      <c r="Z594" s="224"/>
    </row>
    <row r="595" spans="1:26" ht="12.75" customHeight="1">
      <c r="A595" s="224"/>
      <c r="B595" s="226"/>
      <c r="C595" s="224"/>
      <c r="D595" s="224"/>
      <c r="E595" s="224"/>
      <c r="F595" s="224"/>
      <c r="G595" s="224"/>
      <c r="H595" s="224"/>
      <c r="I595" s="224"/>
      <c r="J595" s="224"/>
      <c r="K595" s="224"/>
      <c r="L595" s="224"/>
      <c r="M595" s="224"/>
      <c r="N595" s="224"/>
      <c r="O595" s="224"/>
      <c r="P595" s="224"/>
      <c r="Q595" s="224"/>
      <c r="R595" s="224"/>
      <c r="S595" s="224"/>
      <c r="T595" s="224"/>
      <c r="U595" s="224"/>
      <c r="V595" s="224"/>
      <c r="W595" s="224"/>
      <c r="X595" s="224"/>
      <c r="Y595" s="224"/>
      <c r="Z595" s="224"/>
    </row>
    <row r="596" spans="1:26" ht="12.75" customHeight="1">
      <c r="A596" s="224"/>
      <c r="B596" s="226"/>
      <c r="C596" s="224"/>
      <c r="D596" s="224"/>
      <c r="E596" s="224"/>
      <c r="F596" s="224"/>
      <c r="G596" s="224"/>
      <c r="H596" s="224"/>
      <c r="I596" s="224"/>
      <c r="J596" s="224"/>
      <c r="K596" s="224"/>
      <c r="L596" s="224"/>
      <c r="M596" s="224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4"/>
      <c r="Y596" s="224"/>
      <c r="Z596" s="224"/>
    </row>
    <row r="597" spans="1:26" ht="12.75" customHeight="1">
      <c r="A597" s="224"/>
      <c r="B597" s="226"/>
      <c r="C597" s="224"/>
      <c r="D597" s="224"/>
      <c r="E597" s="224"/>
      <c r="F597" s="224"/>
      <c r="G597" s="224"/>
      <c r="H597" s="224"/>
      <c r="I597" s="224"/>
      <c r="J597" s="224"/>
      <c r="K597" s="224"/>
      <c r="L597" s="224"/>
      <c r="M597" s="224"/>
      <c r="N597" s="224"/>
      <c r="O597" s="224"/>
      <c r="P597" s="224"/>
      <c r="Q597" s="224"/>
      <c r="R597" s="224"/>
      <c r="S597" s="224"/>
      <c r="T597" s="224"/>
      <c r="U597" s="224"/>
      <c r="V597" s="224"/>
      <c r="W597" s="224"/>
      <c r="X597" s="224"/>
      <c r="Y597" s="224"/>
      <c r="Z597" s="224"/>
    </row>
    <row r="598" spans="1:26" ht="12.75" customHeight="1">
      <c r="A598" s="224"/>
      <c r="B598" s="226"/>
      <c r="C598" s="224"/>
      <c r="D598" s="224"/>
      <c r="E598" s="224"/>
      <c r="F598" s="224"/>
      <c r="G598" s="224"/>
      <c r="H598" s="224"/>
      <c r="I598" s="224"/>
      <c r="J598" s="224"/>
      <c r="K598" s="224"/>
      <c r="L598" s="224"/>
      <c r="M598" s="224"/>
      <c r="N598" s="224"/>
      <c r="O598" s="224"/>
      <c r="P598" s="224"/>
      <c r="Q598" s="224"/>
      <c r="R598" s="224"/>
      <c r="S598" s="224"/>
      <c r="T598" s="224"/>
      <c r="U598" s="224"/>
      <c r="V598" s="224"/>
      <c r="W598" s="224"/>
      <c r="X598" s="224"/>
      <c r="Y598" s="224"/>
      <c r="Z598" s="224"/>
    </row>
    <row r="599" spans="1:26" ht="12.75" customHeight="1">
      <c r="A599" s="224"/>
      <c r="B599" s="226"/>
      <c r="C599" s="224"/>
      <c r="D599" s="224"/>
      <c r="E599" s="224"/>
      <c r="F599" s="224"/>
      <c r="G599" s="224"/>
      <c r="H599" s="224"/>
      <c r="I599" s="224"/>
      <c r="J599" s="224"/>
      <c r="K599" s="224"/>
      <c r="L599" s="224"/>
      <c r="M599" s="224"/>
      <c r="N599" s="224"/>
      <c r="O599" s="224"/>
      <c r="P599" s="224"/>
      <c r="Q599" s="224"/>
      <c r="R599" s="224"/>
      <c r="S599" s="224"/>
      <c r="T599" s="224"/>
      <c r="U599" s="224"/>
      <c r="V599" s="224"/>
      <c r="W599" s="224"/>
      <c r="X599" s="224"/>
      <c r="Y599" s="224"/>
      <c r="Z599" s="224"/>
    </row>
    <row r="600" spans="1:26" ht="12.75" customHeight="1">
      <c r="A600" s="224"/>
      <c r="B600" s="226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224"/>
      <c r="T600" s="224"/>
      <c r="U600" s="224"/>
      <c r="V600" s="224"/>
      <c r="W600" s="224"/>
      <c r="X600" s="224"/>
      <c r="Y600" s="224"/>
      <c r="Z600" s="224"/>
    </row>
    <row r="601" spans="1:26" ht="12.75" customHeight="1">
      <c r="A601" s="224"/>
      <c r="B601" s="226"/>
      <c r="C601" s="224"/>
      <c r="D601" s="224"/>
      <c r="E601" s="224"/>
      <c r="F601" s="224"/>
      <c r="G601" s="224"/>
      <c r="H601" s="224"/>
      <c r="I601" s="224"/>
      <c r="J601" s="224"/>
      <c r="K601" s="224"/>
      <c r="L601" s="224"/>
      <c r="M601" s="224"/>
      <c r="N601" s="224"/>
      <c r="O601" s="224"/>
      <c r="P601" s="224"/>
      <c r="Q601" s="224"/>
      <c r="R601" s="224"/>
      <c r="S601" s="224"/>
      <c r="T601" s="224"/>
      <c r="U601" s="224"/>
      <c r="V601" s="224"/>
      <c r="W601" s="224"/>
      <c r="X601" s="224"/>
      <c r="Y601" s="224"/>
      <c r="Z601" s="224"/>
    </row>
    <row r="602" spans="1:26" ht="12.75" customHeight="1">
      <c r="A602" s="224"/>
      <c r="B602" s="226"/>
      <c r="C602" s="224"/>
      <c r="D602" s="224"/>
      <c r="E602" s="224"/>
      <c r="F602" s="224"/>
      <c r="G602" s="224"/>
      <c r="H602" s="224"/>
      <c r="I602" s="224"/>
      <c r="J602" s="224"/>
      <c r="K602" s="224"/>
      <c r="L602" s="224"/>
      <c r="M602" s="224"/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4"/>
      <c r="Y602" s="224"/>
      <c r="Z602" s="224"/>
    </row>
    <row r="603" spans="1:26" ht="12.75" customHeight="1">
      <c r="A603" s="224"/>
      <c r="B603" s="226"/>
      <c r="C603" s="224"/>
      <c r="D603" s="224"/>
      <c r="E603" s="224"/>
      <c r="F603" s="224"/>
      <c r="G603" s="224"/>
      <c r="H603" s="224"/>
      <c r="I603" s="224"/>
      <c r="J603" s="224"/>
      <c r="K603" s="224"/>
      <c r="L603" s="224"/>
      <c r="M603" s="224"/>
      <c r="N603" s="224"/>
      <c r="O603" s="224"/>
      <c r="P603" s="224"/>
      <c r="Q603" s="224"/>
      <c r="R603" s="224"/>
      <c r="S603" s="224"/>
      <c r="T603" s="224"/>
      <c r="U603" s="224"/>
      <c r="V603" s="224"/>
      <c r="W603" s="224"/>
      <c r="X603" s="224"/>
      <c r="Y603" s="224"/>
      <c r="Z603" s="224"/>
    </row>
    <row r="604" spans="1:26" ht="12.75" customHeight="1">
      <c r="A604" s="224"/>
      <c r="B604" s="226"/>
      <c r="C604" s="224"/>
      <c r="D604" s="224"/>
      <c r="E604" s="224"/>
      <c r="F604" s="224"/>
      <c r="G604" s="224"/>
      <c r="H604" s="224"/>
      <c r="I604" s="224"/>
      <c r="J604" s="224"/>
      <c r="K604" s="224"/>
      <c r="L604" s="224"/>
      <c r="M604" s="224"/>
      <c r="N604" s="224"/>
      <c r="O604" s="224"/>
      <c r="P604" s="224"/>
      <c r="Q604" s="224"/>
      <c r="R604" s="224"/>
      <c r="S604" s="224"/>
      <c r="T604" s="224"/>
      <c r="U604" s="224"/>
      <c r="V604" s="224"/>
      <c r="W604" s="224"/>
      <c r="X604" s="224"/>
      <c r="Y604" s="224"/>
      <c r="Z604" s="224"/>
    </row>
    <row r="605" spans="1:26" ht="12.75" customHeight="1">
      <c r="A605" s="224"/>
      <c r="B605" s="226"/>
      <c r="C605" s="224"/>
      <c r="D605" s="224"/>
      <c r="E605" s="224"/>
      <c r="F605" s="224"/>
      <c r="G605" s="224"/>
      <c r="H605" s="224"/>
      <c r="I605" s="224"/>
      <c r="J605" s="224"/>
      <c r="K605" s="224"/>
      <c r="L605" s="224"/>
      <c r="M605" s="224"/>
      <c r="N605" s="224"/>
      <c r="O605" s="224"/>
      <c r="P605" s="224"/>
      <c r="Q605" s="224"/>
      <c r="R605" s="224"/>
      <c r="S605" s="224"/>
      <c r="T605" s="224"/>
      <c r="U605" s="224"/>
      <c r="V605" s="224"/>
      <c r="W605" s="224"/>
      <c r="X605" s="224"/>
      <c r="Y605" s="224"/>
      <c r="Z605" s="224"/>
    </row>
    <row r="606" spans="1:26" ht="12.75" customHeight="1">
      <c r="A606" s="224"/>
      <c r="B606" s="226"/>
      <c r="C606" s="224"/>
      <c r="D606" s="224"/>
      <c r="E606" s="224"/>
      <c r="F606" s="224"/>
      <c r="G606" s="224"/>
      <c r="H606" s="224"/>
      <c r="I606" s="224"/>
      <c r="J606" s="224"/>
      <c r="K606" s="224"/>
      <c r="L606" s="224"/>
      <c r="M606" s="224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4"/>
      <c r="Y606" s="224"/>
      <c r="Z606" s="224"/>
    </row>
    <row r="607" spans="1:26" ht="12.75" customHeight="1">
      <c r="A607" s="224"/>
      <c r="B607" s="226"/>
      <c r="C607" s="224"/>
      <c r="D607" s="224"/>
      <c r="E607" s="224"/>
      <c r="F607" s="224"/>
      <c r="G607" s="224"/>
      <c r="H607" s="224"/>
      <c r="I607" s="224"/>
      <c r="J607" s="224"/>
      <c r="K607" s="224"/>
      <c r="L607" s="224"/>
      <c r="M607" s="224"/>
      <c r="N607" s="224"/>
      <c r="O607" s="224"/>
      <c r="P607" s="224"/>
      <c r="Q607" s="224"/>
      <c r="R607" s="224"/>
      <c r="S607" s="224"/>
      <c r="T607" s="224"/>
      <c r="U607" s="224"/>
      <c r="V607" s="224"/>
      <c r="W607" s="224"/>
      <c r="X607" s="224"/>
      <c r="Y607" s="224"/>
      <c r="Z607" s="224"/>
    </row>
    <row r="608" spans="1:26" ht="12.75" customHeight="1">
      <c r="A608" s="224"/>
      <c r="B608" s="226"/>
      <c r="C608" s="224"/>
      <c r="D608" s="224"/>
      <c r="E608" s="224"/>
      <c r="F608" s="224"/>
      <c r="G608" s="224"/>
      <c r="H608" s="224"/>
      <c r="I608" s="224"/>
      <c r="J608" s="224"/>
      <c r="K608" s="224"/>
      <c r="L608" s="224"/>
      <c r="M608" s="224"/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4"/>
      <c r="Y608" s="224"/>
      <c r="Z608" s="224"/>
    </row>
    <row r="609" spans="1:26" ht="12.75" customHeight="1">
      <c r="A609" s="224"/>
      <c r="B609" s="226"/>
      <c r="C609" s="224"/>
      <c r="D609" s="224"/>
      <c r="E609" s="224"/>
      <c r="F609" s="224"/>
      <c r="G609" s="224"/>
      <c r="H609" s="224"/>
      <c r="I609" s="224"/>
      <c r="J609" s="224"/>
      <c r="K609" s="224"/>
      <c r="L609" s="224"/>
      <c r="M609" s="224"/>
      <c r="N609" s="224"/>
      <c r="O609" s="224"/>
      <c r="P609" s="224"/>
      <c r="Q609" s="224"/>
      <c r="R609" s="224"/>
      <c r="S609" s="224"/>
      <c r="T609" s="224"/>
      <c r="U609" s="224"/>
      <c r="V609" s="224"/>
      <c r="W609" s="224"/>
      <c r="X609" s="224"/>
      <c r="Y609" s="224"/>
      <c r="Z609" s="224"/>
    </row>
    <row r="610" spans="1:26" ht="12.75" customHeight="1">
      <c r="A610" s="224"/>
      <c r="B610" s="226"/>
      <c r="C610" s="224"/>
      <c r="D610" s="224"/>
      <c r="E610" s="224"/>
      <c r="F610" s="224"/>
      <c r="G610" s="224"/>
      <c r="H610" s="224"/>
      <c r="I610" s="224"/>
      <c r="J610" s="224"/>
      <c r="K610" s="224"/>
      <c r="L610" s="224"/>
      <c r="M610" s="224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4"/>
      <c r="Y610" s="224"/>
      <c r="Z610" s="224"/>
    </row>
    <row r="611" spans="1:26" ht="12.75" customHeight="1">
      <c r="A611" s="224"/>
      <c r="B611" s="226"/>
      <c r="C611" s="224"/>
      <c r="D611" s="224"/>
      <c r="E611" s="224"/>
      <c r="F611" s="224"/>
      <c r="G611" s="224"/>
      <c r="H611" s="224"/>
      <c r="I611" s="224"/>
      <c r="J611" s="224"/>
      <c r="K611" s="224"/>
      <c r="L611" s="224"/>
      <c r="M611" s="224"/>
      <c r="N611" s="224"/>
      <c r="O611" s="224"/>
      <c r="P611" s="224"/>
      <c r="Q611" s="224"/>
      <c r="R611" s="224"/>
      <c r="S611" s="224"/>
      <c r="T611" s="224"/>
      <c r="U611" s="224"/>
      <c r="V611" s="224"/>
      <c r="W611" s="224"/>
      <c r="X611" s="224"/>
      <c r="Y611" s="224"/>
      <c r="Z611" s="224"/>
    </row>
    <row r="612" spans="1:26" ht="12.75" customHeight="1">
      <c r="A612" s="224"/>
      <c r="B612" s="226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224"/>
      <c r="T612" s="224"/>
      <c r="U612" s="224"/>
      <c r="V612" s="224"/>
      <c r="W612" s="224"/>
      <c r="X612" s="224"/>
      <c r="Y612" s="224"/>
      <c r="Z612" s="224"/>
    </row>
    <row r="613" spans="1:26" ht="12.75" customHeight="1">
      <c r="A613" s="224"/>
      <c r="B613" s="226"/>
      <c r="C613" s="224"/>
      <c r="D613" s="224"/>
      <c r="E613" s="224"/>
      <c r="F613" s="224"/>
      <c r="G613" s="224"/>
      <c r="H613" s="224"/>
      <c r="I613" s="224"/>
      <c r="J613" s="224"/>
      <c r="K613" s="224"/>
      <c r="L613" s="224"/>
      <c r="M613" s="224"/>
      <c r="N613" s="224"/>
      <c r="O613" s="224"/>
      <c r="P613" s="224"/>
      <c r="Q613" s="224"/>
      <c r="R613" s="224"/>
      <c r="S613" s="224"/>
      <c r="T613" s="224"/>
      <c r="U613" s="224"/>
      <c r="V613" s="224"/>
      <c r="W613" s="224"/>
      <c r="X613" s="224"/>
      <c r="Y613" s="224"/>
      <c r="Z613" s="224"/>
    </row>
    <row r="614" spans="1:26" ht="12.75" customHeight="1">
      <c r="A614" s="224"/>
      <c r="B614" s="226"/>
      <c r="C614" s="224"/>
      <c r="D614" s="224"/>
      <c r="E614" s="224"/>
      <c r="F614" s="224"/>
      <c r="G614" s="224"/>
      <c r="H614" s="224"/>
      <c r="I614" s="224"/>
      <c r="J614" s="224"/>
      <c r="K614" s="224"/>
      <c r="L614" s="224"/>
      <c r="M614" s="224"/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4"/>
      <c r="Y614" s="224"/>
      <c r="Z614" s="224"/>
    </row>
    <row r="615" spans="1:26" ht="12.75" customHeight="1">
      <c r="A615" s="224"/>
      <c r="B615" s="226"/>
      <c r="C615" s="224"/>
      <c r="D615" s="224"/>
      <c r="E615" s="224"/>
      <c r="F615" s="224"/>
      <c r="G615" s="224"/>
      <c r="H615" s="224"/>
      <c r="I615" s="224"/>
      <c r="J615" s="224"/>
      <c r="K615" s="224"/>
      <c r="L615" s="224"/>
      <c r="M615" s="224"/>
      <c r="N615" s="224"/>
      <c r="O615" s="224"/>
      <c r="P615" s="224"/>
      <c r="Q615" s="224"/>
      <c r="R615" s="224"/>
      <c r="S615" s="224"/>
      <c r="T615" s="224"/>
      <c r="U615" s="224"/>
      <c r="V615" s="224"/>
      <c r="W615" s="224"/>
      <c r="X615" s="224"/>
      <c r="Y615" s="224"/>
      <c r="Z615" s="224"/>
    </row>
    <row r="616" spans="1:26" ht="12.75" customHeight="1">
      <c r="A616" s="224"/>
      <c r="B616" s="226"/>
      <c r="C616" s="224"/>
      <c r="D616" s="224"/>
      <c r="E616" s="224"/>
      <c r="F616" s="224"/>
      <c r="G616" s="224"/>
      <c r="H616" s="224"/>
      <c r="I616" s="224"/>
      <c r="J616" s="224"/>
      <c r="K616" s="224"/>
      <c r="L616" s="224"/>
      <c r="M616" s="224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4"/>
      <c r="Y616" s="224"/>
      <c r="Z616" s="224"/>
    </row>
    <row r="617" spans="1:26" ht="12.75" customHeight="1">
      <c r="A617" s="224"/>
      <c r="B617" s="226"/>
      <c r="C617" s="224"/>
      <c r="D617" s="224"/>
      <c r="E617" s="224"/>
      <c r="F617" s="224"/>
      <c r="G617" s="224"/>
      <c r="H617" s="224"/>
      <c r="I617" s="224"/>
      <c r="J617" s="224"/>
      <c r="K617" s="224"/>
      <c r="L617" s="224"/>
      <c r="M617" s="224"/>
      <c r="N617" s="224"/>
      <c r="O617" s="224"/>
      <c r="P617" s="224"/>
      <c r="Q617" s="224"/>
      <c r="R617" s="224"/>
      <c r="S617" s="224"/>
      <c r="T617" s="224"/>
      <c r="U617" s="224"/>
      <c r="V617" s="224"/>
      <c r="W617" s="224"/>
      <c r="X617" s="224"/>
      <c r="Y617" s="224"/>
      <c r="Z617" s="224"/>
    </row>
    <row r="618" spans="1:26" ht="12.75" customHeight="1">
      <c r="A618" s="224"/>
      <c r="B618" s="226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4"/>
      <c r="Y618" s="224"/>
      <c r="Z618" s="224"/>
    </row>
    <row r="619" spans="1:26" ht="12.75" customHeight="1">
      <c r="A619" s="224"/>
      <c r="B619" s="226"/>
      <c r="C619" s="224"/>
      <c r="D619" s="224"/>
      <c r="E619" s="224"/>
      <c r="F619" s="224"/>
      <c r="G619" s="224"/>
      <c r="H619" s="224"/>
      <c r="I619" s="224"/>
      <c r="J619" s="224"/>
      <c r="K619" s="224"/>
      <c r="L619" s="224"/>
      <c r="M619" s="224"/>
      <c r="N619" s="224"/>
      <c r="O619" s="224"/>
      <c r="P619" s="224"/>
      <c r="Q619" s="224"/>
      <c r="R619" s="224"/>
      <c r="S619" s="224"/>
      <c r="T619" s="224"/>
      <c r="U619" s="224"/>
      <c r="V619" s="224"/>
      <c r="W619" s="224"/>
      <c r="X619" s="224"/>
      <c r="Y619" s="224"/>
      <c r="Z619" s="224"/>
    </row>
    <row r="620" spans="1:26" ht="12.75" customHeight="1">
      <c r="A620" s="224"/>
      <c r="B620" s="226"/>
      <c r="C620" s="224"/>
      <c r="D620" s="224"/>
      <c r="E620" s="224"/>
      <c r="F620" s="224"/>
      <c r="G620" s="224"/>
      <c r="H620" s="224"/>
      <c r="I620" s="224"/>
      <c r="J620" s="224"/>
      <c r="K620" s="224"/>
      <c r="L620" s="224"/>
      <c r="M620" s="224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4"/>
      <c r="Y620" s="224"/>
      <c r="Z620" s="224"/>
    </row>
    <row r="621" spans="1:26" ht="12.75" customHeight="1">
      <c r="A621" s="224"/>
      <c r="B621" s="226"/>
      <c r="C621" s="224"/>
      <c r="D621" s="224"/>
      <c r="E621" s="224"/>
      <c r="F621" s="224"/>
      <c r="G621" s="224"/>
      <c r="H621" s="224"/>
      <c r="I621" s="224"/>
      <c r="J621" s="224"/>
      <c r="K621" s="224"/>
      <c r="L621" s="224"/>
      <c r="M621" s="224"/>
      <c r="N621" s="224"/>
      <c r="O621" s="224"/>
      <c r="P621" s="224"/>
      <c r="Q621" s="224"/>
      <c r="R621" s="224"/>
      <c r="S621" s="224"/>
      <c r="T621" s="224"/>
      <c r="U621" s="224"/>
      <c r="V621" s="224"/>
      <c r="W621" s="224"/>
      <c r="X621" s="224"/>
      <c r="Y621" s="224"/>
      <c r="Z621" s="224"/>
    </row>
    <row r="622" spans="1:26" ht="12.75" customHeight="1">
      <c r="A622" s="224"/>
      <c r="B622" s="226"/>
      <c r="C622" s="224"/>
      <c r="D622" s="224"/>
      <c r="E622" s="224"/>
      <c r="F622" s="224"/>
      <c r="G622" s="224"/>
      <c r="H622" s="224"/>
      <c r="I622" s="224"/>
      <c r="J622" s="224"/>
      <c r="K622" s="224"/>
      <c r="L622" s="224"/>
      <c r="M622" s="224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4"/>
      <c r="Y622" s="224"/>
      <c r="Z622" s="224"/>
    </row>
    <row r="623" spans="1:26" ht="12.75" customHeight="1">
      <c r="A623" s="224"/>
      <c r="B623" s="226"/>
      <c r="C623" s="224"/>
      <c r="D623" s="224"/>
      <c r="E623" s="224"/>
      <c r="F623" s="224"/>
      <c r="G623" s="224"/>
      <c r="H623" s="224"/>
      <c r="I623" s="224"/>
      <c r="J623" s="224"/>
      <c r="K623" s="224"/>
      <c r="L623" s="224"/>
      <c r="M623" s="224"/>
      <c r="N623" s="224"/>
      <c r="O623" s="224"/>
      <c r="P623" s="224"/>
      <c r="Q623" s="224"/>
      <c r="R623" s="224"/>
      <c r="S623" s="224"/>
      <c r="T623" s="224"/>
      <c r="U623" s="224"/>
      <c r="V623" s="224"/>
      <c r="W623" s="224"/>
      <c r="X623" s="224"/>
      <c r="Y623" s="224"/>
      <c r="Z623" s="224"/>
    </row>
    <row r="624" spans="1:26" ht="12.75" customHeight="1">
      <c r="A624" s="224"/>
      <c r="B624" s="226"/>
      <c r="C624" s="224"/>
      <c r="D624" s="224"/>
      <c r="E624" s="224"/>
      <c r="F624" s="224"/>
      <c r="G624" s="224"/>
      <c r="H624" s="224"/>
      <c r="I624" s="224"/>
      <c r="J624" s="224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</row>
    <row r="625" spans="1:26" ht="12.75" customHeight="1">
      <c r="A625" s="224"/>
      <c r="B625" s="226"/>
      <c r="C625" s="224"/>
      <c r="D625" s="224"/>
      <c r="E625" s="224"/>
      <c r="F625" s="224"/>
      <c r="G625" s="224"/>
      <c r="H625" s="224"/>
      <c r="I625" s="224"/>
      <c r="J625" s="224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</row>
    <row r="626" spans="1:26" ht="12.75" customHeight="1">
      <c r="A626" s="224"/>
      <c r="B626" s="226"/>
      <c r="C626" s="224"/>
      <c r="D626" s="224"/>
      <c r="E626" s="224"/>
      <c r="F626" s="224"/>
      <c r="G626" s="224"/>
      <c r="H626" s="224"/>
      <c r="I626" s="224"/>
      <c r="J626" s="224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</row>
    <row r="627" spans="1:26" ht="12.75" customHeight="1">
      <c r="A627" s="224"/>
      <c r="B627" s="226"/>
      <c r="C627" s="224"/>
      <c r="D627" s="224"/>
      <c r="E627" s="224"/>
      <c r="F627" s="224"/>
      <c r="G627" s="224"/>
      <c r="H627" s="224"/>
      <c r="I627" s="224"/>
      <c r="J627" s="224"/>
      <c r="K627" s="224"/>
      <c r="L627" s="224"/>
      <c r="M627" s="224"/>
      <c r="N627" s="224"/>
      <c r="O627" s="224"/>
      <c r="P627" s="224"/>
      <c r="Q627" s="224"/>
      <c r="R627" s="224"/>
      <c r="S627" s="224"/>
      <c r="T627" s="224"/>
      <c r="U627" s="224"/>
      <c r="V627" s="224"/>
      <c r="W627" s="224"/>
      <c r="X627" s="224"/>
      <c r="Y627" s="224"/>
      <c r="Z627" s="224"/>
    </row>
    <row r="628" spans="1:26" ht="12.75" customHeight="1">
      <c r="A628" s="224"/>
      <c r="B628" s="226"/>
      <c r="C628" s="224"/>
      <c r="D628" s="224"/>
      <c r="E628" s="224"/>
      <c r="F628" s="224"/>
      <c r="G628" s="224"/>
      <c r="H628" s="224"/>
      <c r="I628" s="224"/>
      <c r="J628" s="224"/>
      <c r="K628" s="224"/>
      <c r="L628" s="224"/>
      <c r="M628" s="224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4"/>
      <c r="Y628" s="224"/>
      <c r="Z628" s="224"/>
    </row>
    <row r="629" spans="1:26" ht="12.75" customHeight="1">
      <c r="A629" s="224"/>
      <c r="B629" s="226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224"/>
      <c r="T629" s="224"/>
      <c r="U629" s="224"/>
      <c r="V629" s="224"/>
      <c r="W629" s="224"/>
      <c r="X629" s="224"/>
      <c r="Y629" s="224"/>
      <c r="Z629" s="224"/>
    </row>
    <row r="630" spans="1:26" ht="12.75" customHeight="1">
      <c r="A630" s="224"/>
      <c r="B630" s="226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4"/>
      <c r="Y630" s="224"/>
      <c r="Z630" s="224"/>
    </row>
    <row r="631" spans="1:26" ht="12.75" customHeight="1">
      <c r="A631" s="224"/>
      <c r="B631" s="226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224"/>
      <c r="T631" s="224"/>
      <c r="U631" s="224"/>
      <c r="V631" s="224"/>
      <c r="W631" s="224"/>
      <c r="X631" s="224"/>
      <c r="Y631" s="224"/>
      <c r="Z631" s="224"/>
    </row>
    <row r="632" spans="1:26" ht="12.75" customHeight="1">
      <c r="A632" s="224"/>
      <c r="B632" s="226"/>
      <c r="C632" s="224"/>
      <c r="D632" s="224"/>
      <c r="E632" s="224"/>
      <c r="F632" s="224"/>
      <c r="G632" s="224"/>
      <c r="H632" s="224"/>
      <c r="I632" s="224"/>
      <c r="J632" s="224"/>
      <c r="K632" s="224"/>
      <c r="L632" s="224"/>
      <c r="M632" s="224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4"/>
      <c r="Y632" s="224"/>
      <c r="Z632" s="224"/>
    </row>
    <row r="633" spans="1:26" ht="12.75" customHeight="1">
      <c r="A633" s="224"/>
      <c r="B633" s="226"/>
      <c r="C633" s="224"/>
      <c r="D633" s="224"/>
      <c r="E633" s="224"/>
      <c r="F633" s="224"/>
      <c r="G633" s="224"/>
      <c r="H633" s="224"/>
      <c r="I633" s="224"/>
      <c r="J633" s="224"/>
      <c r="K633" s="224"/>
      <c r="L633" s="224"/>
      <c r="M633" s="224"/>
      <c r="N633" s="224"/>
      <c r="O633" s="224"/>
      <c r="P633" s="224"/>
      <c r="Q633" s="224"/>
      <c r="R633" s="224"/>
      <c r="S633" s="224"/>
      <c r="T633" s="224"/>
      <c r="U633" s="224"/>
      <c r="V633" s="224"/>
      <c r="W633" s="224"/>
      <c r="X633" s="224"/>
      <c r="Y633" s="224"/>
      <c r="Z633" s="224"/>
    </row>
    <row r="634" spans="1:26" ht="12.75" customHeight="1">
      <c r="A634" s="224"/>
      <c r="B634" s="226"/>
      <c r="C634" s="224"/>
      <c r="D634" s="224"/>
      <c r="E634" s="224"/>
      <c r="F634" s="224"/>
      <c r="G634" s="224"/>
      <c r="H634" s="224"/>
      <c r="I634" s="224"/>
      <c r="J634" s="224"/>
      <c r="K634" s="224"/>
      <c r="L634" s="224"/>
      <c r="M634" s="224"/>
      <c r="N634" s="224"/>
      <c r="O634" s="224"/>
      <c r="P634" s="224"/>
      <c r="Q634" s="224"/>
      <c r="R634" s="224"/>
      <c r="S634" s="224"/>
      <c r="T634" s="224"/>
      <c r="U634" s="224"/>
      <c r="V634" s="224"/>
      <c r="W634" s="224"/>
      <c r="X634" s="224"/>
      <c r="Y634" s="224"/>
      <c r="Z634" s="224"/>
    </row>
    <row r="635" spans="1:26" ht="12.75" customHeight="1">
      <c r="A635" s="224"/>
      <c r="B635" s="226"/>
      <c r="C635" s="224"/>
      <c r="D635" s="224"/>
      <c r="E635" s="224"/>
      <c r="F635" s="224"/>
      <c r="G635" s="224"/>
      <c r="H635" s="224"/>
      <c r="I635" s="224"/>
      <c r="J635" s="224"/>
      <c r="K635" s="224"/>
      <c r="L635" s="224"/>
      <c r="M635" s="224"/>
      <c r="N635" s="224"/>
      <c r="O635" s="224"/>
      <c r="P635" s="224"/>
      <c r="Q635" s="224"/>
      <c r="R635" s="224"/>
      <c r="S635" s="224"/>
      <c r="T635" s="224"/>
      <c r="U635" s="224"/>
      <c r="V635" s="224"/>
      <c r="W635" s="224"/>
      <c r="X635" s="224"/>
      <c r="Y635" s="224"/>
      <c r="Z635" s="224"/>
    </row>
    <row r="636" spans="1:26" ht="12.75" customHeight="1">
      <c r="A636" s="224"/>
      <c r="B636" s="226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4"/>
      <c r="Y636" s="224"/>
      <c r="Z636" s="224"/>
    </row>
    <row r="637" spans="1:26" ht="12.75" customHeight="1">
      <c r="A637" s="224"/>
      <c r="B637" s="226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24"/>
      <c r="S637" s="224"/>
      <c r="T637" s="224"/>
      <c r="U637" s="224"/>
      <c r="V637" s="224"/>
      <c r="W637" s="224"/>
      <c r="X637" s="224"/>
      <c r="Y637" s="224"/>
      <c r="Z637" s="224"/>
    </row>
    <row r="638" spans="1:26" ht="12.75" customHeight="1">
      <c r="A638" s="224"/>
      <c r="B638" s="226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</row>
    <row r="639" spans="1:26" ht="12.75" customHeight="1">
      <c r="A639" s="224"/>
      <c r="B639" s="226"/>
      <c r="C639" s="224"/>
      <c r="D639" s="224"/>
      <c r="E639" s="224"/>
      <c r="F639" s="224"/>
      <c r="G639" s="224"/>
      <c r="H639" s="224"/>
      <c r="I639" s="224"/>
      <c r="J639" s="224"/>
      <c r="K639" s="224"/>
      <c r="L639" s="224"/>
      <c r="M639" s="224"/>
      <c r="N639" s="224"/>
      <c r="O639" s="224"/>
      <c r="P639" s="224"/>
      <c r="Q639" s="224"/>
      <c r="R639" s="224"/>
      <c r="S639" s="224"/>
      <c r="T639" s="224"/>
      <c r="U639" s="224"/>
      <c r="V639" s="224"/>
      <c r="W639" s="224"/>
      <c r="X639" s="224"/>
      <c r="Y639" s="224"/>
      <c r="Z639" s="224"/>
    </row>
    <row r="640" spans="1:26" ht="12.75" customHeight="1">
      <c r="A640" s="224"/>
      <c r="B640" s="226"/>
      <c r="C640" s="224"/>
      <c r="D640" s="224"/>
      <c r="E640" s="224"/>
      <c r="F640" s="224"/>
      <c r="G640" s="224"/>
      <c r="H640" s="224"/>
      <c r="I640" s="224"/>
      <c r="J640" s="224"/>
      <c r="K640" s="224"/>
      <c r="L640" s="224"/>
      <c r="M640" s="224"/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4"/>
      <c r="Y640" s="224"/>
      <c r="Z640" s="224"/>
    </row>
    <row r="641" spans="1:26" ht="12.75" customHeight="1">
      <c r="A641" s="224"/>
      <c r="B641" s="226"/>
      <c r="C641" s="224"/>
      <c r="D641" s="224"/>
      <c r="E641" s="224"/>
      <c r="F641" s="224"/>
      <c r="G641" s="224"/>
      <c r="H641" s="224"/>
      <c r="I641" s="224"/>
      <c r="J641" s="224"/>
      <c r="K641" s="224"/>
      <c r="L641" s="224"/>
      <c r="M641" s="224"/>
      <c r="N641" s="224"/>
      <c r="O641" s="224"/>
      <c r="P641" s="224"/>
      <c r="Q641" s="224"/>
      <c r="R641" s="224"/>
      <c r="S641" s="224"/>
      <c r="T641" s="224"/>
      <c r="U641" s="224"/>
      <c r="V641" s="224"/>
      <c r="W641" s="224"/>
      <c r="X641" s="224"/>
      <c r="Y641" s="224"/>
      <c r="Z641" s="224"/>
    </row>
    <row r="642" spans="1:26" ht="12.75" customHeight="1">
      <c r="A642" s="224"/>
      <c r="B642" s="226"/>
      <c r="C642" s="224"/>
      <c r="D642" s="224"/>
      <c r="E642" s="224"/>
      <c r="F642" s="224"/>
      <c r="G642" s="224"/>
      <c r="H642" s="224"/>
      <c r="I642" s="224"/>
      <c r="J642" s="224"/>
      <c r="K642" s="224"/>
      <c r="L642" s="224"/>
      <c r="M642" s="224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4"/>
      <c r="Y642" s="224"/>
      <c r="Z642" s="224"/>
    </row>
    <row r="643" spans="1:26" ht="12.75" customHeight="1">
      <c r="A643" s="224"/>
      <c r="B643" s="226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</row>
    <row r="644" spans="1:26" ht="12.75" customHeight="1">
      <c r="A644" s="224"/>
      <c r="B644" s="226"/>
      <c r="C644" s="224"/>
      <c r="D644" s="224"/>
      <c r="E644" s="224"/>
      <c r="F644" s="224"/>
      <c r="G644" s="224"/>
      <c r="H644" s="224"/>
      <c r="I644" s="224"/>
      <c r="J644" s="224"/>
      <c r="K644" s="224"/>
      <c r="L644" s="224"/>
      <c r="M644" s="224"/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4"/>
      <c r="Y644" s="224"/>
      <c r="Z644" s="224"/>
    </row>
    <row r="645" spans="1:26" ht="12.75" customHeight="1">
      <c r="A645" s="224"/>
      <c r="B645" s="226"/>
      <c r="C645" s="224"/>
      <c r="D645" s="224"/>
      <c r="E645" s="224"/>
      <c r="F645" s="224"/>
      <c r="G645" s="224"/>
      <c r="H645" s="224"/>
      <c r="I645" s="224"/>
      <c r="J645" s="224"/>
      <c r="K645" s="224"/>
      <c r="L645" s="224"/>
      <c r="M645" s="224"/>
      <c r="N645" s="224"/>
      <c r="O645" s="224"/>
      <c r="P645" s="224"/>
      <c r="Q645" s="224"/>
      <c r="R645" s="224"/>
      <c r="S645" s="224"/>
      <c r="T645" s="224"/>
      <c r="U645" s="224"/>
      <c r="V645" s="224"/>
      <c r="W645" s="224"/>
      <c r="X645" s="224"/>
      <c r="Y645" s="224"/>
      <c r="Z645" s="224"/>
    </row>
    <row r="646" spans="1:26" ht="12.75" customHeight="1">
      <c r="A646" s="224"/>
      <c r="B646" s="226"/>
      <c r="C646" s="224"/>
      <c r="D646" s="224"/>
      <c r="E646" s="224"/>
      <c r="F646" s="224"/>
      <c r="G646" s="224"/>
      <c r="H646" s="224"/>
      <c r="I646" s="224"/>
      <c r="J646" s="224"/>
      <c r="K646" s="224"/>
      <c r="L646" s="224"/>
      <c r="M646" s="224"/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4"/>
      <c r="Y646" s="224"/>
      <c r="Z646" s="224"/>
    </row>
    <row r="647" spans="1:26" ht="12.75" customHeight="1">
      <c r="A647" s="224"/>
      <c r="B647" s="226"/>
      <c r="C647" s="224"/>
      <c r="D647" s="224"/>
      <c r="E647" s="224"/>
      <c r="F647" s="224"/>
      <c r="G647" s="224"/>
      <c r="H647" s="224"/>
      <c r="I647" s="224"/>
      <c r="J647" s="224"/>
      <c r="K647" s="224"/>
      <c r="L647" s="224"/>
      <c r="M647" s="224"/>
      <c r="N647" s="224"/>
      <c r="O647" s="224"/>
      <c r="P647" s="224"/>
      <c r="Q647" s="224"/>
      <c r="R647" s="224"/>
      <c r="S647" s="224"/>
      <c r="T647" s="224"/>
      <c r="U647" s="224"/>
      <c r="V647" s="224"/>
      <c r="W647" s="224"/>
      <c r="X647" s="224"/>
      <c r="Y647" s="224"/>
      <c r="Z647" s="224"/>
    </row>
    <row r="648" spans="1:26" ht="12.75" customHeight="1">
      <c r="A648" s="224"/>
      <c r="B648" s="226"/>
      <c r="C648" s="224"/>
      <c r="D648" s="224"/>
      <c r="E648" s="224"/>
      <c r="F648" s="224"/>
      <c r="G648" s="224"/>
      <c r="H648" s="224"/>
      <c r="I648" s="224"/>
      <c r="J648" s="224"/>
      <c r="K648" s="224"/>
      <c r="L648" s="224"/>
      <c r="M648" s="224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4"/>
      <c r="Y648" s="224"/>
      <c r="Z648" s="224"/>
    </row>
    <row r="649" spans="1:26" ht="12.75" customHeight="1">
      <c r="A649" s="224"/>
      <c r="B649" s="226"/>
      <c r="C649" s="224"/>
      <c r="D649" s="224"/>
      <c r="E649" s="224"/>
      <c r="F649" s="224"/>
      <c r="G649" s="224"/>
      <c r="H649" s="224"/>
      <c r="I649" s="224"/>
      <c r="J649" s="224"/>
      <c r="K649" s="224"/>
      <c r="L649" s="224"/>
      <c r="M649" s="224"/>
      <c r="N649" s="224"/>
      <c r="O649" s="224"/>
      <c r="P649" s="224"/>
      <c r="Q649" s="224"/>
      <c r="R649" s="224"/>
      <c r="S649" s="224"/>
      <c r="T649" s="224"/>
      <c r="U649" s="224"/>
      <c r="V649" s="224"/>
      <c r="W649" s="224"/>
      <c r="X649" s="224"/>
      <c r="Y649" s="224"/>
      <c r="Z649" s="224"/>
    </row>
    <row r="650" spans="1:26" ht="12.75" customHeight="1">
      <c r="A650" s="224"/>
      <c r="B650" s="226"/>
      <c r="C650" s="224"/>
      <c r="D650" s="224"/>
      <c r="E650" s="224"/>
      <c r="F650" s="224"/>
      <c r="G650" s="224"/>
      <c r="H650" s="224"/>
      <c r="I650" s="224"/>
      <c r="J650" s="224"/>
      <c r="K650" s="224"/>
      <c r="L650" s="224"/>
      <c r="M650" s="224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4"/>
      <c r="Y650" s="224"/>
      <c r="Z650" s="224"/>
    </row>
    <row r="651" spans="1:26" ht="12.75" customHeight="1">
      <c r="A651" s="224"/>
      <c r="B651" s="226"/>
      <c r="C651" s="224"/>
      <c r="D651" s="224"/>
      <c r="E651" s="224"/>
      <c r="F651" s="224"/>
      <c r="G651" s="224"/>
      <c r="H651" s="224"/>
      <c r="I651" s="224"/>
      <c r="J651" s="224"/>
      <c r="K651" s="224"/>
      <c r="L651" s="224"/>
      <c r="M651" s="224"/>
      <c r="N651" s="224"/>
      <c r="O651" s="224"/>
      <c r="P651" s="224"/>
      <c r="Q651" s="224"/>
      <c r="R651" s="224"/>
      <c r="S651" s="224"/>
      <c r="T651" s="224"/>
      <c r="U651" s="224"/>
      <c r="V651" s="224"/>
      <c r="W651" s="224"/>
      <c r="X651" s="224"/>
      <c r="Y651" s="224"/>
      <c r="Z651" s="224"/>
    </row>
    <row r="652" spans="1:26" ht="12.75" customHeight="1">
      <c r="A652" s="224"/>
      <c r="B652" s="226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</row>
    <row r="653" spans="1:26" ht="12.75" customHeight="1">
      <c r="A653" s="224"/>
      <c r="B653" s="226"/>
      <c r="C653" s="224"/>
      <c r="D653" s="224"/>
      <c r="E653" s="224"/>
      <c r="F653" s="224"/>
      <c r="G653" s="224"/>
      <c r="H653" s="224"/>
      <c r="I653" s="224"/>
      <c r="J653" s="224"/>
      <c r="K653" s="224"/>
      <c r="L653" s="224"/>
      <c r="M653" s="224"/>
      <c r="N653" s="224"/>
      <c r="O653" s="224"/>
      <c r="P653" s="224"/>
      <c r="Q653" s="224"/>
      <c r="R653" s="224"/>
      <c r="S653" s="224"/>
      <c r="T653" s="224"/>
      <c r="U653" s="224"/>
      <c r="V653" s="224"/>
      <c r="W653" s="224"/>
      <c r="X653" s="224"/>
      <c r="Y653" s="224"/>
      <c r="Z653" s="224"/>
    </row>
    <row r="654" spans="1:26" ht="12.75" customHeight="1">
      <c r="A654" s="224"/>
      <c r="B654" s="226"/>
      <c r="C654" s="224"/>
      <c r="D654" s="224"/>
      <c r="E654" s="224"/>
      <c r="F654" s="224"/>
      <c r="G654" s="224"/>
      <c r="H654" s="224"/>
      <c r="I654" s="224"/>
      <c r="J654" s="224"/>
      <c r="K654" s="224"/>
      <c r="L654" s="224"/>
      <c r="M654" s="224"/>
      <c r="N654" s="224"/>
      <c r="O654" s="224"/>
      <c r="P654" s="224"/>
      <c r="Q654" s="224"/>
      <c r="R654" s="224"/>
      <c r="S654" s="224"/>
      <c r="T654" s="224"/>
      <c r="U654" s="224"/>
      <c r="V654" s="224"/>
      <c r="W654" s="224"/>
      <c r="X654" s="224"/>
      <c r="Y654" s="224"/>
      <c r="Z654" s="224"/>
    </row>
    <row r="655" spans="1:26" ht="12.75" customHeight="1">
      <c r="A655" s="224"/>
      <c r="B655" s="226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224"/>
      <c r="T655" s="224"/>
      <c r="U655" s="224"/>
      <c r="V655" s="224"/>
      <c r="W655" s="224"/>
      <c r="X655" s="224"/>
      <c r="Y655" s="224"/>
      <c r="Z655" s="224"/>
    </row>
    <row r="656" spans="1:26" ht="12.75" customHeight="1">
      <c r="A656" s="224"/>
      <c r="B656" s="226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4"/>
      <c r="Y656" s="224"/>
      <c r="Z656" s="224"/>
    </row>
    <row r="657" spans="1:26" ht="12.75" customHeight="1">
      <c r="A657" s="224"/>
      <c r="B657" s="226"/>
      <c r="C657" s="224"/>
      <c r="D657" s="224"/>
      <c r="E657" s="224"/>
      <c r="F657" s="224"/>
      <c r="G657" s="224"/>
      <c r="H657" s="224"/>
      <c r="I657" s="224"/>
      <c r="J657" s="224"/>
      <c r="K657" s="224"/>
      <c r="L657" s="224"/>
      <c r="M657" s="224"/>
      <c r="N657" s="224"/>
      <c r="O657" s="224"/>
      <c r="P657" s="224"/>
      <c r="Q657" s="224"/>
      <c r="R657" s="224"/>
      <c r="S657" s="224"/>
      <c r="T657" s="224"/>
      <c r="U657" s="224"/>
      <c r="V657" s="224"/>
      <c r="W657" s="224"/>
      <c r="X657" s="224"/>
      <c r="Y657" s="224"/>
      <c r="Z657" s="224"/>
    </row>
    <row r="658" spans="1:26" ht="12.75" customHeight="1">
      <c r="A658" s="224"/>
      <c r="B658" s="226"/>
      <c r="C658" s="224"/>
      <c r="D658" s="224"/>
      <c r="E658" s="224"/>
      <c r="F658" s="224"/>
      <c r="G658" s="224"/>
      <c r="H658" s="224"/>
      <c r="I658" s="224"/>
      <c r="J658" s="224"/>
      <c r="K658" s="224"/>
      <c r="L658" s="224"/>
      <c r="M658" s="224"/>
      <c r="N658" s="224"/>
      <c r="O658" s="224"/>
      <c r="P658" s="224"/>
      <c r="Q658" s="224"/>
      <c r="R658" s="224"/>
      <c r="S658" s="224"/>
      <c r="T658" s="224"/>
      <c r="U658" s="224"/>
      <c r="V658" s="224"/>
      <c r="W658" s="224"/>
      <c r="X658" s="224"/>
      <c r="Y658" s="224"/>
      <c r="Z658" s="224"/>
    </row>
    <row r="659" spans="1:26" ht="12.75" customHeight="1">
      <c r="A659" s="224"/>
      <c r="B659" s="226"/>
      <c r="C659" s="224"/>
      <c r="D659" s="224"/>
      <c r="E659" s="224"/>
      <c r="F659" s="224"/>
      <c r="G659" s="224"/>
      <c r="H659" s="224"/>
      <c r="I659" s="224"/>
      <c r="J659" s="224"/>
      <c r="K659" s="224"/>
      <c r="L659" s="224"/>
      <c r="M659" s="224"/>
      <c r="N659" s="224"/>
      <c r="O659" s="224"/>
      <c r="P659" s="224"/>
      <c r="Q659" s="224"/>
      <c r="R659" s="224"/>
      <c r="S659" s="224"/>
      <c r="T659" s="224"/>
      <c r="U659" s="224"/>
      <c r="V659" s="224"/>
      <c r="W659" s="224"/>
      <c r="X659" s="224"/>
      <c r="Y659" s="224"/>
      <c r="Z659" s="224"/>
    </row>
    <row r="660" spans="1:26" ht="12.75" customHeight="1">
      <c r="A660" s="224"/>
      <c r="B660" s="226"/>
      <c r="C660" s="224"/>
      <c r="D660" s="224"/>
      <c r="E660" s="224"/>
      <c r="F660" s="224"/>
      <c r="G660" s="224"/>
      <c r="H660" s="224"/>
      <c r="I660" s="224"/>
      <c r="J660" s="224"/>
      <c r="K660" s="224"/>
      <c r="L660" s="224"/>
      <c r="M660" s="224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4"/>
      <c r="Y660" s="224"/>
      <c r="Z660" s="224"/>
    </row>
    <row r="661" spans="1:26" ht="12.75" customHeight="1">
      <c r="A661" s="224"/>
      <c r="B661" s="226"/>
      <c r="C661" s="224"/>
      <c r="D661" s="224"/>
      <c r="E661" s="224"/>
      <c r="F661" s="224"/>
      <c r="G661" s="224"/>
      <c r="H661" s="224"/>
      <c r="I661" s="224"/>
      <c r="J661" s="224"/>
      <c r="K661" s="224"/>
      <c r="L661" s="224"/>
      <c r="M661" s="224"/>
      <c r="N661" s="224"/>
      <c r="O661" s="224"/>
      <c r="P661" s="224"/>
      <c r="Q661" s="224"/>
      <c r="R661" s="224"/>
      <c r="S661" s="224"/>
      <c r="T661" s="224"/>
      <c r="U661" s="224"/>
      <c r="V661" s="224"/>
      <c r="W661" s="224"/>
      <c r="X661" s="224"/>
      <c r="Y661" s="224"/>
      <c r="Z661" s="224"/>
    </row>
    <row r="662" spans="1:26" ht="12.75" customHeight="1">
      <c r="A662" s="224"/>
      <c r="B662" s="226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4"/>
      <c r="Y662" s="224"/>
      <c r="Z662" s="224"/>
    </row>
    <row r="663" spans="1:26" ht="12.75" customHeight="1">
      <c r="A663" s="224"/>
      <c r="B663" s="226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</row>
    <row r="664" spans="1:26" ht="12.75" customHeight="1">
      <c r="A664" s="224"/>
      <c r="B664" s="226"/>
      <c r="C664" s="224"/>
      <c r="D664" s="224"/>
      <c r="E664" s="224"/>
      <c r="F664" s="224"/>
      <c r="G664" s="224"/>
      <c r="H664" s="224"/>
      <c r="I664" s="224"/>
      <c r="J664" s="224"/>
      <c r="K664" s="224"/>
      <c r="L664" s="224"/>
      <c r="M664" s="224"/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4"/>
      <c r="Y664" s="224"/>
      <c r="Z664" s="224"/>
    </row>
    <row r="665" spans="1:26" ht="12.75" customHeight="1">
      <c r="A665" s="224"/>
      <c r="B665" s="226"/>
      <c r="C665" s="224"/>
      <c r="D665" s="224"/>
      <c r="E665" s="224"/>
      <c r="F665" s="224"/>
      <c r="G665" s="224"/>
      <c r="H665" s="224"/>
      <c r="I665" s="224"/>
      <c r="J665" s="224"/>
      <c r="K665" s="224"/>
      <c r="L665" s="224"/>
      <c r="M665" s="224"/>
      <c r="N665" s="224"/>
      <c r="O665" s="224"/>
      <c r="P665" s="224"/>
      <c r="Q665" s="224"/>
      <c r="R665" s="224"/>
      <c r="S665" s="224"/>
      <c r="T665" s="224"/>
      <c r="U665" s="224"/>
      <c r="V665" s="224"/>
      <c r="W665" s="224"/>
      <c r="X665" s="224"/>
      <c r="Y665" s="224"/>
      <c r="Z665" s="224"/>
    </row>
    <row r="666" spans="1:26" ht="12.75" customHeight="1">
      <c r="A666" s="224"/>
      <c r="B666" s="226"/>
      <c r="C666" s="224"/>
      <c r="D666" s="224"/>
      <c r="E666" s="224"/>
      <c r="F666" s="224"/>
      <c r="G666" s="224"/>
      <c r="H666" s="224"/>
      <c r="I666" s="224"/>
      <c r="J666" s="224"/>
      <c r="K666" s="224"/>
      <c r="L666" s="224"/>
      <c r="M666" s="224"/>
      <c r="N666" s="224"/>
      <c r="O666" s="224"/>
      <c r="P666" s="224"/>
      <c r="Q666" s="224"/>
      <c r="R666" s="224"/>
      <c r="S666" s="224"/>
      <c r="T666" s="224"/>
      <c r="U666" s="224"/>
      <c r="V666" s="224"/>
      <c r="W666" s="224"/>
      <c r="X666" s="224"/>
      <c r="Y666" s="224"/>
      <c r="Z666" s="224"/>
    </row>
    <row r="667" spans="1:26" ht="12.75" customHeight="1">
      <c r="A667" s="224"/>
      <c r="B667" s="226"/>
      <c r="C667" s="224"/>
      <c r="D667" s="224"/>
      <c r="E667" s="224"/>
      <c r="F667" s="224"/>
      <c r="G667" s="224"/>
      <c r="H667" s="224"/>
      <c r="I667" s="224"/>
      <c r="J667" s="224"/>
      <c r="K667" s="224"/>
      <c r="L667" s="224"/>
      <c r="M667" s="224"/>
      <c r="N667" s="224"/>
      <c r="O667" s="224"/>
      <c r="P667" s="224"/>
      <c r="Q667" s="224"/>
      <c r="R667" s="224"/>
      <c r="S667" s="224"/>
      <c r="T667" s="224"/>
      <c r="U667" s="224"/>
      <c r="V667" s="224"/>
      <c r="W667" s="224"/>
      <c r="X667" s="224"/>
      <c r="Y667" s="224"/>
      <c r="Z667" s="224"/>
    </row>
    <row r="668" spans="1:26" ht="12.75" customHeight="1">
      <c r="A668" s="224"/>
      <c r="B668" s="226"/>
      <c r="C668" s="224"/>
      <c r="D668" s="224"/>
      <c r="E668" s="224"/>
      <c r="F668" s="224"/>
      <c r="G668" s="224"/>
      <c r="H668" s="224"/>
      <c r="I668" s="224"/>
      <c r="J668" s="224"/>
      <c r="K668" s="224"/>
      <c r="L668" s="224"/>
      <c r="M668" s="224"/>
      <c r="N668" s="224"/>
      <c r="O668" s="224"/>
      <c r="P668" s="224"/>
      <c r="Q668" s="224"/>
      <c r="R668" s="224"/>
      <c r="S668" s="224"/>
      <c r="T668" s="224"/>
      <c r="U668" s="224"/>
      <c r="V668" s="224"/>
      <c r="W668" s="224"/>
      <c r="X668" s="224"/>
      <c r="Y668" s="224"/>
      <c r="Z668" s="224"/>
    </row>
    <row r="669" spans="1:26" ht="12.75" customHeight="1">
      <c r="A669" s="224"/>
      <c r="B669" s="226"/>
      <c r="C669" s="224"/>
      <c r="D669" s="224"/>
      <c r="E669" s="224"/>
      <c r="F669" s="224"/>
      <c r="G669" s="224"/>
      <c r="H669" s="224"/>
      <c r="I669" s="224"/>
      <c r="J669" s="224"/>
      <c r="K669" s="224"/>
      <c r="L669" s="224"/>
      <c r="M669" s="224"/>
      <c r="N669" s="224"/>
      <c r="O669" s="224"/>
      <c r="P669" s="224"/>
      <c r="Q669" s="224"/>
      <c r="R669" s="224"/>
      <c r="S669" s="224"/>
      <c r="T669" s="224"/>
      <c r="U669" s="224"/>
      <c r="V669" s="224"/>
      <c r="W669" s="224"/>
      <c r="X669" s="224"/>
      <c r="Y669" s="224"/>
      <c r="Z669" s="224"/>
    </row>
    <row r="670" spans="1:26" ht="12.75" customHeight="1">
      <c r="A670" s="224"/>
      <c r="B670" s="226"/>
      <c r="C670" s="224"/>
      <c r="D670" s="224"/>
      <c r="E670" s="224"/>
      <c r="F670" s="224"/>
      <c r="G670" s="224"/>
      <c r="H670" s="224"/>
      <c r="I670" s="224"/>
      <c r="J670" s="224"/>
      <c r="K670" s="224"/>
      <c r="L670" s="224"/>
      <c r="M670" s="224"/>
      <c r="N670" s="224"/>
      <c r="O670" s="224"/>
      <c r="P670" s="224"/>
      <c r="Q670" s="224"/>
      <c r="R670" s="224"/>
      <c r="S670" s="224"/>
      <c r="T670" s="224"/>
      <c r="U670" s="224"/>
      <c r="V670" s="224"/>
      <c r="W670" s="224"/>
      <c r="X670" s="224"/>
      <c r="Y670" s="224"/>
      <c r="Z670" s="224"/>
    </row>
    <row r="671" spans="1:26" ht="12.75" customHeight="1">
      <c r="A671" s="224"/>
      <c r="B671" s="226"/>
      <c r="C671" s="224"/>
      <c r="D671" s="224"/>
      <c r="E671" s="224"/>
      <c r="F671" s="224"/>
      <c r="G671" s="224"/>
      <c r="H671" s="224"/>
      <c r="I671" s="224"/>
      <c r="J671" s="224"/>
      <c r="K671" s="224"/>
      <c r="L671" s="224"/>
      <c r="M671" s="224"/>
      <c r="N671" s="224"/>
      <c r="O671" s="224"/>
      <c r="P671" s="224"/>
      <c r="Q671" s="224"/>
      <c r="R671" s="224"/>
      <c r="S671" s="224"/>
      <c r="T671" s="224"/>
      <c r="U671" s="224"/>
      <c r="V671" s="224"/>
      <c r="W671" s="224"/>
      <c r="X671" s="224"/>
      <c r="Y671" s="224"/>
      <c r="Z671" s="224"/>
    </row>
    <row r="672" spans="1:26" ht="12.75" customHeight="1">
      <c r="A672" s="224"/>
      <c r="B672" s="226"/>
      <c r="C672" s="224"/>
      <c r="D672" s="224"/>
      <c r="E672" s="224"/>
      <c r="F672" s="224"/>
      <c r="G672" s="224"/>
      <c r="H672" s="224"/>
      <c r="I672" s="224"/>
      <c r="J672" s="224"/>
      <c r="K672" s="224"/>
      <c r="L672" s="224"/>
      <c r="M672" s="224"/>
      <c r="N672" s="224"/>
      <c r="O672" s="224"/>
      <c r="P672" s="224"/>
      <c r="Q672" s="224"/>
      <c r="R672" s="224"/>
      <c r="S672" s="224"/>
      <c r="T672" s="224"/>
      <c r="U672" s="224"/>
      <c r="V672" s="224"/>
      <c r="W672" s="224"/>
      <c r="X672" s="224"/>
      <c r="Y672" s="224"/>
      <c r="Z672" s="224"/>
    </row>
    <row r="673" spans="1:26" ht="12.75" customHeight="1">
      <c r="A673" s="224"/>
      <c r="B673" s="226"/>
      <c r="C673" s="224"/>
      <c r="D673" s="224"/>
      <c r="E673" s="224"/>
      <c r="F673" s="224"/>
      <c r="G673" s="224"/>
      <c r="H673" s="224"/>
      <c r="I673" s="224"/>
      <c r="J673" s="224"/>
      <c r="K673" s="224"/>
      <c r="L673" s="224"/>
      <c r="M673" s="224"/>
      <c r="N673" s="224"/>
      <c r="O673" s="224"/>
      <c r="P673" s="224"/>
      <c r="Q673" s="224"/>
      <c r="R673" s="224"/>
      <c r="S673" s="224"/>
      <c r="T673" s="224"/>
      <c r="U673" s="224"/>
      <c r="V673" s="224"/>
      <c r="W673" s="224"/>
      <c r="X673" s="224"/>
      <c r="Y673" s="224"/>
      <c r="Z673" s="224"/>
    </row>
    <row r="674" spans="1:26" ht="12.75" customHeight="1">
      <c r="A674" s="224"/>
      <c r="B674" s="226"/>
      <c r="C674" s="224"/>
      <c r="D674" s="224"/>
      <c r="E674" s="224"/>
      <c r="F674" s="224"/>
      <c r="G674" s="224"/>
      <c r="H674" s="224"/>
      <c r="I674" s="224"/>
      <c r="J674" s="224"/>
      <c r="K674" s="224"/>
      <c r="L674" s="224"/>
      <c r="M674" s="224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4"/>
      <c r="Y674" s="224"/>
      <c r="Z674" s="224"/>
    </row>
    <row r="675" spans="1:26" ht="12.75" customHeight="1">
      <c r="A675" s="224"/>
      <c r="B675" s="226"/>
      <c r="C675" s="224"/>
      <c r="D675" s="224"/>
      <c r="E675" s="224"/>
      <c r="F675" s="224"/>
      <c r="G675" s="224"/>
      <c r="H675" s="224"/>
      <c r="I675" s="224"/>
      <c r="J675" s="224"/>
      <c r="K675" s="224"/>
      <c r="L675" s="224"/>
      <c r="M675" s="224"/>
      <c r="N675" s="224"/>
      <c r="O675" s="224"/>
      <c r="P675" s="224"/>
      <c r="Q675" s="224"/>
      <c r="R675" s="224"/>
      <c r="S675" s="224"/>
      <c r="T675" s="224"/>
      <c r="U675" s="224"/>
      <c r="V675" s="224"/>
      <c r="W675" s="224"/>
      <c r="X675" s="224"/>
      <c r="Y675" s="224"/>
      <c r="Z675" s="224"/>
    </row>
    <row r="676" spans="1:26" ht="12.75" customHeight="1">
      <c r="A676" s="224"/>
      <c r="B676" s="226"/>
      <c r="C676" s="224"/>
      <c r="D676" s="224"/>
      <c r="E676" s="224"/>
      <c r="F676" s="224"/>
      <c r="G676" s="224"/>
      <c r="H676" s="224"/>
      <c r="I676" s="224"/>
      <c r="J676" s="224"/>
      <c r="K676" s="224"/>
      <c r="L676" s="224"/>
      <c r="M676" s="224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4"/>
      <c r="Y676" s="224"/>
      <c r="Z676" s="224"/>
    </row>
    <row r="677" spans="1:26" ht="12.75" customHeight="1">
      <c r="A677" s="224"/>
      <c r="B677" s="226"/>
      <c r="C677" s="224"/>
      <c r="D677" s="224"/>
      <c r="E677" s="224"/>
      <c r="F677" s="224"/>
      <c r="G677" s="224"/>
      <c r="H677" s="224"/>
      <c r="I677" s="224"/>
      <c r="J677" s="224"/>
      <c r="K677" s="224"/>
      <c r="L677" s="224"/>
      <c r="M677" s="224"/>
      <c r="N677" s="224"/>
      <c r="O677" s="224"/>
      <c r="P677" s="224"/>
      <c r="Q677" s="224"/>
      <c r="R677" s="224"/>
      <c r="S677" s="224"/>
      <c r="T677" s="224"/>
      <c r="U677" s="224"/>
      <c r="V677" s="224"/>
      <c r="W677" s="224"/>
      <c r="X677" s="224"/>
      <c r="Y677" s="224"/>
      <c r="Z677" s="224"/>
    </row>
    <row r="678" spans="1:26" ht="12.75" customHeight="1">
      <c r="A678" s="224"/>
      <c r="B678" s="226"/>
      <c r="C678" s="224"/>
      <c r="D678" s="224"/>
      <c r="E678" s="224"/>
      <c r="F678" s="224"/>
      <c r="G678" s="224"/>
      <c r="H678" s="224"/>
      <c r="I678" s="224"/>
      <c r="J678" s="224"/>
      <c r="K678" s="224"/>
      <c r="L678" s="224"/>
      <c r="M678" s="224"/>
      <c r="N678" s="224"/>
      <c r="O678" s="224"/>
      <c r="P678" s="224"/>
      <c r="Q678" s="224"/>
      <c r="R678" s="224"/>
      <c r="S678" s="224"/>
      <c r="T678" s="224"/>
      <c r="U678" s="224"/>
      <c r="V678" s="224"/>
      <c r="W678" s="224"/>
      <c r="X678" s="224"/>
      <c r="Y678" s="224"/>
      <c r="Z678" s="224"/>
    </row>
    <row r="679" spans="1:26" ht="12.75" customHeight="1">
      <c r="A679" s="224"/>
      <c r="B679" s="226"/>
      <c r="C679" s="224"/>
      <c r="D679" s="224"/>
      <c r="E679" s="224"/>
      <c r="F679" s="224"/>
      <c r="G679" s="224"/>
      <c r="H679" s="224"/>
      <c r="I679" s="224"/>
      <c r="J679" s="224"/>
      <c r="K679" s="224"/>
      <c r="L679" s="224"/>
      <c r="M679" s="224"/>
      <c r="N679" s="224"/>
      <c r="O679" s="224"/>
      <c r="P679" s="224"/>
      <c r="Q679" s="224"/>
      <c r="R679" s="224"/>
      <c r="S679" s="224"/>
      <c r="T679" s="224"/>
      <c r="U679" s="224"/>
      <c r="V679" s="224"/>
      <c r="W679" s="224"/>
      <c r="X679" s="224"/>
      <c r="Y679" s="224"/>
      <c r="Z679" s="224"/>
    </row>
    <row r="680" spans="1:26" ht="12.75" customHeight="1">
      <c r="A680" s="224"/>
      <c r="B680" s="226"/>
      <c r="C680" s="224"/>
      <c r="D680" s="224"/>
      <c r="E680" s="224"/>
      <c r="F680" s="224"/>
      <c r="G680" s="224"/>
      <c r="H680" s="224"/>
      <c r="I680" s="224"/>
      <c r="J680" s="224"/>
      <c r="K680" s="224"/>
      <c r="L680" s="224"/>
      <c r="M680" s="224"/>
      <c r="N680" s="224"/>
      <c r="O680" s="224"/>
      <c r="P680" s="224"/>
      <c r="Q680" s="224"/>
      <c r="R680" s="224"/>
      <c r="S680" s="224"/>
      <c r="T680" s="224"/>
      <c r="U680" s="224"/>
      <c r="V680" s="224"/>
      <c r="W680" s="224"/>
      <c r="X680" s="224"/>
      <c r="Y680" s="224"/>
      <c r="Z680" s="224"/>
    </row>
    <row r="681" spans="1:26" ht="12.75" customHeight="1">
      <c r="A681" s="224"/>
      <c r="B681" s="226"/>
      <c r="C681" s="224"/>
      <c r="D681" s="224"/>
      <c r="E681" s="224"/>
      <c r="F681" s="224"/>
      <c r="G681" s="224"/>
      <c r="H681" s="224"/>
      <c r="I681" s="224"/>
      <c r="J681" s="224"/>
      <c r="K681" s="224"/>
      <c r="L681" s="224"/>
      <c r="M681" s="224"/>
      <c r="N681" s="224"/>
      <c r="O681" s="224"/>
      <c r="P681" s="224"/>
      <c r="Q681" s="224"/>
      <c r="R681" s="224"/>
      <c r="S681" s="224"/>
      <c r="T681" s="224"/>
      <c r="U681" s="224"/>
      <c r="V681" s="224"/>
      <c r="W681" s="224"/>
      <c r="X681" s="224"/>
      <c r="Y681" s="224"/>
      <c r="Z681" s="224"/>
    </row>
    <row r="682" spans="1:26" ht="12.75" customHeight="1">
      <c r="A682" s="224"/>
      <c r="B682" s="226"/>
      <c r="C682" s="224"/>
      <c r="D682" s="224"/>
      <c r="E682" s="224"/>
      <c r="F682" s="224"/>
      <c r="G682" s="224"/>
      <c r="H682" s="224"/>
      <c r="I682" s="224"/>
      <c r="J682" s="224"/>
      <c r="K682" s="224"/>
      <c r="L682" s="224"/>
      <c r="M682" s="224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4"/>
      <c r="Y682" s="224"/>
      <c r="Z682" s="224"/>
    </row>
    <row r="683" spans="1:26" ht="12.75" customHeight="1">
      <c r="A683" s="224"/>
      <c r="B683" s="226"/>
      <c r="C683" s="224"/>
      <c r="D683" s="224"/>
      <c r="E683" s="224"/>
      <c r="F683" s="224"/>
      <c r="G683" s="224"/>
      <c r="H683" s="224"/>
      <c r="I683" s="224"/>
      <c r="J683" s="224"/>
      <c r="K683" s="224"/>
      <c r="L683" s="224"/>
      <c r="M683" s="224"/>
      <c r="N683" s="224"/>
      <c r="O683" s="224"/>
      <c r="P683" s="224"/>
      <c r="Q683" s="224"/>
      <c r="R683" s="224"/>
      <c r="S683" s="224"/>
      <c r="T683" s="224"/>
      <c r="U683" s="224"/>
      <c r="V683" s="224"/>
      <c r="W683" s="224"/>
      <c r="X683" s="224"/>
      <c r="Y683" s="224"/>
      <c r="Z683" s="224"/>
    </row>
    <row r="684" spans="1:26" ht="12.75" customHeight="1">
      <c r="A684" s="224"/>
      <c r="B684" s="226"/>
      <c r="C684" s="224"/>
      <c r="D684" s="224"/>
      <c r="E684" s="224"/>
      <c r="F684" s="224"/>
      <c r="G684" s="224"/>
      <c r="H684" s="224"/>
      <c r="I684" s="224"/>
      <c r="J684" s="224"/>
      <c r="K684" s="224"/>
      <c r="L684" s="224"/>
      <c r="M684" s="224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4"/>
      <c r="Y684" s="224"/>
      <c r="Z684" s="224"/>
    </row>
    <row r="685" spans="1:26" ht="12.75" customHeight="1">
      <c r="A685" s="224"/>
      <c r="B685" s="226"/>
      <c r="C685" s="224"/>
      <c r="D685" s="224"/>
      <c r="E685" s="224"/>
      <c r="F685" s="224"/>
      <c r="G685" s="224"/>
      <c r="H685" s="224"/>
      <c r="I685" s="224"/>
      <c r="J685" s="224"/>
      <c r="K685" s="224"/>
      <c r="L685" s="224"/>
      <c r="M685" s="224"/>
      <c r="N685" s="224"/>
      <c r="O685" s="224"/>
      <c r="P685" s="224"/>
      <c r="Q685" s="224"/>
      <c r="R685" s="224"/>
      <c r="S685" s="224"/>
      <c r="T685" s="224"/>
      <c r="U685" s="224"/>
      <c r="V685" s="224"/>
      <c r="W685" s="224"/>
      <c r="X685" s="224"/>
      <c r="Y685" s="224"/>
      <c r="Z685" s="224"/>
    </row>
    <row r="686" spans="1:26" ht="12.75" customHeight="1">
      <c r="A686" s="224"/>
      <c r="B686" s="226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4"/>
      <c r="Y686" s="224"/>
      <c r="Z686" s="224"/>
    </row>
    <row r="687" spans="1:26" ht="12.75" customHeight="1">
      <c r="A687" s="224"/>
      <c r="B687" s="226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24"/>
      <c r="P687" s="224"/>
      <c r="Q687" s="224"/>
      <c r="R687" s="224"/>
      <c r="S687" s="224"/>
      <c r="T687" s="224"/>
      <c r="U687" s="224"/>
      <c r="V687" s="224"/>
      <c r="W687" s="224"/>
      <c r="X687" s="224"/>
      <c r="Y687" s="224"/>
      <c r="Z687" s="224"/>
    </row>
    <row r="688" spans="1:26" ht="12.75" customHeight="1">
      <c r="A688" s="224"/>
      <c r="B688" s="226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24"/>
      <c r="P688" s="224"/>
      <c r="Q688" s="224"/>
      <c r="R688" s="224"/>
      <c r="S688" s="224"/>
      <c r="T688" s="224"/>
      <c r="U688" s="224"/>
      <c r="V688" s="224"/>
      <c r="W688" s="224"/>
      <c r="X688" s="224"/>
      <c r="Y688" s="224"/>
      <c r="Z688" s="224"/>
    </row>
    <row r="689" spans="1:26" ht="12.75" customHeight="1">
      <c r="A689" s="224"/>
      <c r="B689" s="226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24"/>
      <c r="P689" s="224"/>
      <c r="Q689" s="224"/>
      <c r="R689" s="224"/>
      <c r="S689" s="224"/>
      <c r="T689" s="224"/>
      <c r="U689" s="224"/>
      <c r="V689" s="224"/>
      <c r="W689" s="224"/>
      <c r="X689" s="224"/>
      <c r="Y689" s="224"/>
      <c r="Z689" s="224"/>
    </row>
    <row r="690" spans="1:26" ht="12.75" customHeight="1">
      <c r="A690" s="224"/>
      <c r="B690" s="226"/>
      <c r="C690" s="224"/>
      <c r="D690" s="224"/>
      <c r="E690" s="224"/>
      <c r="F690" s="224"/>
      <c r="G690" s="224"/>
      <c r="H690" s="224"/>
      <c r="I690" s="224"/>
      <c r="J690" s="224"/>
      <c r="K690" s="224"/>
      <c r="L690" s="224"/>
      <c r="M690" s="224"/>
      <c r="N690" s="224"/>
      <c r="O690" s="224"/>
      <c r="P690" s="224"/>
      <c r="Q690" s="224"/>
      <c r="R690" s="224"/>
      <c r="S690" s="224"/>
      <c r="T690" s="224"/>
      <c r="U690" s="224"/>
      <c r="V690" s="224"/>
      <c r="W690" s="224"/>
      <c r="X690" s="224"/>
      <c r="Y690" s="224"/>
      <c r="Z690" s="224"/>
    </row>
    <row r="691" spans="1:26" ht="12.75" customHeight="1">
      <c r="A691" s="224"/>
      <c r="B691" s="226"/>
      <c r="C691" s="224"/>
      <c r="D691" s="224"/>
      <c r="E691" s="224"/>
      <c r="F691" s="224"/>
      <c r="G691" s="224"/>
      <c r="H691" s="224"/>
      <c r="I691" s="224"/>
      <c r="J691" s="224"/>
      <c r="K691" s="224"/>
      <c r="L691" s="224"/>
      <c r="M691" s="224"/>
      <c r="N691" s="224"/>
      <c r="O691" s="224"/>
      <c r="P691" s="224"/>
      <c r="Q691" s="224"/>
      <c r="R691" s="224"/>
      <c r="S691" s="224"/>
      <c r="T691" s="224"/>
      <c r="U691" s="224"/>
      <c r="V691" s="224"/>
      <c r="W691" s="224"/>
      <c r="X691" s="224"/>
      <c r="Y691" s="224"/>
      <c r="Z691" s="224"/>
    </row>
    <row r="692" spans="1:26" ht="12.75" customHeight="1">
      <c r="A692" s="224"/>
      <c r="B692" s="226"/>
      <c r="C692" s="224"/>
      <c r="D692" s="224"/>
      <c r="E692" s="224"/>
      <c r="F692" s="224"/>
      <c r="G692" s="224"/>
      <c r="H692" s="224"/>
      <c r="I692" s="224"/>
      <c r="J692" s="224"/>
      <c r="K692" s="224"/>
      <c r="L692" s="224"/>
      <c r="M692" s="224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4"/>
      <c r="Y692" s="224"/>
      <c r="Z692" s="224"/>
    </row>
    <row r="693" spans="1:26" ht="12.75" customHeight="1">
      <c r="A693" s="224"/>
      <c r="B693" s="226"/>
      <c r="C693" s="224"/>
      <c r="D693" s="224"/>
      <c r="E693" s="224"/>
      <c r="F693" s="224"/>
      <c r="G693" s="224"/>
      <c r="H693" s="224"/>
      <c r="I693" s="224"/>
      <c r="J693" s="224"/>
      <c r="K693" s="224"/>
      <c r="L693" s="224"/>
      <c r="M693" s="224"/>
      <c r="N693" s="224"/>
      <c r="O693" s="224"/>
      <c r="P693" s="224"/>
      <c r="Q693" s="224"/>
      <c r="R693" s="224"/>
      <c r="S693" s="224"/>
      <c r="T693" s="224"/>
      <c r="U693" s="224"/>
      <c r="V693" s="224"/>
      <c r="W693" s="224"/>
      <c r="X693" s="224"/>
      <c r="Y693" s="224"/>
      <c r="Z693" s="224"/>
    </row>
    <row r="694" spans="1:26" ht="12.75" customHeight="1">
      <c r="A694" s="224"/>
      <c r="B694" s="226"/>
      <c r="C694" s="224"/>
      <c r="D694" s="224"/>
      <c r="E694" s="224"/>
      <c r="F694" s="224"/>
      <c r="G694" s="224"/>
      <c r="H694" s="224"/>
      <c r="I694" s="224"/>
      <c r="J694" s="224"/>
      <c r="K694" s="224"/>
      <c r="L694" s="224"/>
      <c r="M694" s="224"/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4"/>
      <c r="Y694" s="224"/>
      <c r="Z694" s="224"/>
    </row>
    <row r="695" spans="1:26" ht="12.75" customHeight="1">
      <c r="A695" s="224"/>
      <c r="B695" s="226"/>
      <c r="C695" s="224"/>
      <c r="D695" s="224"/>
      <c r="E695" s="224"/>
      <c r="F695" s="224"/>
      <c r="G695" s="224"/>
      <c r="H695" s="224"/>
      <c r="I695" s="224"/>
      <c r="J695" s="224"/>
      <c r="K695" s="224"/>
      <c r="L695" s="224"/>
      <c r="M695" s="224"/>
      <c r="N695" s="224"/>
      <c r="O695" s="224"/>
      <c r="P695" s="224"/>
      <c r="Q695" s="224"/>
      <c r="R695" s="224"/>
      <c r="S695" s="224"/>
      <c r="T695" s="224"/>
      <c r="U695" s="224"/>
      <c r="V695" s="224"/>
      <c r="W695" s="224"/>
      <c r="X695" s="224"/>
      <c r="Y695" s="224"/>
      <c r="Z695" s="224"/>
    </row>
    <row r="696" spans="1:26" ht="12.75" customHeight="1">
      <c r="A696" s="224"/>
      <c r="B696" s="226"/>
      <c r="C696" s="224"/>
      <c r="D696" s="224"/>
      <c r="E696" s="224"/>
      <c r="F696" s="224"/>
      <c r="G696" s="224"/>
      <c r="H696" s="224"/>
      <c r="I696" s="224"/>
      <c r="J696" s="224"/>
      <c r="K696" s="224"/>
      <c r="L696" s="224"/>
      <c r="M696" s="224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4"/>
      <c r="Y696" s="224"/>
      <c r="Z696" s="224"/>
    </row>
    <row r="697" spans="1:26" ht="12.75" customHeight="1">
      <c r="A697" s="224"/>
      <c r="B697" s="226"/>
      <c r="C697" s="224"/>
      <c r="D697" s="224"/>
      <c r="E697" s="224"/>
      <c r="F697" s="224"/>
      <c r="G697" s="224"/>
      <c r="H697" s="224"/>
      <c r="I697" s="224"/>
      <c r="J697" s="224"/>
      <c r="K697" s="224"/>
      <c r="L697" s="224"/>
      <c r="M697" s="224"/>
      <c r="N697" s="224"/>
      <c r="O697" s="224"/>
      <c r="P697" s="224"/>
      <c r="Q697" s="224"/>
      <c r="R697" s="224"/>
      <c r="S697" s="224"/>
      <c r="T697" s="224"/>
      <c r="U697" s="224"/>
      <c r="V697" s="224"/>
      <c r="W697" s="224"/>
      <c r="X697" s="224"/>
      <c r="Y697" s="224"/>
      <c r="Z697" s="224"/>
    </row>
    <row r="698" spans="1:26" ht="12.75" customHeight="1">
      <c r="A698" s="224"/>
      <c r="B698" s="226"/>
      <c r="C698" s="224"/>
      <c r="D698" s="224"/>
      <c r="E698" s="224"/>
      <c r="F698" s="224"/>
      <c r="G698" s="224"/>
      <c r="H698" s="224"/>
      <c r="I698" s="224"/>
      <c r="J698" s="224"/>
      <c r="K698" s="224"/>
      <c r="L698" s="224"/>
      <c r="M698" s="224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4"/>
      <c r="Y698" s="224"/>
      <c r="Z698" s="224"/>
    </row>
    <row r="699" spans="1:26" ht="12.75" customHeight="1">
      <c r="A699" s="224"/>
      <c r="B699" s="226"/>
      <c r="C699" s="224"/>
      <c r="D699" s="224"/>
      <c r="E699" s="224"/>
      <c r="F699" s="224"/>
      <c r="G699" s="224"/>
      <c r="H699" s="224"/>
      <c r="I699" s="224"/>
      <c r="J699" s="224"/>
      <c r="K699" s="224"/>
      <c r="L699" s="224"/>
      <c r="M699" s="224"/>
      <c r="N699" s="224"/>
      <c r="O699" s="224"/>
      <c r="P699" s="224"/>
      <c r="Q699" s="224"/>
      <c r="R699" s="224"/>
      <c r="S699" s="224"/>
      <c r="T699" s="224"/>
      <c r="U699" s="224"/>
      <c r="V699" s="224"/>
      <c r="W699" s="224"/>
      <c r="X699" s="224"/>
      <c r="Y699" s="224"/>
      <c r="Z699" s="224"/>
    </row>
    <row r="700" spans="1:26" ht="12.75" customHeight="1">
      <c r="A700" s="224"/>
      <c r="B700" s="226"/>
      <c r="C700" s="224"/>
      <c r="D700" s="224"/>
      <c r="E700" s="224"/>
      <c r="F700" s="224"/>
      <c r="G700" s="224"/>
      <c r="H700" s="224"/>
      <c r="I700" s="224"/>
      <c r="J700" s="224"/>
      <c r="K700" s="224"/>
      <c r="L700" s="224"/>
      <c r="M700" s="224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4"/>
      <c r="Y700" s="224"/>
      <c r="Z700" s="224"/>
    </row>
    <row r="701" spans="1:26" ht="12.75" customHeight="1">
      <c r="A701" s="224"/>
      <c r="B701" s="226"/>
      <c r="C701" s="224"/>
      <c r="D701" s="224"/>
      <c r="E701" s="224"/>
      <c r="F701" s="224"/>
      <c r="G701" s="224"/>
      <c r="H701" s="224"/>
      <c r="I701" s="224"/>
      <c r="J701" s="224"/>
      <c r="K701" s="224"/>
      <c r="L701" s="224"/>
      <c r="M701" s="224"/>
      <c r="N701" s="224"/>
      <c r="O701" s="224"/>
      <c r="P701" s="224"/>
      <c r="Q701" s="224"/>
      <c r="R701" s="224"/>
      <c r="S701" s="224"/>
      <c r="T701" s="224"/>
      <c r="U701" s="224"/>
      <c r="V701" s="224"/>
      <c r="W701" s="224"/>
      <c r="X701" s="224"/>
      <c r="Y701" s="224"/>
      <c r="Z701" s="224"/>
    </row>
    <row r="702" spans="1:26" ht="12.75" customHeight="1">
      <c r="A702" s="224"/>
      <c r="B702" s="226"/>
      <c r="C702" s="224"/>
      <c r="D702" s="224"/>
      <c r="E702" s="224"/>
      <c r="F702" s="224"/>
      <c r="G702" s="224"/>
      <c r="H702" s="224"/>
      <c r="I702" s="224"/>
      <c r="J702" s="224"/>
      <c r="K702" s="224"/>
      <c r="L702" s="224"/>
      <c r="M702" s="224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4"/>
      <c r="Y702" s="224"/>
      <c r="Z702" s="224"/>
    </row>
    <row r="703" spans="1:26" ht="12.75" customHeight="1">
      <c r="A703" s="224"/>
      <c r="B703" s="226"/>
      <c r="C703" s="224"/>
      <c r="D703" s="224"/>
      <c r="E703" s="224"/>
      <c r="F703" s="224"/>
      <c r="G703" s="224"/>
      <c r="H703" s="224"/>
      <c r="I703" s="224"/>
      <c r="J703" s="224"/>
      <c r="K703" s="224"/>
      <c r="L703" s="224"/>
      <c r="M703" s="224"/>
      <c r="N703" s="224"/>
      <c r="O703" s="224"/>
      <c r="P703" s="224"/>
      <c r="Q703" s="224"/>
      <c r="R703" s="224"/>
      <c r="S703" s="224"/>
      <c r="T703" s="224"/>
      <c r="U703" s="224"/>
      <c r="V703" s="224"/>
      <c r="W703" s="224"/>
      <c r="X703" s="224"/>
      <c r="Y703" s="224"/>
      <c r="Z703" s="224"/>
    </row>
    <row r="704" spans="1:26" ht="12.75" customHeight="1">
      <c r="A704" s="224"/>
      <c r="B704" s="226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224"/>
      <c r="T704" s="224"/>
      <c r="U704" s="224"/>
      <c r="V704" s="224"/>
      <c r="W704" s="224"/>
      <c r="X704" s="224"/>
      <c r="Y704" s="224"/>
      <c r="Z704" s="224"/>
    </row>
    <row r="705" spans="1:26" ht="12.75" customHeight="1">
      <c r="A705" s="224"/>
      <c r="B705" s="226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224"/>
      <c r="T705" s="224"/>
      <c r="U705" s="224"/>
      <c r="V705" s="224"/>
      <c r="W705" s="224"/>
      <c r="X705" s="224"/>
      <c r="Y705" s="224"/>
      <c r="Z705" s="224"/>
    </row>
    <row r="706" spans="1:26" ht="12.75" customHeight="1">
      <c r="A706" s="224"/>
      <c r="B706" s="226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224"/>
      <c r="T706" s="224"/>
      <c r="U706" s="224"/>
      <c r="V706" s="224"/>
      <c r="W706" s="224"/>
      <c r="X706" s="224"/>
      <c r="Y706" s="224"/>
      <c r="Z706" s="224"/>
    </row>
    <row r="707" spans="1:26" ht="12.75" customHeight="1">
      <c r="A707" s="224"/>
      <c r="B707" s="226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224"/>
      <c r="T707" s="224"/>
      <c r="U707" s="224"/>
      <c r="V707" s="224"/>
      <c r="W707" s="224"/>
      <c r="X707" s="224"/>
      <c r="Y707" s="224"/>
      <c r="Z707" s="224"/>
    </row>
    <row r="708" spans="1:26" ht="12.75" customHeight="1">
      <c r="A708" s="224"/>
      <c r="B708" s="226"/>
      <c r="C708" s="224"/>
      <c r="D708" s="224"/>
      <c r="E708" s="224"/>
      <c r="F708" s="224"/>
      <c r="G708" s="224"/>
      <c r="H708" s="224"/>
      <c r="I708" s="224"/>
      <c r="J708" s="224"/>
      <c r="K708" s="224"/>
      <c r="L708" s="224"/>
      <c r="M708" s="224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4"/>
      <c r="Y708" s="224"/>
      <c r="Z708" s="224"/>
    </row>
    <row r="709" spans="1:26" ht="12.75" customHeight="1">
      <c r="A709" s="224"/>
      <c r="B709" s="226"/>
      <c r="C709" s="224"/>
      <c r="D709" s="224"/>
      <c r="E709" s="224"/>
      <c r="F709" s="224"/>
      <c r="G709" s="224"/>
      <c r="H709" s="224"/>
      <c r="I709" s="224"/>
      <c r="J709" s="224"/>
      <c r="K709" s="224"/>
      <c r="L709" s="224"/>
      <c r="M709" s="224"/>
      <c r="N709" s="224"/>
      <c r="O709" s="224"/>
      <c r="P709" s="224"/>
      <c r="Q709" s="224"/>
      <c r="R709" s="224"/>
      <c r="S709" s="224"/>
      <c r="T709" s="224"/>
      <c r="U709" s="224"/>
      <c r="V709" s="224"/>
      <c r="W709" s="224"/>
      <c r="X709" s="224"/>
      <c r="Y709" s="224"/>
      <c r="Z709" s="224"/>
    </row>
    <row r="710" spans="1:26" ht="12.75" customHeight="1">
      <c r="A710" s="224"/>
      <c r="B710" s="226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</row>
    <row r="711" spans="1:26" ht="12.75" customHeight="1">
      <c r="A711" s="224"/>
      <c r="B711" s="226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224"/>
      <c r="T711" s="224"/>
      <c r="U711" s="224"/>
      <c r="V711" s="224"/>
      <c r="W711" s="224"/>
      <c r="X711" s="224"/>
      <c r="Y711" s="224"/>
      <c r="Z711" s="224"/>
    </row>
    <row r="712" spans="1:26" ht="12.75" customHeight="1">
      <c r="A712" s="224"/>
      <c r="B712" s="226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</row>
    <row r="713" spans="1:26" ht="12.75" customHeight="1">
      <c r="A713" s="224"/>
      <c r="B713" s="226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224"/>
      <c r="T713" s="224"/>
      <c r="U713" s="224"/>
      <c r="V713" s="224"/>
      <c r="W713" s="224"/>
      <c r="X713" s="224"/>
      <c r="Y713" s="224"/>
      <c r="Z713" s="224"/>
    </row>
    <row r="714" spans="1:26" ht="12.75" customHeight="1">
      <c r="A714" s="224"/>
      <c r="B714" s="226"/>
      <c r="C714" s="224"/>
      <c r="D714" s="224"/>
      <c r="E714" s="224"/>
      <c r="F714" s="224"/>
      <c r="G714" s="224"/>
      <c r="H714" s="224"/>
      <c r="I714" s="224"/>
      <c r="J714" s="224"/>
      <c r="K714" s="224"/>
      <c r="L714" s="224"/>
      <c r="M714" s="224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4"/>
      <c r="Y714" s="224"/>
      <c r="Z714" s="224"/>
    </row>
    <row r="715" spans="1:26" ht="12.75" customHeight="1">
      <c r="A715" s="224"/>
      <c r="B715" s="226"/>
      <c r="C715" s="224"/>
      <c r="D715" s="224"/>
      <c r="E715" s="224"/>
      <c r="F715" s="224"/>
      <c r="G715" s="224"/>
      <c r="H715" s="224"/>
      <c r="I715" s="224"/>
      <c r="J715" s="224"/>
      <c r="K715" s="224"/>
      <c r="L715" s="224"/>
      <c r="M715" s="224"/>
      <c r="N715" s="224"/>
      <c r="O715" s="224"/>
      <c r="P715" s="224"/>
      <c r="Q715" s="224"/>
      <c r="R715" s="224"/>
      <c r="S715" s="224"/>
      <c r="T715" s="224"/>
      <c r="U715" s="224"/>
      <c r="V715" s="224"/>
      <c r="W715" s="224"/>
      <c r="X715" s="224"/>
      <c r="Y715" s="224"/>
      <c r="Z715" s="224"/>
    </row>
    <row r="716" spans="1:26" ht="12.75" customHeight="1">
      <c r="A716" s="224"/>
      <c r="B716" s="226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224"/>
      <c r="T716" s="224"/>
      <c r="U716" s="224"/>
      <c r="V716" s="224"/>
      <c r="W716" s="224"/>
      <c r="X716" s="224"/>
      <c r="Y716" s="224"/>
      <c r="Z716" s="224"/>
    </row>
    <row r="717" spans="1:26" ht="12.75" customHeight="1">
      <c r="A717" s="224"/>
      <c r="B717" s="226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224"/>
      <c r="T717" s="224"/>
      <c r="U717" s="224"/>
      <c r="V717" s="224"/>
      <c r="W717" s="224"/>
      <c r="X717" s="224"/>
      <c r="Y717" s="224"/>
      <c r="Z717" s="224"/>
    </row>
    <row r="718" spans="1:26" ht="12.75" customHeight="1">
      <c r="A718" s="224"/>
      <c r="B718" s="226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4"/>
      <c r="Y718" s="224"/>
      <c r="Z718" s="224"/>
    </row>
    <row r="719" spans="1:26" ht="12.75" customHeight="1">
      <c r="A719" s="224"/>
      <c r="B719" s="226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</row>
    <row r="720" spans="1:26" ht="12.75" customHeight="1">
      <c r="A720" s="224"/>
      <c r="B720" s="226"/>
      <c r="C720" s="224"/>
      <c r="D720" s="224"/>
      <c r="E720" s="224"/>
      <c r="F720" s="224"/>
      <c r="G720" s="224"/>
      <c r="H720" s="224"/>
      <c r="I720" s="224"/>
      <c r="J720" s="224"/>
      <c r="K720" s="224"/>
      <c r="L720" s="224"/>
      <c r="M720" s="224"/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4"/>
      <c r="Y720" s="224"/>
      <c r="Z720" s="224"/>
    </row>
    <row r="721" spans="1:26" ht="12.75" customHeight="1">
      <c r="A721" s="224"/>
      <c r="B721" s="226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224"/>
      <c r="T721" s="224"/>
      <c r="U721" s="224"/>
      <c r="V721" s="224"/>
      <c r="W721" s="224"/>
      <c r="X721" s="224"/>
      <c r="Y721" s="224"/>
      <c r="Z721" s="224"/>
    </row>
    <row r="722" spans="1:26" ht="12.75" customHeight="1">
      <c r="A722" s="224"/>
      <c r="B722" s="226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224"/>
      <c r="T722" s="224"/>
      <c r="U722" s="224"/>
      <c r="V722" s="224"/>
      <c r="W722" s="224"/>
      <c r="X722" s="224"/>
      <c r="Y722" s="224"/>
      <c r="Z722" s="224"/>
    </row>
    <row r="723" spans="1:26" ht="12.75" customHeight="1">
      <c r="A723" s="224"/>
      <c r="B723" s="226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224"/>
      <c r="T723" s="224"/>
      <c r="U723" s="224"/>
      <c r="V723" s="224"/>
      <c r="W723" s="224"/>
      <c r="X723" s="224"/>
      <c r="Y723" s="224"/>
      <c r="Z723" s="224"/>
    </row>
    <row r="724" spans="1:26" ht="12.75" customHeight="1">
      <c r="A724" s="224"/>
      <c r="B724" s="226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4"/>
      <c r="Y724" s="224"/>
      <c r="Z724" s="224"/>
    </row>
    <row r="725" spans="1:26" ht="12.75" customHeight="1">
      <c r="A725" s="224"/>
      <c r="B725" s="226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224"/>
      <c r="T725" s="224"/>
      <c r="U725" s="224"/>
      <c r="V725" s="224"/>
      <c r="W725" s="224"/>
      <c r="X725" s="224"/>
      <c r="Y725" s="224"/>
      <c r="Z725" s="224"/>
    </row>
    <row r="726" spans="1:26" ht="12.75" customHeight="1">
      <c r="A726" s="224"/>
      <c r="B726" s="226"/>
      <c r="C726" s="224"/>
      <c r="D726" s="224"/>
      <c r="E726" s="224"/>
      <c r="F726" s="224"/>
      <c r="G726" s="224"/>
      <c r="H726" s="224"/>
      <c r="I726" s="224"/>
      <c r="J726" s="224"/>
      <c r="K726" s="224"/>
      <c r="L726" s="224"/>
      <c r="M726" s="224"/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4"/>
      <c r="Y726" s="224"/>
      <c r="Z726" s="224"/>
    </row>
    <row r="727" spans="1:26" ht="12.75" customHeight="1">
      <c r="A727" s="224"/>
      <c r="B727" s="226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224"/>
      <c r="T727" s="224"/>
      <c r="U727" s="224"/>
      <c r="V727" s="224"/>
      <c r="W727" s="224"/>
      <c r="X727" s="224"/>
      <c r="Y727" s="224"/>
      <c r="Z727" s="224"/>
    </row>
    <row r="728" spans="1:26" ht="12.75" customHeight="1">
      <c r="A728" s="224"/>
      <c r="B728" s="226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</row>
    <row r="729" spans="1:26" ht="12.75" customHeight="1">
      <c r="A729" s="224"/>
      <c r="B729" s="226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224"/>
      <c r="T729" s="224"/>
      <c r="U729" s="224"/>
      <c r="V729" s="224"/>
      <c r="W729" s="224"/>
      <c r="X729" s="224"/>
      <c r="Y729" s="224"/>
      <c r="Z729" s="224"/>
    </row>
    <row r="730" spans="1:26" ht="12.75" customHeight="1">
      <c r="A730" s="224"/>
      <c r="B730" s="226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224"/>
      <c r="T730" s="224"/>
      <c r="U730" s="224"/>
      <c r="V730" s="224"/>
      <c r="W730" s="224"/>
      <c r="X730" s="224"/>
      <c r="Y730" s="224"/>
      <c r="Z730" s="224"/>
    </row>
    <row r="731" spans="1:26" ht="12.75" customHeight="1">
      <c r="A731" s="224"/>
      <c r="B731" s="226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224"/>
      <c r="T731" s="224"/>
      <c r="U731" s="224"/>
      <c r="V731" s="224"/>
      <c r="W731" s="224"/>
      <c r="X731" s="224"/>
      <c r="Y731" s="224"/>
      <c r="Z731" s="224"/>
    </row>
    <row r="732" spans="1:26" ht="12.75" customHeight="1">
      <c r="A732" s="224"/>
      <c r="B732" s="226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224"/>
      <c r="T732" s="224"/>
      <c r="U732" s="224"/>
      <c r="V732" s="224"/>
      <c r="W732" s="224"/>
      <c r="X732" s="224"/>
      <c r="Y732" s="224"/>
      <c r="Z732" s="224"/>
    </row>
    <row r="733" spans="1:26" ht="12.75" customHeight="1">
      <c r="A733" s="224"/>
      <c r="B733" s="226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224"/>
      <c r="T733" s="224"/>
      <c r="U733" s="224"/>
      <c r="V733" s="224"/>
      <c r="W733" s="224"/>
      <c r="X733" s="224"/>
      <c r="Y733" s="224"/>
      <c r="Z733" s="224"/>
    </row>
    <row r="734" spans="1:26" ht="12.75" customHeight="1">
      <c r="A734" s="224"/>
      <c r="B734" s="226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4"/>
      <c r="Y734" s="224"/>
      <c r="Z734" s="224"/>
    </row>
    <row r="735" spans="1:26" ht="12.75" customHeight="1">
      <c r="A735" s="224"/>
      <c r="B735" s="226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</row>
    <row r="736" spans="1:26" ht="12.75" customHeight="1">
      <c r="A736" s="224"/>
      <c r="B736" s="226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224"/>
      <c r="T736" s="224"/>
      <c r="U736" s="224"/>
      <c r="V736" s="224"/>
      <c r="W736" s="224"/>
      <c r="X736" s="224"/>
      <c r="Y736" s="224"/>
      <c r="Z736" s="224"/>
    </row>
    <row r="737" spans="1:26" ht="12.75" customHeight="1">
      <c r="A737" s="224"/>
      <c r="B737" s="226"/>
      <c r="C737" s="224"/>
      <c r="D737" s="224"/>
      <c r="E737" s="224"/>
      <c r="F737" s="224"/>
      <c r="G737" s="224"/>
      <c r="H737" s="224"/>
      <c r="I737" s="224"/>
      <c r="J737" s="224"/>
      <c r="K737" s="224"/>
      <c r="L737" s="224"/>
      <c r="M737" s="224"/>
      <c r="N737" s="224"/>
      <c r="O737" s="224"/>
      <c r="P737" s="224"/>
      <c r="Q737" s="224"/>
      <c r="R737" s="224"/>
      <c r="S737" s="224"/>
      <c r="T737" s="224"/>
      <c r="U737" s="224"/>
      <c r="V737" s="224"/>
      <c r="W737" s="224"/>
      <c r="X737" s="224"/>
      <c r="Y737" s="224"/>
      <c r="Z737" s="224"/>
    </row>
    <row r="738" spans="1:26" ht="12.75" customHeight="1">
      <c r="A738" s="224"/>
      <c r="B738" s="226"/>
      <c r="C738" s="224"/>
      <c r="D738" s="224"/>
      <c r="E738" s="224"/>
      <c r="F738" s="224"/>
      <c r="G738" s="224"/>
      <c r="H738" s="224"/>
      <c r="I738" s="224"/>
      <c r="J738" s="224"/>
      <c r="K738" s="224"/>
      <c r="L738" s="224"/>
      <c r="M738" s="224"/>
      <c r="N738" s="224"/>
      <c r="O738" s="224"/>
      <c r="P738" s="224"/>
      <c r="Q738" s="224"/>
      <c r="R738" s="224"/>
      <c r="S738" s="224"/>
      <c r="T738" s="224"/>
      <c r="U738" s="224"/>
      <c r="V738" s="224"/>
      <c r="W738" s="224"/>
      <c r="X738" s="224"/>
      <c r="Y738" s="224"/>
      <c r="Z738" s="224"/>
    </row>
    <row r="739" spans="1:26" ht="12.75" customHeight="1">
      <c r="A739" s="224"/>
      <c r="B739" s="226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224"/>
      <c r="T739" s="224"/>
      <c r="U739" s="224"/>
      <c r="V739" s="224"/>
      <c r="W739" s="224"/>
      <c r="X739" s="224"/>
      <c r="Y739" s="224"/>
      <c r="Z739" s="224"/>
    </row>
    <row r="740" spans="1:26" ht="12.75" customHeight="1">
      <c r="A740" s="224"/>
      <c r="B740" s="226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224"/>
      <c r="T740" s="224"/>
      <c r="U740" s="224"/>
      <c r="V740" s="224"/>
      <c r="W740" s="224"/>
      <c r="X740" s="224"/>
      <c r="Y740" s="224"/>
      <c r="Z740" s="224"/>
    </row>
    <row r="741" spans="1:26" ht="12.75" customHeight="1">
      <c r="A741" s="224"/>
      <c r="B741" s="226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224"/>
      <c r="T741" s="224"/>
      <c r="U741" s="224"/>
      <c r="V741" s="224"/>
      <c r="W741" s="224"/>
      <c r="X741" s="224"/>
      <c r="Y741" s="224"/>
      <c r="Z741" s="224"/>
    </row>
    <row r="742" spans="1:26" ht="12.75" customHeight="1">
      <c r="A742" s="224"/>
      <c r="B742" s="226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224"/>
      <c r="T742" s="224"/>
      <c r="U742" s="224"/>
      <c r="V742" s="224"/>
      <c r="W742" s="224"/>
      <c r="X742" s="224"/>
      <c r="Y742" s="224"/>
      <c r="Z742" s="224"/>
    </row>
    <row r="743" spans="1:26" ht="12.75" customHeight="1">
      <c r="A743" s="224"/>
      <c r="B743" s="226"/>
      <c r="C743" s="224"/>
      <c r="D743" s="224"/>
      <c r="E743" s="224"/>
      <c r="F743" s="224"/>
      <c r="G743" s="224"/>
      <c r="H743" s="224"/>
      <c r="I743" s="224"/>
      <c r="J743" s="224"/>
      <c r="K743" s="224"/>
      <c r="L743" s="224"/>
      <c r="M743" s="224"/>
      <c r="N743" s="224"/>
      <c r="O743" s="224"/>
      <c r="P743" s="224"/>
      <c r="Q743" s="224"/>
      <c r="R743" s="224"/>
      <c r="S743" s="224"/>
      <c r="T743" s="224"/>
      <c r="U743" s="224"/>
      <c r="V743" s="224"/>
      <c r="W743" s="224"/>
      <c r="X743" s="224"/>
      <c r="Y743" s="224"/>
      <c r="Z743" s="224"/>
    </row>
    <row r="744" spans="1:26" ht="12.75" customHeight="1">
      <c r="A744" s="224"/>
      <c r="B744" s="226"/>
      <c r="C744" s="224"/>
      <c r="D744" s="224"/>
      <c r="E744" s="224"/>
      <c r="F744" s="224"/>
      <c r="G744" s="224"/>
      <c r="H744" s="224"/>
      <c r="I744" s="224"/>
      <c r="J744" s="224"/>
      <c r="K744" s="224"/>
      <c r="L744" s="224"/>
      <c r="M744" s="224"/>
      <c r="N744" s="224"/>
      <c r="O744" s="224"/>
      <c r="P744" s="224"/>
      <c r="Q744" s="224"/>
      <c r="R744" s="224"/>
      <c r="S744" s="224"/>
      <c r="T744" s="224"/>
      <c r="U744" s="224"/>
      <c r="V744" s="224"/>
      <c r="W744" s="224"/>
      <c r="X744" s="224"/>
      <c r="Y744" s="224"/>
      <c r="Z744" s="224"/>
    </row>
    <row r="745" spans="1:26" ht="12.75" customHeight="1">
      <c r="A745" s="224"/>
      <c r="B745" s="226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224"/>
      <c r="T745" s="224"/>
      <c r="U745" s="224"/>
      <c r="V745" s="224"/>
      <c r="W745" s="224"/>
      <c r="X745" s="224"/>
      <c r="Y745" s="224"/>
      <c r="Z745" s="224"/>
    </row>
    <row r="746" spans="1:26" ht="12.75" customHeight="1">
      <c r="A746" s="224"/>
      <c r="B746" s="226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224"/>
      <c r="T746" s="224"/>
      <c r="U746" s="224"/>
      <c r="V746" s="224"/>
      <c r="W746" s="224"/>
      <c r="X746" s="224"/>
      <c r="Y746" s="224"/>
      <c r="Z746" s="224"/>
    </row>
    <row r="747" spans="1:26" ht="12.75" customHeight="1">
      <c r="A747" s="224"/>
      <c r="B747" s="226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224"/>
      <c r="T747" s="224"/>
      <c r="U747" s="224"/>
      <c r="V747" s="224"/>
      <c r="W747" s="224"/>
      <c r="X747" s="224"/>
      <c r="Y747" s="224"/>
      <c r="Z747" s="224"/>
    </row>
    <row r="748" spans="1:26" ht="12.75" customHeight="1">
      <c r="A748" s="224"/>
      <c r="B748" s="226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224"/>
      <c r="T748" s="224"/>
      <c r="U748" s="224"/>
      <c r="V748" s="224"/>
      <c r="W748" s="224"/>
      <c r="X748" s="224"/>
      <c r="Y748" s="224"/>
      <c r="Z748" s="224"/>
    </row>
    <row r="749" spans="1:26" ht="12.75" customHeight="1">
      <c r="A749" s="224"/>
      <c r="B749" s="226"/>
      <c r="C749" s="224"/>
      <c r="D749" s="224"/>
      <c r="E749" s="224"/>
      <c r="F749" s="224"/>
      <c r="G749" s="224"/>
      <c r="H749" s="224"/>
      <c r="I749" s="224"/>
      <c r="J749" s="224"/>
      <c r="K749" s="224"/>
      <c r="L749" s="224"/>
      <c r="M749" s="224"/>
      <c r="N749" s="224"/>
      <c r="O749" s="224"/>
      <c r="P749" s="224"/>
      <c r="Q749" s="224"/>
      <c r="R749" s="224"/>
      <c r="S749" s="224"/>
      <c r="T749" s="224"/>
      <c r="U749" s="224"/>
      <c r="V749" s="224"/>
      <c r="W749" s="224"/>
      <c r="X749" s="224"/>
      <c r="Y749" s="224"/>
      <c r="Z749" s="224"/>
    </row>
    <row r="750" spans="1:26" ht="12.75" customHeight="1">
      <c r="A750" s="224"/>
      <c r="B750" s="226"/>
      <c r="C750" s="224"/>
      <c r="D750" s="224"/>
      <c r="E750" s="224"/>
      <c r="F750" s="224"/>
      <c r="G750" s="224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  <c r="X750" s="224"/>
      <c r="Y750" s="224"/>
      <c r="Z750" s="224"/>
    </row>
    <row r="751" spans="1:26" ht="12.75" customHeight="1">
      <c r="A751" s="224"/>
      <c r="B751" s="226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224"/>
      <c r="T751" s="224"/>
      <c r="U751" s="224"/>
      <c r="V751" s="224"/>
      <c r="W751" s="224"/>
      <c r="X751" s="224"/>
      <c r="Y751" s="224"/>
      <c r="Z751" s="224"/>
    </row>
    <row r="752" spans="1:26" ht="12.75" customHeight="1">
      <c r="A752" s="224"/>
      <c r="B752" s="226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224"/>
      <c r="T752" s="224"/>
      <c r="U752" s="224"/>
      <c r="V752" s="224"/>
      <c r="W752" s="224"/>
      <c r="X752" s="224"/>
      <c r="Y752" s="224"/>
      <c r="Z752" s="224"/>
    </row>
    <row r="753" spans="1:26" ht="12.75" customHeight="1">
      <c r="A753" s="224"/>
      <c r="B753" s="226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224"/>
      <c r="T753" s="224"/>
      <c r="U753" s="224"/>
      <c r="V753" s="224"/>
      <c r="W753" s="224"/>
      <c r="X753" s="224"/>
      <c r="Y753" s="224"/>
      <c r="Z753" s="224"/>
    </row>
    <row r="754" spans="1:26" ht="12.75" customHeight="1">
      <c r="A754" s="224"/>
      <c r="B754" s="226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  <c r="X754" s="224"/>
      <c r="Y754" s="224"/>
      <c r="Z754" s="224"/>
    </row>
    <row r="755" spans="1:26" ht="12.75" customHeight="1">
      <c r="A755" s="224"/>
      <c r="B755" s="226"/>
      <c r="C755" s="224"/>
      <c r="D755" s="224"/>
      <c r="E755" s="224"/>
      <c r="F755" s="224"/>
      <c r="G755" s="224"/>
      <c r="H755" s="224"/>
      <c r="I755" s="224"/>
      <c r="J755" s="224"/>
      <c r="K755" s="224"/>
      <c r="L755" s="224"/>
      <c r="M755" s="224"/>
      <c r="N755" s="224"/>
      <c r="O755" s="224"/>
      <c r="P755" s="224"/>
      <c r="Q755" s="224"/>
      <c r="R755" s="224"/>
      <c r="S755" s="224"/>
      <c r="T755" s="224"/>
      <c r="U755" s="224"/>
      <c r="V755" s="224"/>
      <c r="W755" s="224"/>
      <c r="X755" s="224"/>
      <c r="Y755" s="224"/>
      <c r="Z755" s="224"/>
    </row>
    <row r="756" spans="1:26" ht="12.75" customHeight="1">
      <c r="A756" s="224"/>
      <c r="B756" s="226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4"/>
      <c r="Y756" s="224"/>
      <c r="Z756" s="224"/>
    </row>
    <row r="757" spans="1:26" ht="12.75" customHeight="1">
      <c r="A757" s="224"/>
      <c r="B757" s="226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224"/>
      <c r="T757" s="224"/>
      <c r="U757" s="224"/>
      <c r="V757" s="224"/>
      <c r="W757" s="224"/>
      <c r="X757" s="224"/>
      <c r="Y757" s="224"/>
      <c r="Z757" s="224"/>
    </row>
    <row r="758" spans="1:26" ht="12.75" customHeight="1">
      <c r="A758" s="224"/>
      <c r="B758" s="226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  <c r="X758" s="224"/>
      <c r="Y758" s="224"/>
      <c r="Z758" s="224"/>
    </row>
    <row r="759" spans="1:26" ht="12.75" customHeight="1">
      <c r="A759" s="224"/>
      <c r="B759" s="226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224"/>
      <c r="T759" s="224"/>
      <c r="U759" s="224"/>
      <c r="V759" s="224"/>
      <c r="W759" s="224"/>
      <c r="X759" s="224"/>
      <c r="Y759" s="224"/>
      <c r="Z759" s="224"/>
    </row>
    <row r="760" spans="1:26" ht="12.75" customHeight="1">
      <c r="A760" s="224"/>
      <c r="B760" s="226"/>
      <c r="C760" s="224"/>
      <c r="D760" s="224"/>
      <c r="E760" s="224"/>
      <c r="F760" s="224"/>
      <c r="G760" s="224"/>
      <c r="H760" s="224"/>
      <c r="I760" s="224"/>
      <c r="J760" s="224"/>
      <c r="K760" s="224"/>
      <c r="L760" s="224"/>
      <c r="M760" s="224"/>
      <c r="N760" s="224"/>
      <c r="O760" s="224"/>
      <c r="P760" s="224"/>
      <c r="Q760" s="224"/>
      <c r="R760" s="224"/>
      <c r="S760" s="224"/>
      <c r="T760" s="224"/>
      <c r="U760" s="224"/>
      <c r="V760" s="224"/>
      <c r="W760" s="224"/>
      <c r="X760" s="224"/>
      <c r="Y760" s="224"/>
      <c r="Z760" s="224"/>
    </row>
    <row r="761" spans="1:26" ht="12.75" customHeight="1">
      <c r="A761" s="224"/>
      <c r="B761" s="226"/>
      <c r="C761" s="224"/>
      <c r="D761" s="224"/>
      <c r="E761" s="224"/>
      <c r="F761" s="224"/>
      <c r="G761" s="224"/>
      <c r="H761" s="224"/>
      <c r="I761" s="224"/>
      <c r="J761" s="224"/>
      <c r="K761" s="224"/>
      <c r="L761" s="224"/>
      <c r="M761" s="224"/>
      <c r="N761" s="224"/>
      <c r="O761" s="224"/>
      <c r="P761" s="224"/>
      <c r="Q761" s="224"/>
      <c r="R761" s="224"/>
      <c r="S761" s="224"/>
      <c r="T761" s="224"/>
      <c r="U761" s="224"/>
      <c r="V761" s="224"/>
      <c r="W761" s="224"/>
      <c r="X761" s="224"/>
      <c r="Y761" s="224"/>
      <c r="Z761" s="224"/>
    </row>
    <row r="762" spans="1:26" ht="12.75" customHeight="1">
      <c r="A762" s="224"/>
      <c r="B762" s="226"/>
      <c r="C762" s="224"/>
      <c r="D762" s="224"/>
      <c r="E762" s="224"/>
      <c r="F762" s="224"/>
      <c r="G762" s="224"/>
      <c r="H762" s="224"/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4"/>
      <c r="Y762" s="224"/>
      <c r="Z762" s="224"/>
    </row>
    <row r="763" spans="1:26" ht="12.75" customHeight="1">
      <c r="A763" s="224"/>
      <c r="B763" s="226"/>
      <c r="C763" s="224"/>
      <c r="D763" s="224"/>
      <c r="E763" s="224"/>
      <c r="F763" s="224"/>
      <c r="G763" s="224"/>
      <c r="H763" s="224"/>
      <c r="I763" s="224"/>
      <c r="J763" s="224"/>
      <c r="K763" s="224"/>
      <c r="L763" s="224"/>
      <c r="M763" s="224"/>
      <c r="N763" s="224"/>
      <c r="O763" s="224"/>
      <c r="P763" s="224"/>
      <c r="Q763" s="224"/>
      <c r="R763" s="224"/>
      <c r="S763" s="224"/>
      <c r="T763" s="224"/>
      <c r="U763" s="224"/>
      <c r="V763" s="224"/>
      <c r="W763" s="224"/>
      <c r="X763" s="224"/>
      <c r="Y763" s="224"/>
      <c r="Z763" s="224"/>
    </row>
    <row r="764" spans="1:26" ht="12.75" customHeight="1">
      <c r="A764" s="224"/>
      <c r="B764" s="226"/>
      <c r="C764" s="224"/>
      <c r="D764" s="224"/>
      <c r="E764" s="224"/>
      <c r="F764" s="224"/>
      <c r="G764" s="224"/>
      <c r="H764" s="224"/>
      <c r="I764" s="224"/>
      <c r="J764" s="224"/>
      <c r="K764" s="224"/>
      <c r="L764" s="224"/>
      <c r="M764" s="224"/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4"/>
      <c r="Y764" s="224"/>
      <c r="Z764" s="224"/>
    </row>
    <row r="765" spans="1:26" ht="12.75" customHeight="1">
      <c r="A765" s="224"/>
      <c r="B765" s="226"/>
      <c r="C765" s="224"/>
      <c r="D765" s="224"/>
      <c r="E765" s="224"/>
      <c r="F765" s="224"/>
      <c r="G765" s="224"/>
      <c r="H765" s="224"/>
      <c r="I765" s="224"/>
      <c r="J765" s="224"/>
      <c r="K765" s="224"/>
      <c r="L765" s="224"/>
      <c r="M765" s="224"/>
      <c r="N765" s="224"/>
      <c r="O765" s="224"/>
      <c r="P765" s="224"/>
      <c r="Q765" s="224"/>
      <c r="R765" s="224"/>
      <c r="S765" s="224"/>
      <c r="T765" s="224"/>
      <c r="U765" s="224"/>
      <c r="V765" s="224"/>
      <c r="W765" s="224"/>
      <c r="X765" s="224"/>
      <c r="Y765" s="224"/>
      <c r="Z765" s="224"/>
    </row>
    <row r="766" spans="1:26" ht="12.75" customHeight="1">
      <c r="A766" s="224"/>
      <c r="B766" s="226"/>
      <c r="C766" s="224"/>
      <c r="D766" s="224"/>
      <c r="E766" s="224"/>
      <c r="F766" s="224"/>
      <c r="G766" s="224"/>
      <c r="H766" s="224"/>
      <c r="I766" s="224"/>
      <c r="J766" s="224"/>
      <c r="K766" s="224"/>
      <c r="L766" s="224"/>
      <c r="M766" s="224"/>
      <c r="N766" s="224"/>
      <c r="O766" s="224"/>
      <c r="P766" s="224"/>
      <c r="Q766" s="224"/>
      <c r="R766" s="224"/>
      <c r="S766" s="224"/>
      <c r="T766" s="224"/>
      <c r="U766" s="224"/>
      <c r="V766" s="224"/>
      <c r="W766" s="224"/>
      <c r="X766" s="224"/>
      <c r="Y766" s="224"/>
      <c r="Z766" s="224"/>
    </row>
    <row r="767" spans="1:26" ht="12.75" customHeight="1">
      <c r="A767" s="224"/>
      <c r="B767" s="226"/>
      <c r="C767" s="224"/>
      <c r="D767" s="224"/>
      <c r="E767" s="224"/>
      <c r="F767" s="224"/>
      <c r="G767" s="224"/>
      <c r="H767" s="224"/>
      <c r="I767" s="224"/>
      <c r="J767" s="224"/>
      <c r="K767" s="224"/>
      <c r="L767" s="224"/>
      <c r="M767" s="224"/>
      <c r="N767" s="224"/>
      <c r="O767" s="224"/>
      <c r="P767" s="224"/>
      <c r="Q767" s="224"/>
      <c r="R767" s="224"/>
      <c r="S767" s="224"/>
      <c r="T767" s="224"/>
      <c r="U767" s="224"/>
      <c r="V767" s="224"/>
      <c r="W767" s="224"/>
      <c r="X767" s="224"/>
      <c r="Y767" s="224"/>
      <c r="Z767" s="224"/>
    </row>
    <row r="768" spans="1:26" ht="12.75" customHeight="1">
      <c r="A768" s="224"/>
      <c r="B768" s="226"/>
      <c r="C768" s="224"/>
      <c r="D768" s="224"/>
      <c r="E768" s="224"/>
      <c r="F768" s="224"/>
      <c r="G768" s="224"/>
      <c r="H768" s="224"/>
      <c r="I768" s="224"/>
      <c r="J768" s="224"/>
      <c r="K768" s="224"/>
      <c r="L768" s="224"/>
      <c r="M768" s="224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4"/>
      <c r="Y768" s="224"/>
      <c r="Z768" s="224"/>
    </row>
    <row r="769" spans="1:26" ht="12.75" customHeight="1">
      <c r="A769" s="224"/>
      <c r="B769" s="226"/>
      <c r="C769" s="224"/>
      <c r="D769" s="224"/>
      <c r="E769" s="224"/>
      <c r="F769" s="224"/>
      <c r="G769" s="224"/>
      <c r="H769" s="224"/>
      <c r="I769" s="224"/>
      <c r="J769" s="224"/>
      <c r="K769" s="224"/>
      <c r="L769" s="224"/>
      <c r="M769" s="224"/>
      <c r="N769" s="224"/>
      <c r="O769" s="224"/>
      <c r="P769" s="224"/>
      <c r="Q769" s="224"/>
      <c r="R769" s="224"/>
      <c r="S769" s="224"/>
      <c r="T769" s="224"/>
      <c r="U769" s="224"/>
      <c r="V769" s="224"/>
      <c r="W769" s="224"/>
      <c r="X769" s="224"/>
      <c r="Y769" s="224"/>
      <c r="Z769" s="224"/>
    </row>
    <row r="770" spans="1:26" ht="12.75" customHeight="1">
      <c r="A770" s="224"/>
      <c r="B770" s="226"/>
      <c r="C770" s="224"/>
      <c r="D770" s="224"/>
      <c r="E770" s="224"/>
      <c r="F770" s="224"/>
      <c r="G770" s="224"/>
      <c r="H770" s="224"/>
      <c r="I770" s="224"/>
      <c r="J770" s="224"/>
      <c r="K770" s="224"/>
      <c r="L770" s="224"/>
      <c r="M770" s="224"/>
      <c r="N770" s="224"/>
      <c r="O770" s="224"/>
      <c r="P770" s="224"/>
      <c r="Q770" s="224"/>
      <c r="R770" s="224"/>
      <c r="S770" s="224"/>
      <c r="T770" s="224"/>
      <c r="U770" s="224"/>
      <c r="V770" s="224"/>
      <c r="W770" s="224"/>
      <c r="X770" s="224"/>
      <c r="Y770" s="224"/>
      <c r="Z770" s="224"/>
    </row>
    <row r="771" spans="1:26" ht="12.75" customHeight="1">
      <c r="A771" s="224"/>
      <c r="B771" s="226"/>
      <c r="C771" s="224"/>
      <c r="D771" s="224"/>
      <c r="E771" s="224"/>
      <c r="F771" s="224"/>
      <c r="G771" s="224"/>
      <c r="H771" s="224"/>
      <c r="I771" s="224"/>
      <c r="J771" s="224"/>
      <c r="K771" s="224"/>
      <c r="L771" s="224"/>
      <c r="M771" s="224"/>
      <c r="N771" s="224"/>
      <c r="O771" s="224"/>
      <c r="P771" s="224"/>
      <c r="Q771" s="224"/>
      <c r="R771" s="224"/>
      <c r="S771" s="224"/>
      <c r="T771" s="224"/>
      <c r="U771" s="224"/>
      <c r="V771" s="224"/>
      <c r="W771" s="224"/>
      <c r="X771" s="224"/>
      <c r="Y771" s="224"/>
      <c r="Z771" s="224"/>
    </row>
    <row r="772" spans="1:26" ht="12.75" customHeight="1">
      <c r="A772" s="224"/>
      <c r="B772" s="226"/>
      <c r="C772" s="224"/>
      <c r="D772" s="224"/>
      <c r="E772" s="224"/>
      <c r="F772" s="224"/>
      <c r="G772" s="224"/>
      <c r="H772" s="224"/>
      <c r="I772" s="224"/>
      <c r="J772" s="224"/>
      <c r="K772" s="224"/>
      <c r="L772" s="224"/>
      <c r="M772" s="224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4"/>
      <c r="Y772" s="224"/>
      <c r="Z772" s="224"/>
    </row>
    <row r="773" spans="1:26" ht="12.75" customHeight="1">
      <c r="A773" s="224"/>
      <c r="B773" s="226"/>
      <c r="C773" s="224"/>
      <c r="D773" s="224"/>
      <c r="E773" s="224"/>
      <c r="F773" s="224"/>
      <c r="G773" s="224"/>
      <c r="H773" s="224"/>
      <c r="I773" s="224"/>
      <c r="J773" s="224"/>
      <c r="K773" s="224"/>
      <c r="L773" s="224"/>
      <c r="M773" s="224"/>
      <c r="N773" s="224"/>
      <c r="O773" s="224"/>
      <c r="P773" s="224"/>
      <c r="Q773" s="224"/>
      <c r="R773" s="224"/>
      <c r="S773" s="224"/>
      <c r="T773" s="224"/>
      <c r="U773" s="224"/>
      <c r="V773" s="224"/>
      <c r="W773" s="224"/>
      <c r="X773" s="224"/>
      <c r="Y773" s="224"/>
      <c r="Z773" s="224"/>
    </row>
    <row r="774" spans="1:26" ht="12.75" customHeight="1">
      <c r="A774" s="224"/>
      <c r="B774" s="226"/>
      <c r="C774" s="224"/>
      <c r="D774" s="224"/>
      <c r="E774" s="224"/>
      <c r="F774" s="224"/>
      <c r="G774" s="224"/>
      <c r="H774" s="224"/>
      <c r="I774" s="224"/>
      <c r="J774" s="224"/>
      <c r="K774" s="224"/>
      <c r="L774" s="224"/>
      <c r="M774" s="224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4"/>
      <c r="Y774" s="224"/>
      <c r="Z774" s="224"/>
    </row>
    <row r="775" spans="1:26" ht="12.75" customHeight="1">
      <c r="A775" s="224"/>
      <c r="B775" s="226"/>
      <c r="C775" s="224"/>
      <c r="D775" s="224"/>
      <c r="E775" s="224"/>
      <c r="F775" s="224"/>
      <c r="G775" s="224"/>
      <c r="H775" s="224"/>
      <c r="I775" s="224"/>
      <c r="J775" s="224"/>
      <c r="K775" s="224"/>
      <c r="L775" s="224"/>
      <c r="M775" s="224"/>
      <c r="N775" s="224"/>
      <c r="O775" s="224"/>
      <c r="P775" s="224"/>
      <c r="Q775" s="224"/>
      <c r="R775" s="224"/>
      <c r="S775" s="224"/>
      <c r="T775" s="224"/>
      <c r="U775" s="224"/>
      <c r="V775" s="224"/>
      <c r="W775" s="224"/>
      <c r="X775" s="224"/>
      <c r="Y775" s="224"/>
      <c r="Z775" s="224"/>
    </row>
    <row r="776" spans="1:26" ht="12.75" customHeight="1">
      <c r="A776" s="224"/>
      <c r="B776" s="226"/>
      <c r="C776" s="224"/>
      <c r="D776" s="224"/>
      <c r="E776" s="224"/>
      <c r="F776" s="224"/>
      <c r="G776" s="224"/>
      <c r="H776" s="224"/>
      <c r="I776" s="224"/>
      <c r="J776" s="224"/>
      <c r="K776" s="224"/>
      <c r="L776" s="224"/>
      <c r="M776" s="224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4"/>
      <c r="Y776" s="224"/>
      <c r="Z776" s="224"/>
    </row>
    <row r="777" spans="1:26" ht="12.75" customHeight="1">
      <c r="A777" s="224"/>
      <c r="B777" s="226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24"/>
      <c r="P777" s="224"/>
      <c r="Q777" s="224"/>
      <c r="R777" s="224"/>
      <c r="S777" s="224"/>
      <c r="T777" s="224"/>
      <c r="U777" s="224"/>
      <c r="V777" s="224"/>
      <c r="W777" s="224"/>
      <c r="X777" s="224"/>
      <c r="Y777" s="224"/>
      <c r="Z777" s="224"/>
    </row>
    <row r="778" spans="1:26" ht="12.75" customHeight="1">
      <c r="A778" s="224"/>
      <c r="B778" s="226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4"/>
      <c r="Y778" s="224"/>
      <c r="Z778" s="224"/>
    </row>
    <row r="779" spans="1:26" ht="12.75" customHeight="1">
      <c r="A779" s="224"/>
      <c r="B779" s="226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24"/>
      <c r="P779" s="224"/>
      <c r="Q779" s="224"/>
      <c r="R779" s="224"/>
      <c r="S779" s="224"/>
      <c r="T779" s="224"/>
      <c r="U779" s="224"/>
      <c r="V779" s="224"/>
      <c r="W779" s="224"/>
      <c r="X779" s="224"/>
      <c r="Y779" s="224"/>
      <c r="Z779" s="224"/>
    </row>
    <row r="780" spans="1:26" ht="12.75" customHeight="1">
      <c r="A780" s="224"/>
      <c r="B780" s="226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4"/>
      <c r="Y780" s="224"/>
      <c r="Z780" s="224"/>
    </row>
    <row r="781" spans="1:26" ht="12.75" customHeight="1">
      <c r="A781" s="224"/>
      <c r="B781" s="226"/>
      <c r="C781" s="224"/>
      <c r="D781" s="224"/>
      <c r="E781" s="224"/>
      <c r="F781" s="224"/>
      <c r="G781" s="224"/>
      <c r="H781" s="224"/>
      <c r="I781" s="224"/>
      <c r="J781" s="224"/>
      <c r="K781" s="224"/>
      <c r="L781" s="224"/>
      <c r="M781" s="224"/>
      <c r="N781" s="224"/>
      <c r="O781" s="224"/>
      <c r="P781" s="224"/>
      <c r="Q781" s="224"/>
      <c r="R781" s="224"/>
      <c r="S781" s="224"/>
      <c r="T781" s="224"/>
      <c r="U781" s="224"/>
      <c r="V781" s="224"/>
      <c r="W781" s="224"/>
      <c r="X781" s="224"/>
      <c r="Y781" s="224"/>
      <c r="Z781" s="224"/>
    </row>
    <row r="782" spans="1:26" ht="12.75" customHeight="1">
      <c r="A782" s="224"/>
      <c r="B782" s="226"/>
      <c r="C782" s="224"/>
      <c r="D782" s="224"/>
      <c r="E782" s="224"/>
      <c r="F782" s="224"/>
      <c r="G782" s="224"/>
      <c r="H782" s="224"/>
      <c r="I782" s="224"/>
      <c r="J782" s="224"/>
      <c r="K782" s="224"/>
      <c r="L782" s="224"/>
      <c r="M782" s="224"/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4"/>
      <c r="Y782" s="224"/>
      <c r="Z782" s="224"/>
    </row>
    <row r="783" spans="1:26" ht="12.75" customHeight="1">
      <c r="A783" s="224"/>
      <c r="B783" s="226"/>
      <c r="C783" s="224"/>
      <c r="D783" s="224"/>
      <c r="E783" s="224"/>
      <c r="F783" s="224"/>
      <c r="G783" s="224"/>
      <c r="H783" s="224"/>
      <c r="I783" s="224"/>
      <c r="J783" s="224"/>
      <c r="K783" s="224"/>
      <c r="L783" s="224"/>
      <c r="M783" s="224"/>
      <c r="N783" s="224"/>
      <c r="O783" s="224"/>
      <c r="P783" s="224"/>
      <c r="Q783" s="224"/>
      <c r="R783" s="224"/>
      <c r="S783" s="224"/>
      <c r="T783" s="224"/>
      <c r="U783" s="224"/>
      <c r="V783" s="224"/>
      <c r="W783" s="224"/>
      <c r="X783" s="224"/>
      <c r="Y783" s="224"/>
      <c r="Z783" s="224"/>
    </row>
    <row r="784" spans="1:26" ht="12.75" customHeight="1">
      <c r="A784" s="224"/>
      <c r="B784" s="226"/>
      <c r="C784" s="224"/>
      <c r="D784" s="224"/>
      <c r="E784" s="224"/>
      <c r="F784" s="224"/>
      <c r="G784" s="224"/>
      <c r="H784" s="224"/>
      <c r="I784" s="224"/>
      <c r="J784" s="224"/>
      <c r="K784" s="224"/>
      <c r="L784" s="224"/>
      <c r="M784" s="224"/>
      <c r="N784" s="224"/>
      <c r="O784" s="224"/>
      <c r="P784" s="224"/>
      <c r="Q784" s="224"/>
      <c r="R784" s="224"/>
      <c r="S784" s="224"/>
      <c r="T784" s="224"/>
      <c r="U784" s="224"/>
      <c r="V784" s="224"/>
      <c r="W784" s="224"/>
      <c r="X784" s="224"/>
      <c r="Y784" s="224"/>
      <c r="Z784" s="224"/>
    </row>
    <row r="785" spans="1:26" ht="12.75" customHeight="1">
      <c r="A785" s="224"/>
      <c r="B785" s="226"/>
      <c r="C785" s="224"/>
      <c r="D785" s="224"/>
      <c r="E785" s="224"/>
      <c r="F785" s="224"/>
      <c r="G785" s="224"/>
      <c r="H785" s="224"/>
      <c r="I785" s="224"/>
      <c r="J785" s="224"/>
      <c r="K785" s="224"/>
      <c r="L785" s="224"/>
      <c r="M785" s="224"/>
      <c r="N785" s="224"/>
      <c r="O785" s="224"/>
      <c r="P785" s="224"/>
      <c r="Q785" s="224"/>
      <c r="R785" s="224"/>
      <c r="S785" s="224"/>
      <c r="T785" s="224"/>
      <c r="U785" s="224"/>
      <c r="V785" s="224"/>
      <c r="W785" s="224"/>
      <c r="X785" s="224"/>
      <c r="Y785" s="224"/>
      <c r="Z785" s="224"/>
    </row>
    <row r="786" spans="1:26" ht="12.75" customHeight="1">
      <c r="A786" s="224"/>
      <c r="B786" s="226"/>
      <c r="C786" s="224"/>
      <c r="D786" s="224"/>
      <c r="E786" s="224"/>
      <c r="F786" s="224"/>
      <c r="G786" s="224"/>
      <c r="H786" s="224"/>
      <c r="I786" s="224"/>
      <c r="J786" s="224"/>
      <c r="K786" s="224"/>
      <c r="L786" s="224"/>
      <c r="M786" s="224"/>
      <c r="N786" s="224"/>
      <c r="O786" s="224"/>
      <c r="P786" s="224"/>
      <c r="Q786" s="224"/>
      <c r="R786" s="224"/>
      <c r="S786" s="224"/>
      <c r="T786" s="224"/>
      <c r="U786" s="224"/>
      <c r="V786" s="224"/>
      <c r="W786" s="224"/>
      <c r="X786" s="224"/>
      <c r="Y786" s="224"/>
      <c r="Z786" s="224"/>
    </row>
    <row r="787" spans="1:26" ht="12.75" customHeight="1">
      <c r="A787" s="224"/>
      <c r="B787" s="226"/>
      <c r="C787" s="224"/>
      <c r="D787" s="224"/>
      <c r="E787" s="224"/>
      <c r="F787" s="224"/>
      <c r="G787" s="224"/>
      <c r="H787" s="224"/>
      <c r="I787" s="224"/>
      <c r="J787" s="224"/>
      <c r="K787" s="224"/>
      <c r="L787" s="224"/>
      <c r="M787" s="224"/>
      <c r="N787" s="224"/>
      <c r="O787" s="224"/>
      <c r="P787" s="224"/>
      <c r="Q787" s="224"/>
      <c r="R787" s="224"/>
      <c r="S787" s="224"/>
      <c r="T787" s="224"/>
      <c r="U787" s="224"/>
      <c r="V787" s="224"/>
      <c r="W787" s="224"/>
      <c r="X787" s="224"/>
      <c r="Y787" s="224"/>
      <c r="Z787" s="224"/>
    </row>
    <row r="788" spans="1:26" ht="12.75" customHeight="1">
      <c r="A788" s="224"/>
      <c r="B788" s="226"/>
      <c r="C788" s="224"/>
      <c r="D788" s="224"/>
      <c r="E788" s="224"/>
      <c r="F788" s="224"/>
      <c r="G788" s="224"/>
      <c r="H788" s="224"/>
      <c r="I788" s="224"/>
      <c r="J788" s="224"/>
      <c r="K788" s="224"/>
      <c r="L788" s="224"/>
      <c r="M788" s="224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4"/>
      <c r="Y788" s="224"/>
      <c r="Z788" s="224"/>
    </row>
    <row r="789" spans="1:26" ht="12.75" customHeight="1">
      <c r="A789" s="224"/>
      <c r="B789" s="226"/>
      <c r="C789" s="224"/>
      <c r="D789" s="224"/>
      <c r="E789" s="224"/>
      <c r="F789" s="224"/>
      <c r="G789" s="224"/>
      <c r="H789" s="224"/>
      <c r="I789" s="224"/>
      <c r="J789" s="224"/>
      <c r="K789" s="224"/>
      <c r="L789" s="224"/>
      <c r="M789" s="224"/>
      <c r="N789" s="224"/>
      <c r="O789" s="224"/>
      <c r="P789" s="224"/>
      <c r="Q789" s="224"/>
      <c r="R789" s="224"/>
      <c r="S789" s="224"/>
      <c r="T789" s="224"/>
      <c r="U789" s="224"/>
      <c r="V789" s="224"/>
      <c r="W789" s="224"/>
      <c r="X789" s="224"/>
      <c r="Y789" s="224"/>
      <c r="Z789" s="224"/>
    </row>
    <row r="790" spans="1:26" ht="12.75" customHeight="1">
      <c r="A790" s="224"/>
      <c r="B790" s="226"/>
      <c r="C790" s="224"/>
      <c r="D790" s="224"/>
      <c r="E790" s="224"/>
      <c r="F790" s="224"/>
      <c r="G790" s="224"/>
      <c r="H790" s="224"/>
      <c r="I790" s="224"/>
      <c r="J790" s="224"/>
      <c r="K790" s="224"/>
      <c r="L790" s="224"/>
      <c r="M790" s="224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4"/>
      <c r="Y790" s="224"/>
      <c r="Z790" s="224"/>
    </row>
    <row r="791" spans="1:26" ht="12.75" customHeight="1">
      <c r="A791" s="224"/>
      <c r="B791" s="226"/>
      <c r="C791" s="224"/>
      <c r="D791" s="224"/>
      <c r="E791" s="224"/>
      <c r="F791" s="224"/>
      <c r="G791" s="224"/>
      <c r="H791" s="224"/>
      <c r="I791" s="224"/>
      <c r="J791" s="224"/>
      <c r="K791" s="224"/>
      <c r="L791" s="224"/>
      <c r="M791" s="224"/>
      <c r="N791" s="224"/>
      <c r="O791" s="224"/>
      <c r="P791" s="224"/>
      <c r="Q791" s="224"/>
      <c r="R791" s="224"/>
      <c r="S791" s="224"/>
      <c r="T791" s="224"/>
      <c r="U791" s="224"/>
      <c r="V791" s="224"/>
      <c r="W791" s="224"/>
      <c r="X791" s="224"/>
      <c r="Y791" s="224"/>
      <c r="Z791" s="224"/>
    </row>
    <row r="792" spans="1:26" ht="12.75" customHeight="1">
      <c r="A792" s="224"/>
      <c r="B792" s="226"/>
      <c r="C792" s="224"/>
      <c r="D792" s="224"/>
      <c r="E792" s="224"/>
      <c r="F792" s="224"/>
      <c r="G792" s="224"/>
      <c r="H792" s="224"/>
      <c r="I792" s="224"/>
      <c r="J792" s="224"/>
      <c r="K792" s="224"/>
      <c r="L792" s="224"/>
      <c r="M792" s="224"/>
      <c r="N792" s="224"/>
      <c r="O792" s="224"/>
      <c r="P792" s="224"/>
      <c r="Q792" s="224"/>
      <c r="R792" s="224"/>
      <c r="S792" s="224"/>
      <c r="T792" s="224"/>
      <c r="U792" s="224"/>
      <c r="V792" s="224"/>
      <c r="W792" s="224"/>
      <c r="X792" s="224"/>
      <c r="Y792" s="224"/>
      <c r="Z792" s="224"/>
    </row>
    <row r="793" spans="1:26" ht="12.75" customHeight="1">
      <c r="A793" s="224"/>
      <c r="B793" s="226"/>
      <c r="C793" s="224"/>
      <c r="D793" s="224"/>
      <c r="E793" s="224"/>
      <c r="F793" s="224"/>
      <c r="G793" s="224"/>
      <c r="H793" s="224"/>
      <c r="I793" s="224"/>
      <c r="J793" s="224"/>
      <c r="K793" s="224"/>
      <c r="L793" s="224"/>
      <c r="M793" s="224"/>
      <c r="N793" s="224"/>
      <c r="O793" s="224"/>
      <c r="P793" s="224"/>
      <c r="Q793" s="224"/>
      <c r="R793" s="224"/>
      <c r="S793" s="224"/>
      <c r="T793" s="224"/>
      <c r="U793" s="224"/>
      <c r="V793" s="224"/>
      <c r="W793" s="224"/>
      <c r="X793" s="224"/>
      <c r="Y793" s="224"/>
      <c r="Z793" s="224"/>
    </row>
    <row r="794" spans="1:26" ht="12.75" customHeight="1">
      <c r="A794" s="224"/>
      <c r="B794" s="226"/>
      <c r="C794" s="224"/>
      <c r="D794" s="224"/>
      <c r="E794" s="224"/>
      <c r="F794" s="224"/>
      <c r="G794" s="224"/>
      <c r="H794" s="224"/>
      <c r="I794" s="224"/>
      <c r="J794" s="224"/>
      <c r="K794" s="224"/>
      <c r="L794" s="224"/>
      <c r="M794" s="224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4"/>
      <c r="Y794" s="224"/>
      <c r="Z794" s="224"/>
    </row>
    <row r="795" spans="1:26" ht="12.75" customHeight="1">
      <c r="A795" s="224"/>
      <c r="B795" s="226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224"/>
      <c r="T795" s="224"/>
      <c r="U795" s="224"/>
      <c r="V795" s="224"/>
      <c r="W795" s="224"/>
      <c r="X795" s="224"/>
      <c r="Y795" s="224"/>
      <c r="Z795" s="224"/>
    </row>
    <row r="796" spans="1:26" ht="12.75" customHeight="1">
      <c r="A796" s="224"/>
      <c r="B796" s="226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4"/>
      <c r="Y796" s="224"/>
      <c r="Z796" s="224"/>
    </row>
    <row r="797" spans="1:26" ht="12.75" customHeight="1">
      <c r="A797" s="224"/>
      <c r="B797" s="226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224"/>
      <c r="T797" s="224"/>
      <c r="U797" s="224"/>
      <c r="V797" s="224"/>
      <c r="W797" s="224"/>
      <c r="X797" s="224"/>
      <c r="Y797" s="224"/>
      <c r="Z797" s="224"/>
    </row>
    <row r="798" spans="1:26" ht="12.75" customHeight="1">
      <c r="A798" s="224"/>
      <c r="B798" s="226"/>
      <c r="C798" s="224"/>
      <c r="D798" s="224"/>
      <c r="E798" s="224"/>
      <c r="F798" s="224"/>
      <c r="G798" s="224"/>
      <c r="H798" s="224"/>
      <c r="I798" s="224"/>
      <c r="J798" s="224"/>
      <c r="K798" s="224"/>
      <c r="L798" s="224"/>
      <c r="M798" s="224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4"/>
      <c r="Y798" s="224"/>
      <c r="Z798" s="224"/>
    </row>
    <row r="799" spans="1:26" ht="12.75" customHeight="1">
      <c r="A799" s="224"/>
      <c r="B799" s="226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224"/>
      <c r="T799" s="224"/>
      <c r="U799" s="224"/>
      <c r="V799" s="224"/>
      <c r="W799" s="224"/>
      <c r="X799" s="224"/>
      <c r="Y799" s="224"/>
      <c r="Z799" s="224"/>
    </row>
    <row r="800" spans="1:26" ht="12.75" customHeight="1">
      <c r="A800" s="224"/>
      <c r="B800" s="226"/>
      <c r="C800" s="224"/>
      <c r="D800" s="224"/>
      <c r="E800" s="224"/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224"/>
      <c r="T800" s="224"/>
      <c r="U800" s="224"/>
      <c r="V800" s="224"/>
      <c r="W800" s="224"/>
      <c r="X800" s="224"/>
      <c r="Y800" s="224"/>
      <c r="Z800" s="224"/>
    </row>
    <row r="801" spans="1:26" ht="12.75" customHeight="1">
      <c r="A801" s="224"/>
      <c r="B801" s="226"/>
      <c r="C801" s="224"/>
      <c r="D801" s="224"/>
      <c r="E801" s="224"/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224"/>
      <c r="T801" s="224"/>
      <c r="U801" s="224"/>
      <c r="V801" s="224"/>
      <c r="W801" s="224"/>
      <c r="X801" s="224"/>
      <c r="Y801" s="224"/>
      <c r="Z801" s="224"/>
    </row>
    <row r="802" spans="1:26" ht="12.75" customHeight="1">
      <c r="A802" s="224"/>
      <c r="B802" s="226"/>
      <c r="C802" s="224"/>
      <c r="D802" s="224"/>
      <c r="E802" s="224"/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4"/>
      <c r="Y802" s="224"/>
      <c r="Z802" s="224"/>
    </row>
    <row r="803" spans="1:26" ht="12.75" customHeight="1">
      <c r="A803" s="224"/>
      <c r="B803" s="226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224"/>
      <c r="T803" s="224"/>
      <c r="U803" s="224"/>
      <c r="V803" s="224"/>
      <c r="W803" s="224"/>
      <c r="X803" s="224"/>
      <c r="Y803" s="224"/>
      <c r="Z803" s="224"/>
    </row>
    <row r="804" spans="1:26" ht="12.75" customHeight="1">
      <c r="A804" s="224"/>
      <c r="B804" s="226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4"/>
      <c r="Y804" s="224"/>
      <c r="Z804" s="224"/>
    </row>
    <row r="805" spans="1:26" ht="12.75" customHeight="1">
      <c r="A805" s="224"/>
      <c r="B805" s="226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224"/>
      <c r="T805" s="224"/>
      <c r="U805" s="224"/>
      <c r="V805" s="224"/>
      <c r="W805" s="224"/>
      <c r="X805" s="224"/>
      <c r="Y805" s="224"/>
      <c r="Z805" s="224"/>
    </row>
    <row r="806" spans="1:26" ht="12.75" customHeight="1">
      <c r="A806" s="224"/>
      <c r="B806" s="226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4"/>
      <c r="Y806" s="224"/>
      <c r="Z806" s="224"/>
    </row>
    <row r="807" spans="1:26" ht="12.75" customHeight="1">
      <c r="A807" s="224"/>
      <c r="B807" s="226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224"/>
      <c r="T807" s="224"/>
      <c r="U807" s="224"/>
      <c r="V807" s="224"/>
      <c r="W807" s="224"/>
      <c r="X807" s="224"/>
      <c r="Y807" s="224"/>
      <c r="Z807" s="224"/>
    </row>
    <row r="808" spans="1:26" ht="12.75" customHeight="1">
      <c r="A808" s="224"/>
      <c r="B808" s="226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4"/>
      <c r="Y808" s="224"/>
      <c r="Z808" s="224"/>
    </row>
    <row r="809" spans="1:26" ht="12.75" customHeight="1">
      <c r="A809" s="224"/>
      <c r="B809" s="226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224"/>
      <c r="T809" s="224"/>
      <c r="U809" s="224"/>
      <c r="V809" s="224"/>
      <c r="W809" s="224"/>
      <c r="X809" s="224"/>
      <c r="Y809" s="224"/>
      <c r="Z809" s="224"/>
    </row>
    <row r="810" spans="1:26" ht="12.75" customHeight="1">
      <c r="A810" s="224"/>
      <c r="B810" s="226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</row>
    <row r="811" spans="1:26" ht="12.75" customHeight="1">
      <c r="A811" s="224"/>
      <c r="B811" s="226"/>
      <c r="C811" s="224"/>
      <c r="D811" s="224"/>
      <c r="E811" s="224"/>
      <c r="F811" s="224"/>
      <c r="G811" s="224"/>
      <c r="H811" s="224"/>
      <c r="I811" s="224"/>
      <c r="J811" s="224"/>
      <c r="K811" s="224"/>
      <c r="L811" s="224"/>
      <c r="M811" s="224"/>
      <c r="N811" s="224"/>
      <c r="O811" s="224"/>
      <c r="P811" s="224"/>
      <c r="Q811" s="224"/>
      <c r="R811" s="224"/>
      <c r="S811" s="224"/>
      <c r="T811" s="224"/>
      <c r="U811" s="224"/>
      <c r="V811" s="224"/>
      <c r="W811" s="224"/>
      <c r="X811" s="224"/>
      <c r="Y811" s="224"/>
      <c r="Z811" s="224"/>
    </row>
    <row r="812" spans="1:26" ht="12.75" customHeight="1">
      <c r="A812" s="224"/>
      <c r="B812" s="226"/>
      <c r="C812" s="224"/>
      <c r="D812" s="224"/>
      <c r="E812" s="224"/>
      <c r="F812" s="224"/>
      <c r="G812" s="224"/>
      <c r="H812" s="224"/>
      <c r="I812" s="224"/>
      <c r="J812" s="224"/>
      <c r="K812" s="224"/>
      <c r="L812" s="224"/>
      <c r="M812" s="224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4"/>
      <c r="Y812" s="224"/>
      <c r="Z812" s="224"/>
    </row>
    <row r="813" spans="1:26" ht="12.75" customHeight="1">
      <c r="A813" s="224"/>
      <c r="B813" s="226"/>
      <c r="C813" s="224"/>
      <c r="D813" s="224"/>
      <c r="E813" s="224"/>
      <c r="F813" s="224"/>
      <c r="G813" s="224"/>
      <c r="H813" s="224"/>
      <c r="I813" s="224"/>
      <c r="J813" s="224"/>
      <c r="K813" s="224"/>
      <c r="L813" s="224"/>
      <c r="M813" s="224"/>
      <c r="N813" s="224"/>
      <c r="O813" s="224"/>
      <c r="P813" s="224"/>
      <c r="Q813" s="224"/>
      <c r="R813" s="224"/>
      <c r="S813" s="224"/>
      <c r="T813" s="224"/>
      <c r="U813" s="224"/>
      <c r="V813" s="224"/>
      <c r="W813" s="224"/>
      <c r="X813" s="224"/>
      <c r="Y813" s="224"/>
      <c r="Z813" s="224"/>
    </row>
    <row r="814" spans="1:26" ht="12.75" customHeight="1">
      <c r="A814" s="224"/>
      <c r="B814" s="226"/>
      <c r="C814" s="224"/>
      <c r="D814" s="224"/>
      <c r="E814" s="224"/>
      <c r="F814" s="224"/>
      <c r="G814" s="224"/>
      <c r="H814" s="224"/>
      <c r="I814" s="224"/>
      <c r="J814" s="224"/>
      <c r="K814" s="224"/>
      <c r="L814" s="224"/>
      <c r="M814" s="224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4"/>
      <c r="Y814" s="224"/>
      <c r="Z814" s="224"/>
    </row>
    <row r="815" spans="1:26" ht="12.75" customHeight="1">
      <c r="A815" s="224"/>
      <c r="B815" s="226"/>
      <c r="C815" s="224"/>
      <c r="D815" s="224"/>
      <c r="E815" s="224"/>
      <c r="F815" s="224"/>
      <c r="G815" s="224"/>
      <c r="H815" s="224"/>
      <c r="I815" s="224"/>
      <c r="J815" s="224"/>
      <c r="K815" s="224"/>
      <c r="L815" s="224"/>
      <c r="M815" s="224"/>
      <c r="N815" s="224"/>
      <c r="O815" s="224"/>
      <c r="P815" s="224"/>
      <c r="Q815" s="224"/>
      <c r="R815" s="224"/>
      <c r="S815" s="224"/>
      <c r="T815" s="224"/>
      <c r="U815" s="224"/>
      <c r="V815" s="224"/>
      <c r="W815" s="224"/>
      <c r="X815" s="224"/>
      <c r="Y815" s="224"/>
      <c r="Z815" s="224"/>
    </row>
    <row r="816" spans="1:26" ht="12.75" customHeight="1">
      <c r="A816" s="224"/>
      <c r="B816" s="226"/>
      <c r="C816" s="224"/>
      <c r="D816" s="224"/>
      <c r="E816" s="224"/>
      <c r="F816" s="224"/>
      <c r="G816" s="224"/>
      <c r="H816" s="224"/>
      <c r="I816" s="224"/>
      <c r="J816" s="224"/>
      <c r="K816" s="224"/>
      <c r="L816" s="224"/>
      <c r="M816" s="224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4"/>
      <c r="Y816" s="224"/>
      <c r="Z816" s="224"/>
    </row>
    <row r="817" spans="1:26" ht="12.75" customHeight="1">
      <c r="A817" s="224"/>
      <c r="B817" s="226"/>
      <c r="C817" s="224"/>
      <c r="D817" s="224"/>
      <c r="E817" s="224"/>
      <c r="F817" s="224"/>
      <c r="G817" s="224"/>
      <c r="H817" s="224"/>
      <c r="I817" s="224"/>
      <c r="J817" s="224"/>
      <c r="K817" s="224"/>
      <c r="L817" s="224"/>
      <c r="M817" s="224"/>
      <c r="N817" s="224"/>
      <c r="O817" s="224"/>
      <c r="P817" s="224"/>
      <c r="Q817" s="224"/>
      <c r="R817" s="224"/>
      <c r="S817" s="224"/>
      <c r="T817" s="224"/>
      <c r="U817" s="224"/>
      <c r="V817" s="224"/>
      <c r="W817" s="224"/>
      <c r="X817" s="224"/>
      <c r="Y817" s="224"/>
      <c r="Z817" s="224"/>
    </row>
    <row r="818" spans="1:26" ht="12.75" customHeight="1">
      <c r="A818" s="224"/>
      <c r="B818" s="226"/>
      <c r="C818" s="224"/>
      <c r="D818" s="224"/>
      <c r="E818" s="224"/>
      <c r="F818" s="224"/>
      <c r="G818" s="224"/>
      <c r="H818" s="224"/>
      <c r="I818" s="224"/>
      <c r="J818" s="224"/>
      <c r="K818" s="224"/>
      <c r="L818" s="224"/>
      <c r="M818" s="224"/>
      <c r="N818" s="224"/>
      <c r="O818" s="224"/>
      <c r="P818" s="224"/>
      <c r="Q818" s="224"/>
      <c r="R818" s="224"/>
      <c r="S818" s="224"/>
      <c r="T818" s="224"/>
      <c r="U818" s="224"/>
      <c r="V818" s="224"/>
      <c r="W818" s="224"/>
      <c r="X818" s="224"/>
      <c r="Y818" s="224"/>
      <c r="Z818" s="224"/>
    </row>
    <row r="819" spans="1:26" ht="12.75" customHeight="1">
      <c r="A819" s="224"/>
      <c r="B819" s="226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</row>
    <row r="820" spans="1:26" ht="12.75" customHeight="1">
      <c r="A820" s="224"/>
      <c r="B820" s="226"/>
      <c r="C820" s="224"/>
      <c r="D820" s="224"/>
      <c r="E820" s="224"/>
      <c r="F820" s="224"/>
      <c r="G820" s="224"/>
      <c r="H820" s="224"/>
      <c r="I820" s="224"/>
      <c r="J820" s="224"/>
      <c r="K820" s="224"/>
      <c r="L820" s="224"/>
      <c r="M820" s="224"/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4"/>
      <c r="Y820" s="224"/>
      <c r="Z820" s="224"/>
    </row>
    <row r="821" spans="1:26" ht="12.75" customHeight="1">
      <c r="A821" s="224"/>
      <c r="B821" s="226"/>
      <c r="C821" s="224"/>
      <c r="D821" s="224"/>
      <c r="E821" s="224"/>
      <c r="F821" s="224"/>
      <c r="G821" s="224"/>
      <c r="H821" s="224"/>
      <c r="I821" s="224"/>
      <c r="J821" s="224"/>
      <c r="K821" s="224"/>
      <c r="L821" s="224"/>
      <c r="M821" s="224"/>
      <c r="N821" s="224"/>
      <c r="O821" s="224"/>
      <c r="P821" s="224"/>
      <c r="Q821" s="224"/>
      <c r="R821" s="224"/>
      <c r="S821" s="224"/>
      <c r="T821" s="224"/>
      <c r="U821" s="224"/>
      <c r="V821" s="224"/>
      <c r="W821" s="224"/>
      <c r="X821" s="224"/>
      <c r="Y821" s="224"/>
      <c r="Z821" s="224"/>
    </row>
    <row r="822" spans="1:26" ht="12.75" customHeight="1">
      <c r="A822" s="224"/>
      <c r="B822" s="226"/>
      <c r="C822" s="224"/>
      <c r="D822" s="224"/>
      <c r="E822" s="224"/>
      <c r="F822" s="224"/>
      <c r="G822" s="224"/>
      <c r="H822" s="224"/>
      <c r="I822" s="224"/>
      <c r="J822" s="224"/>
      <c r="K822" s="224"/>
      <c r="L822" s="224"/>
      <c r="M822" s="224"/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4"/>
      <c r="Y822" s="224"/>
      <c r="Z822" s="224"/>
    </row>
    <row r="823" spans="1:26" ht="12.75" customHeight="1">
      <c r="A823" s="224"/>
      <c r="B823" s="226"/>
      <c r="C823" s="224"/>
      <c r="D823" s="224"/>
      <c r="E823" s="224"/>
      <c r="F823" s="224"/>
      <c r="G823" s="224"/>
      <c r="H823" s="224"/>
      <c r="I823" s="224"/>
      <c r="J823" s="224"/>
      <c r="K823" s="224"/>
      <c r="L823" s="224"/>
      <c r="M823" s="224"/>
      <c r="N823" s="224"/>
      <c r="O823" s="224"/>
      <c r="P823" s="224"/>
      <c r="Q823" s="224"/>
      <c r="R823" s="224"/>
      <c r="S823" s="224"/>
      <c r="T823" s="224"/>
      <c r="U823" s="224"/>
      <c r="V823" s="224"/>
      <c r="W823" s="224"/>
      <c r="X823" s="224"/>
      <c r="Y823" s="224"/>
      <c r="Z823" s="224"/>
    </row>
    <row r="824" spans="1:26" ht="12.75" customHeight="1">
      <c r="A824" s="224"/>
      <c r="B824" s="226"/>
      <c r="C824" s="224"/>
      <c r="D824" s="224"/>
      <c r="E824" s="224"/>
      <c r="F824" s="224"/>
      <c r="G824" s="224"/>
      <c r="H824" s="224"/>
      <c r="I824" s="224"/>
      <c r="J824" s="224"/>
      <c r="K824" s="224"/>
      <c r="L824" s="224"/>
      <c r="M824" s="224"/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4"/>
      <c r="Y824" s="224"/>
      <c r="Z824" s="224"/>
    </row>
    <row r="825" spans="1:26" ht="12.75" customHeight="1">
      <c r="A825" s="224"/>
      <c r="B825" s="226"/>
      <c r="C825" s="224"/>
      <c r="D825" s="224"/>
      <c r="E825" s="224"/>
      <c r="F825" s="224"/>
      <c r="G825" s="224"/>
      <c r="H825" s="224"/>
      <c r="I825" s="224"/>
      <c r="J825" s="224"/>
      <c r="K825" s="224"/>
      <c r="L825" s="224"/>
      <c r="M825" s="224"/>
      <c r="N825" s="224"/>
      <c r="O825" s="224"/>
      <c r="P825" s="224"/>
      <c r="Q825" s="224"/>
      <c r="R825" s="224"/>
      <c r="S825" s="224"/>
      <c r="T825" s="224"/>
      <c r="U825" s="224"/>
      <c r="V825" s="224"/>
      <c r="W825" s="224"/>
      <c r="X825" s="224"/>
      <c r="Y825" s="224"/>
      <c r="Z825" s="224"/>
    </row>
    <row r="826" spans="1:26" ht="12.75" customHeight="1">
      <c r="A826" s="224"/>
      <c r="B826" s="226"/>
      <c r="C826" s="224"/>
      <c r="D826" s="224"/>
      <c r="E826" s="224"/>
      <c r="F826" s="224"/>
      <c r="G826" s="224"/>
      <c r="H826" s="224"/>
      <c r="I826" s="224"/>
      <c r="J826" s="224"/>
      <c r="K826" s="224"/>
      <c r="L826" s="224"/>
      <c r="M826" s="224"/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4"/>
      <c r="Y826" s="224"/>
      <c r="Z826" s="224"/>
    </row>
    <row r="827" spans="1:26" ht="12.75" customHeight="1">
      <c r="A827" s="224"/>
      <c r="B827" s="226"/>
      <c r="C827" s="224"/>
      <c r="D827" s="224"/>
      <c r="E827" s="224"/>
      <c r="F827" s="224"/>
      <c r="G827" s="224"/>
      <c r="H827" s="224"/>
      <c r="I827" s="224"/>
      <c r="J827" s="224"/>
      <c r="K827" s="224"/>
      <c r="L827" s="224"/>
      <c r="M827" s="224"/>
      <c r="N827" s="224"/>
      <c r="O827" s="224"/>
      <c r="P827" s="224"/>
      <c r="Q827" s="224"/>
      <c r="R827" s="224"/>
      <c r="S827" s="224"/>
      <c r="T827" s="224"/>
      <c r="U827" s="224"/>
      <c r="V827" s="224"/>
      <c r="W827" s="224"/>
      <c r="X827" s="224"/>
      <c r="Y827" s="224"/>
      <c r="Z827" s="224"/>
    </row>
    <row r="828" spans="1:26" ht="12.75" customHeight="1">
      <c r="A828" s="224"/>
      <c r="B828" s="226"/>
      <c r="C828" s="224"/>
      <c r="D828" s="224"/>
      <c r="E828" s="224"/>
      <c r="F828" s="224"/>
      <c r="G828" s="224"/>
      <c r="H828" s="224"/>
      <c r="I828" s="224"/>
      <c r="J828" s="224"/>
      <c r="K828" s="224"/>
      <c r="L828" s="224"/>
      <c r="M828" s="224"/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4"/>
      <c r="Y828" s="224"/>
      <c r="Z828" s="224"/>
    </row>
    <row r="829" spans="1:26" ht="12.75" customHeight="1">
      <c r="A829" s="224"/>
      <c r="B829" s="226"/>
      <c r="C829" s="224"/>
      <c r="D829" s="224"/>
      <c r="E829" s="224"/>
      <c r="F829" s="224"/>
      <c r="G829" s="224"/>
      <c r="H829" s="224"/>
      <c r="I829" s="224"/>
      <c r="J829" s="224"/>
      <c r="K829" s="224"/>
      <c r="L829" s="224"/>
      <c r="M829" s="224"/>
      <c r="N829" s="224"/>
      <c r="O829" s="224"/>
      <c r="P829" s="224"/>
      <c r="Q829" s="224"/>
      <c r="R829" s="224"/>
      <c r="S829" s="224"/>
      <c r="T829" s="224"/>
      <c r="U829" s="224"/>
      <c r="V829" s="224"/>
      <c r="W829" s="224"/>
      <c r="X829" s="224"/>
      <c r="Y829" s="224"/>
      <c r="Z829" s="224"/>
    </row>
    <row r="830" spans="1:26" ht="12.75" customHeight="1">
      <c r="A830" s="224"/>
      <c r="B830" s="226"/>
      <c r="C830" s="224"/>
      <c r="D830" s="224"/>
      <c r="E830" s="224"/>
      <c r="F830" s="224"/>
      <c r="G830" s="224"/>
      <c r="H830" s="224"/>
      <c r="I830" s="224"/>
      <c r="J830" s="224"/>
      <c r="K830" s="224"/>
      <c r="L830" s="224"/>
      <c r="M830" s="224"/>
      <c r="N830" s="224"/>
      <c r="O830" s="224"/>
      <c r="P830" s="224"/>
      <c r="Q830" s="224"/>
      <c r="R830" s="224"/>
      <c r="S830" s="224"/>
      <c r="T830" s="224"/>
      <c r="U830" s="224"/>
      <c r="V830" s="224"/>
      <c r="W830" s="224"/>
      <c r="X830" s="224"/>
      <c r="Y830" s="224"/>
      <c r="Z830" s="224"/>
    </row>
    <row r="831" spans="1:26" ht="12.75" customHeight="1">
      <c r="A831" s="224"/>
      <c r="B831" s="226"/>
      <c r="C831" s="224"/>
      <c r="D831" s="224"/>
      <c r="E831" s="224"/>
      <c r="F831" s="224"/>
      <c r="G831" s="224"/>
      <c r="H831" s="224"/>
      <c r="I831" s="224"/>
      <c r="J831" s="224"/>
      <c r="K831" s="224"/>
      <c r="L831" s="224"/>
      <c r="M831" s="224"/>
      <c r="N831" s="224"/>
      <c r="O831" s="224"/>
      <c r="P831" s="224"/>
      <c r="Q831" s="224"/>
      <c r="R831" s="224"/>
      <c r="S831" s="224"/>
      <c r="T831" s="224"/>
      <c r="U831" s="224"/>
      <c r="V831" s="224"/>
      <c r="W831" s="224"/>
      <c r="X831" s="224"/>
      <c r="Y831" s="224"/>
      <c r="Z831" s="224"/>
    </row>
    <row r="832" spans="1:26" ht="12.75" customHeight="1">
      <c r="A832" s="224"/>
      <c r="B832" s="226"/>
      <c r="C832" s="224"/>
      <c r="D832" s="224"/>
      <c r="E832" s="224"/>
      <c r="F832" s="224"/>
      <c r="G832" s="224"/>
      <c r="H832" s="224"/>
      <c r="I832" s="224"/>
      <c r="J832" s="224"/>
      <c r="K832" s="224"/>
      <c r="L832" s="224"/>
      <c r="M832" s="224"/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4"/>
      <c r="Y832" s="224"/>
      <c r="Z832" s="224"/>
    </row>
    <row r="833" spans="1:26" ht="12.75" customHeight="1">
      <c r="A833" s="224"/>
      <c r="B833" s="226"/>
      <c r="C833" s="224"/>
      <c r="D833" s="224"/>
      <c r="E833" s="224"/>
      <c r="F833" s="224"/>
      <c r="G833" s="224"/>
      <c r="H833" s="224"/>
      <c r="I833" s="224"/>
      <c r="J833" s="224"/>
      <c r="K833" s="224"/>
      <c r="L833" s="224"/>
      <c r="M833" s="224"/>
      <c r="N833" s="224"/>
      <c r="O833" s="224"/>
      <c r="P833" s="224"/>
      <c r="Q833" s="224"/>
      <c r="R833" s="224"/>
      <c r="S833" s="224"/>
      <c r="T833" s="224"/>
      <c r="U833" s="224"/>
      <c r="V833" s="224"/>
      <c r="W833" s="224"/>
      <c r="X833" s="224"/>
      <c r="Y833" s="224"/>
      <c r="Z833" s="224"/>
    </row>
    <row r="834" spans="1:26" ht="12.75" customHeight="1">
      <c r="A834" s="224"/>
      <c r="B834" s="226"/>
      <c r="C834" s="224"/>
      <c r="D834" s="224"/>
      <c r="E834" s="224"/>
      <c r="F834" s="224"/>
      <c r="G834" s="224"/>
      <c r="H834" s="224"/>
      <c r="I834" s="224"/>
      <c r="J834" s="224"/>
      <c r="K834" s="224"/>
      <c r="L834" s="224"/>
      <c r="M834" s="224"/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4"/>
      <c r="Y834" s="224"/>
      <c r="Z834" s="224"/>
    </row>
    <row r="835" spans="1:26" ht="12.75" customHeight="1">
      <c r="A835" s="224"/>
      <c r="B835" s="226"/>
      <c r="C835" s="224"/>
      <c r="D835" s="224"/>
      <c r="E835" s="224"/>
      <c r="F835" s="224"/>
      <c r="G835" s="224"/>
      <c r="H835" s="224"/>
      <c r="I835" s="224"/>
      <c r="J835" s="224"/>
      <c r="K835" s="224"/>
      <c r="L835" s="224"/>
      <c r="M835" s="224"/>
      <c r="N835" s="224"/>
      <c r="O835" s="224"/>
      <c r="P835" s="224"/>
      <c r="Q835" s="224"/>
      <c r="R835" s="224"/>
      <c r="S835" s="224"/>
      <c r="T835" s="224"/>
      <c r="U835" s="224"/>
      <c r="V835" s="224"/>
      <c r="W835" s="224"/>
      <c r="X835" s="224"/>
      <c r="Y835" s="224"/>
      <c r="Z835" s="224"/>
    </row>
    <row r="836" spans="1:26" ht="12.75" customHeight="1">
      <c r="A836" s="224"/>
      <c r="B836" s="226"/>
      <c r="C836" s="224"/>
      <c r="D836" s="224"/>
      <c r="E836" s="224"/>
      <c r="F836" s="224"/>
      <c r="G836" s="224"/>
      <c r="H836" s="224"/>
      <c r="I836" s="224"/>
      <c r="J836" s="224"/>
      <c r="K836" s="224"/>
      <c r="L836" s="224"/>
      <c r="M836" s="224"/>
      <c r="N836" s="224"/>
      <c r="O836" s="224"/>
      <c r="P836" s="224"/>
      <c r="Q836" s="224"/>
      <c r="R836" s="224"/>
      <c r="S836" s="224"/>
      <c r="T836" s="224"/>
      <c r="U836" s="224"/>
      <c r="V836" s="224"/>
      <c r="W836" s="224"/>
      <c r="X836" s="224"/>
      <c r="Y836" s="224"/>
      <c r="Z836" s="224"/>
    </row>
    <row r="837" spans="1:26" ht="12.75" customHeight="1">
      <c r="A837" s="224"/>
      <c r="B837" s="226"/>
      <c r="C837" s="224"/>
      <c r="D837" s="224"/>
      <c r="E837" s="224"/>
      <c r="F837" s="224"/>
      <c r="G837" s="224"/>
      <c r="H837" s="224"/>
      <c r="I837" s="224"/>
      <c r="J837" s="224"/>
      <c r="K837" s="224"/>
      <c r="L837" s="224"/>
      <c r="M837" s="224"/>
      <c r="N837" s="224"/>
      <c r="O837" s="224"/>
      <c r="P837" s="224"/>
      <c r="Q837" s="224"/>
      <c r="R837" s="224"/>
      <c r="S837" s="224"/>
      <c r="T837" s="224"/>
      <c r="U837" s="224"/>
      <c r="V837" s="224"/>
      <c r="W837" s="224"/>
      <c r="X837" s="224"/>
      <c r="Y837" s="224"/>
      <c r="Z837" s="224"/>
    </row>
    <row r="838" spans="1:26" ht="12.75" customHeight="1">
      <c r="A838" s="224"/>
      <c r="B838" s="226"/>
      <c r="C838" s="224"/>
      <c r="D838" s="224"/>
      <c r="E838" s="224"/>
      <c r="F838" s="224"/>
      <c r="G838" s="224"/>
      <c r="H838" s="224"/>
      <c r="I838" s="224"/>
      <c r="J838" s="224"/>
      <c r="K838" s="224"/>
      <c r="L838" s="224"/>
      <c r="M838" s="224"/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4"/>
      <c r="Y838" s="224"/>
      <c r="Z838" s="224"/>
    </row>
    <row r="839" spans="1:26" ht="12.75" customHeight="1">
      <c r="A839" s="224"/>
      <c r="B839" s="226"/>
      <c r="C839" s="224"/>
      <c r="D839" s="224"/>
      <c r="E839" s="224"/>
      <c r="F839" s="224"/>
      <c r="G839" s="224"/>
      <c r="H839" s="224"/>
      <c r="I839" s="224"/>
      <c r="J839" s="224"/>
      <c r="K839" s="224"/>
      <c r="L839" s="224"/>
      <c r="M839" s="224"/>
      <c r="N839" s="224"/>
      <c r="O839" s="224"/>
      <c r="P839" s="224"/>
      <c r="Q839" s="224"/>
      <c r="R839" s="224"/>
      <c r="S839" s="224"/>
      <c r="T839" s="224"/>
      <c r="U839" s="224"/>
      <c r="V839" s="224"/>
      <c r="W839" s="224"/>
      <c r="X839" s="224"/>
      <c r="Y839" s="224"/>
      <c r="Z839" s="224"/>
    </row>
    <row r="840" spans="1:26" ht="12.75" customHeight="1">
      <c r="A840" s="224"/>
      <c r="B840" s="226"/>
      <c r="C840" s="224"/>
      <c r="D840" s="224"/>
      <c r="E840" s="224"/>
      <c r="F840" s="224"/>
      <c r="G840" s="224"/>
      <c r="H840" s="224"/>
      <c r="I840" s="224"/>
      <c r="J840" s="224"/>
      <c r="K840" s="224"/>
      <c r="L840" s="224"/>
      <c r="M840" s="224"/>
      <c r="N840" s="224"/>
      <c r="O840" s="224"/>
      <c r="P840" s="224"/>
      <c r="Q840" s="224"/>
      <c r="R840" s="224"/>
      <c r="S840" s="224"/>
      <c r="T840" s="224"/>
      <c r="U840" s="224"/>
      <c r="V840" s="224"/>
      <c r="W840" s="224"/>
      <c r="X840" s="224"/>
      <c r="Y840" s="224"/>
      <c r="Z840" s="224"/>
    </row>
    <row r="841" spans="1:26" ht="12.75" customHeight="1">
      <c r="A841" s="224"/>
      <c r="B841" s="226"/>
      <c r="C841" s="224"/>
      <c r="D841" s="224"/>
      <c r="E841" s="224"/>
      <c r="F841" s="224"/>
      <c r="G841" s="224"/>
      <c r="H841" s="224"/>
      <c r="I841" s="224"/>
      <c r="J841" s="224"/>
      <c r="K841" s="224"/>
      <c r="L841" s="224"/>
      <c r="M841" s="224"/>
      <c r="N841" s="224"/>
      <c r="O841" s="224"/>
      <c r="P841" s="224"/>
      <c r="Q841" s="224"/>
      <c r="R841" s="224"/>
      <c r="S841" s="224"/>
      <c r="T841" s="224"/>
      <c r="U841" s="224"/>
      <c r="V841" s="224"/>
      <c r="W841" s="224"/>
      <c r="X841" s="224"/>
      <c r="Y841" s="224"/>
      <c r="Z841" s="224"/>
    </row>
    <row r="842" spans="1:26" ht="12.75" customHeight="1">
      <c r="A842" s="224"/>
      <c r="B842" s="226"/>
      <c r="C842" s="224"/>
      <c r="D842" s="224"/>
      <c r="E842" s="224"/>
      <c r="F842" s="224"/>
      <c r="G842" s="224"/>
      <c r="H842" s="224"/>
      <c r="I842" s="224"/>
      <c r="J842" s="224"/>
      <c r="K842" s="224"/>
      <c r="L842" s="224"/>
      <c r="M842" s="224"/>
      <c r="N842" s="224"/>
      <c r="O842" s="224"/>
      <c r="P842" s="224"/>
      <c r="Q842" s="224"/>
      <c r="R842" s="224"/>
      <c r="S842" s="224"/>
      <c r="T842" s="224"/>
      <c r="U842" s="224"/>
      <c r="V842" s="224"/>
      <c r="W842" s="224"/>
      <c r="X842" s="224"/>
      <c r="Y842" s="224"/>
      <c r="Z842" s="224"/>
    </row>
    <row r="843" spans="1:26" ht="12.75" customHeight="1">
      <c r="A843" s="224"/>
      <c r="B843" s="226"/>
      <c r="C843" s="224"/>
      <c r="D843" s="224"/>
      <c r="E843" s="224"/>
      <c r="F843" s="224"/>
      <c r="G843" s="224"/>
      <c r="H843" s="224"/>
      <c r="I843" s="224"/>
      <c r="J843" s="224"/>
      <c r="K843" s="224"/>
      <c r="L843" s="224"/>
      <c r="M843" s="224"/>
      <c r="N843" s="224"/>
      <c r="O843" s="224"/>
      <c r="P843" s="224"/>
      <c r="Q843" s="224"/>
      <c r="R843" s="224"/>
      <c r="S843" s="224"/>
      <c r="T843" s="224"/>
      <c r="U843" s="224"/>
      <c r="V843" s="224"/>
      <c r="W843" s="224"/>
      <c r="X843" s="224"/>
      <c r="Y843" s="224"/>
      <c r="Z843" s="224"/>
    </row>
    <row r="844" spans="1:26" ht="12.75" customHeight="1">
      <c r="A844" s="224"/>
      <c r="B844" s="226"/>
      <c r="C844" s="224"/>
      <c r="D844" s="224"/>
      <c r="E844" s="224"/>
      <c r="F844" s="224"/>
      <c r="G844" s="224"/>
      <c r="H844" s="224"/>
      <c r="I844" s="224"/>
      <c r="J844" s="224"/>
      <c r="K844" s="224"/>
      <c r="L844" s="224"/>
      <c r="M844" s="224"/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4"/>
      <c r="Y844" s="224"/>
      <c r="Z844" s="224"/>
    </row>
    <row r="845" spans="1:26" ht="12.75" customHeight="1">
      <c r="A845" s="224"/>
      <c r="B845" s="226"/>
      <c r="C845" s="224"/>
      <c r="D845" s="224"/>
      <c r="E845" s="224"/>
      <c r="F845" s="224"/>
      <c r="G845" s="224"/>
      <c r="H845" s="224"/>
      <c r="I845" s="224"/>
      <c r="J845" s="224"/>
      <c r="K845" s="224"/>
      <c r="L845" s="224"/>
      <c r="M845" s="224"/>
      <c r="N845" s="224"/>
      <c r="O845" s="224"/>
      <c r="P845" s="224"/>
      <c r="Q845" s="224"/>
      <c r="R845" s="224"/>
      <c r="S845" s="224"/>
      <c r="T845" s="224"/>
      <c r="U845" s="224"/>
      <c r="V845" s="224"/>
      <c r="W845" s="224"/>
      <c r="X845" s="224"/>
      <c r="Y845" s="224"/>
      <c r="Z845" s="224"/>
    </row>
    <row r="846" spans="1:26" ht="12.75" customHeight="1">
      <c r="A846" s="224"/>
      <c r="B846" s="226"/>
      <c r="C846" s="224"/>
      <c r="D846" s="224"/>
      <c r="E846" s="224"/>
      <c r="F846" s="224"/>
      <c r="G846" s="224"/>
      <c r="H846" s="224"/>
      <c r="I846" s="224"/>
      <c r="J846" s="224"/>
      <c r="K846" s="224"/>
      <c r="L846" s="224"/>
      <c r="M846" s="224"/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4"/>
      <c r="Y846" s="224"/>
      <c r="Z846" s="224"/>
    </row>
    <row r="847" spans="1:26" ht="12.75" customHeight="1">
      <c r="A847" s="224"/>
      <c r="B847" s="226"/>
      <c r="C847" s="224"/>
      <c r="D847" s="224"/>
      <c r="E847" s="224"/>
      <c r="F847" s="224"/>
      <c r="G847" s="224"/>
      <c r="H847" s="224"/>
      <c r="I847" s="224"/>
      <c r="J847" s="224"/>
      <c r="K847" s="224"/>
      <c r="L847" s="224"/>
      <c r="M847" s="224"/>
      <c r="N847" s="224"/>
      <c r="O847" s="224"/>
      <c r="P847" s="224"/>
      <c r="Q847" s="224"/>
      <c r="R847" s="224"/>
      <c r="S847" s="224"/>
      <c r="T847" s="224"/>
      <c r="U847" s="224"/>
      <c r="V847" s="224"/>
      <c r="W847" s="224"/>
      <c r="X847" s="224"/>
      <c r="Y847" s="224"/>
      <c r="Z847" s="224"/>
    </row>
    <row r="848" spans="1:26" ht="12.75" customHeight="1">
      <c r="A848" s="224"/>
      <c r="B848" s="226"/>
      <c r="C848" s="224"/>
      <c r="D848" s="224"/>
      <c r="E848" s="224"/>
      <c r="F848" s="224"/>
      <c r="G848" s="224"/>
      <c r="H848" s="224"/>
      <c r="I848" s="224"/>
      <c r="J848" s="224"/>
      <c r="K848" s="224"/>
      <c r="L848" s="224"/>
      <c r="M848" s="224"/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4"/>
      <c r="Y848" s="224"/>
      <c r="Z848" s="224"/>
    </row>
    <row r="849" spans="1:26" ht="12.75" customHeight="1">
      <c r="A849" s="224"/>
      <c r="B849" s="226"/>
      <c r="C849" s="224"/>
      <c r="D849" s="224"/>
      <c r="E849" s="224"/>
      <c r="F849" s="224"/>
      <c r="G849" s="224"/>
      <c r="H849" s="224"/>
      <c r="I849" s="224"/>
      <c r="J849" s="224"/>
      <c r="K849" s="224"/>
      <c r="L849" s="224"/>
      <c r="M849" s="224"/>
      <c r="N849" s="224"/>
      <c r="O849" s="224"/>
      <c r="P849" s="224"/>
      <c r="Q849" s="224"/>
      <c r="R849" s="224"/>
      <c r="S849" s="224"/>
      <c r="T849" s="224"/>
      <c r="U849" s="224"/>
      <c r="V849" s="224"/>
      <c r="W849" s="224"/>
      <c r="X849" s="224"/>
      <c r="Y849" s="224"/>
      <c r="Z849" s="224"/>
    </row>
    <row r="850" spans="1:26" ht="12.75" customHeight="1">
      <c r="A850" s="224"/>
      <c r="B850" s="226"/>
      <c r="C850" s="224"/>
      <c r="D850" s="224"/>
      <c r="E850" s="224"/>
      <c r="F850" s="224"/>
      <c r="G850" s="224"/>
      <c r="H850" s="224"/>
      <c r="I850" s="224"/>
      <c r="J850" s="224"/>
      <c r="K850" s="224"/>
      <c r="L850" s="224"/>
      <c r="M850" s="224"/>
      <c r="N850" s="224"/>
      <c r="O850" s="224"/>
      <c r="P850" s="224"/>
      <c r="Q850" s="224"/>
      <c r="R850" s="224"/>
      <c r="S850" s="224"/>
      <c r="T850" s="224"/>
      <c r="U850" s="224"/>
      <c r="V850" s="224"/>
      <c r="W850" s="224"/>
      <c r="X850" s="224"/>
      <c r="Y850" s="224"/>
      <c r="Z850" s="224"/>
    </row>
    <row r="851" spans="1:26" ht="12.75" customHeight="1">
      <c r="A851" s="224"/>
      <c r="B851" s="226"/>
      <c r="C851" s="224"/>
      <c r="D851" s="224"/>
      <c r="E851" s="224"/>
      <c r="F851" s="224"/>
      <c r="G851" s="224"/>
      <c r="H851" s="224"/>
      <c r="I851" s="224"/>
      <c r="J851" s="224"/>
      <c r="K851" s="224"/>
      <c r="L851" s="224"/>
      <c r="M851" s="224"/>
      <c r="N851" s="224"/>
      <c r="O851" s="224"/>
      <c r="P851" s="224"/>
      <c r="Q851" s="224"/>
      <c r="R851" s="224"/>
      <c r="S851" s="224"/>
      <c r="T851" s="224"/>
      <c r="U851" s="224"/>
      <c r="V851" s="224"/>
      <c r="W851" s="224"/>
      <c r="X851" s="224"/>
      <c r="Y851" s="224"/>
      <c r="Z851" s="224"/>
    </row>
    <row r="852" spans="1:26" ht="12.75" customHeight="1">
      <c r="A852" s="224"/>
      <c r="B852" s="226"/>
      <c r="C852" s="224"/>
      <c r="D852" s="224"/>
      <c r="E852" s="224"/>
      <c r="F852" s="224"/>
      <c r="G852" s="224"/>
      <c r="H852" s="224"/>
      <c r="I852" s="224"/>
      <c r="J852" s="224"/>
      <c r="K852" s="224"/>
      <c r="L852" s="224"/>
      <c r="M852" s="224"/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4"/>
      <c r="Y852" s="224"/>
      <c r="Z852" s="224"/>
    </row>
    <row r="853" spans="1:26" ht="12.75" customHeight="1">
      <c r="A853" s="224"/>
      <c r="B853" s="226"/>
      <c r="C853" s="224"/>
      <c r="D853" s="224"/>
      <c r="E853" s="224"/>
      <c r="F853" s="224"/>
      <c r="G853" s="224"/>
      <c r="H853" s="224"/>
      <c r="I853" s="224"/>
      <c r="J853" s="224"/>
      <c r="K853" s="224"/>
      <c r="L853" s="224"/>
      <c r="M853" s="224"/>
      <c r="N853" s="224"/>
      <c r="O853" s="224"/>
      <c r="P853" s="224"/>
      <c r="Q853" s="224"/>
      <c r="R853" s="224"/>
      <c r="S853" s="224"/>
      <c r="T853" s="224"/>
      <c r="U853" s="224"/>
      <c r="V853" s="224"/>
      <c r="W853" s="224"/>
      <c r="X853" s="224"/>
      <c r="Y853" s="224"/>
      <c r="Z853" s="224"/>
    </row>
    <row r="854" spans="1:26" ht="12.75" customHeight="1">
      <c r="A854" s="224"/>
      <c r="B854" s="226"/>
      <c r="C854" s="224"/>
      <c r="D854" s="224"/>
      <c r="E854" s="224"/>
      <c r="F854" s="224"/>
      <c r="G854" s="224"/>
      <c r="H854" s="224"/>
      <c r="I854" s="224"/>
      <c r="J854" s="224"/>
      <c r="K854" s="224"/>
      <c r="L854" s="224"/>
      <c r="M854" s="224"/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4"/>
      <c r="Y854" s="224"/>
      <c r="Z854" s="224"/>
    </row>
    <row r="855" spans="1:26" ht="12.75" customHeight="1">
      <c r="A855" s="224"/>
      <c r="B855" s="226"/>
      <c r="C855" s="224"/>
      <c r="D855" s="224"/>
      <c r="E855" s="224"/>
      <c r="F855" s="224"/>
      <c r="G855" s="224"/>
      <c r="H855" s="224"/>
      <c r="I855" s="224"/>
      <c r="J855" s="224"/>
      <c r="K855" s="224"/>
      <c r="L855" s="224"/>
      <c r="M855" s="224"/>
      <c r="N855" s="224"/>
      <c r="O855" s="224"/>
      <c r="P855" s="224"/>
      <c r="Q855" s="224"/>
      <c r="R855" s="224"/>
      <c r="S855" s="224"/>
      <c r="T855" s="224"/>
      <c r="U855" s="224"/>
      <c r="V855" s="224"/>
      <c r="W855" s="224"/>
      <c r="X855" s="224"/>
      <c r="Y855" s="224"/>
      <c r="Z855" s="224"/>
    </row>
    <row r="856" spans="1:26" ht="12.75" customHeight="1">
      <c r="A856" s="224"/>
      <c r="B856" s="226"/>
      <c r="C856" s="224"/>
      <c r="D856" s="224"/>
      <c r="E856" s="224"/>
      <c r="F856" s="224"/>
      <c r="G856" s="224"/>
      <c r="H856" s="224"/>
      <c r="I856" s="224"/>
      <c r="J856" s="224"/>
      <c r="K856" s="224"/>
      <c r="L856" s="224"/>
      <c r="M856" s="224"/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4"/>
      <c r="Y856" s="224"/>
      <c r="Z856" s="224"/>
    </row>
    <row r="857" spans="1:26" ht="12.75" customHeight="1">
      <c r="A857" s="224"/>
      <c r="B857" s="226"/>
      <c r="C857" s="224"/>
      <c r="D857" s="224"/>
      <c r="E857" s="224"/>
      <c r="F857" s="224"/>
      <c r="G857" s="224"/>
      <c r="H857" s="224"/>
      <c r="I857" s="224"/>
      <c r="J857" s="224"/>
      <c r="K857" s="224"/>
      <c r="L857" s="224"/>
      <c r="M857" s="224"/>
      <c r="N857" s="224"/>
      <c r="O857" s="224"/>
      <c r="P857" s="224"/>
      <c r="Q857" s="224"/>
      <c r="R857" s="224"/>
      <c r="S857" s="224"/>
      <c r="T857" s="224"/>
      <c r="U857" s="224"/>
      <c r="V857" s="224"/>
      <c r="W857" s="224"/>
      <c r="X857" s="224"/>
      <c r="Y857" s="224"/>
      <c r="Z857" s="224"/>
    </row>
    <row r="858" spans="1:26" ht="12.75" customHeight="1">
      <c r="A858" s="224"/>
      <c r="B858" s="226"/>
      <c r="C858" s="224"/>
      <c r="D858" s="224"/>
      <c r="E858" s="224"/>
      <c r="F858" s="224"/>
      <c r="G858" s="224"/>
      <c r="H858" s="224"/>
      <c r="I858" s="224"/>
      <c r="J858" s="224"/>
      <c r="K858" s="224"/>
      <c r="L858" s="224"/>
      <c r="M858" s="224"/>
      <c r="N858" s="224"/>
      <c r="O858" s="224"/>
      <c r="P858" s="224"/>
      <c r="Q858" s="224"/>
      <c r="R858" s="224"/>
      <c r="S858" s="224"/>
      <c r="T858" s="224"/>
      <c r="U858" s="224"/>
      <c r="V858" s="224"/>
      <c r="W858" s="224"/>
      <c r="X858" s="224"/>
      <c r="Y858" s="224"/>
      <c r="Z858" s="224"/>
    </row>
    <row r="859" spans="1:26" ht="12.75" customHeight="1">
      <c r="A859" s="224"/>
      <c r="B859" s="226"/>
      <c r="C859" s="224"/>
      <c r="D859" s="224"/>
      <c r="E859" s="224"/>
      <c r="F859" s="224"/>
      <c r="G859" s="224"/>
      <c r="H859" s="224"/>
      <c r="I859" s="224"/>
      <c r="J859" s="224"/>
      <c r="K859" s="224"/>
      <c r="L859" s="224"/>
      <c r="M859" s="224"/>
      <c r="N859" s="224"/>
      <c r="O859" s="224"/>
      <c r="P859" s="224"/>
      <c r="Q859" s="224"/>
      <c r="R859" s="224"/>
      <c r="S859" s="224"/>
      <c r="T859" s="224"/>
      <c r="U859" s="224"/>
      <c r="V859" s="224"/>
      <c r="W859" s="224"/>
      <c r="X859" s="224"/>
      <c r="Y859" s="224"/>
      <c r="Z859" s="224"/>
    </row>
    <row r="860" spans="1:26" ht="12.75" customHeight="1">
      <c r="A860" s="224"/>
      <c r="B860" s="226"/>
      <c r="C860" s="224"/>
      <c r="D860" s="224"/>
      <c r="E860" s="224"/>
      <c r="F860" s="224"/>
      <c r="G860" s="224"/>
      <c r="H860" s="224"/>
      <c r="I860" s="224"/>
      <c r="J860" s="224"/>
      <c r="K860" s="224"/>
      <c r="L860" s="224"/>
      <c r="M860" s="224"/>
      <c r="N860" s="224"/>
      <c r="O860" s="224"/>
      <c r="P860" s="224"/>
      <c r="Q860" s="224"/>
      <c r="R860" s="224"/>
      <c r="S860" s="224"/>
      <c r="T860" s="224"/>
      <c r="U860" s="224"/>
      <c r="V860" s="224"/>
      <c r="W860" s="224"/>
      <c r="X860" s="224"/>
      <c r="Y860" s="224"/>
      <c r="Z860" s="224"/>
    </row>
    <row r="861" spans="1:26" ht="12.75" customHeight="1">
      <c r="A861" s="224"/>
      <c r="B861" s="226"/>
      <c r="C861" s="224"/>
      <c r="D861" s="224"/>
      <c r="E861" s="224"/>
      <c r="F861" s="224"/>
      <c r="G861" s="224"/>
      <c r="H861" s="224"/>
      <c r="I861" s="224"/>
      <c r="J861" s="224"/>
      <c r="K861" s="224"/>
      <c r="L861" s="224"/>
      <c r="M861" s="224"/>
      <c r="N861" s="224"/>
      <c r="O861" s="224"/>
      <c r="P861" s="224"/>
      <c r="Q861" s="224"/>
      <c r="R861" s="224"/>
      <c r="S861" s="224"/>
      <c r="T861" s="224"/>
      <c r="U861" s="224"/>
      <c r="V861" s="224"/>
      <c r="W861" s="224"/>
      <c r="X861" s="224"/>
      <c r="Y861" s="224"/>
      <c r="Z861" s="224"/>
    </row>
    <row r="862" spans="1:26" ht="12.75" customHeight="1">
      <c r="A862" s="224"/>
      <c r="B862" s="226"/>
      <c r="C862" s="224"/>
      <c r="D862" s="224"/>
      <c r="E862" s="224"/>
      <c r="F862" s="224"/>
      <c r="G862" s="224"/>
      <c r="H862" s="224"/>
      <c r="I862" s="224"/>
      <c r="J862" s="224"/>
      <c r="K862" s="224"/>
      <c r="L862" s="224"/>
      <c r="M862" s="224"/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4"/>
      <c r="Y862" s="224"/>
      <c r="Z862" s="224"/>
    </row>
    <row r="863" spans="1:26" ht="12.75" customHeight="1">
      <c r="A863" s="224"/>
      <c r="B863" s="226"/>
      <c r="C863" s="224"/>
      <c r="D863" s="224"/>
      <c r="E863" s="224"/>
      <c r="F863" s="224"/>
      <c r="G863" s="224"/>
      <c r="H863" s="224"/>
      <c r="I863" s="224"/>
      <c r="J863" s="224"/>
      <c r="K863" s="224"/>
      <c r="L863" s="224"/>
      <c r="M863" s="224"/>
      <c r="N863" s="224"/>
      <c r="O863" s="224"/>
      <c r="P863" s="224"/>
      <c r="Q863" s="224"/>
      <c r="R863" s="224"/>
      <c r="S863" s="224"/>
      <c r="T863" s="224"/>
      <c r="U863" s="224"/>
      <c r="V863" s="224"/>
      <c r="W863" s="224"/>
      <c r="X863" s="224"/>
      <c r="Y863" s="224"/>
      <c r="Z863" s="224"/>
    </row>
    <row r="864" spans="1:26" ht="12.75" customHeight="1">
      <c r="A864" s="224"/>
      <c r="B864" s="226"/>
      <c r="C864" s="224"/>
      <c r="D864" s="224"/>
      <c r="E864" s="224"/>
      <c r="F864" s="224"/>
      <c r="G864" s="224"/>
      <c r="H864" s="224"/>
      <c r="I864" s="224"/>
      <c r="J864" s="224"/>
      <c r="K864" s="224"/>
      <c r="L864" s="224"/>
      <c r="M864" s="224"/>
      <c r="N864" s="224"/>
      <c r="O864" s="224"/>
      <c r="P864" s="224"/>
      <c r="Q864" s="224"/>
      <c r="R864" s="224"/>
      <c r="S864" s="224"/>
      <c r="T864" s="224"/>
      <c r="U864" s="224"/>
      <c r="V864" s="224"/>
      <c r="W864" s="224"/>
      <c r="X864" s="224"/>
      <c r="Y864" s="224"/>
      <c r="Z864" s="224"/>
    </row>
    <row r="865" spans="1:26" ht="12.75" customHeight="1">
      <c r="A865" s="224"/>
      <c r="B865" s="226"/>
      <c r="C865" s="224"/>
      <c r="D865" s="224"/>
      <c r="E865" s="224"/>
      <c r="F865" s="224"/>
      <c r="G865" s="224"/>
      <c r="H865" s="224"/>
      <c r="I865" s="224"/>
      <c r="J865" s="224"/>
      <c r="K865" s="224"/>
      <c r="L865" s="224"/>
      <c r="M865" s="224"/>
      <c r="N865" s="224"/>
      <c r="O865" s="224"/>
      <c r="P865" s="224"/>
      <c r="Q865" s="224"/>
      <c r="R865" s="224"/>
      <c r="S865" s="224"/>
      <c r="T865" s="224"/>
      <c r="U865" s="224"/>
      <c r="V865" s="224"/>
      <c r="W865" s="224"/>
      <c r="X865" s="224"/>
      <c r="Y865" s="224"/>
      <c r="Z865" s="224"/>
    </row>
    <row r="866" spans="1:26" ht="12.75" customHeight="1">
      <c r="A866" s="224"/>
      <c r="B866" s="226"/>
      <c r="C866" s="224"/>
      <c r="D866" s="224"/>
      <c r="E866" s="224"/>
      <c r="F866" s="224"/>
      <c r="G866" s="224"/>
      <c r="H866" s="224"/>
      <c r="I866" s="224"/>
      <c r="J866" s="224"/>
      <c r="K866" s="224"/>
      <c r="L866" s="224"/>
      <c r="M866" s="224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4"/>
      <c r="Y866" s="224"/>
      <c r="Z866" s="224"/>
    </row>
    <row r="867" spans="1:26" ht="12.75" customHeight="1">
      <c r="A867" s="224"/>
      <c r="B867" s="226"/>
      <c r="C867" s="224"/>
      <c r="D867" s="224"/>
      <c r="E867" s="224"/>
      <c r="F867" s="224"/>
      <c r="G867" s="224"/>
      <c r="H867" s="224"/>
      <c r="I867" s="224"/>
      <c r="J867" s="224"/>
      <c r="K867" s="224"/>
      <c r="L867" s="224"/>
      <c r="M867" s="224"/>
      <c r="N867" s="224"/>
      <c r="O867" s="224"/>
      <c r="P867" s="224"/>
      <c r="Q867" s="224"/>
      <c r="R867" s="224"/>
      <c r="S867" s="224"/>
      <c r="T867" s="224"/>
      <c r="U867" s="224"/>
      <c r="V867" s="224"/>
      <c r="W867" s="224"/>
      <c r="X867" s="224"/>
      <c r="Y867" s="224"/>
      <c r="Z867" s="224"/>
    </row>
    <row r="868" spans="1:26" ht="12.75" customHeight="1">
      <c r="A868" s="224"/>
      <c r="B868" s="226"/>
      <c r="C868" s="224"/>
      <c r="D868" s="224"/>
      <c r="E868" s="224"/>
      <c r="F868" s="224"/>
      <c r="G868" s="224"/>
      <c r="H868" s="224"/>
      <c r="I868" s="224"/>
      <c r="J868" s="224"/>
      <c r="K868" s="224"/>
      <c r="L868" s="224"/>
      <c r="M868" s="224"/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4"/>
      <c r="Y868" s="224"/>
      <c r="Z868" s="224"/>
    </row>
    <row r="869" spans="1:26" ht="12.75" customHeight="1">
      <c r="A869" s="224"/>
      <c r="B869" s="226"/>
      <c r="C869" s="224"/>
      <c r="D869" s="224"/>
      <c r="E869" s="224"/>
      <c r="F869" s="224"/>
      <c r="G869" s="224"/>
      <c r="H869" s="224"/>
      <c r="I869" s="224"/>
      <c r="J869" s="224"/>
      <c r="K869" s="224"/>
      <c r="L869" s="224"/>
      <c r="M869" s="224"/>
      <c r="N869" s="224"/>
      <c r="O869" s="224"/>
      <c r="P869" s="224"/>
      <c r="Q869" s="224"/>
      <c r="R869" s="224"/>
      <c r="S869" s="224"/>
      <c r="T869" s="224"/>
      <c r="U869" s="224"/>
      <c r="V869" s="224"/>
      <c r="W869" s="224"/>
      <c r="X869" s="224"/>
      <c r="Y869" s="224"/>
      <c r="Z869" s="224"/>
    </row>
    <row r="870" spans="1:26" ht="12.75" customHeight="1">
      <c r="A870" s="224"/>
      <c r="B870" s="226"/>
      <c r="C870" s="224"/>
      <c r="D870" s="224"/>
      <c r="E870" s="224"/>
      <c r="F870" s="224"/>
      <c r="G870" s="224"/>
      <c r="H870" s="224"/>
      <c r="I870" s="224"/>
      <c r="J870" s="224"/>
      <c r="K870" s="224"/>
      <c r="L870" s="224"/>
      <c r="M870" s="224"/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4"/>
      <c r="Y870" s="224"/>
      <c r="Z870" s="224"/>
    </row>
    <row r="871" spans="1:26" ht="12.75" customHeight="1">
      <c r="A871" s="224"/>
      <c r="B871" s="226"/>
      <c r="C871" s="224"/>
      <c r="D871" s="224"/>
      <c r="E871" s="224"/>
      <c r="F871" s="224"/>
      <c r="G871" s="224"/>
      <c r="H871" s="224"/>
      <c r="I871" s="224"/>
      <c r="J871" s="224"/>
      <c r="K871" s="224"/>
      <c r="L871" s="224"/>
      <c r="M871" s="224"/>
      <c r="N871" s="224"/>
      <c r="O871" s="224"/>
      <c r="P871" s="224"/>
      <c r="Q871" s="224"/>
      <c r="R871" s="224"/>
      <c r="S871" s="224"/>
      <c r="T871" s="224"/>
      <c r="U871" s="224"/>
      <c r="V871" s="224"/>
      <c r="W871" s="224"/>
      <c r="X871" s="224"/>
      <c r="Y871" s="224"/>
      <c r="Z871" s="224"/>
    </row>
    <row r="872" spans="1:26" ht="12.75" customHeight="1">
      <c r="A872" s="224"/>
      <c r="B872" s="226"/>
      <c r="C872" s="224"/>
      <c r="D872" s="224"/>
      <c r="E872" s="224"/>
      <c r="F872" s="224"/>
      <c r="G872" s="224"/>
      <c r="H872" s="224"/>
      <c r="I872" s="224"/>
      <c r="J872" s="224"/>
      <c r="K872" s="224"/>
      <c r="L872" s="224"/>
      <c r="M872" s="224"/>
      <c r="N872" s="224"/>
      <c r="O872" s="224"/>
      <c r="P872" s="224"/>
      <c r="Q872" s="224"/>
      <c r="R872" s="224"/>
      <c r="S872" s="224"/>
      <c r="T872" s="224"/>
      <c r="U872" s="224"/>
      <c r="V872" s="224"/>
      <c r="W872" s="224"/>
      <c r="X872" s="224"/>
      <c r="Y872" s="224"/>
      <c r="Z872" s="224"/>
    </row>
    <row r="873" spans="1:26" ht="12.75" customHeight="1">
      <c r="A873" s="224"/>
      <c r="B873" s="226"/>
      <c r="C873" s="224"/>
      <c r="D873" s="224"/>
      <c r="E873" s="224"/>
      <c r="F873" s="224"/>
      <c r="G873" s="224"/>
      <c r="H873" s="224"/>
      <c r="I873" s="224"/>
      <c r="J873" s="224"/>
      <c r="K873" s="224"/>
      <c r="L873" s="224"/>
      <c r="M873" s="224"/>
      <c r="N873" s="224"/>
      <c r="O873" s="224"/>
      <c r="P873" s="224"/>
      <c r="Q873" s="224"/>
      <c r="R873" s="224"/>
      <c r="S873" s="224"/>
      <c r="T873" s="224"/>
      <c r="U873" s="224"/>
      <c r="V873" s="224"/>
      <c r="W873" s="224"/>
      <c r="X873" s="224"/>
      <c r="Y873" s="224"/>
      <c r="Z873" s="224"/>
    </row>
    <row r="874" spans="1:26" ht="12.75" customHeight="1">
      <c r="A874" s="224"/>
      <c r="B874" s="226"/>
      <c r="C874" s="224"/>
      <c r="D874" s="224"/>
      <c r="E874" s="224"/>
      <c r="F874" s="224"/>
      <c r="G874" s="224"/>
      <c r="H874" s="224"/>
      <c r="I874" s="224"/>
      <c r="J874" s="224"/>
      <c r="K874" s="224"/>
      <c r="L874" s="224"/>
      <c r="M874" s="224"/>
      <c r="N874" s="224"/>
      <c r="O874" s="224"/>
      <c r="P874" s="224"/>
      <c r="Q874" s="224"/>
      <c r="R874" s="224"/>
      <c r="S874" s="224"/>
      <c r="T874" s="224"/>
      <c r="U874" s="224"/>
      <c r="V874" s="224"/>
      <c r="W874" s="224"/>
      <c r="X874" s="224"/>
      <c r="Y874" s="224"/>
      <c r="Z874" s="224"/>
    </row>
    <row r="875" spans="1:26" ht="12.75" customHeight="1">
      <c r="A875" s="224"/>
      <c r="B875" s="226"/>
      <c r="C875" s="224"/>
      <c r="D875" s="224"/>
      <c r="E875" s="224"/>
      <c r="F875" s="224"/>
      <c r="G875" s="224"/>
      <c r="H875" s="224"/>
      <c r="I875" s="224"/>
      <c r="J875" s="224"/>
      <c r="K875" s="224"/>
      <c r="L875" s="224"/>
      <c r="M875" s="224"/>
      <c r="N875" s="224"/>
      <c r="O875" s="224"/>
      <c r="P875" s="224"/>
      <c r="Q875" s="224"/>
      <c r="R875" s="224"/>
      <c r="S875" s="224"/>
      <c r="T875" s="224"/>
      <c r="U875" s="224"/>
      <c r="V875" s="224"/>
      <c r="W875" s="224"/>
      <c r="X875" s="224"/>
      <c r="Y875" s="224"/>
      <c r="Z875" s="224"/>
    </row>
    <row r="876" spans="1:26" ht="12.75" customHeight="1">
      <c r="A876" s="224"/>
      <c r="B876" s="226"/>
      <c r="C876" s="224"/>
      <c r="D876" s="224"/>
      <c r="E876" s="224"/>
      <c r="F876" s="224"/>
      <c r="G876" s="224"/>
      <c r="H876" s="224"/>
      <c r="I876" s="224"/>
      <c r="J876" s="224"/>
      <c r="K876" s="224"/>
      <c r="L876" s="224"/>
      <c r="M876" s="224"/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4"/>
      <c r="Y876" s="224"/>
      <c r="Z876" s="224"/>
    </row>
    <row r="877" spans="1:26" ht="12.75" customHeight="1">
      <c r="A877" s="224"/>
      <c r="B877" s="226"/>
      <c r="C877" s="224"/>
      <c r="D877" s="224"/>
      <c r="E877" s="224"/>
      <c r="F877" s="224"/>
      <c r="G877" s="224"/>
      <c r="H877" s="224"/>
      <c r="I877" s="224"/>
      <c r="J877" s="224"/>
      <c r="K877" s="224"/>
      <c r="L877" s="224"/>
      <c r="M877" s="224"/>
      <c r="N877" s="224"/>
      <c r="O877" s="224"/>
      <c r="P877" s="224"/>
      <c r="Q877" s="224"/>
      <c r="R877" s="224"/>
      <c r="S877" s="224"/>
      <c r="T877" s="224"/>
      <c r="U877" s="224"/>
      <c r="V877" s="224"/>
      <c r="W877" s="224"/>
      <c r="X877" s="224"/>
      <c r="Y877" s="224"/>
      <c r="Z877" s="224"/>
    </row>
    <row r="878" spans="1:26" ht="12.75" customHeight="1">
      <c r="A878" s="224"/>
      <c r="B878" s="226"/>
      <c r="C878" s="224"/>
      <c r="D878" s="224"/>
      <c r="E878" s="224"/>
      <c r="F878" s="224"/>
      <c r="G878" s="224"/>
      <c r="H878" s="224"/>
      <c r="I878" s="224"/>
      <c r="J878" s="224"/>
      <c r="K878" s="224"/>
      <c r="L878" s="224"/>
      <c r="M878" s="224"/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4"/>
      <c r="Y878" s="224"/>
      <c r="Z878" s="224"/>
    </row>
    <row r="879" spans="1:26" ht="12.75" customHeight="1">
      <c r="A879" s="224"/>
      <c r="B879" s="226"/>
      <c r="C879" s="224"/>
      <c r="D879" s="224"/>
      <c r="E879" s="224"/>
      <c r="F879" s="224"/>
      <c r="G879" s="224"/>
      <c r="H879" s="224"/>
      <c r="I879" s="224"/>
      <c r="J879" s="224"/>
      <c r="K879" s="224"/>
      <c r="L879" s="224"/>
      <c r="M879" s="224"/>
      <c r="N879" s="224"/>
      <c r="O879" s="224"/>
      <c r="P879" s="224"/>
      <c r="Q879" s="224"/>
      <c r="R879" s="224"/>
      <c r="S879" s="224"/>
      <c r="T879" s="224"/>
      <c r="U879" s="224"/>
      <c r="V879" s="224"/>
      <c r="W879" s="224"/>
      <c r="X879" s="224"/>
      <c r="Y879" s="224"/>
      <c r="Z879" s="224"/>
    </row>
    <row r="880" spans="1:26" ht="12.75" customHeight="1">
      <c r="A880" s="224"/>
      <c r="B880" s="226"/>
      <c r="C880" s="224"/>
      <c r="D880" s="224"/>
      <c r="E880" s="224"/>
      <c r="F880" s="224"/>
      <c r="G880" s="224"/>
      <c r="H880" s="224"/>
      <c r="I880" s="224"/>
      <c r="J880" s="224"/>
      <c r="K880" s="224"/>
      <c r="L880" s="224"/>
      <c r="M880" s="224"/>
      <c r="N880" s="224"/>
      <c r="O880" s="224"/>
      <c r="P880" s="224"/>
      <c r="Q880" s="224"/>
      <c r="R880" s="224"/>
      <c r="S880" s="224"/>
      <c r="T880" s="224"/>
      <c r="U880" s="224"/>
      <c r="V880" s="224"/>
      <c r="W880" s="224"/>
      <c r="X880" s="224"/>
      <c r="Y880" s="224"/>
      <c r="Z880" s="224"/>
    </row>
    <row r="881" spans="1:26" ht="12.75" customHeight="1">
      <c r="A881" s="224"/>
      <c r="B881" s="226"/>
      <c r="C881" s="224"/>
      <c r="D881" s="224"/>
      <c r="E881" s="224"/>
      <c r="F881" s="224"/>
      <c r="G881" s="224"/>
      <c r="H881" s="224"/>
      <c r="I881" s="224"/>
      <c r="J881" s="224"/>
      <c r="K881" s="224"/>
      <c r="L881" s="224"/>
      <c r="M881" s="224"/>
      <c r="N881" s="224"/>
      <c r="O881" s="224"/>
      <c r="P881" s="224"/>
      <c r="Q881" s="224"/>
      <c r="R881" s="224"/>
      <c r="S881" s="224"/>
      <c r="T881" s="224"/>
      <c r="U881" s="224"/>
      <c r="V881" s="224"/>
      <c r="W881" s="224"/>
      <c r="X881" s="224"/>
      <c r="Y881" s="224"/>
      <c r="Z881" s="224"/>
    </row>
    <row r="882" spans="1:26" ht="12.75" customHeight="1">
      <c r="A882" s="224"/>
      <c r="B882" s="226"/>
      <c r="C882" s="224"/>
      <c r="D882" s="224"/>
      <c r="E882" s="224"/>
      <c r="F882" s="224"/>
      <c r="G882" s="224"/>
      <c r="H882" s="224"/>
      <c r="I882" s="224"/>
      <c r="J882" s="224"/>
      <c r="K882" s="224"/>
      <c r="L882" s="224"/>
      <c r="M882" s="224"/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4"/>
      <c r="Y882" s="224"/>
      <c r="Z882" s="224"/>
    </row>
    <row r="883" spans="1:26" ht="12.75" customHeight="1">
      <c r="A883" s="224"/>
      <c r="B883" s="226"/>
      <c r="C883" s="224"/>
      <c r="D883" s="224"/>
      <c r="E883" s="224"/>
      <c r="F883" s="224"/>
      <c r="G883" s="224"/>
      <c r="H883" s="224"/>
      <c r="I883" s="224"/>
      <c r="J883" s="224"/>
      <c r="K883" s="224"/>
      <c r="L883" s="224"/>
      <c r="M883" s="224"/>
      <c r="N883" s="224"/>
      <c r="O883" s="224"/>
      <c r="P883" s="224"/>
      <c r="Q883" s="224"/>
      <c r="R883" s="224"/>
      <c r="S883" s="224"/>
      <c r="T883" s="224"/>
      <c r="U883" s="224"/>
      <c r="V883" s="224"/>
      <c r="W883" s="224"/>
      <c r="X883" s="224"/>
      <c r="Y883" s="224"/>
      <c r="Z883" s="224"/>
    </row>
    <row r="884" spans="1:26" ht="12.75" customHeight="1">
      <c r="A884" s="224"/>
      <c r="B884" s="226"/>
      <c r="C884" s="224"/>
      <c r="D884" s="224"/>
      <c r="E884" s="224"/>
      <c r="F884" s="224"/>
      <c r="G884" s="224"/>
      <c r="H884" s="224"/>
      <c r="I884" s="224"/>
      <c r="J884" s="224"/>
      <c r="K884" s="224"/>
      <c r="L884" s="224"/>
      <c r="M884" s="224"/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4"/>
      <c r="Y884" s="224"/>
      <c r="Z884" s="224"/>
    </row>
    <row r="885" spans="1:26" ht="12.75" customHeight="1">
      <c r="A885" s="224"/>
      <c r="B885" s="226"/>
      <c r="C885" s="224"/>
      <c r="D885" s="224"/>
      <c r="E885" s="224"/>
      <c r="F885" s="224"/>
      <c r="G885" s="224"/>
      <c r="H885" s="224"/>
      <c r="I885" s="224"/>
      <c r="J885" s="224"/>
      <c r="K885" s="224"/>
      <c r="L885" s="224"/>
      <c r="M885" s="224"/>
      <c r="N885" s="224"/>
      <c r="O885" s="224"/>
      <c r="P885" s="224"/>
      <c r="Q885" s="224"/>
      <c r="R885" s="224"/>
      <c r="S885" s="224"/>
      <c r="T885" s="224"/>
      <c r="U885" s="224"/>
      <c r="V885" s="224"/>
      <c r="W885" s="224"/>
      <c r="X885" s="224"/>
      <c r="Y885" s="224"/>
      <c r="Z885" s="224"/>
    </row>
    <row r="886" spans="1:26" ht="12.75" customHeight="1">
      <c r="A886" s="224"/>
      <c r="B886" s="226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</row>
    <row r="887" spans="1:26" ht="12.75" customHeight="1">
      <c r="A887" s="224"/>
      <c r="B887" s="226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</row>
    <row r="888" spans="1:26" ht="12.75" customHeight="1">
      <c r="A888" s="224"/>
      <c r="B888" s="226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</row>
    <row r="889" spans="1:26" ht="12.75" customHeight="1">
      <c r="A889" s="224"/>
      <c r="B889" s="226"/>
      <c r="C889" s="224"/>
      <c r="D889" s="224"/>
      <c r="E889" s="224"/>
      <c r="F889" s="224"/>
      <c r="G889" s="224"/>
      <c r="H889" s="224"/>
      <c r="I889" s="224"/>
      <c r="J889" s="224"/>
      <c r="K889" s="224"/>
      <c r="L889" s="224"/>
      <c r="M889" s="224"/>
      <c r="N889" s="224"/>
      <c r="O889" s="224"/>
      <c r="P889" s="224"/>
      <c r="Q889" s="224"/>
      <c r="R889" s="224"/>
      <c r="S889" s="224"/>
      <c r="T889" s="224"/>
      <c r="U889" s="224"/>
      <c r="V889" s="224"/>
      <c r="W889" s="224"/>
      <c r="X889" s="224"/>
      <c r="Y889" s="224"/>
      <c r="Z889" s="224"/>
    </row>
    <row r="890" spans="1:26" ht="12.75" customHeight="1">
      <c r="A890" s="224"/>
      <c r="B890" s="226"/>
      <c r="C890" s="224"/>
      <c r="D890" s="224"/>
      <c r="E890" s="224"/>
      <c r="F890" s="224"/>
      <c r="G890" s="224"/>
      <c r="H890" s="224"/>
      <c r="I890" s="224"/>
      <c r="J890" s="224"/>
      <c r="K890" s="224"/>
      <c r="L890" s="224"/>
      <c r="M890" s="224"/>
      <c r="N890" s="224"/>
      <c r="O890" s="224"/>
      <c r="P890" s="224"/>
      <c r="Q890" s="224"/>
      <c r="R890" s="224"/>
      <c r="S890" s="224"/>
      <c r="T890" s="224"/>
      <c r="U890" s="224"/>
      <c r="V890" s="224"/>
      <c r="W890" s="224"/>
      <c r="X890" s="224"/>
      <c r="Y890" s="224"/>
      <c r="Z890" s="224"/>
    </row>
    <row r="891" spans="1:26" ht="12.75" customHeight="1">
      <c r="A891" s="224"/>
      <c r="B891" s="226"/>
      <c r="C891" s="224"/>
      <c r="D891" s="224"/>
      <c r="E891" s="224"/>
      <c r="F891" s="224"/>
      <c r="G891" s="224"/>
      <c r="H891" s="224"/>
      <c r="I891" s="224"/>
      <c r="J891" s="224"/>
      <c r="K891" s="224"/>
      <c r="L891" s="224"/>
      <c r="M891" s="224"/>
      <c r="N891" s="224"/>
      <c r="O891" s="224"/>
      <c r="P891" s="224"/>
      <c r="Q891" s="224"/>
      <c r="R891" s="224"/>
      <c r="S891" s="224"/>
      <c r="T891" s="224"/>
      <c r="U891" s="224"/>
      <c r="V891" s="224"/>
      <c r="W891" s="224"/>
      <c r="X891" s="224"/>
      <c r="Y891" s="224"/>
      <c r="Z891" s="224"/>
    </row>
    <row r="892" spans="1:26" ht="12.75" customHeight="1">
      <c r="A892" s="224"/>
      <c r="B892" s="226"/>
      <c r="C892" s="224"/>
      <c r="D892" s="224"/>
      <c r="E892" s="224"/>
      <c r="F892" s="224"/>
      <c r="G892" s="224"/>
      <c r="H892" s="224"/>
      <c r="I892" s="224"/>
      <c r="J892" s="224"/>
      <c r="K892" s="224"/>
      <c r="L892" s="224"/>
      <c r="M892" s="224"/>
      <c r="N892" s="224"/>
      <c r="O892" s="224"/>
      <c r="P892" s="224"/>
      <c r="Q892" s="224"/>
      <c r="R892" s="224"/>
      <c r="S892" s="224"/>
      <c r="T892" s="224"/>
      <c r="U892" s="224"/>
      <c r="V892" s="224"/>
      <c r="W892" s="224"/>
      <c r="X892" s="224"/>
      <c r="Y892" s="224"/>
      <c r="Z892" s="224"/>
    </row>
    <row r="893" spans="1:26" ht="12.75" customHeight="1">
      <c r="A893" s="224"/>
      <c r="B893" s="226"/>
      <c r="C893" s="224"/>
      <c r="D893" s="224"/>
      <c r="E893" s="224"/>
      <c r="F893" s="224"/>
      <c r="G893" s="224"/>
      <c r="H893" s="224"/>
      <c r="I893" s="224"/>
      <c r="J893" s="224"/>
      <c r="K893" s="224"/>
      <c r="L893" s="224"/>
      <c r="M893" s="224"/>
      <c r="N893" s="224"/>
      <c r="O893" s="224"/>
      <c r="P893" s="224"/>
      <c r="Q893" s="224"/>
      <c r="R893" s="224"/>
      <c r="S893" s="224"/>
      <c r="T893" s="224"/>
      <c r="U893" s="224"/>
      <c r="V893" s="224"/>
      <c r="W893" s="224"/>
      <c r="X893" s="224"/>
      <c r="Y893" s="224"/>
      <c r="Z893" s="224"/>
    </row>
    <row r="894" spans="1:26" ht="12.75" customHeight="1">
      <c r="A894" s="224"/>
      <c r="B894" s="226"/>
      <c r="C894" s="224"/>
      <c r="D894" s="224"/>
      <c r="E894" s="224"/>
      <c r="F894" s="224"/>
      <c r="G894" s="224"/>
      <c r="H894" s="224"/>
      <c r="I894" s="224"/>
      <c r="J894" s="224"/>
      <c r="K894" s="224"/>
      <c r="L894" s="224"/>
      <c r="M894" s="224"/>
      <c r="N894" s="224"/>
      <c r="O894" s="224"/>
      <c r="P894" s="224"/>
      <c r="Q894" s="224"/>
      <c r="R894" s="224"/>
      <c r="S894" s="224"/>
      <c r="T894" s="224"/>
      <c r="U894" s="224"/>
      <c r="V894" s="224"/>
      <c r="W894" s="224"/>
      <c r="X894" s="224"/>
      <c r="Y894" s="224"/>
      <c r="Z894" s="224"/>
    </row>
    <row r="895" spans="1:26" ht="12.75" customHeight="1">
      <c r="A895" s="224"/>
      <c r="B895" s="226"/>
      <c r="C895" s="224"/>
      <c r="D895" s="224"/>
      <c r="E895" s="224"/>
      <c r="F895" s="224"/>
      <c r="G895" s="224"/>
      <c r="H895" s="224"/>
      <c r="I895" s="224"/>
      <c r="J895" s="224"/>
      <c r="K895" s="224"/>
      <c r="L895" s="224"/>
      <c r="M895" s="224"/>
      <c r="N895" s="224"/>
      <c r="O895" s="224"/>
      <c r="P895" s="224"/>
      <c r="Q895" s="224"/>
      <c r="R895" s="224"/>
      <c r="S895" s="224"/>
      <c r="T895" s="224"/>
      <c r="U895" s="224"/>
      <c r="V895" s="224"/>
      <c r="W895" s="224"/>
      <c r="X895" s="224"/>
      <c r="Y895" s="224"/>
      <c r="Z895" s="224"/>
    </row>
    <row r="896" spans="1:26" ht="12.75" customHeight="1">
      <c r="A896" s="224"/>
      <c r="B896" s="226"/>
      <c r="C896" s="224"/>
      <c r="D896" s="224"/>
      <c r="E896" s="224"/>
      <c r="F896" s="224"/>
      <c r="G896" s="224"/>
      <c r="H896" s="224"/>
      <c r="I896" s="224"/>
      <c r="J896" s="224"/>
      <c r="K896" s="224"/>
      <c r="L896" s="224"/>
      <c r="M896" s="224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4"/>
      <c r="Y896" s="224"/>
      <c r="Z896" s="224"/>
    </row>
    <row r="897" spans="1:26" ht="12.75" customHeight="1">
      <c r="A897" s="224"/>
      <c r="B897" s="226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</row>
    <row r="898" spans="1:26" ht="12.75" customHeight="1">
      <c r="A898" s="224"/>
      <c r="B898" s="226"/>
      <c r="C898" s="224"/>
      <c r="D898" s="224"/>
      <c r="E898" s="224"/>
      <c r="F898" s="224"/>
      <c r="G898" s="224"/>
      <c r="H898" s="224"/>
      <c r="I898" s="224"/>
      <c r="J898" s="224"/>
      <c r="K898" s="224"/>
      <c r="L898" s="224"/>
      <c r="M898" s="224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4"/>
      <c r="Y898" s="224"/>
      <c r="Z898" s="224"/>
    </row>
    <row r="899" spans="1:26" ht="12.75" customHeight="1">
      <c r="A899" s="224"/>
      <c r="B899" s="226"/>
      <c r="C899" s="224"/>
      <c r="D899" s="224"/>
      <c r="E899" s="224"/>
      <c r="F899" s="224"/>
      <c r="G899" s="224"/>
      <c r="H899" s="224"/>
      <c r="I899" s="224"/>
      <c r="J899" s="224"/>
      <c r="K899" s="224"/>
      <c r="L899" s="224"/>
      <c r="M899" s="224"/>
      <c r="N899" s="224"/>
      <c r="O899" s="224"/>
      <c r="P899" s="224"/>
      <c r="Q899" s="224"/>
      <c r="R899" s="224"/>
      <c r="S899" s="224"/>
      <c r="T899" s="224"/>
      <c r="U899" s="224"/>
      <c r="V899" s="224"/>
      <c r="W899" s="224"/>
      <c r="X899" s="224"/>
      <c r="Y899" s="224"/>
      <c r="Z899" s="224"/>
    </row>
    <row r="900" spans="1:26" ht="12.75" customHeight="1">
      <c r="A900" s="224"/>
      <c r="B900" s="226"/>
      <c r="C900" s="224"/>
      <c r="D900" s="224"/>
      <c r="E900" s="224"/>
      <c r="F900" s="224"/>
      <c r="G900" s="224"/>
      <c r="H900" s="224"/>
      <c r="I900" s="224"/>
      <c r="J900" s="224"/>
      <c r="K900" s="224"/>
      <c r="L900" s="224"/>
      <c r="M900" s="224"/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4"/>
      <c r="Y900" s="224"/>
      <c r="Z900" s="224"/>
    </row>
    <row r="901" spans="1:26" ht="12.75" customHeight="1">
      <c r="A901" s="224"/>
      <c r="B901" s="226"/>
      <c r="C901" s="224"/>
      <c r="D901" s="224"/>
      <c r="E901" s="224"/>
      <c r="F901" s="224"/>
      <c r="G901" s="224"/>
      <c r="H901" s="224"/>
      <c r="I901" s="224"/>
      <c r="J901" s="224"/>
      <c r="K901" s="224"/>
      <c r="L901" s="224"/>
      <c r="M901" s="224"/>
      <c r="N901" s="224"/>
      <c r="O901" s="224"/>
      <c r="P901" s="224"/>
      <c r="Q901" s="224"/>
      <c r="R901" s="224"/>
      <c r="S901" s="224"/>
      <c r="T901" s="224"/>
      <c r="U901" s="224"/>
      <c r="V901" s="224"/>
      <c r="W901" s="224"/>
      <c r="X901" s="224"/>
      <c r="Y901" s="224"/>
      <c r="Z901" s="224"/>
    </row>
    <row r="902" spans="1:26" ht="12.75" customHeight="1">
      <c r="A902" s="224"/>
      <c r="B902" s="226"/>
      <c r="C902" s="224"/>
      <c r="D902" s="224"/>
      <c r="E902" s="224"/>
      <c r="F902" s="224"/>
      <c r="G902" s="224"/>
      <c r="H902" s="224"/>
      <c r="I902" s="224"/>
      <c r="J902" s="224"/>
      <c r="K902" s="224"/>
      <c r="L902" s="224"/>
      <c r="M902" s="224"/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4"/>
      <c r="Y902" s="224"/>
      <c r="Z902" s="224"/>
    </row>
    <row r="903" spans="1:26" ht="12.75" customHeight="1">
      <c r="A903" s="224"/>
      <c r="B903" s="226"/>
      <c r="C903" s="224"/>
      <c r="D903" s="224"/>
      <c r="E903" s="224"/>
      <c r="F903" s="224"/>
      <c r="G903" s="224"/>
      <c r="H903" s="224"/>
      <c r="I903" s="224"/>
      <c r="J903" s="224"/>
      <c r="K903" s="224"/>
      <c r="L903" s="224"/>
      <c r="M903" s="224"/>
      <c r="N903" s="224"/>
      <c r="O903" s="224"/>
      <c r="P903" s="224"/>
      <c r="Q903" s="224"/>
      <c r="R903" s="224"/>
      <c r="S903" s="224"/>
      <c r="T903" s="224"/>
      <c r="U903" s="224"/>
      <c r="V903" s="224"/>
      <c r="W903" s="224"/>
      <c r="X903" s="224"/>
      <c r="Y903" s="224"/>
      <c r="Z903" s="224"/>
    </row>
    <row r="904" spans="1:26" ht="12.75" customHeight="1">
      <c r="A904" s="224"/>
      <c r="B904" s="226"/>
      <c r="C904" s="224"/>
      <c r="D904" s="224"/>
      <c r="E904" s="224"/>
      <c r="F904" s="224"/>
      <c r="G904" s="224"/>
      <c r="H904" s="224"/>
      <c r="I904" s="224"/>
      <c r="J904" s="224"/>
      <c r="K904" s="224"/>
      <c r="L904" s="224"/>
      <c r="M904" s="224"/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4"/>
      <c r="Y904" s="224"/>
      <c r="Z904" s="224"/>
    </row>
    <row r="905" spans="1:26" ht="12.75" customHeight="1">
      <c r="A905" s="224"/>
      <c r="B905" s="226"/>
      <c r="C905" s="224"/>
      <c r="D905" s="224"/>
      <c r="E905" s="224"/>
      <c r="F905" s="224"/>
      <c r="G905" s="224"/>
      <c r="H905" s="224"/>
      <c r="I905" s="224"/>
      <c r="J905" s="224"/>
      <c r="K905" s="224"/>
      <c r="L905" s="224"/>
      <c r="M905" s="224"/>
      <c r="N905" s="224"/>
      <c r="O905" s="224"/>
      <c r="P905" s="224"/>
      <c r="Q905" s="224"/>
      <c r="R905" s="224"/>
      <c r="S905" s="224"/>
      <c r="T905" s="224"/>
      <c r="U905" s="224"/>
      <c r="V905" s="224"/>
      <c r="W905" s="224"/>
      <c r="X905" s="224"/>
      <c r="Y905" s="224"/>
      <c r="Z905" s="224"/>
    </row>
    <row r="906" spans="1:26" ht="12.75" customHeight="1">
      <c r="A906" s="224"/>
      <c r="B906" s="226"/>
      <c r="C906" s="224"/>
      <c r="D906" s="224"/>
      <c r="E906" s="224"/>
      <c r="F906" s="224"/>
      <c r="G906" s="224"/>
      <c r="H906" s="224"/>
      <c r="I906" s="224"/>
      <c r="J906" s="224"/>
      <c r="K906" s="224"/>
      <c r="L906" s="224"/>
      <c r="M906" s="224"/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4"/>
      <c r="Y906" s="224"/>
      <c r="Z906" s="224"/>
    </row>
    <row r="907" spans="1:26" ht="12.75" customHeight="1">
      <c r="A907" s="224"/>
      <c r="B907" s="226"/>
      <c r="C907" s="224"/>
      <c r="D907" s="224"/>
      <c r="E907" s="224"/>
      <c r="F907" s="224"/>
      <c r="G907" s="224"/>
      <c r="H907" s="224"/>
      <c r="I907" s="224"/>
      <c r="J907" s="224"/>
      <c r="K907" s="224"/>
      <c r="L907" s="224"/>
      <c r="M907" s="224"/>
      <c r="N907" s="224"/>
      <c r="O907" s="224"/>
      <c r="P907" s="224"/>
      <c r="Q907" s="224"/>
      <c r="R907" s="224"/>
      <c r="S907" s="224"/>
      <c r="T907" s="224"/>
      <c r="U907" s="224"/>
      <c r="V907" s="224"/>
      <c r="W907" s="224"/>
      <c r="X907" s="224"/>
      <c r="Y907" s="224"/>
      <c r="Z907" s="224"/>
    </row>
    <row r="908" spans="1:26" ht="12.75" customHeight="1">
      <c r="A908" s="224"/>
      <c r="B908" s="226"/>
      <c r="C908" s="224"/>
      <c r="D908" s="224"/>
      <c r="E908" s="224"/>
      <c r="F908" s="224"/>
      <c r="G908" s="224"/>
      <c r="H908" s="224"/>
      <c r="I908" s="224"/>
      <c r="J908" s="224"/>
      <c r="K908" s="224"/>
      <c r="L908" s="224"/>
      <c r="M908" s="224"/>
      <c r="N908" s="224"/>
      <c r="O908" s="224"/>
      <c r="P908" s="224"/>
      <c r="Q908" s="224"/>
      <c r="R908" s="224"/>
      <c r="S908" s="224"/>
      <c r="T908" s="224"/>
      <c r="U908" s="224"/>
      <c r="V908" s="224"/>
      <c r="W908" s="224"/>
      <c r="X908" s="224"/>
      <c r="Y908" s="224"/>
      <c r="Z908" s="224"/>
    </row>
    <row r="909" spans="1:26" ht="12.75" customHeight="1">
      <c r="A909" s="224"/>
      <c r="B909" s="226"/>
      <c r="C909" s="224"/>
      <c r="D909" s="224"/>
      <c r="E909" s="224"/>
      <c r="F909" s="224"/>
      <c r="G909" s="224"/>
      <c r="H909" s="224"/>
      <c r="I909" s="224"/>
      <c r="J909" s="224"/>
      <c r="K909" s="224"/>
      <c r="L909" s="224"/>
      <c r="M909" s="224"/>
      <c r="N909" s="224"/>
      <c r="O909" s="224"/>
      <c r="P909" s="224"/>
      <c r="Q909" s="224"/>
      <c r="R909" s="224"/>
      <c r="S909" s="224"/>
      <c r="T909" s="224"/>
      <c r="U909" s="224"/>
      <c r="V909" s="224"/>
      <c r="W909" s="224"/>
      <c r="X909" s="224"/>
      <c r="Y909" s="224"/>
      <c r="Z909" s="224"/>
    </row>
    <row r="910" spans="1:26" ht="12.75" customHeight="1">
      <c r="A910" s="224"/>
      <c r="B910" s="226"/>
      <c r="C910" s="224"/>
      <c r="D910" s="224"/>
      <c r="E910" s="224"/>
      <c r="F910" s="224"/>
      <c r="G910" s="224"/>
      <c r="H910" s="224"/>
      <c r="I910" s="224"/>
      <c r="J910" s="224"/>
      <c r="K910" s="224"/>
      <c r="L910" s="224"/>
      <c r="M910" s="224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4"/>
      <c r="Y910" s="224"/>
      <c r="Z910" s="224"/>
    </row>
    <row r="911" spans="1:26" ht="12.75" customHeight="1">
      <c r="A911" s="224"/>
      <c r="B911" s="226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</row>
    <row r="912" spans="1:26" ht="12.75" customHeight="1">
      <c r="A912" s="224"/>
      <c r="B912" s="226"/>
      <c r="C912" s="224"/>
      <c r="D912" s="224"/>
      <c r="E912" s="224"/>
      <c r="F912" s="224"/>
      <c r="G912" s="224"/>
      <c r="H912" s="224"/>
      <c r="I912" s="224"/>
      <c r="J912" s="224"/>
      <c r="K912" s="224"/>
      <c r="L912" s="224"/>
      <c r="M912" s="224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4"/>
      <c r="Y912" s="224"/>
      <c r="Z912" s="224"/>
    </row>
    <row r="913" spans="1:26" ht="12.75" customHeight="1">
      <c r="A913" s="224"/>
      <c r="B913" s="226"/>
      <c r="C913" s="224"/>
      <c r="D913" s="224"/>
      <c r="E913" s="224"/>
      <c r="F913" s="224"/>
      <c r="G913" s="224"/>
      <c r="H913" s="224"/>
      <c r="I913" s="224"/>
      <c r="J913" s="224"/>
      <c r="K913" s="224"/>
      <c r="L913" s="224"/>
      <c r="M913" s="224"/>
      <c r="N913" s="224"/>
      <c r="O913" s="224"/>
      <c r="P913" s="224"/>
      <c r="Q913" s="224"/>
      <c r="R913" s="224"/>
      <c r="S913" s="224"/>
      <c r="T913" s="224"/>
      <c r="U913" s="224"/>
      <c r="V913" s="224"/>
      <c r="W913" s="224"/>
      <c r="X913" s="224"/>
      <c r="Y913" s="224"/>
      <c r="Z913" s="224"/>
    </row>
    <row r="914" spans="1:26" ht="12.75" customHeight="1">
      <c r="A914" s="224"/>
      <c r="B914" s="226"/>
      <c r="C914" s="224"/>
      <c r="D914" s="224"/>
      <c r="E914" s="224"/>
      <c r="F914" s="224"/>
      <c r="G914" s="224"/>
      <c r="H914" s="224"/>
      <c r="I914" s="224"/>
      <c r="J914" s="224"/>
      <c r="K914" s="224"/>
      <c r="L914" s="224"/>
      <c r="M914" s="224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4"/>
      <c r="Y914" s="224"/>
      <c r="Z914" s="224"/>
    </row>
    <row r="915" spans="1:26" ht="12.75" customHeight="1">
      <c r="A915" s="224"/>
      <c r="B915" s="226"/>
      <c r="C915" s="224"/>
      <c r="D915" s="224"/>
      <c r="E915" s="224"/>
      <c r="F915" s="224"/>
      <c r="G915" s="224"/>
      <c r="H915" s="224"/>
      <c r="I915" s="224"/>
      <c r="J915" s="224"/>
      <c r="K915" s="224"/>
      <c r="L915" s="224"/>
      <c r="M915" s="224"/>
      <c r="N915" s="224"/>
      <c r="O915" s="224"/>
      <c r="P915" s="224"/>
      <c r="Q915" s="224"/>
      <c r="R915" s="224"/>
      <c r="S915" s="224"/>
      <c r="T915" s="224"/>
      <c r="U915" s="224"/>
      <c r="V915" s="224"/>
      <c r="W915" s="224"/>
      <c r="X915" s="224"/>
      <c r="Y915" s="224"/>
      <c r="Z915" s="224"/>
    </row>
    <row r="916" spans="1:26" ht="12.75" customHeight="1">
      <c r="A916" s="224"/>
      <c r="B916" s="226"/>
      <c r="C916" s="224"/>
      <c r="D916" s="224"/>
      <c r="E916" s="224"/>
      <c r="F916" s="224"/>
      <c r="G916" s="224"/>
      <c r="H916" s="224"/>
      <c r="I916" s="224"/>
      <c r="J916" s="224"/>
      <c r="K916" s="224"/>
      <c r="L916" s="224"/>
      <c r="M916" s="224"/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4"/>
      <c r="Y916" s="224"/>
      <c r="Z916" s="224"/>
    </row>
    <row r="917" spans="1:26" ht="12.75" customHeight="1">
      <c r="A917" s="224"/>
      <c r="B917" s="226"/>
      <c r="C917" s="224"/>
      <c r="D917" s="224"/>
      <c r="E917" s="224"/>
      <c r="F917" s="224"/>
      <c r="G917" s="224"/>
      <c r="H917" s="224"/>
      <c r="I917" s="224"/>
      <c r="J917" s="224"/>
      <c r="K917" s="224"/>
      <c r="L917" s="224"/>
      <c r="M917" s="224"/>
      <c r="N917" s="224"/>
      <c r="O917" s="224"/>
      <c r="P917" s="224"/>
      <c r="Q917" s="224"/>
      <c r="R917" s="224"/>
      <c r="S917" s="224"/>
      <c r="T917" s="224"/>
      <c r="U917" s="224"/>
      <c r="V917" s="224"/>
      <c r="W917" s="224"/>
      <c r="X917" s="224"/>
      <c r="Y917" s="224"/>
      <c r="Z917" s="224"/>
    </row>
    <row r="918" spans="1:26" ht="12.75" customHeight="1">
      <c r="A918" s="224"/>
      <c r="B918" s="226"/>
      <c r="C918" s="224"/>
      <c r="D918" s="224"/>
      <c r="E918" s="224"/>
      <c r="F918" s="224"/>
      <c r="G918" s="224"/>
      <c r="H918" s="224"/>
      <c r="I918" s="224"/>
      <c r="J918" s="224"/>
      <c r="K918" s="224"/>
      <c r="L918" s="224"/>
      <c r="M918" s="224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4"/>
      <c r="Y918" s="224"/>
      <c r="Z918" s="224"/>
    </row>
    <row r="919" spans="1:26" ht="12.75" customHeight="1">
      <c r="A919" s="224"/>
      <c r="B919" s="226"/>
      <c r="C919" s="224"/>
      <c r="D919" s="224"/>
      <c r="E919" s="224"/>
      <c r="F919" s="224"/>
      <c r="G919" s="224"/>
      <c r="H919" s="224"/>
      <c r="I919" s="224"/>
      <c r="J919" s="224"/>
      <c r="K919" s="224"/>
      <c r="L919" s="224"/>
      <c r="M919" s="224"/>
      <c r="N919" s="224"/>
      <c r="O919" s="224"/>
      <c r="P919" s="224"/>
      <c r="Q919" s="224"/>
      <c r="R919" s="224"/>
      <c r="S919" s="224"/>
      <c r="T919" s="224"/>
      <c r="U919" s="224"/>
      <c r="V919" s="224"/>
      <c r="W919" s="224"/>
      <c r="X919" s="224"/>
      <c r="Y919" s="224"/>
      <c r="Z919" s="224"/>
    </row>
    <row r="920" spans="1:26" ht="12.75" customHeight="1">
      <c r="A920" s="224"/>
      <c r="B920" s="226"/>
      <c r="C920" s="224"/>
      <c r="D920" s="224"/>
      <c r="E920" s="224"/>
      <c r="F920" s="224"/>
      <c r="G920" s="224"/>
      <c r="H920" s="224"/>
      <c r="I920" s="224"/>
      <c r="J920" s="224"/>
      <c r="K920" s="224"/>
      <c r="L920" s="224"/>
      <c r="M920" s="224"/>
      <c r="N920" s="224"/>
      <c r="O920" s="224"/>
      <c r="P920" s="224"/>
      <c r="Q920" s="224"/>
      <c r="R920" s="224"/>
      <c r="S920" s="224"/>
      <c r="T920" s="224"/>
      <c r="U920" s="224"/>
      <c r="V920" s="224"/>
      <c r="W920" s="224"/>
      <c r="X920" s="224"/>
      <c r="Y920" s="224"/>
      <c r="Z920" s="224"/>
    </row>
    <row r="921" spans="1:26" ht="12.75" customHeight="1">
      <c r="A921" s="224"/>
      <c r="B921" s="226"/>
      <c r="C921" s="224"/>
      <c r="D921" s="224"/>
      <c r="E921" s="224"/>
      <c r="F921" s="224"/>
      <c r="G921" s="224"/>
      <c r="H921" s="224"/>
      <c r="I921" s="224"/>
      <c r="J921" s="224"/>
      <c r="K921" s="224"/>
      <c r="L921" s="224"/>
      <c r="M921" s="224"/>
      <c r="N921" s="224"/>
      <c r="O921" s="224"/>
      <c r="P921" s="224"/>
      <c r="Q921" s="224"/>
      <c r="R921" s="224"/>
      <c r="S921" s="224"/>
      <c r="T921" s="224"/>
      <c r="U921" s="224"/>
      <c r="V921" s="224"/>
      <c r="W921" s="224"/>
      <c r="X921" s="224"/>
      <c r="Y921" s="224"/>
      <c r="Z921" s="224"/>
    </row>
    <row r="922" spans="1:26" ht="12.75" customHeight="1">
      <c r="A922" s="224"/>
      <c r="B922" s="226"/>
      <c r="C922" s="224"/>
      <c r="D922" s="224"/>
      <c r="E922" s="224"/>
      <c r="F922" s="224"/>
      <c r="G922" s="224"/>
      <c r="H922" s="224"/>
      <c r="I922" s="224"/>
      <c r="J922" s="224"/>
      <c r="K922" s="224"/>
      <c r="L922" s="224"/>
      <c r="M922" s="224"/>
      <c r="N922" s="224"/>
      <c r="O922" s="224"/>
      <c r="P922" s="224"/>
      <c r="Q922" s="224"/>
      <c r="R922" s="224"/>
      <c r="S922" s="224"/>
      <c r="T922" s="224"/>
      <c r="U922" s="224"/>
      <c r="V922" s="224"/>
      <c r="W922" s="224"/>
      <c r="X922" s="224"/>
      <c r="Y922" s="224"/>
      <c r="Z922" s="224"/>
    </row>
    <row r="923" spans="1:26" ht="12.75" customHeight="1">
      <c r="A923" s="224"/>
      <c r="B923" s="226"/>
      <c r="C923" s="224"/>
      <c r="D923" s="224"/>
      <c r="E923" s="224"/>
      <c r="F923" s="224"/>
      <c r="G923" s="224"/>
      <c r="H923" s="224"/>
      <c r="I923" s="224"/>
      <c r="J923" s="224"/>
      <c r="K923" s="224"/>
      <c r="L923" s="224"/>
      <c r="M923" s="224"/>
      <c r="N923" s="224"/>
      <c r="O923" s="224"/>
      <c r="P923" s="224"/>
      <c r="Q923" s="224"/>
      <c r="R923" s="224"/>
      <c r="S923" s="224"/>
      <c r="T923" s="224"/>
      <c r="U923" s="224"/>
      <c r="V923" s="224"/>
      <c r="W923" s="224"/>
      <c r="X923" s="224"/>
      <c r="Y923" s="224"/>
      <c r="Z923" s="224"/>
    </row>
    <row r="924" spans="1:26" ht="12.75" customHeight="1">
      <c r="A924" s="224"/>
      <c r="B924" s="226"/>
      <c r="C924" s="224"/>
      <c r="D924" s="224"/>
      <c r="E924" s="224"/>
      <c r="F924" s="224"/>
      <c r="G924" s="224"/>
      <c r="H924" s="224"/>
      <c r="I924" s="224"/>
      <c r="J924" s="224"/>
      <c r="K924" s="224"/>
      <c r="L924" s="224"/>
      <c r="M924" s="224"/>
      <c r="N924" s="224"/>
      <c r="O924" s="224"/>
      <c r="P924" s="224"/>
      <c r="Q924" s="224"/>
      <c r="R924" s="224"/>
      <c r="S924" s="224"/>
      <c r="T924" s="224"/>
      <c r="U924" s="224"/>
      <c r="V924" s="224"/>
      <c r="W924" s="224"/>
      <c r="X924" s="224"/>
      <c r="Y924" s="224"/>
      <c r="Z924" s="224"/>
    </row>
    <row r="925" spans="1:26" ht="12.75" customHeight="1">
      <c r="A925" s="224"/>
      <c r="B925" s="226"/>
      <c r="C925" s="224"/>
      <c r="D925" s="224"/>
      <c r="E925" s="224"/>
      <c r="F925" s="224"/>
      <c r="G925" s="224"/>
      <c r="H925" s="224"/>
      <c r="I925" s="224"/>
      <c r="J925" s="224"/>
      <c r="K925" s="224"/>
      <c r="L925" s="224"/>
      <c r="M925" s="224"/>
      <c r="N925" s="224"/>
      <c r="O925" s="224"/>
      <c r="P925" s="224"/>
      <c r="Q925" s="224"/>
      <c r="R925" s="224"/>
      <c r="S925" s="224"/>
      <c r="T925" s="224"/>
      <c r="U925" s="224"/>
      <c r="V925" s="224"/>
      <c r="W925" s="224"/>
      <c r="X925" s="224"/>
      <c r="Y925" s="224"/>
      <c r="Z925" s="224"/>
    </row>
    <row r="926" spans="1:26" ht="12.75" customHeight="1">
      <c r="A926" s="224"/>
      <c r="B926" s="226"/>
      <c r="C926" s="224"/>
      <c r="D926" s="224"/>
      <c r="E926" s="224"/>
      <c r="F926" s="224"/>
      <c r="G926" s="224"/>
      <c r="H926" s="224"/>
      <c r="I926" s="224"/>
      <c r="J926" s="224"/>
      <c r="K926" s="224"/>
      <c r="L926" s="224"/>
      <c r="M926" s="224"/>
      <c r="N926" s="224"/>
      <c r="O926" s="224"/>
      <c r="P926" s="224"/>
      <c r="Q926" s="224"/>
      <c r="R926" s="224"/>
      <c r="S926" s="224"/>
      <c r="T926" s="224"/>
      <c r="U926" s="224"/>
      <c r="V926" s="224"/>
      <c r="W926" s="224"/>
      <c r="X926" s="224"/>
      <c r="Y926" s="224"/>
      <c r="Z926" s="224"/>
    </row>
    <row r="927" spans="1:26" ht="12.75" customHeight="1">
      <c r="A927" s="224"/>
      <c r="B927" s="226"/>
      <c r="C927" s="224"/>
      <c r="D927" s="224"/>
      <c r="E927" s="224"/>
      <c r="F927" s="224"/>
      <c r="G927" s="224"/>
      <c r="H927" s="224"/>
      <c r="I927" s="224"/>
      <c r="J927" s="224"/>
      <c r="K927" s="224"/>
      <c r="L927" s="224"/>
      <c r="M927" s="224"/>
      <c r="N927" s="224"/>
      <c r="O927" s="224"/>
      <c r="P927" s="224"/>
      <c r="Q927" s="224"/>
      <c r="R927" s="224"/>
      <c r="S927" s="224"/>
      <c r="T927" s="224"/>
      <c r="U927" s="224"/>
      <c r="V927" s="224"/>
      <c r="W927" s="224"/>
      <c r="X927" s="224"/>
      <c r="Y927" s="224"/>
      <c r="Z927" s="224"/>
    </row>
    <row r="928" spans="1:26" ht="12.75" customHeight="1">
      <c r="A928" s="224"/>
      <c r="B928" s="226"/>
      <c r="C928" s="224"/>
      <c r="D928" s="224"/>
      <c r="E928" s="224"/>
      <c r="F928" s="224"/>
      <c r="G928" s="224"/>
      <c r="H928" s="224"/>
      <c r="I928" s="224"/>
      <c r="J928" s="224"/>
      <c r="K928" s="224"/>
      <c r="L928" s="224"/>
      <c r="M928" s="224"/>
      <c r="N928" s="224"/>
      <c r="O928" s="224"/>
      <c r="P928" s="224"/>
      <c r="Q928" s="224"/>
      <c r="R928" s="224"/>
      <c r="S928" s="224"/>
      <c r="T928" s="224"/>
      <c r="U928" s="224"/>
      <c r="V928" s="224"/>
      <c r="W928" s="224"/>
      <c r="X928" s="224"/>
      <c r="Y928" s="224"/>
      <c r="Z928" s="224"/>
    </row>
    <row r="929" spans="1:26" ht="12.75" customHeight="1">
      <c r="A929" s="224"/>
      <c r="B929" s="226"/>
      <c r="C929" s="224"/>
      <c r="D929" s="224"/>
      <c r="E929" s="224"/>
      <c r="F929" s="224"/>
      <c r="G929" s="224"/>
      <c r="H929" s="224"/>
      <c r="I929" s="224"/>
      <c r="J929" s="224"/>
      <c r="K929" s="224"/>
      <c r="L929" s="224"/>
      <c r="M929" s="224"/>
      <c r="N929" s="224"/>
      <c r="O929" s="224"/>
      <c r="P929" s="224"/>
      <c r="Q929" s="224"/>
      <c r="R929" s="224"/>
      <c r="S929" s="224"/>
      <c r="T929" s="224"/>
      <c r="U929" s="224"/>
      <c r="V929" s="224"/>
      <c r="W929" s="224"/>
      <c r="X929" s="224"/>
      <c r="Y929" s="224"/>
      <c r="Z929" s="224"/>
    </row>
    <row r="930" spans="1:26" ht="12.75" customHeight="1">
      <c r="A930" s="224"/>
      <c r="B930" s="226"/>
      <c r="C930" s="224"/>
      <c r="D930" s="224"/>
      <c r="E930" s="224"/>
      <c r="F930" s="224"/>
      <c r="G930" s="224"/>
      <c r="H930" s="224"/>
      <c r="I930" s="224"/>
      <c r="J930" s="224"/>
      <c r="K930" s="224"/>
      <c r="L930" s="224"/>
      <c r="M930" s="224"/>
      <c r="N930" s="224"/>
      <c r="O930" s="224"/>
      <c r="P930" s="224"/>
      <c r="Q930" s="224"/>
      <c r="R930" s="224"/>
      <c r="S930" s="224"/>
      <c r="T930" s="224"/>
      <c r="U930" s="224"/>
      <c r="V930" s="224"/>
      <c r="W930" s="224"/>
      <c r="X930" s="224"/>
      <c r="Y930" s="224"/>
      <c r="Z930" s="224"/>
    </row>
    <row r="931" spans="1:26" ht="12.75" customHeight="1">
      <c r="A931" s="224"/>
      <c r="B931" s="226"/>
      <c r="C931" s="224"/>
      <c r="D931" s="224"/>
      <c r="E931" s="224"/>
      <c r="F931" s="224"/>
      <c r="G931" s="224"/>
      <c r="H931" s="224"/>
      <c r="I931" s="224"/>
      <c r="J931" s="224"/>
      <c r="K931" s="224"/>
      <c r="L931" s="224"/>
      <c r="M931" s="224"/>
      <c r="N931" s="224"/>
      <c r="O931" s="224"/>
      <c r="P931" s="224"/>
      <c r="Q931" s="224"/>
      <c r="R931" s="224"/>
      <c r="S931" s="224"/>
      <c r="T931" s="224"/>
      <c r="U931" s="224"/>
      <c r="V931" s="224"/>
      <c r="W931" s="224"/>
      <c r="X931" s="224"/>
      <c r="Y931" s="224"/>
      <c r="Z931" s="224"/>
    </row>
    <row r="932" spans="1:26" ht="12.75" customHeight="1">
      <c r="A932" s="224"/>
      <c r="B932" s="226"/>
      <c r="C932" s="224"/>
      <c r="D932" s="224"/>
      <c r="E932" s="224"/>
      <c r="F932" s="224"/>
      <c r="G932" s="224"/>
      <c r="H932" s="224"/>
      <c r="I932" s="224"/>
      <c r="J932" s="224"/>
      <c r="K932" s="224"/>
      <c r="L932" s="224"/>
      <c r="M932" s="224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4"/>
      <c r="Y932" s="224"/>
      <c r="Z932" s="224"/>
    </row>
    <row r="933" spans="1:26" ht="12.75" customHeight="1">
      <c r="A933" s="224"/>
      <c r="B933" s="226"/>
      <c r="C933" s="224"/>
      <c r="D933" s="224"/>
      <c r="E933" s="224"/>
      <c r="F933" s="224"/>
      <c r="G933" s="224"/>
      <c r="H933" s="224"/>
      <c r="I933" s="224"/>
      <c r="J933" s="224"/>
      <c r="K933" s="224"/>
      <c r="L933" s="224"/>
      <c r="M933" s="224"/>
      <c r="N933" s="224"/>
      <c r="O933" s="224"/>
      <c r="P933" s="224"/>
      <c r="Q933" s="224"/>
      <c r="R933" s="224"/>
      <c r="S933" s="224"/>
      <c r="T933" s="224"/>
      <c r="U933" s="224"/>
      <c r="V933" s="224"/>
      <c r="W933" s="224"/>
      <c r="X933" s="224"/>
      <c r="Y933" s="224"/>
      <c r="Z933" s="224"/>
    </row>
    <row r="934" spans="1:26" ht="12.75" customHeight="1">
      <c r="A934" s="224"/>
      <c r="B934" s="226"/>
      <c r="C934" s="224"/>
      <c r="D934" s="224"/>
      <c r="E934" s="224"/>
      <c r="F934" s="224"/>
      <c r="G934" s="224"/>
      <c r="H934" s="224"/>
      <c r="I934" s="224"/>
      <c r="J934" s="224"/>
      <c r="K934" s="224"/>
      <c r="L934" s="224"/>
      <c r="M934" s="224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4"/>
      <c r="Y934" s="224"/>
      <c r="Z934" s="224"/>
    </row>
    <row r="935" spans="1:26" ht="12.75" customHeight="1">
      <c r="A935" s="224"/>
      <c r="B935" s="226"/>
      <c r="C935" s="224"/>
      <c r="D935" s="224"/>
      <c r="E935" s="224"/>
      <c r="F935" s="224"/>
      <c r="G935" s="224"/>
      <c r="H935" s="224"/>
      <c r="I935" s="224"/>
      <c r="J935" s="224"/>
      <c r="K935" s="224"/>
      <c r="L935" s="224"/>
      <c r="M935" s="224"/>
      <c r="N935" s="224"/>
      <c r="O935" s="224"/>
      <c r="P935" s="224"/>
      <c r="Q935" s="224"/>
      <c r="R935" s="224"/>
      <c r="S935" s="224"/>
      <c r="T935" s="224"/>
      <c r="U935" s="224"/>
      <c r="V935" s="224"/>
      <c r="W935" s="224"/>
      <c r="X935" s="224"/>
      <c r="Y935" s="224"/>
      <c r="Z935" s="224"/>
    </row>
    <row r="936" spans="1:26" ht="12.75" customHeight="1">
      <c r="A936" s="224"/>
      <c r="B936" s="226"/>
      <c r="C936" s="224"/>
      <c r="D936" s="224"/>
      <c r="E936" s="224"/>
      <c r="F936" s="224"/>
      <c r="G936" s="224"/>
      <c r="H936" s="224"/>
      <c r="I936" s="224"/>
      <c r="J936" s="224"/>
      <c r="K936" s="224"/>
      <c r="L936" s="224"/>
      <c r="M936" s="224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4"/>
      <c r="Y936" s="224"/>
      <c r="Z936" s="224"/>
    </row>
    <row r="937" spans="1:26" ht="12.75" customHeight="1">
      <c r="A937" s="224"/>
      <c r="B937" s="226"/>
      <c r="C937" s="224"/>
      <c r="D937" s="224"/>
      <c r="E937" s="224"/>
      <c r="F937" s="224"/>
      <c r="G937" s="224"/>
      <c r="H937" s="224"/>
      <c r="I937" s="224"/>
      <c r="J937" s="224"/>
      <c r="K937" s="224"/>
      <c r="L937" s="224"/>
      <c r="M937" s="224"/>
      <c r="N937" s="224"/>
      <c r="O937" s="224"/>
      <c r="P937" s="224"/>
      <c r="Q937" s="224"/>
      <c r="R937" s="224"/>
      <c r="S937" s="224"/>
      <c r="T937" s="224"/>
      <c r="U937" s="224"/>
      <c r="V937" s="224"/>
      <c r="W937" s="224"/>
      <c r="X937" s="224"/>
      <c r="Y937" s="224"/>
      <c r="Z937" s="224"/>
    </row>
    <row r="938" spans="1:26" ht="12.75" customHeight="1">
      <c r="A938" s="224"/>
      <c r="B938" s="226"/>
      <c r="C938" s="224"/>
      <c r="D938" s="224"/>
      <c r="E938" s="224"/>
      <c r="F938" s="224"/>
      <c r="G938" s="224"/>
      <c r="H938" s="224"/>
      <c r="I938" s="224"/>
      <c r="J938" s="224"/>
      <c r="K938" s="224"/>
      <c r="L938" s="224"/>
      <c r="M938" s="224"/>
      <c r="N938" s="224"/>
      <c r="O938" s="224"/>
      <c r="P938" s="224"/>
      <c r="Q938" s="224"/>
      <c r="R938" s="224"/>
      <c r="S938" s="224"/>
      <c r="T938" s="224"/>
      <c r="U938" s="224"/>
      <c r="V938" s="224"/>
      <c r="W938" s="224"/>
      <c r="X938" s="224"/>
      <c r="Y938" s="224"/>
      <c r="Z938" s="224"/>
    </row>
    <row r="939" spans="1:26" ht="12.75" customHeight="1">
      <c r="A939" s="224"/>
      <c r="B939" s="226"/>
      <c r="C939" s="224"/>
      <c r="D939" s="224"/>
      <c r="E939" s="224"/>
      <c r="F939" s="224"/>
      <c r="G939" s="224"/>
      <c r="H939" s="224"/>
      <c r="I939" s="224"/>
      <c r="J939" s="224"/>
      <c r="K939" s="224"/>
      <c r="L939" s="224"/>
      <c r="M939" s="224"/>
      <c r="N939" s="224"/>
      <c r="O939" s="224"/>
      <c r="P939" s="224"/>
      <c r="Q939" s="224"/>
      <c r="R939" s="224"/>
      <c r="S939" s="224"/>
      <c r="T939" s="224"/>
      <c r="U939" s="224"/>
      <c r="V939" s="224"/>
      <c r="W939" s="224"/>
      <c r="X939" s="224"/>
      <c r="Y939" s="224"/>
      <c r="Z939" s="224"/>
    </row>
    <row r="940" spans="1:26" ht="12.75" customHeight="1">
      <c r="A940" s="224"/>
      <c r="B940" s="226"/>
      <c r="C940" s="224"/>
      <c r="D940" s="224"/>
      <c r="E940" s="224"/>
      <c r="F940" s="224"/>
      <c r="G940" s="224"/>
      <c r="H940" s="224"/>
      <c r="I940" s="224"/>
      <c r="J940" s="224"/>
      <c r="K940" s="224"/>
      <c r="L940" s="224"/>
      <c r="M940" s="224"/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4"/>
      <c r="Y940" s="224"/>
      <c r="Z940" s="224"/>
    </row>
    <row r="941" spans="1:26" ht="12.75" customHeight="1">
      <c r="A941" s="224"/>
      <c r="B941" s="226"/>
      <c r="C941" s="224"/>
      <c r="D941" s="224"/>
      <c r="E941" s="224"/>
      <c r="F941" s="224"/>
      <c r="G941" s="224"/>
      <c r="H941" s="224"/>
      <c r="I941" s="224"/>
      <c r="J941" s="224"/>
      <c r="K941" s="224"/>
      <c r="L941" s="224"/>
      <c r="M941" s="224"/>
      <c r="N941" s="224"/>
      <c r="O941" s="224"/>
      <c r="P941" s="224"/>
      <c r="Q941" s="224"/>
      <c r="R941" s="224"/>
      <c r="S941" s="224"/>
      <c r="T941" s="224"/>
      <c r="U941" s="224"/>
      <c r="V941" s="224"/>
      <c r="W941" s="224"/>
      <c r="X941" s="224"/>
      <c r="Y941" s="224"/>
      <c r="Z941" s="224"/>
    </row>
    <row r="942" spans="1:26" ht="12.75" customHeight="1">
      <c r="A942" s="224"/>
      <c r="B942" s="226"/>
      <c r="C942" s="224"/>
      <c r="D942" s="224"/>
      <c r="E942" s="224"/>
      <c r="F942" s="224"/>
      <c r="G942" s="224"/>
      <c r="H942" s="224"/>
      <c r="I942" s="224"/>
      <c r="J942" s="224"/>
      <c r="K942" s="224"/>
      <c r="L942" s="224"/>
      <c r="M942" s="224"/>
      <c r="N942" s="224"/>
      <c r="O942" s="224"/>
      <c r="P942" s="224"/>
      <c r="Q942" s="224"/>
      <c r="R942" s="224"/>
      <c r="S942" s="224"/>
      <c r="T942" s="224"/>
      <c r="U942" s="224"/>
      <c r="V942" s="224"/>
      <c r="W942" s="224"/>
      <c r="X942" s="224"/>
      <c r="Y942" s="224"/>
      <c r="Z942" s="224"/>
    </row>
    <row r="943" spans="1:26" ht="12.75" customHeight="1">
      <c r="A943" s="224"/>
      <c r="B943" s="226"/>
      <c r="C943" s="224"/>
      <c r="D943" s="224"/>
      <c r="E943" s="224"/>
      <c r="F943" s="224"/>
      <c r="G943" s="224"/>
      <c r="H943" s="224"/>
      <c r="I943" s="224"/>
      <c r="J943" s="224"/>
      <c r="K943" s="224"/>
      <c r="L943" s="224"/>
      <c r="M943" s="224"/>
      <c r="N943" s="224"/>
      <c r="O943" s="224"/>
      <c r="P943" s="224"/>
      <c r="Q943" s="224"/>
      <c r="R943" s="224"/>
      <c r="S943" s="224"/>
      <c r="T943" s="224"/>
      <c r="U943" s="224"/>
      <c r="V943" s="224"/>
      <c r="W943" s="224"/>
      <c r="X943" s="224"/>
      <c r="Y943" s="224"/>
      <c r="Z943" s="224"/>
    </row>
    <row r="944" spans="1:26" ht="12.75" customHeight="1">
      <c r="A944" s="224"/>
      <c r="B944" s="226"/>
      <c r="C944" s="224"/>
      <c r="D944" s="224"/>
      <c r="E944" s="224"/>
      <c r="F944" s="224"/>
      <c r="G944" s="224"/>
      <c r="H944" s="224"/>
      <c r="I944" s="224"/>
      <c r="J944" s="224"/>
      <c r="K944" s="224"/>
      <c r="L944" s="224"/>
      <c r="M944" s="224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4"/>
      <c r="Y944" s="224"/>
      <c r="Z944" s="224"/>
    </row>
    <row r="945" spans="1:26" ht="12.75" customHeight="1">
      <c r="A945" s="224"/>
      <c r="B945" s="226"/>
      <c r="C945" s="224"/>
      <c r="D945" s="224"/>
      <c r="E945" s="224"/>
      <c r="F945" s="224"/>
      <c r="G945" s="224"/>
      <c r="H945" s="224"/>
      <c r="I945" s="224"/>
      <c r="J945" s="224"/>
      <c r="K945" s="224"/>
      <c r="L945" s="224"/>
      <c r="M945" s="224"/>
      <c r="N945" s="224"/>
      <c r="O945" s="224"/>
      <c r="P945" s="224"/>
      <c r="Q945" s="224"/>
      <c r="R945" s="224"/>
      <c r="S945" s="224"/>
      <c r="T945" s="224"/>
      <c r="U945" s="224"/>
      <c r="V945" s="224"/>
      <c r="W945" s="224"/>
      <c r="X945" s="224"/>
      <c r="Y945" s="224"/>
      <c r="Z945" s="224"/>
    </row>
    <row r="946" spans="1:26" ht="12.75" customHeight="1">
      <c r="A946" s="224"/>
      <c r="B946" s="226"/>
      <c r="C946" s="224"/>
      <c r="D946" s="224"/>
      <c r="E946" s="224"/>
      <c r="F946" s="224"/>
      <c r="G946" s="224"/>
      <c r="H946" s="224"/>
      <c r="I946" s="224"/>
      <c r="J946" s="224"/>
      <c r="K946" s="224"/>
      <c r="L946" s="224"/>
      <c r="M946" s="224"/>
      <c r="N946" s="224"/>
      <c r="O946" s="224"/>
      <c r="P946" s="224"/>
      <c r="Q946" s="224"/>
      <c r="R946" s="224"/>
      <c r="S946" s="224"/>
      <c r="T946" s="224"/>
      <c r="U946" s="224"/>
      <c r="V946" s="224"/>
      <c r="W946" s="224"/>
      <c r="X946" s="224"/>
      <c r="Y946" s="224"/>
      <c r="Z946" s="224"/>
    </row>
    <row r="947" spans="1:26" ht="12.75" customHeight="1">
      <c r="A947" s="224"/>
      <c r="B947" s="226"/>
      <c r="C947" s="224"/>
      <c r="D947" s="224"/>
      <c r="E947" s="224"/>
      <c r="F947" s="224"/>
      <c r="G947" s="224"/>
      <c r="H947" s="224"/>
      <c r="I947" s="224"/>
      <c r="J947" s="224"/>
      <c r="K947" s="224"/>
      <c r="L947" s="224"/>
      <c r="M947" s="224"/>
      <c r="N947" s="224"/>
      <c r="O947" s="224"/>
      <c r="P947" s="224"/>
      <c r="Q947" s="224"/>
      <c r="R947" s="224"/>
      <c r="S947" s="224"/>
      <c r="T947" s="224"/>
      <c r="U947" s="224"/>
      <c r="V947" s="224"/>
      <c r="W947" s="224"/>
      <c r="X947" s="224"/>
      <c r="Y947" s="224"/>
      <c r="Z947" s="224"/>
    </row>
    <row r="948" spans="1:26" ht="12.75" customHeight="1">
      <c r="A948" s="224"/>
      <c r="B948" s="226"/>
      <c r="C948" s="224"/>
      <c r="D948" s="224"/>
      <c r="E948" s="224"/>
      <c r="F948" s="224"/>
      <c r="G948" s="224"/>
      <c r="H948" s="224"/>
      <c r="I948" s="224"/>
      <c r="J948" s="224"/>
      <c r="K948" s="224"/>
      <c r="L948" s="224"/>
      <c r="M948" s="224"/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4"/>
      <c r="Y948" s="224"/>
      <c r="Z948" s="224"/>
    </row>
    <row r="949" spans="1:26" ht="12.75" customHeight="1">
      <c r="A949" s="224"/>
      <c r="B949" s="226"/>
      <c r="C949" s="224"/>
      <c r="D949" s="224"/>
      <c r="E949" s="224"/>
      <c r="F949" s="224"/>
      <c r="G949" s="224"/>
      <c r="H949" s="224"/>
      <c r="I949" s="224"/>
      <c r="J949" s="224"/>
      <c r="K949" s="224"/>
      <c r="L949" s="224"/>
      <c r="M949" s="224"/>
      <c r="N949" s="224"/>
      <c r="O949" s="224"/>
      <c r="P949" s="224"/>
      <c r="Q949" s="224"/>
      <c r="R949" s="224"/>
      <c r="S949" s="224"/>
      <c r="T949" s="224"/>
      <c r="U949" s="224"/>
      <c r="V949" s="224"/>
      <c r="W949" s="224"/>
      <c r="X949" s="224"/>
      <c r="Y949" s="224"/>
      <c r="Z949" s="224"/>
    </row>
    <row r="950" spans="1:26" ht="12.75" customHeight="1">
      <c r="A950" s="224"/>
      <c r="B950" s="226"/>
      <c r="C950" s="224"/>
      <c r="D950" s="224"/>
      <c r="E950" s="224"/>
      <c r="F950" s="224"/>
      <c r="G950" s="224"/>
      <c r="H950" s="224"/>
      <c r="I950" s="224"/>
      <c r="J950" s="224"/>
      <c r="K950" s="224"/>
      <c r="L950" s="224"/>
      <c r="M950" s="224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4"/>
      <c r="Y950" s="224"/>
      <c r="Z950" s="224"/>
    </row>
    <row r="951" spans="1:26" ht="12.75" customHeight="1">
      <c r="A951" s="224"/>
      <c r="B951" s="226"/>
      <c r="C951" s="224"/>
      <c r="D951" s="224"/>
      <c r="E951" s="224"/>
      <c r="F951" s="224"/>
      <c r="G951" s="224"/>
      <c r="H951" s="224"/>
      <c r="I951" s="224"/>
      <c r="J951" s="224"/>
      <c r="K951" s="224"/>
      <c r="L951" s="224"/>
      <c r="M951" s="224"/>
      <c r="N951" s="224"/>
      <c r="O951" s="224"/>
      <c r="P951" s="224"/>
      <c r="Q951" s="224"/>
      <c r="R951" s="224"/>
      <c r="S951" s="224"/>
      <c r="T951" s="224"/>
      <c r="U951" s="224"/>
      <c r="V951" s="224"/>
      <c r="W951" s="224"/>
      <c r="X951" s="224"/>
      <c r="Y951" s="224"/>
      <c r="Z951" s="224"/>
    </row>
    <row r="952" spans="1:26" ht="12.75" customHeight="1">
      <c r="A952" s="224"/>
      <c r="B952" s="226"/>
      <c r="C952" s="224"/>
      <c r="D952" s="224"/>
      <c r="E952" s="224"/>
      <c r="F952" s="224"/>
      <c r="G952" s="224"/>
      <c r="H952" s="224"/>
      <c r="I952" s="224"/>
      <c r="J952" s="224"/>
      <c r="K952" s="224"/>
      <c r="L952" s="224"/>
      <c r="M952" s="224"/>
      <c r="N952" s="224"/>
      <c r="O952" s="224"/>
      <c r="P952" s="224"/>
      <c r="Q952" s="224"/>
      <c r="R952" s="224"/>
      <c r="S952" s="224"/>
      <c r="T952" s="224"/>
      <c r="U952" s="224"/>
      <c r="V952" s="224"/>
      <c r="W952" s="224"/>
      <c r="X952" s="224"/>
      <c r="Y952" s="224"/>
      <c r="Z952" s="224"/>
    </row>
    <row r="953" spans="1:26" ht="12.75" customHeight="1">
      <c r="A953" s="224"/>
      <c r="B953" s="226"/>
      <c r="C953" s="224"/>
      <c r="D953" s="224"/>
      <c r="E953" s="224"/>
      <c r="F953" s="224"/>
      <c r="G953" s="224"/>
      <c r="H953" s="224"/>
      <c r="I953" s="224"/>
      <c r="J953" s="224"/>
      <c r="K953" s="224"/>
      <c r="L953" s="224"/>
      <c r="M953" s="224"/>
      <c r="N953" s="224"/>
      <c r="O953" s="224"/>
      <c r="P953" s="224"/>
      <c r="Q953" s="224"/>
      <c r="R953" s="224"/>
      <c r="S953" s="224"/>
      <c r="T953" s="224"/>
      <c r="U953" s="224"/>
      <c r="V953" s="224"/>
      <c r="W953" s="224"/>
      <c r="X953" s="224"/>
      <c r="Y953" s="224"/>
      <c r="Z953" s="224"/>
    </row>
    <row r="954" spans="1:26" ht="12.75" customHeight="1">
      <c r="A954" s="224"/>
      <c r="B954" s="226"/>
      <c r="C954" s="224"/>
      <c r="D954" s="224"/>
      <c r="E954" s="224"/>
      <c r="F954" s="224"/>
      <c r="G954" s="224"/>
      <c r="H954" s="224"/>
      <c r="I954" s="224"/>
      <c r="J954" s="224"/>
      <c r="K954" s="224"/>
      <c r="L954" s="224"/>
      <c r="M954" s="224"/>
      <c r="N954" s="224"/>
      <c r="O954" s="224"/>
      <c r="P954" s="224"/>
      <c r="Q954" s="224"/>
      <c r="R954" s="224"/>
      <c r="S954" s="224"/>
      <c r="T954" s="224"/>
      <c r="U954" s="224"/>
      <c r="V954" s="224"/>
      <c r="W954" s="224"/>
      <c r="X954" s="224"/>
      <c r="Y954" s="224"/>
      <c r="Z954" s="224"/>
    </row>
    <row r="955" spans="1:26" ht="12.75" customHeight="1">
      <c r="A955" s="224"/>
      <c r="B955" s="226"/>
      <c r="C955" s="224"/>
      <c r="D955" s="224"/>
      <c r="E955" s="224"/>
      <c r="F955" s="224"/>
      <c r="G955" s="224"/>
      <c r="H955" s="224"/>
      <c r="I955" s="224"/>
      <c r="J955" s="224"/>
      <c r="K955" s="224"/>
      <c r="L955" s="224"/>
      <c r="M955" s="224"/>
      <c r="N955" s="224"/>
      <c r="O955" s="224"/>
      <c r="P955" s="224"/>
      <c r="Q955" s="224"/>
      <c r="R955" s="224"/>
      <c r="S955" s="224"/>
      <c r="T955" s="224"/>
      <c r="U955" s="224"/>
      <c r="V955" s="224"/>
      <c r="W955" s="224"/>
      <c r="X955" s="224"/>
      <c r="Y955" s="224"/>
      <c r="Z955" s="224"/>
    </row>
    <row r="956" spans="1:26" ht="12.75" customHeight="1">
      <c r="A956" s="224"/>
      <c r="B956" s="226"/>
      <c r="C956" s="224"/>
      <c r="D956" s="224"/>
      <c r="E956" s="224"/>
      <c r="F956" s="224"/>
      <c r="G956" s="224"/>
      <c r="H956" s="224"/>
      <c r="I956" s="224"/>
      <c r="J956" s="224"/>
      <c r="K956" s="224"/>
      <c r="L956" s="224"/>
      <c r="M956" s="224"/>
      <c r="N956" s="224"/>
      <c r="O956" s="224"/>
      <c r="P956" s="224"/>
      <c r="Q956" s="224"/>
      <c r="R956" s="224"/>
      <c r="S956" s="224"/>
      <c r="T956" s="224"/>
      <c r="U956" s="224"/>
      <c r="V956" s="224"/>
      <c r="W956" s="224"/>
      <c r="X956" s="224"/>
      <c r="Y956" s="224"/>
      <c r="Z956" s="224"/>
    </row>
    <row r="957" spans="1:26" ht="12.75" customHeight="1">
      <c r="A957" s="224"/>
      <c r="B957" s="226"/>
      <c r="C957" s="224"/>
      <c r="D957" s="224"/>
      <c r="E957" s="224"/>
      <c r="F957" s="224"/>
      <c r="G957" s="224"/>
      <c r="H957" s="224"/>
      <c r="I957" s="224"/>
      <c r="J957" s="224"/>
      <c r="K957" s="224"/>
      <c r="L957" s="224"/>
      <c r="M957" s="224"/>
      <c r="N957" s="224"/>
      <c r="O957" s="224"/>
      <c r="P957" s="224"/>
      <c r="Q957" s="224"/>
      <c r="R957" s="224"/>
      <c r="S957" s="224"/>
      <c r="T957" s="224"/>
      <c r="U957" s="224"/>
      <c r="V957" s="224"/>
      <c r="W957" s="224"/>
      <c r="X957" s="224"/>
      <c r="Y957" s="224"/>
      <c r="Z957" s="224"/>
    </row>
    <row r="958" spans="1:26" ht="12.75" customHeight="1">
      <c r="A958" s="224"/>
      <c r="B958" s="226"/>
      <c r="C958" s="224"/>
      <c r="D958" s="224"/>
      <c r="E958" s="224"/>
      <c r="F958" s="224"/>
      <c r="G958" s="224"/>
      <c r="H958" s="224"/>
      <c r="I958" s="224"/>
      <c r="J958" s="224"/>
      <c r="K958" s="224"/>
      <c r="L958" s="224"/>
      <c r="M958" s="224"/>
      <c r="N958" s="224"/>
      <c r="O958" s="224"/>
      <c r="P958" s="224"/>
      <c r="Q958" s="224"/>
      <c r="R958" s="224"/>
      <c r="S958" s="224"/>
      <c r="T958" s="224"/>
      <c r="U958" s="224"/>
      <c r="V958" s="224"/>
      <c r="W958" s="224"/>
      <c r="X958" s="224"/>
      <c r="Y958" s="224"/>
      <c r="Z958" s="224"/>
    </row>
    <row r="959" spans="1:26" ht="12.75" customHeight="1">
      <c r="A959" s="224"/>
      <c r="B959" s="226"/>
      <c r="C959" s="224"/>
      <c r="D959" s="224"/>
      <c r="E959" s="224"/>
      <c r="F959" s="224"/>
      <c r="G959" s="224"/>
      <c r="H959" s="224"/>
      <c r="I959" s="224"/>
      <c r="J959" s="224"/>
      <c r="K959" s="224"/>
      <c r="L959" s="224"/>
      <c r="M959" s="224"/>
      <c r="N959" s="224"/>
      <c r="O959" s="224"/>
      <c r="P959" s="224"/>
      <c r="Q959" s="224"/>
      <c r="R959" s="224"/>
      <c r="S959" s="224"/>
      <c r="T959" s="224"/>
      <c r="U959" s="224"/>
      <c r="V959" s="224"/>
      <c r="W959" s="224"/>
      <c r="X959" s="224"/>
      <c r="Y959" s="224"/>
      <c r="Z959" s="224"/>
    </row>
    <row r="960" spans="1:26" ht="12.75" customHeight="1">
      <c r="A960" s="224"/>
      <c r="B960" s="226"/>
      <c r="C960" s="224"/>
      <c r="D960" s="224"/>
      <c r="E960" s="224"/>
      <c r="F960" s="224"/>
      <c r="G960" s="224"/>
      <c r="H960" s="224"/>
      <c r="I960" s="224"/>
      <c r="J960" s="224"/>
      <c r="K960" s="224"/>
      <c r="L960" s="224"/>
      <c r="M960" s="224"/>
      <c r="N960" s="224"/>
      <c r="O960" s="224"/>
      <c r="P960" s="224"/>
      <c r="Q960" s="224"/>
      <c r="R960" s="224"/>
      <c r="S960" s="224"/>
      <c r="T960" s="224"/>
      <c r="U960" s="224"/>
      <c r="V960" s="224"/>
      <c r="W960" s="224"/>
      <c r="X960" s="224"/>
      <c r="Y960" s="224"/>
      <c r="Z960" s="224"/>
    </row>
    <row r="961" spans="1:26" ht="12.75" customHeight="1">
      <c r="A961" s="224"/>
      <c r="B961" s="226"/>
      <c r="C961" s="224"/>
      <c r="D961" s="224"/>
      <c r="E961" s="224"/>
      <c r="F961" s="224"/>
      <c r="G961" s="224"/>
      <c r="H961" s="224"/>
      <c r="I961" s="224"/>
      <c r="J961" s="224"/>
      <c r="K961" s="224"/>
      <c r="L961" s="224"/>
      <c r="M961" s="224"/>
      <c r="N961" s="224"/>
      <c r="O961" s="224"/>
      <c r="P961" s="224"/>
      <c r="Q961" s="224"/>
      <c r="R961" s="224"/>
      <c r="S961" s="224"/>
      <c r="T961" s="224"/>
      <c r="U961" s="224"/>
      <c r="V961" s="224"/>
      <c r="W961" s="224"/>
      <c r="X961" s="224"/>
      <c r="Y961" s="224"/>
      <c r="Z961" s="224"/>
    </row>
    <row r="962" spans="1:26" ht="12.75" customHeight="1">
      <c r="A962" s="224"/>
      <c r="B962" s="226"/>
      <c r="C962" s="224"/>
      <c r="D962" s="224"/>
      <c r="E962" s="224"/>
      <c r="F962" s="224"/>
      <c r="G962" s="224"/>
      <c r="H962" s="224"/>
      <c r="I962" s="224"/>
      <c r="J962" s="224"/>
      <c r="K962" s="224"/>
      <c r="L962" s="224"/>
      <c r="M962" s="224"/>
      <c r="N962" s="224"/>
      <c r="O962" s="224"/>
      <c r="P962" s="224"/>
      <c r="Q962" s="224"/>
      <c r="R962" s="224"/>
      <c r="S962" s="224"/>
      <c r="T962" s="224"/>
      <c r="U962" s="224"/>
      <c r="V962" s="224"/>
      <c r="W962" s="224"/>
      <c r="X962" s="224"/>
      <c r="Y962" s="224"/>
      <c r="Z962" s="224"/>
    </row>
    <row r="963" spans="1:26" ht="12.75" customHeight="1">
      <c r="A963" s="224"/>
      <c r="B963" s="226"/>
      <c r="C963" s="224"/>
      <c r="D963" s="224"/>
      <c r="E963" s="224"/>
      <c r="F963" s="224"/>
      <c r="G963" s="224"/>
      <c r="H963" s="224"/>
      <c r="I963" s="224"/>
      <c r="J963" s="224"/>
      <c r="K963" s="224"/>
      <c r="L963" s="224"/>
      <c r="M963" s="224"/>
      <c r="N963" s="224"/>
      <c r="O963" s="224"/>
      <c r="P963" s="224"/>
      <c r="Q963" s="224"/>
      <c r="R963" s="224"/>
      <c r="S963" s="224"/>
      <c r="T963" s="224"/>
      <c r="U963" s="224"/>
      <c r="V963" s="224"/>
      <c r="W963" s="224"/>
      <c r="X963" s="224"/>
      <c r="Y963" s="224"/>
      <c r="Z963" s="224"/>
    </row>
    <row r="964" spans="1:26" ht="12.75" customHeight="1">
      <c r="A964" s="224"/>
      <c r="B964" s="226"/>
      <c r="C964" s="224"/>
      <c r="D964" s="224"/>
      <c r="E964" s="224"/>
      <c r="F964" s="224"/>
      <c r="G964" s="224"/>
      <c r="H964" s="224"/>
      <c r="I964" s="224"/>
      <c r="J964" s="224"/>
      <c r="K964" s="224"/>
      <c r="L964" s="224"/>
      <c r="M964" s="224"/>
      <c r="N964" s="224"/>
      <c r="O964" s="224"/>
      <c r="P964" s="224"/>
      <c r="Q964" s="224"/>
      <c r="R964" s="224"/>
      <c r="S964" s="224"/>
      <c r="T964" s="224"/>
      <c r="U964" s="224"/>
      <c r="V964" s="224"/>
      <c r="W964" s="224"/>
      <c r="X964" s="224"/>
      <c r="Y964" s="224"/>
      <c r="Z964" s="224"/>
    </row>
    <row r="965" spans="1:26" ht="12.75" customHeight="1">
      <c r="A965" s="224"/>
      <c r="B965" s="226"/>
      <c r="C965" s="224"/>
      <c r="D965" s="224"/>
      <c r="E965" s="224"/>
      <c r="F965" s="224"/>
      <c r="G965" s="224"/>
      <c r="H965" s="224"/>
      <c r="I965" s="224"/>
      <c r="J965" s="224"/>
      <c r="K965" s="224"/>
      <c r="L965" s="224"/>
      <c r="M965" s="224"/>
      <c r="N965" s="224"/>
      <c r="O965" s="224"/>
      <c r="P965" s="224"/>
      <c r="Q965" s="224"/>
      <c r="R965" s="224"/>
      <c r="S965" s="224"/>
      <c r="T965" s="224"/>
      <c r="U965" s="224"/>
      <c r="V965" s="224"/>
      <c r="W965" s="224"/>
      <c r="X965" s="224"/>
      <c r="Y965" s="224"/>
      <c r="Z965" s="224"/>
    </row>
    <row r="966" spans="1:26" ht="12.75" customHeight="1">
      <c r="A966" s="224"/>
      <c r="B966" s="226"/>
      <c r="C966" s="224"/>
      <c r="D966" s="224"/>
      <c r="E966" s="224"/>
      <c r="F966" s="224"/>
      <c r="G966" s="224"/>
      <c r="H966" s="224"/>
      <c r="I966" s="224"/>
      <c r="J966" s="224"/>
      <c r="K966" s="224"/>
      <c r="L966" s="224"/>
      <c r="M966" s="224"/>
      <c r="N966" s="224"/>
      <c r="O966" s="224"/>
      <c r="P966" s="224"/>
      <c r="Q966" s="224"/>
      <c r="R966" s="224"/>
      <c r="S966" s="224"/>
      <c r="T966" s="224"/>
      <c r="U966" s="224"/>
      <c r="V966" s="224"/>
      <c r="W966" s="224"/>
      <c r="X966" s="224"/>
      <c r="Y966" s="224"/>
      <c r="Z966" s="224"/>
    </row>
    <row r="967" spans="1:26" ht="12.75" customHeight="1">
      <c r="A967" s="224"/>
      <c r="B967" s="226"/>
      <c r="C967" s="224"/>
      <c r="D967" s="224"/>
      <c r="E967" s="224"/>
      <c r="F967" s="224"/>
      <c r="G967" s="224"/>
      <c r="H967" s="224"/>
      <c r="I967" s="224"/>
      <c r="J967" s="224"/>
      <c r="K967" s="224"/>
      <c r="L967" s="224"/>
      <c r="M967" s="224"/>
      <c r="N967" s="224"/>
      <c r="O967" s="224"/>
      <c r="P967" s="224"/>
      <c r="Q967" s="224"/>
      <c r="R967" s="224"/>
      <c r="S967" s="224"/>
      <c r="T967" s="224"/>
      <c r="U967" s="224"/>
      <c r="V967" s="224"/>
      <c r="W967" s="224"/>
      <c r="X967" s="224"/>
      <c r="Y967" s="224"/>
      <c r="Z967" s="224"/>
    </row>
    <row r="968" spans="1:26" ht="12.75" customHeight="1">
      <c r="A968" s="224"/>
      <c r="B968" s="226"/>
      <c r="C968" s="224"/>
      <c r="D968" s="224"/>
      <c r="E968" s="224"/>
      <c r="F968" s="224"/>
      <c r="G968" s="224"/>
      <c r="H968" s="224"/>
      <c r="I968" s="224"/>
      <c r="J968" s="224"/>
      <c r="K968" s="224"/>
      <c r="L968" s="224"/>
      <c r="M968" s="224"/>
      <c r="N968" s="224"/>
      <c r="O968" s="224"/>
      <c r="P968" s="224"/>
      <c r="Q968" s="224"/>
      <c r="R968" s="224"/>
      <c r="S968" s="224"/>
      <c r="T968" s="224"/>
      <c r="U968" s="224"/>
      <c r="V968" s="224"/>
      <c r="W968" s="224"/>
      <c r="X968" s="224"/>
      <c r="Y968" s="224"/>
      <c r="Z968" s="224"/>
    </row>
    <row r="969" spans="1:26" ht="12.75" customHeight="1">
      <c r="A969" s="224"/>
      <c r="B969" s="226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</row>
    <row r="970" spans="1:26" ht="12.75" customHeight="1">
      <c r="A970" s="224"/>
      <c r="B970" s="226"/>
      <c r="C970" s="224"/>
      <c r="D970" s="224"/>
      <c r="E970" s="224"/>
      <c r="F970" s="224"/>
      <c r="G970" s="224"/>
      <c r="H970" s="224"/>
      <c r="I970" s="224"/>
      <c r="J970" s="224"/>
      <c r="K970" s="224"/>
      <c r="L970" s="224"/>
      <c r="M970" s="224"/>
      <c r="N970" s="224"/>
      <c r="O970" s="224"/>
      <c r="P970" s="224"/>
      <c r="Q970" s="224"/>
      <c r="R970" s="224"/>
      <c r="S970" s="224"/>
      <c r="T970" s="224"/>
      <c r="U970" s="224"/>
      <c r="V970" s="224"/>
      <c r="W970" s="224"/>
      <c r="X970" s="224"/>
      <c r="Y970" s="224"/>
      <c r="Z970" s="224"/>
    </row>
    <row r="971" spans="1:26" ht="12.75" customHeight="1">
      <c r="A971" s="224"/>
      <c r="B971" s="226"/>
      <c r="C971" s="224"/>
      <c r="D971" s="224"/>
      <c r="E971" s="224"/>
      <c r="F971" s="224"/>
      <c r="G971" s="224"/>
      <c r="H971" s="224"/>
      <c r="I971" s="224"/>
      <c r="J971" s="224"/>
      <c r="K971" s="224"/>
      <c r="L971" s="224"/>
      <c r="M971" s="224"/>
      <c r="N971" s="224"/>
      <c r="O971" s="224"/>
      <c r="P971" s="224"/>
      <c r="Q971" s="224"/>
      <c r="R971" s="224"/>
      <c r="S971" s="224"/>
      <c r="T971" s="224"/>
      <c r="U971" s="224"/>
      <c r="V971" s="224"/>
      <c r="W971" s="224"/>
      <c r="X971" s="224"/>
      <c r="Y971" s="224"/>
      <c r="Z971" s="224"/>
    </row>
    <row r="972" spans="1:26" ht="12.75" customHeight="1">
      <c r="A972" s="224"/>
      <c r="B972" s="226"/>
      <c r="C972" s="224"/>
      <c r="D972" s="224"/>
      <c r="E972" s="224"/>
      <c r="F972" s="224"/>
      <c r="G972" s="224"/>
      <c r="H972" s="224"/>
      <c r="I972" s="224"/>
      <c r="J972" s="224"/>
      <c r="K972" s="224"/>
      <c r="L972" s="224"/>
      <c r="M972" s="224"/>
      <c r="N972" s="224"/>
      <c r="O972" s="224"/>
      <c r="P972" s="224"/>
      <c r="Q972" s="224"/>
      <c r="R972" s="224"/>
      <c r="S972" s="224"/>
      <c r="T972" s="224"/>
      <c r="U972" s="224"/>
      <c r="V972" s="224"/>
      <c r="W972" s="224"/>
      <c r="X972" s="224"/>
      <c r="Y972" s="224"/>
      <c r="Z972" s="224"/>
    </row>
    <row r="973" spans="1:26" ht="12.75" customHeight="1">
      <c r="A973" s="224"/>
      <c r="B973" s="226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</row>
    <row r="974" spans="1:26" ht="12.75" customHeight="1">
      <c r="A974" s="224"/>
      <c r="B974" s="226"/>
      <c r="C974" s="224"/>
      <c r="D974" s="224"/>
      <c r="E974" s="224"/>
      <c r="F974" s="224"/>
      <c r="G974" s="224"/>
      <c r="H974" s="224"/>
      <c r="I974" s="224"/>
      <c r="J974" s="224"/>
      <c r="K974" s="224"/>
      <c r="L974" s="224"/>
      <c r="M974" s="224"/>
      <c r="N974" s="224"/>
      <c r="O974" s="224"/>
      <c r="P974" s="224"/>
      <c r="Q974" s="224"/>
      <c r="R974" s="224"/>
      <c r="S974" s="224"/>
      <c r="T974" s="224"/>
      <c r="U974" s="224"/>
      <c r="V974" s="224"/>
      <c r="W974" s="224"/>
      <c r="X974" s="224"/>
      <c r="Y974" s="224"/>
      <c r="Z974" s="224"/>
    </row>
    <row r="975" spans="1:26" ht="12.75" customHeight="1">
      <c r="A975" s="224"/>
      <c r="B975" s="226"/>
      <c r="C975" s="224"/>
      <c r="D975" s="224"/>
      <c r="E975" s="224"/>
      <c r="F975" s="224"/>
      <c r="G975" s="224"/>
      <c r="H975" s="224"/>
      <c r="I975" s="224"/>
      <c r="J975" s="224"/>
      <c r="K975" s="224"/>
      <c r="L975" s="224"/>
      <c r="M975" s="224"/>
      <c r="N975" s="224"/>
      <c r="O975" s="224"/>
      <c r="P975" s="224"/>
      <c r="Q975" s="224"/>
      <c r="R975" s="224"/>
      <c r="S975" s="224"/>
      <c r="T975" s="224"/>
      <c r="U975" s="224"/>
      <c r="V975" s="224"/>
      <c r="W975" s="224"/>
      <c r="X975" s="224"/>
      <c r="Y975" s="224"/>
      <c r="Z975" s="224"/>
    </row>
    <row r="976" spans="1:26" ht="12.75" customHeight="1">
      <c r="A976" s="224"/>
      <c r="B976" s="226"/>
      <c r="C976" s="224"/>
      <c r="D976" s="224"/>
      <c r="E976" s="224"/>
      <c r="F976" s="224"/>
      <c r="G976" s="224"/>
      <c r="H976" s="224"/>
      <c r="I976" s="224"/>
      <c r="J976" s="224"/>
      <c r="K976" s="224"/>
      <c r="L976" s="224"/>
      <c r="M976" s="224"/>
      <c r="N976" s="224"/>
      <c r="O976" s="224"/>
      <c r="P976" s="224"/>
      <c r="Q976" s="224"/>
      <c r="R976" s="224"/>
      <c r="S976" s="224"/>
      <c r="T976" s="224"/>
      <c r="U976" s="224"/>
      <c r="V976" s="224"/>
      <c r="W976" s="224"/>
      <c r="X976" s="224"/>
      <c r="Y976" s="224"/>
      <c r="Z976" s="224"/>
    </row>
    <row r="977" spans="1:26" ht="12.75" customHeight="1">
      <c r="A977" s="224"/>
      <c r="B977" s="226"/>
      <c r="C977" s="224"/>
      <c r="D977" s="224"/>
      <c r="E977" s="224"/>
      <c r="F977" s="224"/>
      <c r="G977" s="224"/>
      <c r="H977" s="224"/>
      <c r="I977" s="224"/>
      <c r="J977" s="224"/>
      <c r="K977" s="224"/>
      <c r="L977" s="224"/>
      <c r="M977" s="224"/>
      <c r="N977" s="224"/>
      <c r="O977" s="224"/>
      <c r="P977" s="224"/>
      <c r="Q977" s="224"/>
      <c r="R977" s="224"/>
      <c r="S977" s="224"/>
      <c r="T977" s="224"/>
      <c r="U977" s="224"/>
      <c r="V977" s="224"/>
      <c r="W977" s="224"/>
      <c r="X977" s="224"/>
      <c r="Y977" s="224"/>
      <c r="Z977" s="224"/>
    </row>
    <row r="978" spans="1:26" ht="12.75" customHeight="1">
      <c r="A978" s="224"/>
      <c r="B978" s="226"/>
      <c r="C978" s="224"/>
      <c r="D978" s="224"/>
      <c r="E978" s="224"/>
      <c r="F978" s="224"/>
      <c r="G978" s="224"/>
      <c r="H978" s="224"/>
      <c r="I978" s="224"/>
      <c r="J978" s="224"/>
      <c r="K978" s="224"/>
      <c r="L978" s="224"/>
      <c r="M978" s="224"/>
      <c r="N978" s="224"/>
      <c r="O978" s="224"/>
      <c r="P978" s="224"/>
      <c r="Q978" s="224"/>
      <c r="R978" s="224"/>
      <c r="S978" s="224"/>
      <c r="T978" s="224"/>
      <c r="U978" s="224"/>
      <c r="V978" s="224"/>
      <c r="W978" s="224"/>
      <c r="X978" s="224"/>
      <c r="Y978" s="224"/>
      <c r="Z978" s="224"/>
    </row>
    <row r="979" spans="1:26" ht="12.75" customHeight="1">
      <c r="A979" s="224"/>
      <c r="B979" s="226"/>
      <c r="C979" s="224"/>
      <c r="D979" s="224"/>
      <c r="E979" s="224"/>
      <c r="F979" s="224"/>
      <c r="G979" s="224"/>
      <c r="H979" s="224"/>
      <c r="I979" s="224"/>
      <c r="J979" s="224"/>
      <c r="K979" s="224"/>
      <c r="L979" s="224"/>
      <c r="M979" s="224"/>
      <c r="N979" s="224"/>
      <c r="O979" s="224"/>
      <c r="P979" s="224"/>
      <c r="Q979" s="224"/>
      <c r="R979" s="224"/>
      <c r="S979" s="224"/>
      <c r="T979" s="224"/>
      <c r="U979" s="224"/>
      <c r="V979" s="224"/>
      <c r="W979" s="224"/>
      <c r="X979" s="224"/>
      <c r="Y979" s="224"/>
      <c r="Z979" s="224"/>
    </row>
    <row r="980" spans="1:26" ht="12.75" customHeight="1">
      <c r="A980" s="224"/>
      <c r="B980" s="226"/>
      <c r="C980" s="224"/>
      <c r="D980" s="224"/>
      <c r="E980" s="224"/>
      <c r="F980" s="224"/>
      <c r="G980" s="224"/>
      <c r="H980" s="224"/>
      <c r="I980" s="224"/>
      <c r="J980" s="224"/>
      <c r="K980" s="224"/>
      <c r="L980" s="224"/>
      <c r="M980" s="224"/>
      <c r="N980" s="224"/>
      <c r="O980" s="224"/>
      <c r="P980" s="224"/>
      <c r="Q980" s="224"/>
      <c r="R980" s="224"/>
      <c r="S980" s="224"/>
      <c r="T980" s="224"/>
      <c r="U980" s="224"/>
      <c r="V980" s="224"/>
      <c r="W980" s="224"/>
      <c r="X980" s="224"/>
      <c r="Y980" s="224"/>
      <c r="Z980" s="224"/>
    </row>
    <row r="981" spans="1:26" ht="12.75" customHeight="1">
      <c r="A981" s="224"/>
      <c r="B981" s="226"/>
      <c r="C981" s="224"/>
      <c r="D981" s="224"/>
      <c r="E981" s="224"/>
      <c r="F981" s="224"/>
      <c r="G981" s="224"/>
      <c r="H981" s="224"/>
      <c r="I981" s="224"/>
      <c r="J981" s="224"/>
      <c r="K981" s="224"/>
      <c r="L981" s="224"/>
      <c r="M981" s="224"/>
      <c r="N981" s="224"/>
      <c r="O981" s="224"/>
      <c r="P981" s="224"/>
      <c r="Q981" s="224"/>
      <c r="R981" s="224"/>
      <c r="S981" s="224"/>
      <c r="T981" s="224"/>
      <c r="U981" s="224"/>
      <c r="V981" s="224"/>
      <c r="W981" s="224"/>
      <c r="X981" s="224"/>
      <c r="Y981" s="224"/>
      <c r="Z981" s="224"/>
    </row>
    <row r="982" spans="1:26" ht="12.75" customHeight="1">
      <c r="A982" s="224"/>
      <c r="B982" s="226"/>
      <c r="C982" s="224"/>
      <c r="D982" s="224"/>
      <c r="E982" s="224"/>
      <c r="F982" s="224"/>
      <c r="G982" s="224"/>
      <c r="H982" s="224"/>
      <c r="I982" s="224"/>
      <c r="J982" s="224"/>
      <c r="K982" s="224"/>
      <c r="L982" s="224"/>
      <c r="M982" s="224"/>
      <c r="N982" s="224"/>
      <c r="O982" s="224"/>
      <c r="P982" s="224"/>
      <c r="Q982" s="224"/>
      <c r="R982" s="224"/>
      <c r="S982" s="224"/>
      <c r="T982" s="224"/>
      <c r="U982" s="224"/>
      <c r="V982" s="224"/>
      <c r="W982" s="224"/>
      <c r="X982" s="224"/>
      <c r="Y982" s="224"/>
      <c r="Z982" s="224"/>
    </row>
    <row r="983" spans="1:26" ht="12.75" customHeight="1">
      <c r="A983" s="224"/>
      <c r="B983" s="226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</row>
    <row r="984" spans="1:26" ht="12.75" customHeight="1">
      <c r="A984" s="224"/>
      <c r="B984" s="226"/>
      <c r="C984" s="224"/>
      <c r="D984" s="224"/>
      <c r="E984" s="224"/>
      <c r="F984" s="224"/>
      <c r="G984" s="224"/>
      <c r="H984" s="224"/>
      <c r="I984" s="224"/>
      <c r="J984" s="224"/>
      <c r="K984" s="224"/>
      <c r="L984" s="224"/>
      <c r="M984" s="224"/>
      <c r="N984" s="224"/>
      <c r="O984" s="224"/>
      <c r="P984" s="224"/>
      <c r="Q984" s="224"/>
      <c r="R984" s="224"/>
      <c r="S984" s="224"/>
      <c r="T984" s="224"/>
      <c r="U984" s="224"/>
      <c r="V984" s="224"/>
      <c r="W984" s="224"/>
      <c r="X984" s="224"/>
      <c r="Y984" s="224"/>
      <c r="Z984" s="224"/>
    </row>
    <row r="985" spans="1:26" ht="12.75" customHeight="1">
      <c r="A985" s="224"/>
      <c r="B985" s="226"/>
      <c r="C985" s="224"/>
      <c r="D985" s="224"/>
      <c r="E985" s="224"/>
      <c r="F985" s="224"/>
      <c r="G985" s="224"/>
      <c r="H985" s="224"/>
      <c r="I985" s="224"/>
      <c r="J985" s="224"/>
      <c r="K985" s="224"/>
      <c r="L985" s="224"/>
      <c r="M985" s="224"/>
      <c r="N985" s="224"/>
      <c r="O985" s="224"/>
      <c r="P985" s="224"/>
      <c r="Q985" s="224"/>
      <c r="R985" s="224"/>
      <c r="S985" s="224"/>
      <c r="T985" s="224"/>
      <c r="U985" s="224"/>
      <c r="V985" s="224"/>
      <c r="W985" s="224"/>
      <c r="X985" s="224"/>
      <c r="Y985" s="224"/>
      <c r="Z985" s="224"/>
    </row>
    <row r="986" spans="1:26" ht="12.75" customHeight="1">
      <c r="A986" s="224"/>
      <c r="B986" s="226"/>
      <c r="C986" s="224"/>
      <c r="D986" s="224"/>
      <c r="E986" s="224"/>
      <c r="F986" s="224"/>
      <c r="G986" s="224"/>
      <c r="H986" s="224"/>
      <c r="I986" s="224"/>
      <c r="J986" s="224"/>
      <c r="K986" s="224"/>
      <c r="L986" s="224"/>
      <c r="M986" s="224"/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4"/>
      <c r="Y986" s="224"/>
      <c r="Z986" s="224"/>
    </row>
    <row r="987" spans="1:26" ht="12.75" customHeight="1">
      <c r="A987" s="224"/>
      <c r="B987" s="226"/>
      <c r="C987" s="224"/>
      <c r="D987" s="224"/>
      <c r="E987" s="224"/>
      <c r="F987" s="224"/>
      <c r="G987" s="224"/>
      <c r="H987" s="224"/>
      <c r="I987" s="224"/>
      <c r="J987" s="224"/>
      <c r="K987" s="224"/>
      <c r="L987" s="224"/>
      <c r="M987" s="224"/>
      <c r="N987" s="224"/>
      <c r="O987" s="224"/>
      <c r="P987" s="224"/>
      <c r="Q987" s="224"/>
      <c r="R987" s="224"/>
      <c r="S987" s="224"/>
      <c r="T987" s="224"/>
      <c r="U987" s="224"/>
      <c r="V987" s="224"/>
      <c r="W987" s="224"/>
      <c r="X987" s="224"/>
      <c r="Y987" s="224"/>
      <c r="Z987" s="224"/>
    </row>
    <row r="988" spans="1:26" ht="12.75" customHeight="1">
      <c r="A988" s="224"/>
      <c r="B988" s="226"/>
      <c r="C988" s="224"/>
      <c r="D988" s="224"/>
      <c r="E988" s="224"/>
      <c r="F988" s="224"/>
      <c r="G988" s="224"/>
      <c r="H988" s="224"/>
      <c r="I988" s="224"/>
      <c r="J988" s="224"/>
      <c r="K988" s="224"/>
      <c r="L988" s="224"/>
      <c r="M988" s="224"/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4"/>
      <c r="Y988" s="224"/>
      <c r="Z988" s="224"/>
    </row>
    <row r="989" spans="1:26" ht="12.75" customHeight="1">
      <c r="A989" s="224"/>
      <c r="B989" s="226"/>
      <c r="C989" s="224"/>
      <c r="D989" s="224"/>
      <c r="E989" s="224"/>
      <c r="F989" s="224"/>
      <c r="G989" s="224"/>
      <c r="H989" s="224"/>
      <c r="I989" s="224"/>
      <c r="J989" s="224"/>
      <c r="K989" s="224"/>
      <c r="L989" s="224"/>
      <c r="M989" s="224"/>
      <c r="N989" s="224"/>
      <c r="O989" s="224"/>
      <c r="P989" s="224"/>
      <c r="Q989" s="224"/>
      <c r="R989" s="224"/>
      <c r="S989" s="224"/>
      <c r="T989" s="224"/>
      <c r="U989" s="224"/>
      <c r="V989" s="224"/>
      <c r="W989" s="224"/>
      <c r="X989" s="224"/>
      <c r="Y989" s="224"/>
      <c r="Z989" s="224"/>
    </row>
    <row r="990" spans="1:26" ht="12.75" customHeight="1">
      <c r="A990" s="224"/>
      <c r="B990" s="226"/>
      <c r="C990" s="224"/>
      <c r="D990" s="224"/>
      <c r="E990" s="224"/>
      <c r="F990" s="224"/>
      <c r="G990" s="224"/>
      <c r="H990" s="224"/>
      <c r="I990" s="224"/>
      <c r="J990" s="224"/>
      <c r="K990" s="224"/>
      <c r="L990" s="224"/>
      <c r="M990" s="224"/>
      <c r="N990" s="224"/>
      <c r="O990" s="224"/>
      <c r="P990" s="224"/>
      <c r="Q990" s="224"/>
      <c r="R990" s="224"/>
      <c r="S990" s="224"/>
      <c r="T990" s="224"/>
      <c r="U990" s="224"/>
      <c r="V990" s="224"/>
      <c r="W990" s="224"/>
      <c r="X990" s="224"/>
      <c r="Y990" s="224"/>
      <c r="Z990" s="224"/>
    </row>
    <row r="991" spans="1:26" ht="12.75" customHeight="1">
      <c r="A991" s="224"/>
      <c r="B991" s="226"/>
      <c r="C991" s="224"/>
      <c r="D991" s="224"/>
      <c r="E991" s="224"/>
      <c r="F991" s="224"/>
      <c r="G991" s="224"/>
      <c r="H991" s="224"/>
      <c r="I991" s="224"/>
      <c r="J991" s="224"/>
      <c r="K991" s="224"/>
      <c r="L991" s="224"/>
      <c r="M991" s="224"/>
      <c r="N991" s="224"/>
      <c r="O991" s="224"/>
      <c r="P991" s="224"/>
      <c r="Q991" s="224"/>
      <c r="R991" s="224"/>
      <c r="S991" s="224"/>
      <c r="T991" s="224"/>
      <c r="U991" s="224"/>
      <c r="V991" s="224"/>
      <c r="W991" s="224"/>
      <c r="X991" s="224"/>
      <c r="Y991" s="224"/>
      <c r="Z991" s="224"/>
    </row>
    <row r="992" spans="1:26" ht="12.75" customHeight="1">
      <c r="A992" s="224"/>
      <c r="B992" s="226"/>
      <c r="C992" s="224"/>
      <c r="D992" s="224"/>
      <c r="E992" s="224"/>
      <c r="F992" s="224"/>
      <c r="G992" s="224"/>
      <c r="H992" s="224"/>
      <c r="I992" s="224"/>
      <c r="J992" s="224"/>
      <c r="K992" s="224"/>
      <c r="L992" s="224"/>
      <c r="M992" s="224"/>
      <c r="N992" s="224"/>
      <c r="O992" s="224"/>
      <c r="P992" s="224"/>
      <c r="Q992" s="224"/>
      <c r="R992" s="224"/>
      <c r="S992" s="224"/>
      <c r="T992" s="224"/>
      <c r="U992" s="224"/>
      <c r="V992" s="224"/>
      <c r="W992" s="224"/>
      <c r="X992" s="224"/>
      <c r="Y992" s="224"/>
      <c r="Z992" s="224"/>
    </row>
    <row r="993" spans="1:26" ht="12.75" customHeight="1">
      <c r="A993" s="224"/>
      <c r="B993" s="226"/>
      <c r="C993" s="224"/>
      <c r="D993" s="224"/>
      <c r="E993" s="224"/>
      <c r="F993" s="224"/>
      <c r="G993" s="224"/>
      <c r="H993" s="224"/>
      <c r="I993" s="224"/>
      <c r="J993" s="224"/>
      <c r="K993" s="224"/>
      <c r="L993" s="224"/>
      <c r="M993" s="224"/>
      <c r="N993" s="224"/>
      <c r="O993" s="224"/>
      <c r="P993" s="224"/>
      <c r="Q993" s="224"/>
      <c r="R993" s="224"/>
      <c r="S993" s="224"/>
      <c r="T993" s="224"/>
      <c r="U993" s="224"/>
      <c r="V993" s="224"/>
      <c r="W993" s="224"/>
      <c r="X993" s="224"/>
      <c r="Y993" s="224"/>
      <c r="Z993" s="224"/>
    </row>
    <row r="994" spans="1:26" ht="12.75" customHeight="1">
      <c r="A994" s="224"/>
      <c r="B994" s="226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</row>
    <row r="995" spans="1:26" ht="12.75" customHeight="1">
      <c r="A995" s="224"/>
      <c r="B995" s="226"/>
      <c r="C995" s="224"/>
      <c r="D995" s="224"/>
      <c r="E995" s="224"/>
      <c r="F995" s="224"/>
      <c r="G995" s="224"/>
      <c r="H995" s="224"/>
      <c r="I995" s="224"/>
      <c r="J995" s="224"/>
      <c r="K995" s="224"/>
      <c r="L995" s="224"/>
      <c r="M995" s="224"/>
      <c r="N995" s="224"/>
      <c r="O995" s="224"/>
      <c r="P995" s="224"/>
      <c r="Q995" s="224"/>
      <c r="R995" s="224"/>
      <c r="S995" s="224"/>
      <c r="T995" s="224"/>
      <c r="U995" s="224"/>
      <c r="V995" s="224"/>
      <c r="W995" s="224"/>
      <c r="X995" s="224"/>
      <c r="Y995" s="224"/>
      <c r="Z995" s="224"/>
    </row>
    <row r="996" spans="1:26" ht="12.75" customHeight="1">
      <c r="A996" s="224"/>
      <c r="B996" s="226"/>
      <c r="C996" s="224"/>
      <c r="D996" s="224"/>
      <c r="E996" s="224"/>
      <c r="F996" s="224"/>
      <c r="G996" s="224"/>
      <c r="H996" s="224"/>
      <c r="I996" s="224"/>
      <c r="J996" s="224"/>
      <c r="K996" s="224"/>
      <c r="L996" s="224"/>
      <c r="M996" s="224"/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4"/>
      <c r="Y996" s="224"/>
      <c r="Z996" s="224"/>
    </row>
    <row r="997" spans="1:26" ht="12.75" customHeight="1">
      <c r="A997" s="224"/>
      <c r="B997" s="226"/>
      <c r="C997" s="224"/>
      <c r="D997" s="224"/>
      <c r="E997" s="224"/>
      <c r="F997" s="224"/>
      <c r="G997" s="224"/>
      <c r="H997" s="224"/>
      <c r="I997" s="224"/>
      <c r="J997" s="224"/>
      <c r="K997" s="224"/>
      <c r="L997" s="224"/>
      <c r="M997" s="224"/>
      <c r="N997" s="224"/>
      <c r="O997" s="224"/>
      <c r="P997" s="224"/>
      <c r="Q997" s="224"/>
      <c r="R997" s="224"/>
      <c r="S997" s="224"/>
      <c r="T997" s="224"/>
      <c r="U997" s="224"/>
      <c r="V997" s="224"/>
      <c r="W997" s="224"/>
      <c r="X997" s="224"/>
      <c r="Y997" s="224"/>
      <c r="Z997" s="224"/>
    </row>
    <row r="998" spans="1:26" ht="12.75" customHeight="1">
      <c r="A998" s="224"/>
      <c r="B998" s="226"/>
      <c r="C998" s="224"/>
      <c r="D998" s="224"/>
      <c r="E998" s="224"/>
      <c r="F998" s="224"/>
      <c r="G998" s="224"/>
      <c r="H998" s="224"/>
      <c r="I998" s="224"/>
      <c r="J998" s="224"/>
      <c r="K998" s="224"/>
      <c r="L998" s="224"/>
      <c r="M998" s="224"/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4"/>
      <c r="Y998" s="224"/>
      <c r="Z998" s="224"/>
    </row>
    <row r="999" spans="1:26" ht="12.75" customHeight="1">
      <c r="A999" s="224"/>
      <c r="B999" s="226"/>
      <c r="C999" s="224"/>
      <c r="D999" s="224"/>
      <c r="E999" s="224"/>
      <c r="F999" s="224"/>
      <c r="G999" s="224"/>
      <c r="H999" s="224"/>
      <c r="I999" s="224"/>
      <c r="J999" s="224"/>
      <c r="K999" s="224"/>
      <c r="L999" s="224"/>
      <c r="M999" s="224"/>
      <c r="N999" s="224"/>
      <c r="O999" s="224"/>
      <c r="P999" s="224"/>
      <c r="Q999" s="224"/>
      <c r="R999" s="224"/>
      <c r="S999" s="224"/>
      <c r="T999" s="224"/>
      <c r="U999" s="224"/>
      <c r="V999" s="224"/>
      <c r="W999" s="224"/>
      <c r="X999" s="224"/>
      <c r="Y999" s="224"/>
      <c r="Z999" s="224"/>
    </row>
    <row r="1000" spans="1:26" ht="12.75" customHeight="1">
      <c r="A1000" s="224"/>
      <c r="B1000" s="226"/>
      <c r="C1000" s="224"/>
      <c r="D1000" s="224"/>
      <c r="E1000" s="224"/>
      <c r="F1000" s="224"/>
      <c r="G1000" s="224"/>
      <c r="H1000" s="224"/>
      <c r="I1000" s="224"/>
      <c r="J1000" s="224"/>
      <c r="K1000" s="224"/>
      <c r="L1000" s="224"/>
      <c r="M1000" s="224"/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4"/>
      <c r="Y1000" s="224"/>
      <c r="Z1000" s="224"/>
    </row>
    <row r="1001" spans="1:26" ht="12.75" customHeight="1">
      <c r="A1001" s="224"/>
      <c r="B1001" s="226"/>
      <c r="C1001" s="224"/>
      <c r="D1001" s="224"/>
      <c r="E1001" s="224"/>
      <c r="F1001" s="224"/>
      <c r="G1001" s="224"/>
      <c r="H1001" s="224"/>
      <c r="I1001" s="224"/>
      <c r="J1001" s="224"/>
      <c r="K1001" s="224"/>
      <c r="L1001" s="224"/>
      <c r="M1001" s="224"/>
      <c r="N1001" s="224"/>
      <c r="O1001" s="224"/>
      <c r="P1001" s="224"/>
      <c r="Q1001" s="224"/>
      <c r="R1001" s="224"/>
      <c r="S1001" s="224"/>
      <c r="T1001" s="224"/>
      <c r="U1001" s="224"/>
      <c r="V1001" s="224"/>
      <c r="W1001" s="224"/>
      <c r="X1001" s="224"/>
      <c r="Y1001" s="224"/>
      <c r="Z1001" s="224"/>
    </row>
    <row r="1002" spans="1:26" ht="12.75" customHeight="1">
      <c r="A1002" s="224"/>
      <c r="B1002" s="226"/>
      <c r="C1002" s="224"/>
      <c r="D1002" s="224"/>
      <c r="E1002" s="224"/>
      <c r="F1002" s="224"/>
      <c r="G1002" s="224"/>
      <c r="H1002" s="224"/>
      <c r="I1002" s="224"/>
      <c r="J1002" s="224"/>
      <c r="K1002" s="224"/>
      <c r="L1002" s="224"/>
      <c r="M1002" s="224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4"/>
      <c r="Y1002" s="224"/>
      <c r="Z1002" s="224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1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2" customFormat="1" ht="12.75" customHeight="1">
      <c r="C1" s="288" t="s">
        <v>786</v>
      </c>
      <c r="D1" s="113"/>
      <c r="E1" s="114"/>
      <c r="F1" s="115"/>
      <c r="G1" s="115"/>
      <c r="H1" s="116"/>
      <c r="I1" s="113"/>
      <c r="J1" s="116"/>
      <c r="K1" s="116"/>
      <c r="L1" s="116"/>
      <c r="M1" s="116"/>
      <c r="N1" s="113"/>
      <c r="O1" s="113"/>
      <c r="P1" s="113"/>
      <c r="Q1" s="117"/>
      <c r="R1" s="117"/>
      <c r="S1" s="118"/>
      <c r="T1" s="119"/>
      <c r="U1" s="119"/>
      <c r="V1" s="122"/>
      <c r="W1" s="28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</row>
    <row r="2" spans="3:133" s="32" customFormat="1" ht="16.5" customHeight="1">
      <c r="C2" s="288" t="s">
        <v>784</v>
      </c>
      <c r="D2" s="113"/>
      <c r="E2" s="114"/>
      <c r="F2" s="115"/>
      <c r="G2" s="115"/>
      <c r="H2" s="116"/>
      <c r="I2" s="113"/>
      <c r="J2" s="116"/>
      <c r="K2" s="116"/>
      <c r="L2" s="116"/>
      <c r="M2" s="116"/>
      <c r="N2" s="113"/>
      <c r="O2" s="113"/>
      <c r="P2" s="113"/>
      <c r="Q2" s="117"/>
      <c r="R2" s="117"/>
      <c r="S2" s="118"/>
      <c r="T2" s="290"/>
      <c r="U2" s="119"/>
      <c r="V2" s="122"/>
      <c r="W2" s="28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</row>
    <row r="3" spans="3:133" s="32" customFormat="1" ht="16.5" customHeight="1">
      <c r="C3" s="288" t="s">
        <v>785</v>
      </c>
      <c r="D3" s="113"/>
      <c r="E3" s="114"/>
      <c r="F3" s="115"/>
      <c r="G3" s="115"/>
      <c r="H3" s="116"/>
      <c r="I3" s="113"/>
      <c r="J3" s="116"/>
      <c r="K3" s="116"/>
      <c r="L3" s="116"/>
      <c r="M3" s="116"/>
      <c r="N3" s="113"/>
      <c r="O3" s="113"/>
      <c r="P3" s="113"/>
      <c r="Q3" s="117"/>
      <c r="R3" s="117"/>
      <c r="S3" s="118"/>
      <c r="T3" s="290"/>
      <c r="U3" s="291"/>
      <c r="V3" s="122"/>
      <c r="W3" s="28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</row>
    <row r="4" spans="3:133" s="169" customFormat="1" ht="13.8">
      <c r="C4" s="172"/>
      <c r="D4" s="173"/>
      <c r="E4" s="174"/>
      <c r="F4" s="175"/>
      <c r="G4" s="175"/>
      <c r="H4" s="176"/>
      <c r="I4" s="177"/>
      <c r="J4" s="178"/>
      <c r="K4" s="178"/>
      <c r="L4" s="178"/>
      <c r="M4" s="178"/>
      <c r="N4" s="179" t="s">
        <v>80</v>
      </c>
      <c r="O4" s="179" t="s">
        <v>80</v>
      </c>
      <c r="P4" s="179" t="s">
        <v>80</v>
      </c>
      <c r="Q4" s="180"/>
      <c r="R4" s="180"/>
      <c r="S4" s="181"/>
      <c r="T4" s="182"/>
      <c r="U4" s="182"/>
      <c r="V4" s="183"/>
      <c r="W4" s="184"/>
      <c r="X4" s="183"/>
      <c r="Y4" s="183"/>
      <c r="Z4" s="185"/>
      <c r="AA4" s="186"/>
      <c r="AB4" s="187"/>
      <c r="AC4" s="187"/>
      <c r="AD4" s="187" t="s">
        <v>81</v>
      </c>
      <c r="AE4" s="187" t="s">
        <v>81</v>
      </c>
      <c r="AF4" s="187" t="s">
        <v>81</v>
      </c>
      <c r="AG4" s="188"/>
      <c r="AH4" s="188"/>
      <c r="AI4" s="188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7"/>
      <c r="AX4" s="187"/>
      <c r="AY4" s="187"/>
      <c r="AZ4" s="187"/>
      <c r="BA4" s="187"/>
      <c r="BB4" s="187"/>
      <c r="BC4" s="187" t="s">
        <v>82</v>
      </c>
      <c r="BD4" s="187"/>
      <c r="BE4" s="187"/>
      <c r="BF4" s="187"/>
      <c r="BG4" s="187"/>
      <c r="BH4" s="187"/>
      <c r="BI4" s="187"/>
      <c r="BJ4" s="187"/>
      <c r="BK4" s="187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90">
        <v>0.3</v>
      </c>
      <c r="BW4" s="4">
        <v>0.7</v>
      </c>
      <c r="BX4" s="3"/>
      <c r="BY4" s="3"/>
      <c r="BZ4" s="3"/>
      <c r="CA4" s="3"/>
      <c r="CB4" s="2"/>
      <c r="CC4" s="191"/>
      <c r="CD4" s="191"/>
      <c r="CE4" s="191"/>
      <c r="CF4" s="191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91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92"/>
      <c r="DZ4" s="193"/>
      <c r="EA4" s="193"/>
      <c r="EB4" s="194"/>
    </row>
    <row r="5" spans="3:133" s="169" customFormat="1" ht="30" customHeight="1">
      <c r="C5" s="195" t="s">
        <v>27</v>
      </c>
      <c r="D5" s="196" t="s">
        <v>83</v>
      </c>
      <c r="E5" s="197"/>
      <c r="F5" s="198"/>
      <c r="G5" s="198"/>
      <c r="H5" s="40"/>
      <c r="I5" s="199"/>
      <c r="J5" s="200" t="s">
        <v>84</v>
      </c>
      <c r="K5" s="200"/>
      <c r="L5" s="200"/>
      <c r="M5" s="200"/>
      <c r="N5" s="201" t="s">
        <v>85</v>
      </c>
      <c r="O5" s="201" t="s">
        <v>85</v>
      </c>
      <c r="P5" s="201" t="s">
        <v>85</v>
      </c>
      <c r="Q5" s="40" t="s">
        <v>86</v>
      </c>
      <c r="R5" s="40"/>
      <c r="S5" s="78"/>
      <c r="T5" s="79"/>
      <c r="U5" s="202"/>
      <c r="V5" s="203" t="s">
        <v>87</v>
      </c>
      <c r="W5" s="204"/>
      <c r="X5" s="203" t="s">
        <v>12</v>
      </c>
      <c r="Y5" s="47" t="s">
        <v>13</v>
      </c>
      <c r="Z5" s="45"/>
      <c r="AA5" s="205"/>
      <c r="AB5" s="206" t="s">
        <v>88</v>
      </c>
      <c r="AC5" s="206" t="s">
        <v>89</v>
      </c>
      <c r="AD5" s="206" t="s">
        <v>90</v>
      </c>
      <c r="AE5" s="206" t="s">
        <v>90</v>
      </c>
      <c r="AF5" s="206" t="s">
        <v>90</v>
      </c>
      <c r="AG5" s="80" t="s">
        <v>91</v>
      </c>
      <c r="AH5" s="80"/>
      <c r="AI5" s="80" t="s">
        <v>91</v>
      </c>
      <c r="AJ5" s="206" t="s">
        <v>92</v>
      </c>
      <c r="AK5" s="206" t="s">
        <v>92</v>
      </c>
      <c r="AL5" s="206" t="s">
        <v>92</v>
      </c>
      <c r="AM5" s="206" t="s">
        <v>93</v>
      </c>
      <c r="AN5" s="206" t="s">
        <v>93</v>
      </c>
      <c r="AO5" s="206" t="s">
        <v>93</v>
      </c>
      <c r="AP5" s="206" t="s">
        <v>94</v>
      </c>
      <c r="AQ5" s="206" t="s">
        <v>94</v>
      </c>
      <c r="AR5" s="206" t="s">
        <v>94</v>
      </c>
      <c r="AS5" s="206" t="s">
        <v>95</v>
      </c>
      <c r="AT5" s="206" t="s">
        <v>95</v>
      </c>
      <c r="AU5" s="206" t="s">
        <v>95</v>
      </c>
      <c r="AV5" s="206" t="s">
        <v>96</v>
      </c>
      <c r="AW5" s="206" t="s">
        <v>96</v>
      </c>
      <c r="AX5" s="206" t="s">
        <v>96</v>
      </c>
      <c r="AY5" s="206" t="s">
        <v>97</v>
      </c>
      <c r="AZ5" s="206" t="s">
        <v>97</v>
      </c>
      <c r="BA5" s="206" t="s">
        <v>98</v>
      </c>
      <c r="BB5" s="206" t="s">
        <v>99</v>
      </c>
      <c r="BC5" s="206" t="s">
        <v>12</v>
      </c>
      <c r="BD5" s="206"/>
      <c r="BE5" s="206" t="s">
        <v>27</v>
      </c>
      <c r="BF5" s="206" t="s">
        <v>28</v>
      </c>
      <c r="BG5" s="80" t="s">
        <v>29</v>
      </c>
      <c r="BH5" s="47" t="s">
        <v>30</v>
      </c>
      <c r="BI5" s="122" t="s">
        <v>31</v>
      </c>
      <c r="BJ5" s="207" t="s">
        <v>32</v>
      </c>
      <c r="BK5" s="207" t="s">
        <v>33</v>
      </c>
      <c r="BL5" s="80" t="s">
        <v>34</v>
      </c>
      <c r="BM5" s="80" t="s">
        <v>35</v>
      </c>
      <c r="BN5" s="80" t="s">
        <v>36</v>
      </c>
      <c r="BO5" s="80" t="s">
        <v>37</v>
      </c>
      <c r="BP5" s="207" t="s">
        <v>38</v>
      </c>
      <c r="BQ5" s="80" t="s">
        <v>39</v>
      </c>
      <c r="BR5" s="80" t="s">
        <v>40</v>
      </c>
      <c r="BS5" s="80" t="s">
        <v>41</v>
      </c>
      <c r="BT5" s="80" t="s">
        <v>42</v>
      </c>
      <c r="BU5" s="80"/>
      <c r="BV5" s="208">
        <v>0.24</v>
      </c>
      <c r="BW5" s="208">
        <v>7.0000000000000007E-2</v>
      </c>
      <c r="BX5" s="208">
        <v>0.31</v>
      </c>
      <c r="BY5" s="208">
        <v>0.17</v>
      </c>
      <c r="BZ5" s="208">
        <v>0.12</v>
      </c>
      <c r="CA5" s="208"/>
      <c r="CB5" s="208">
        <v>0.09</v>
      </c>
      <c r="CC5" s="209"/>
      <c r="CD5" s="209" t="s">
        <v>82</v>
      </c>
      <c r="CE5" s="209"/>
      <c r="CF5" s="209" t="s">
        <v>100</v>
      </c>
      <c r="CG5" s="210" t="s">
        <v>101</v>
      </c>
      <c r="CH5" s="211" t="s">
        <v>102</v>
      </c>
      <c r="CI5" s="210" t="s">
        <v>103</v>
      </c>
      <c r="CJ5" s="210" t="s">
        <v>103</v>
      </c>
      <c r="CK5" s="210" t="s">
        <v>104</v>
      </c>
      <c r="CL5" s="210" t="s">
        <v>105</v>
      </c>
      <c r="CM5" s="210" t="s">
        <v>106</v>
      </c>
      <c r="CN5" s="210" t="s">
        <v>107</v>
      </c>
      <c r="CO5" s="210" t="s">
        <v>108</v>
      </c>
      <c r="CP5" s="210" t="s">
        <v>109</v>
      </c>
      <c r="CQ5" s="210" t="s">
        <v>110</v>
      </c>
      <c r="CR5" s="210" t="s">
        <v>111</v>
      </c>
      <c r="CS5" s="210" t="s">
        <v>112</v>
      </c>
      <c r="CT5" s="210" t="s">
        <v>113</v>
      </c>
      <c r="CU5" s="210" t="s">
        <v>114</v>
      </c>
      <c r="CV5" s="210" t="s">
        <v>115</v>
      </c>
      <c r="CW5" s="210" t="s">
        <v>116</v>
      </c>
      <c r="CX5" s="210" t="s">
        <v>117</v>
      </c>
      <c r="CY5" s="212" t="s">
        <v>118</v>
      </c>
      <c r="CZ5" s="210" t="s">
        <v>119</v>
      </c>
      <c r="DA5" s="210" t="s">
        <v>120</v>
      </c>
      <c r="DB5" s="210" t="s">
        <v>121</v>
      </c>
      <c r="DC5" s="210" t="s">
        <v>122</v>
      </c>
      <c r="DD5" s="210" t="s">
        <v>123</v>
      </c>
      <c r="DE5" s="210" t="s">
        <v>124</v>
      </c>
      <c r="DF5" s="210" t="s">
        <v>125</v>
      </c>
      <c r="DG5" s="210" t="s">
        <v>126</v>
      </c>
      <c r="DH5" s="210" t="s">
        <v>127</v>
      </c>
      <c r="DI5" s="210" t="s">
        <v>128</v>
      </c>
      <c r="DJ5" s="210" t="s">
        <v>129</v>
      </c>
      <c r="DK5" s="210" t="s">
        <v>130</v>
      </c>
      <c r="DL5" s="210" t="s">
        <v>131</v>
      </c>
      <c r="DM5" s="210" t="s">
        <v>132</v>
      </c>
      <c r="DN5" s="210" t="s">
        <v>133</v>
      </c>
      <c r="DO5" s="210" t="s">
        <v>134</v>
      </c>
      <c r="DP5" s="210" t="s">
        <v>135</v>
      </c>
      <c r="DQ5" s="210" t="s">
        <v>136</v>
      </c>
      <c r="DR5" s="210" t="s">
        <v>137</v>
      </c>
      <c r="DS5" s="210" t="s">
        <v>138</v>
      </c>
      <c r="DT5" s="210" t="s">
        <v>139</v>
      </c>
      <c r="DU5" s="210" t="s">
        <v>140</v>
      </c>
      <c r="DV5" s="210" t="s">
        <v>141</v>
      </c>
      <c r="DW5" s="210" t="s">
        <v>142</v>
      </c>
      <c r="DX5" s="210" t="s">
        <v>143</v>
      </c>
      <c r="DY5" s="210" t="s">
        <v>144</v>
      </c>
      <c r="DZ5" s="206" t="s">
        <v>145</v>
      </c>
      <c r="EA5" s="206" t="s">
        <v>145</v>
      </c>
      <c r="EB5" s="206" t="s">
        <v>145</v>
      </c>
    </row>
    <row r="6" spans="3:133" s="169" customFormat="1" ht="30" customHeight="1">
      <c r="C6" s="213" t="s">
        <v>146</v>
      </c>
      <c r="D6" s="214" t="s">
        <v>147</v>
      </c>
      <c r="E6" s="215"/>
      <c r="F6" s="216" t="s">
        <v>148</v>
      </c>
      <c r="G6" s="216" t="s">
        <v>149</v>
      </c>
      <c r="H6" s="104" t="s">
        <v>150</v>
      </c>
      <c r="I6" s="213" t="s">
        <v>151</v>
      </c>
      <c r="J6" s="217" t="s">
        <v>152</v>
      </c>
      <c r="K6" s="217"/>
      <c r="L6" s="217"/>
      <c r="M6" s="217"/>
      <c r="N6" s="218" t="s">
        <v>12</v>
      </c>
      <c r="O6" s="218" t="s">
        <v>153</v>
      </c>
      <c r="P6" s="218" t="s">
        <v>145</v>
      </c>
      <c r="Q6" s="104" t="s">
        <v>86</v>
      </c>
      <c r="R6" s="104"/>
      <c r="S6" s="105" t="s">
        <v>154</v>
      </c>
      <c r="T6" s="219" t="s">
        <v>155</v>
      </c>
      <c r="U6" s="219" t="s">
        <v>156</v>
      </c>
      <c r="V6" s="220" t="s">
        <v>157</v>
      </c>
      <c r="W6" s="221"/>
      <c r="X6" s="220" t="s">
        <v>158</v>
      </c>
      <c r="Y6" s="222" t="s">
        <v>159</v>
      </c>
      <c r="Z6" s="223"/>
      <c r="AA6" s="213"/>
      <c r="AB6" s="199" t="s">
        <v>158</v>
      </c>
      <c r="AC6" s="199"/>
      <c r="AD6" s="206" t="s">
        <v>160</v>
      </c>
      <c r="AE6" s="206" t="s">
        <v>87</v>
      </c>
      <c r="AF6" s="206" t="s">
        <v>161</v>
      </c>
      <c r="AG6" s="80" t="s">
        <v>160</v>
      </c>
      <c r="AH6" s="202"/>
      <c r="AI6" s="80" t="s">
        <v>162</v>
      </c>
      <c r="AJ6" s="213" t="s">
        <v>160</v>
      </c>
      <c r="AK6" s="213" t="s">
        <v>87</v>
      </c>
      <c r="AL6" s="213" t="s">
        <v>162</v>
      </c>
      <c r="AM6" s="213" t="s">
        <v>160</v>
      </c>
      <c r="AN6" s="213" t="s">
        <v>87</v>
      </c>
      <c r="AO6" s="213" t="s">
        <v>162</v>
      </c>
      <c r="AP6" s="213" t="s">
        <v>160</v>
      </c>
      <c r="AQ6" s="213" t="s">
        <v>87</v>
      </c>
      <c r="AR6" s="213" t="s">
        <v>162</v>
      </c>
      <c r="AS6" s="213" t="s">
        <v>160</v>
      </c>
      <c r="AT6" s="213" t="s">
        <v>87</v>
      </c>
      <c r="AU6" s="213" t="s">
        <v>162</v>
      </c>
      <c r="AV6" s="213" t="s">
        <v>160</v>
      </c>
      <c r="AW6" s="213" t="s">
        <v>87</v>
      </c>
      <c r="AX6" s="213" t="s">
        <v>162</v>
      </c>
      <c r="AY6" s="213" t="s">
        <v>87</v>
      </c>
      <c r="AZ6" s="213" t="s">
        <v>162</v>
      </c>
      <c r="BA6" s="213"/>
      <c r="BB6" s="213"/>
      <c r="BC6" s="213"/>
      <c r="BD6" s="213"/>
      <c r="BE6" s="213" t="s">
        <v>163</v>
      </c>
      <c r="BF6" s="199" t="s">
        <v>164</v>
      </c>
      <c r="BG6" s="199" t="s">
        <v>165</v>
      </c>
      <c r="BH6" s="199" t="s">
        <v>166</v>
      </c>
      <c r="BI6" s="196" t="s">
        <v>167</v>
      </c>
      <c r="BJ6" s="199" t="s">
        <v>168</v>
      </c>
      <c r="BK6" s="199" t="s">
        <v>169</v>
      </c>
      <c r="BL6" s="199" t="s">
        <v>170</v>
      </c>
      <c r="BM6" s="199" t="s">
        <v>171</v>
      </c>
      <c r="BN6" s="199" t="s">
        <v>172</v>
      </c>
      <c r="BO6" s="199" t="s">
        <v>173</v>
      </c>
      <c r="BP6" s="199" t="s">
        <v>174</v>
      </c>
      <c r="BQ6" s="199" t="s">
        <v>175</v>
      </c>
      <c r="BR6" s="199" t="s">
        <v>176</v>
      </c>
      <c r="BS6" s="199" t="s">
        <v>177</v>
      </c>
      <c r="BT6" s="199" t="s">
        <v>178</v>
      </c>
      <c r="BU6" s="199" t="s">
        <v>179</v>
      </c>
      <c r="BV6" s="213" t="s">
        <v>3</v>
      </c>
      <c r="BW6" s="213" t="s">
        <v>11</v>
      </c>
      <c r="BX6" s="213" t="s">
        <v>8</v>
      </c>
      <c r="BY6" s="213" t="s">
        <v>4</v>
      </c>
      <c r="BZ6" s="213" t="s">
        <v>180</v>
      </c>
      <c r="CA6" s="213" t="s">
        <v>180</v>
      </c>
      <c r="CB6" s="213" t="s">
        <v>181</v>
      </c>
      <c r="CC6" s="220" t="s">
        <v>99</v>
      </c>
      <c r="CD6" s="220" t="s">
        <v>13</v>
      </c>
      <c r="CE6" s="220" t="s">
        <v>182</v>
      </c>
      <c r="CF6" s="220" t="s">
        <v>43</v>
      </c>
      <c r="CG6" s="213" t="s">
        <v>44</v>
      </c>
      <c r="CH6" s="213">
        <v>752</v>
      </c>
      <c r="CI6" s="213" t="s">
        <v>45</v>
      </c>
      <c r="CJ6" s="213" t="s">
        <v>46</v>
      </c>
      <c r="CK6" s="213" t="s">
        <v>47</v>
      </c>
      <c r="CL6" s="213">
        <v>761</v>
      </c>
      <c r="CM6" s="213" t="s">
        <v>48</v>
      </c>
      <c r="CN6" s="213" t="s">
        <v>49</v>
      </c>
      <c r="CO6" s="213">
        <v>767</v>
      </c>
      <c r="CP6" s="213" t="s">
        <v>50</v>
      </c>
      <c r="CQ6" s="213" t="s">
        <v>51</v>
      </c>
      <c r="CR6" s="213" t="s">
        <v>52</v>
      </c>
      <c r="CS6" s="213" t="s">
        <v>53</v>
      </c>
      <c r="CT6" s="213" t="s">
        <v>54</v>
      </c>
      <c r="CU6" s="213" t="s">
        <v>55</v>
      </c>
      <c r="CV6" s="213" t="s">
        <v>56</v>
      </c>
      <c r="CW6" s="213" t="s">
        <v>57</v>
      </c>
      <c r="CX6" s="213" t="s">
        <v>58</v>
      </c>
      <c r="CY6" s="213" t="s">
        <v>58</v>
      </c>
      <c r="CZ6" s="213" t="s">
        <v>59</v>
      </c>
      <c r="DA6" s="213" t="s">
        <v>60</v>
      </c>
      <c r="DB6" s="213" t="s">
        <v>61</v>
      </c>
      <c r="DC6" s="213" t="s">
        <v>62</v>
      </c>
      <c r="DD6" s="213" t="s">
        <v>63</v>
      </c>
      <c r="DE6" s="213" t="s">
        <v>64</v>
      </c>
      <c r="DF6" s="213">
        <v>793</v>
      </c>
      <c r="DG6" s="213">
        <v>795</v>
      </c>
      <c r="DH6" s="213">
        <v>796</v>
      </c>
      <c r="DI6" s="213">
        <v>797</v>
      </c>
      <c r="DJ6" s="213" t="s">
        <v>65</v>
      </c>
      <c r="DK6" s="213" t="s">
        <v>66</v>
      </c>
      <c r="DL6" s="213" t="s">
        <v>67</v>
      </c>
      <c r="DM6" s="213" t="s">
        <v>68</v>
      </c>
      <c r="DN6" s="213" t="s">
        <v>69</v>
      </c>
      <c r="DO6" s="213" t="s">
        <v>70</v>
      </c>
      <c r="DP6" s="213" t="s">
        <v>71</v>
      </c>
      <c r="DQ6" s="213" t="s">
        <v>72</v>
      </c>
      <c r="DR6" s="213" t="s">
        <v>73</v>
      </c>
      <c r="DS6" s="213" t="s">
        <v>74</v>
      </c>
      <c r="DT6" s="213">
        <v>879</v>
      </c>
      <c r="DU6" s="213" t="s">
        <v>75</v>
      </c>
      <c r="DV6" s="213" t="s">
        <v>76</v>
      </c>
      <c r="DW6" s="213" t="s">
        <v>77</v>
      </c>
      <c r="DX6" s="213" t="s">
        <v>78</v>
      </c>
      <c r="DY6" s="213" t="s">
        <v>79</v>
      </c>
      <c r="DZ6" s="213">
        <v>226</v>
      </c>
      <c r="EA6" s="213">
        <v>223</v>
      </c>
      <c r="EB6" s="213">
        <v>222</v>
      </c>
    </row>
    <row r="7" spans="3:133" s="32" customFormat="1">
      <c r="C7" s="11" t="s">
        <v>758</v>
      </c>
      <c r="D7" s="12"/>
      <c r="E7" s="13"/>
      <c r="F7" s="14"/>
      <c r="G7" s="14"/>
      <c r="H7" s="15"/>
      <c r="I7" s="16"/>
      <c r="J7" s="17"/>
      <c r="K7" s="18"/>
      <c r="L7" s="17"/>
      <c r="M7" s="17"/>
      <c r="N7" s="12"/>
      <c r="O7" s="12"/>
      <c r="P7" s="12"/>
      <c r="Q7" s="19"/>
      <c r="R7" s="20"/>
      <c r="S7" s="21"/>
      <c r="T7" s="22"/>
      <c r="U7" s="22"/>
      <c r="V7" s="23"/>
      <c r="W7" s="24"/>
      <c r="X7" s="25"/>
      <c r="Y7" s="23"/>
      <c r="Z7" s="26"/>
      <c r="AA7" s="27"/>
      <c r="AB7" s="28"/>
      <c r="AC7" s="28"/>
      <c r="AD7" s="28"/>
      <c r="AE7" s="28"/>
      <c r="AF7" s="28"/>
      <c r="AG7" s="29"/>
      <c r="AH7" s="29"/>
      <c r="AI7" s="29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9"/>
      <c r="BB7" s="29"/>
      <c r="BC7" s="29"/>
      <c r="BD7" s="29"/>
      <c r="BE7" s="29"/>
      <c r="BF7" s="30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31"/>
      <c r="BS7" s="29"/>
      <c r="BT7" s="29"/>
      <c r="BU7" s="29"/>
      <c r="BV7" s="31"/>
      <c r="BW7" s="28"/>
      <c r="BX7" s="29"/>
      <c r="BY7" s="23"/>
      <c r="BZ7" s="29"/>
      <c r="CA7" s="29"/>
      <c r="CB7" s="29"/>
      <c r="CC7" s="29"/>
      <c r="CD7" s="29"/>
      <c r="CE7" s="29"/>
      <c r="CF7" s="23"/>
      <c r="CG7" s="29"/>
      <c r="CH7" s="29"/>
      <c r="CI7" s="29"/>
      <c r="CJ7" s="28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8"/>
      <c r="EA7" s="28"/>
      <c r="EB7" s="28"/>
    </row>
    <row r="8" spans="3:133" s="32" customFormat="1">
      <c r="C8" s="33">
        <v>44209</v>
      </c>
      <c r="D8" s="34" t="s">
        <v>759</v>
      </c>
      <c r="E8" s="286" t="s">
        <v>11</v>
      </c>
      <c r="F8" s="36">
        <v>0.48749999999999999</v>
      </c>
      <c r="G8" s="36">
        <v>0.49236111111111108</v>
      </c>
      <c r="H8" s="37" t="s">
        <v>0</v>
      </c>
      <c r="I8" s="38">
        <v>1</v>
      </c>
      <c r="J8" s="39">
        <v>713</v>
      </c>
      <c r="K8" s="51" t="str">
        <f>VLOOKUP(J8,'[2]Chart of accounts'!A:H,2,FALSE)</f>
        <v>50102020 00</v>
      </c>
      <c r="L8" s="39"/>
      <c r="M8" s="39"/>
      <c r="N8" s="34"/>
      <c r="O8" s="34"/>
      <c r="P8" s="34"/>
      <c r="Q8" s="53" t="s">
        <v>1</v>
      </c>
      <c r="R8" s="53" t="s">
        <v>1</v>
      </c>
      <c r="S8" s="57" t="s">
        <v>2</v>
      </c>
      <c r="T8" s="42" t="s">
        <v>6</v>
      </c>
      <c r="U8" s="42" t="s">
        <v>760</v>
      </c>
      <c r="V8" s="43">
        <v>9000</v>
      </c>
      <c r="W8" s="52"/>
      <c r="X8" s="43">
        <v>9000</v>
      </c>
      <c r="Y8" s="44"/>
      <c r="Z8" s="59"/>
      <c r="AA8" s="46"/>
      <c r="AB8" s="47"/>
      <c r="AC8" s="47"/>
      <c r="AD8" s="47"/>
      <c r="AE8" s="47"/>
      <c r="AF8" s="47"/>
      <c r="AG8" s="44"/>
      <c r="AH8" s="44"/>
      <c r="AI8" s="44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4"/>
      <c r="BB8" s="44"/>
      <c r="BC8" s="44"/>
      <c r="BD8" s="44"/>
      <c r="BE8" s="44"/>
      <c r="BF8" s="48"/>
      <c r="BG8" s="44"/>
      <c r="BH8" s="43">
        <v>9000</v>
      </c>
      <c r="BI8" s="44"/>
      <c r="BJ8" s="44"/>
      <c r="BK8" s="44"/>
      <c r="BL8" s="44"/>
      <c r="BM8" s="44"/>
      <c r="BN8" s="44"/>
      <c r="BO8" s="44"/>
      <c r="BP8" s="44"/>
      <c r="BQ8" s="44"/>
      <c r="BR8" s="49"/>
      <c r="BS8" s="44"/>
      <c r="BT8" s="44"/>
      <c r="BU8" s="44"/>
      <c r="BV8" s="43">
        <v>9000</v>
      </c>
      <c r="BW8" s="47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7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7"/>
      <c r="EA8" s="47"/>
      <c r="EB8" s="47"/>
    </row>
    <row r="9" spans="3:133" s="32" customFormat="1">
      <c r="C9" s="33">
        <v>44209</v>
      </c>
      <c r="D9" s="34" t="s">
        <v>759</v>
      </c>
      <c r="E9" s="286" t="s">
        <v>11</v>
      </c>
      <c r="F9" s="36">
        <v>0.48749999999999999</v>
      </c>
      <c r="G9" s="36">
        <v>0.49236111111111108</v>
      </c>
      <c r="H9" s="37" t="s">
        <v>0</v>
      </c>
      <c r="I9" s="38">
        <v>1</v>
      </c>
      <c r="J9" s="39">
        <v>714</v>
      </c>
      <c r="K9" s="51" t="str">
        <f>VLOOKUP(J9,'[2]Chart of accounts'!A:H,2,FALSE)</f>
        <v>50102030 01</v>
      </c>
      <c r="L9" s="39"/>
      <c r="M9" s="39"/>
      <c r="N9" s="34"/>
      <c r="O9" s="34"/>
      <c r="P9" s="34"/>
      <c r="Q9" s="53" t="s">
        <v>1</v>
      </c>
      <c r="R9" s="53" t="s">
        <v>1</v>
      </c>
      <c r="S9" s="57" t="s">
        <v>2</v>
      </c>
      <c r="T9" s="42" t="s">
        <v>6</v>
      </c>
      <c r="U9" s="42" t="s">
        <v>760</v>
      </c>
      <c r="V9" s="43">
        <v>9000</v>
      </c>
      <c r="W9" s="52"/>
      <c r="X9" s="43">
        <v>9000</v>
      </c>
      <c r="Y9" s="44"/>
      <c r="Z9" s="59"/>
      <c r="AA9" s="46"/>
      <c r="AB9" s="47"/>
      <c r="AC9" s="47"/>
      <c r="AD9" s="47"/>
      <c r="AE9" s="47"/>
      <c r="AF9" s="47"/>
      <c r="AG9" s="44"/>
      <c r="AH9" s="44"/>
      <c r="AI9" s="44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4"/>
      <c r="BB9" s="44"/>
      <c r="BC9" s="44"/>
      <c r="BD9" s="44"/>
      <c r="BE9" s="44"/>
      <c r="BF9" s="48"/>
      <c r="BG9" s="44"/>
      <c r="BI9" s="43">
        <v>9000</v>
      </c>
      <c r="BJ9" s="44"/>
      <c r="BK9" s="44"/>
      <c r="BL9" s="44"/>
      <c r="BM9" s="44"/>
      <c r="BN9" s="44"/>
      <c r="BO9" s="44"/>
      <c r="BP9" s="44"/>
      <c r="BQ9" s="44"/>
      <c r="BR9" s="49"/>
      <c r="BS9" s="44"/>
      <c r="BT9" s="44"/>
      <c r="BU9" s="44"/>
      <c r="BV9" s="43">
        <v>9000</v>
      </c>
      <c r="BW9" s="47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7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7"/>
      <c r="EA9" s="47"/>
      <c r="EB9" s="47"/>
    </row>
    <row r="10" spans="3:133" s="32" customFormat="1">
      <c r="C10" s="33">
        <v>44209</v>
      </c>
      <c r="D10" s="34" t="s">
        <v>759</v>
      </c>
      <c r="E10" s="286" t="s">
        <v>11</v>
      </c>
      <c r="F10" s="36">
        <v>0.48749999999999999</v>
      </c>
      <c r="G10" s="36">
        <v>0.49236111111111108</v>
      </c>
      <c r="H10" s="37" t="s">
        <v>0</v>
      </c>
      <c r="I10" s="38">
        <v>1</v>
      </c>
      <c r="J10" s="39">
        <v>713</v>
      </c>
      <c r="K10" s="51" t="str">
        <f>VLOOKUP(J10,'[2]Chart of accounts'!A:H,2,FALSE)</f>
        <v>50102020 00</v>
      </c>
      <c r="L10" s="39"/>
      <c r="M10" s="39"/>
      <c r="N10" s="34"/>
      <c r="O10" s="34"/>
      <c r="P10" s="34"/>
      <c r="Q10" s="53" t="s">
        <v>1</v>
      </c>
      <c r="R10" s="53" t="s">
        <v>1</v>
      </c>
      <c r="S10" s="57" t="s">
        <v>2</v>
      </c>
      <c r="T10" s="42" t="s">
        <v>796</v>
      </c>
      <c r="U10" s="42" t="s">
        <v>760</v>
      </c>
      <c r="V10" s="43">
        <v>8500</v>
      </c>
      <c r="W10" s="52"/>
      <c r="X10" s="43">
        <v>8500</v>
      </c>
      <c r="Y10" s="44"/>
      <c r="Z10" s="59"/>
      <c r="AA10" s="46"/>
      <c r="AB10" s="47"/>
      <c r="AC10" s="47"/>
      <c r="AD10" s="47"/>
      <c r="AE10" s="47"/>
      <c r="AF10" s="47"/>
      <c r="AG10" s="44"/>
      <c r="AH10" s="44"/>
      <c r="AI10" s="44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4"/>
      <c r="BB10" s="44"/>
      <c r="BC10" s="44"/>
      <c r="BD10" s="44"/>
      <c r="BE10" s="44"/>
      <c r="BF10" s="48"/>
      <c r="BG10" s="44"/>
      <c r="BH10" s="43">
        <v>8500</v>
      </c>
      <c r="BI10" s="44"/>
      <c r="BJ10" s="44"/>
      <c r="BK10" s="44"/>
      <c r="BL10" s="44"/>
      <c r="BM10" s="44"/>
      <c r="BN10" s="44"/>
      <c r="BO10" s="44"/>
      <c r="BP10" s="44"/>
      <c r="BQ10" s="44"/>
      <c r="BR10" s="49"/>
      <c r="BS10" s="44"/>
      <c r="BT10" s="44"/>
      <c r="BU10" s="44"/>
      <c r="BV10" s="43">
        <v>8500</v>
      </c>
      <c r="BW10" s="47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7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7"/>
      <c r="EA10" s="47"/>
      <c r="EB10" s="47"/>
    </row>
    <row r="11" spans="3:133" s="32" customFormat="1">
      <c r="C11" s="33">
        <v>44209</v>
      </c>
      <c r="D11" s="34" t="s">
        <v>759</v>
      </c>
      <c r="E11" s="286" t="s">
        <v>11</v>
      </c>
      <c r="F11" s="36">
        <v>0.48749999999999999</v>
      </c>
      <c r="G11" s="36">
        <v>0.49236111111111108</v>
      </c>
      <c r="H11" s="37" t="s">
        <v>0</v>
      </c>
      <c r="I11" s="38">
        <v>1</v>
      </c>
      <c r="J11" s="39">
        <v>714</v>
      </c>
      <c r="K11" s="51" t="str">
        <f>VLOOKUP(J11,'[2]Chart of accounts'!A:H,2,FALSE)</f>
        <v>50102030 01</v>
      </c>
      <c r="L11" s="39"/>
      <c r="M11" s="39"/>
      <c r="N11" s="34"/>
      <c r="O11" s="34"/>
      <c r="P11" s="34"/>
      <c r="Q11" s="53" t="s">
        <v>1</v>
      </c>
      <c r="R11" s="53" t="s">
        <v>1</v>
      </c>
      <c r="S11" s="57" t="s">
        <v>2</v>
      </c>
      <c r="T11" s="42" t="s">
        <v>796</v>
      </c>
      <c r="U11" s="42" t="s">
        <v>760</v>
      </c>
      <c r="V11" s="43">
        <v>8500</v>
      </c>
      <c r="W11" s="52"/>
      <c r="X11" s="43">
        <v>8500</v>
      </c>
      <c r="Y11" s="44"/>
      <c r="Z11" s="59"/>
      <c r="AA11" s="46"/>
      <c r="AB11" s="47"/>
      <c r="AC11" s="47"/>
      <c r="AD11" s="47"/>
      <c r="AE11" s="47"/>
      <c r="AF11" s="47"/>
      <c r="AG11" s="44"/>
      <c r="AH11" s="44"/>
      <c r="AI11" s="44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4"/>
      <c r="BB11" s="44"/>
      <c r="BC11" s="44"/>
      <c r="BD11" s="44"/>
      <c r="BE11" s="44"/>
      <c r="BF11" s="48"/>
      <c r="BG11" s="44"/>
      <c r="BI11" s="43">
        <v>8500</v>
      </c>
      <c r="BJ11" s="44"/>
      <c r="BK11" s="44"/>
      <c r="BL11" s="44"/>
      <c r="BM11" s="44"/>
      <c r="BN11" s="44"/>
      <c r="BO11" s="44"/>
      <c r="BP11" s="44"/>
      <c r="BQ11" s="44"/>
      <c r="BR11" s="49"/>
      <c r="BS11" s="44"/>
      <c r="BT11" s="44"/>
      <c r="BU11" s="44"/>
      <c r="BV11" s="43">
        <v>8500</v>
      </c>
      <c r="BW11" s="47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7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7"/>
      <c r="EA11" s="47"/>
      <c r="EB11" s="47"/>
    </row>
    <row r="12" spans="3:133" s="32" customFormat="1">
      <c r="C12" s="33">
        <v>44209</v>
      </c>
      <c r="D12" s="34" t="s">
        <v>759</v>
      </c>
      <c r="E12" s="286" t="s">
        <v>11</v>
      </c>
      <c r="F12" s="36">
        <v>0.48749999999999999</v>
      </c>
      <c r="G12" s="36">
        <v>0.49236111111111108</v>
      </c>
      <c r="H12" s="37" t="s">
        <v>0</v>
      </c>
      <c r="I12" s="38">
        <v>1</v>
      </c>
      <c r="J12" s="39">
        <v>713</v>
      </c>
      <c r="K12" s="51" t="str">
        <f>VLOOKUP(J12,'[2]Chart of accounts'!A:H,2,FALSE)</f>
        <v>50102020 00</v>
      </c>
      <c r="L12" s="39"/>
      <c r="M12" s="39"/>
      <c r="N12" s="34"/>
      <c r="O12" s="34"/>
      <c r="P12" s="34"/>
      <c r="Q12" s="53" t="s">
        <v>1</v>
      </c>
      <c r="R12" s="53" t="s">
        <v>1</v>
      </c>
      <c r="S12" s="57" t="s">
        <v>2</v>
      </c>
      <c r="T12" s="42" t="s">
        <v>797</v>
      </c>
      <c r="U12" s="42" t="s">
        <v>760</v>
      </c>
      <c r="V12" s="43">
        <v>5000</v>
      </c>
      <c r="W12" s="52"/>
      <c r="X12" s="43">
        <v>5000</v>
      </c>
      <c r="Y12" s="44"/>
      <c r="Z12" s="59"/>
      <c r="AA12" s="46"/>
      <c r="AB12" s="47"/>
      <c r="AC12" s="47"/>
      <c r="AD12" s="47"/>
      <c r="AE12" s="47"/>
      <c r="AF12" s="47"/>
      <c r="AG12" s="44"/>
      <c r="AH12" s="44"/>
      <c r="AI12" s="44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4"/>
      <c r="BB12" s="44"/>
      <c r="BC12" s="44"/>
      <c r="BD12" s="44"/>
      <c r="BE12" s="44"/>
      <c r="BF12" s="48"/>
      <c r="BG12" s="44"/>
      <c r="BH12" s="43">
        <v>5000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9"/>
      <c r="BS12" s="44"/>
      <c r="BT12" s="44"/>
      <c r="BU12" s="44"/>
      <c r="BV12" s="43">
        <v>5000</v>
      </c>
      <c r="BW12" s="47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7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7"/>
      <c r="EA12" s="47"/>
      <c r="EB12" s="47"/>
    </row>
    <row r="13" spans="3:133" s="32" customFormat="1">
      <c r="C13" s="33">
        <v>44209</v>
      </c>
      <c r="D13" s="34" t="s">
        <v>759</v>
      </c>
      <c r="E13" s="286" t="s">
        <v>11</v>
      </c>
      <c r="F13" s="36">
        <v>0.48749999999999999</v>
      </c>
      <c r="G13" s="36">
        <v>0.49236111111111108</v>
      </c>
      <c r="H13" s="37" t="s">
        <v>0</v>
      </c>
      <c r="I13" s="38">
        <v>1</v>
      </c>
      <c r="J13" s="39">
        <v>714</v>
      </c>
      <c r="K13" s="51" t="str">
        <f>VLOOKUP(J13,'[2]Chart of accounts'!A:H,2,FALSE)</f>
        <v>50102030 01</v>
      </c>
      <c r="L13" s="39"/>
      <c r="M13" s="39"/>
      <c r="N13" s="34"/>
      <c r="O13" s="34"/>
      <c r="P13" s="34"/>
      <c r="Q13" s="53" t="s">
        <v>1</v>
      </c>
      <c r="R13" s="53" t="s">
        <v>1</v>
      </c>
      <c r="S13" s="57" t="s">
        <v>2</v>
      </c>
      <c r="T13" s="42" t="s">
        <v>797</v>
      </c>
      <c r="U13" s="42" t="s">
        <v>760</v>
      </c>
      <c r="V13" s="43">
        <v>5000</v>
      </c>
      <c r="W13" s="52"/>
      <c r="X13" s="43">
        <v>5000</v>
      </c>
      <c r="Y13" s="44"/>
      <c r="Z13" s="59"/>
      <c r="AA13" s="46"/>
      <c r="AB13" s="47"/>
      <c r="AC13" s="47"/>
      <c r="AD13" s="47"/>
      <c r="AE13" s="47"/>
      <c r="AF13" s="47"/>
      <c r="AG13" s="44"/>
      <c r="AH13" s="44"/>
      <c r="AI13" s="44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4"/>
      <c r="BB13" s="44"/>
      <c r="BC13" s="44"/>
      <c r="BD13" s="44"/>
      <c r="BE13" s="44"/>
      <c r="BF13" s="48"/>
      <c r="BG13" s="44"/>
      <c r="BI13" s="43">
        <v>5000</v>
      </c>
      <c r="BJ13" s="44"/>
      <c r="BK13" s="44"/>
      <c r="BL13" s="44"/>
      <c r="BM13" s="44"/>
      <c r="BN13" s="44"/>
      <c r="BO13" s="44"/>
      <c r="BP13" s="44"/>
      <c r="BQ13" s="44"/>
      <c r="BR13" s="49"/>
      <c r="BS13" s="44"/>
      <c r="BT13" s="44"/>
      <c r="BU13" s="44"/>
      <c r="BV13" s="43">
        <v>5000</v>
      </c>
      <c r="BW13" s="47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7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7"/>
      <c r="EA13" s="47"/>
      <c r="EB13" s="47"/>
    </row>
    <row r="14" spans="3:133" s="32" customFormat="1">
      <c r="C14" s="33">
        <v>44209</v>
      </c>
      <c r="D14" s="34" t="s">
        <v>759</v>
      </c>
      <c r="E14" s="286" t="s">
        <v>11</v>
      </c>
      <c r="F14" s="36">
        <v>0.48749999999999999</v>
      </c>
      <c r="G14" s="36">
        <v>0.49236111111111108</v>
      </c>
      <c r="H14" s="37" t="s">
        <v>0</v>
      </c>
      <c r="I14" s="38">
        <v>1</v>
      </c>
      <c r="J14" s="39">
        <v>713</v>
      </c>
      <c r="K14" s="51" t="str">
        <f>VLOOKUP(J14,'[2]Chart of accounts'!A:H,2,FALSE)</f>
        <v>50102020 00</v>
      </c>
      <c r="L14" s="39"/>
      <c r="M14" s="39"/>
      <c r="N14" s="34"/>
      <c r="O14" s="34"/>
      <c r="P14" s="34"/>
      <c r="Q14" s="53" t="s">
        <v>1</v>
      </c>
      <c r="R14" s="53" t="s">
        <v>1</v>
      </c>
      <c r="S14" s="57" t="s">
        <v>2</v>
      </c>
      <c r="T14" s="42" t="s">
        <v>798</v>
      </c>
      <c r="U14" s="42" t="s">
        <v>760</v>
      </c>
      <c r="V14" s="43">
        <v>5000</v>
      </c>
      <c r="W14" s="52"/>
      <c r="X14" s="43">
        <v>5000</v>
      </c>
      <c r="Y14" s="44"/>
      <c r="Z14" s="59"/>
      <c r="AA14" s="46"/>
      <c r="AB14" s="47"/>
      <c r="AC14" s="47"/>
      <c r="AD14" s="47"/>
      <c r="AE14" s="47"/>
      <c r="AF14" s="47"/>
      <c r="AG14" s="44"/>
      <c r="AH14" s="44"/>
      <c r="AI14" s="44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4"/>
      <c r="BB14" s="44"/>
      <c r="BC14" s="44"/>
      <c r="BD14" s="44"/>
      <c r="BE14" s="44"/>
      <c r="BF14" s="48"/>
      <c r="BG14" s="44"/>
      <c r="BH14" s="43">
        <v>5000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9"/>
      <c r="BS14" s="44"/>
      <c r="BT14" s="44"/>
      <c r="BU14" s="44"/>
      <c r="BV14" s="43">
        <v>5000</v>
      </c>
      <c r="BW14" s="47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7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7"/>
      <c r="EA14" s="47"/>
      <c r="EB14" s="47"/>
    </row>
    <row r="15" spans="3:133" s="32" customFormat="1">
      <c r="C15" s="33">
        <v>44209</v>
      </c>
      <c r="D15" s="34" t="s">
        <v>759</v>
      </c>
      <c r="E15" s="286" t="s">
        <v>11</v>
      </c>
      <c r="F15" s="36">
        <v>0.48749999999999999</v>
      </c>
      <c r="G15" s="36">
        <v>0.49236111111111108</v>
      </c>
      <c r="H15" s="37" t="s">
        <v>0</v>
      </c>
      <c r="I15" s="38">
        <v>1</v>
      </c>
      <c r="J15" s="39">
        <v>714</v>
      </c>
      <c r="K15" s="51" t="str">
        <f>VLOOKUP(J15,'[2]Chart of accounts'!A:H,2,FALSE)</f>
        <v>50102030 01</v>
      </c>
      <c r="L15" s="39"/>
      <c r="M15" s="39"/>
      <c r="N15" s="34"/>
      <c r="O15" s="34"/>
      <c r="P15" s="34"/>
      <c r="Q15" s="53" t="s">
        <v>1</v>
      </c>
      <c r="R15" s="53" t="s">
        <v>1</v>
      </c>
      <c r="S15" s="57" t="s">
        <v>2</v>
      </c>
      <c r="T15" s="42" t="s">
        <v>798</v>
      </c>
      <c r="U15" s="42" t="s">
        <v>760</v>
      </c>
      <c r="V15" s="43">
        <v>5000</v>
      </c>
      <c r="W15" s="52"/>
      <c r="X15" s="43">
        <v>5000</v>
      </c>
      <c r="Y15" s="44"/>
      <c r="Z15" s="59"/>
      <c r="AA15" s="46"/>
      <c r="AB15" s="47"/>
      <c r="AC15" s="47"/>
      <c r="AD15" s="47"/>
      <c r="AE15" s="47"/>
      <c r="AF15" s="47"/>
      <c r="AG15" s="44"/>
      <c r="AH15" s="44"/>
      <c r="AI15" s="44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4"/>
      <c r="BB15" s="44"/>
      <c r="BC15" s="44"/>
      <c r="BD15" s="44"/>
      <c r="BE15" s="44"/>
      <c r="BF15" s="48"/>
      <c r="BG15" s="44"/>
      <c r="BI15" s="43">
        <v>5000</v>
      </c>
      <c r="BJ15" s="44"/>
      <c r="BK15" s="44"/>
      <c r="BL15" s="44"/>
      <c r="BM15" s="44"/>
      <c r="BN15" s="44"/>
      <c r="BO15" s="44"/>
      <c r="BP15" s="44"/>
      <c r="BQ15" s="44"/>
      <c r="BR15" s="49"/>
      <c r="BS15" s="44"/>
      <c r="BT15" s="44"/>
      <c r="BU15" s="44"/>
      <c r="BV15" s="43">
        <v>5000</v>
      </c>
      <c r="BW15" s="47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7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7"/>
      <c r="EA15" s="47"/>
      <c r="EB15" s="47"/>
    </row>
    <row r="16" spans="3:133" s="32" customFormat="1">
      <c r="C16" s="33">
        <v>44209</v>
      </c>
      <c r="D16" s="34" t="s">
        <v>759</v>
      </c>
      <c r="E16" s="286" t="s">
        <v>11</v>
      </c>
      <c r="F16" s="36">
        <v>0.48749999999999999</v>
      </c>
      <c r="G16" s="36">
        <v>0.49236111111111108</v>
      </c>
      <c r="H16" s="37" t="s">
        <v>0</v>
      </c>
      <c r="I16" s="38">
        <v>1</v>
      </c>
      <c r="J16" s="39">
        <v>713</v>
      </c>
      <c r="K16" s="51" t="str">
        <f>VLOOKUP(J16,'[2]Chart of accounts'!A:H,2,FALSE)</f>
        <v>50102020 00</v>
      </c>
      <c r="L16" s="39"/>
      <c r="M16" s="39"/>
      <c r="N16" s="34"/>
      <c r="O16" s="34"/>
      <c r="P16" s="34"/>
      <c r="Q16" s="53" t="s">
        <v>1</v>
      </c>
      <c r="R16" s="53" t="s">
        <v>1</v>
      </c>
      <c r="S16" s="57" t="s">
        <v>2</v>
      </c>
      <c r="T16" s="42" t="s">
        <v>799</v>
      </c>
      <c r="U16" s="42" t="s">
        <v>760</v>
      </c>
      <c r="V16" s="43">
        <v>5000</v>
      </c>
      <c r="W16" s="52"/>
      <c r="X16" s="43">
        <v>5000</v>
      </c>
      <c r="Y16" s="44"/>
      <c r="Z16" s="59"/>
      <c r="AA16" s="46"/>
      <c r="AB16" s="47"/>
      <c r="AC16" s="47"/>
      <c r="AD16" s="47"/>
      <c r="AE16" s="47"/>
      <c r="AF16" s="47"/>
      <c r="AG16" s="44"/>
      <c r="AH16" s="44"/>
      <c r="AI16" s="44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4"/>
      <c r="BB16" s="44"/>
      <c r="BC16" s="44"/>
      <c r="BD16" s="44"/>
      <c r="BE16" s="44"/>
      <c r="BF16" s="48"/>
      <c r="BG16" s="44"/>
      <c r="BH16" s="43">
        <v>5000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9"/>
      <c r="BS16" s="44"/>
      <c r="BT16" s="44"/>
      <c r="BU16" s="44"/>
      <c r="BV16" s="43">
        <v>5000</v>
      </c>
      <c r="BW16" s="47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7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7"/>
      <c r="EA16" s="47"/>
      <c r="EB16" s="47"/>
    </row>
    <row r="17" spans="3:132" s="32" customFormat="1">
      <c r="C17" s="33">
        <v>44209</v>
      </c>
      <c r="D17" s="34" t="s">
        <v>759</v>
      </c>
      <c r="E17" s="286" t="s">
        <v>11</v>
      </c>
      <c r="F17" s="36">
        <v>0.48749999999999999</v>
      </c>
      <c r="G17" s="36">
        <v>0.49236111111111108</v>
      </c>
      <c r="H17" s="37" t="s">
        <v>0</v>
      </c>
      <c r="I17" s="38">
        <v>1</v>
      </c>
      <c r="J17" s="39">
        <v>714</v>
      </c>
      <c r="K17" s="51" t="str">
        <f>VLOOKUP(J17,'[2]Chart of accounts'!A:H,2,FALSE)</f>
        <v>50102030 01</v>
      </c>
      <c r="L17" s="39"/>
      <c r="M17" s="39"/>
      <c r="N17" s="34"/>
      <c r="O17" s="34"/>
      <c r="P17" s="34"/>
      <c r="Q17" s="53" t="s">
        <v>1</v>
      </c>
      <c r="R17" s="53" t="s">
        <v>1</v>
      </c>
      <c r="S17" s="57" t="s">
        <v>2</v>
      </c>
      <c r="T17" s="42" t="s">
        <v>799</v>
      </c>
      <c r="U17" s="42" t="s">
        <v>760</v>
      </c>
      <c r="V17" s="43">
        <v>5000</v>
      </c>
      <c r="W17" s="52"/>
      <c r="X17" s="43">
        <v>5000</v>
      </c>
      <c r="Y17" s="44"/>
      <c r="Z17" s="59"/>
      <c r="AA17" s="46"/>
      <c r="AB17" s="47"/>
      <c r="AC17" s="47"/>
      <c r="AD17" s="47"/>
      <c r="AE17" s="47"/>
      <c r="AF17" s="47"/>
      <c r="AG17" s="44"/>
      <c r="AH17" s="44"/>
      <c r="AI17" s="44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4"/>
      <c r="BB17" s="44"/>
      <c r="BC17" s="44"/>
      <c r="BD17" s="44"/>
      <c r="BE17" s="44"/>
      <c r="BF17" s="48"/>
      <c r="BG17" s="44"/>
      <c r="BI17" s="43">
        <v>5000</v>
      </c>
      <c r="BJ17" s="44"/>
      <c r="BK17" s="44"/>
      <c r="BL17" s="44"/>
      <c r="BM17" s="44"/>
      <c r="BN17" s="44"/>
      <c r="BO17" s="44"/>
      <c r="BP17" s="44"/>
      <c r="BQ17" s="44"/>
      <c r="BR17" s="49"/>
      <c r="BS17" s="44"/>
      <c r="BT17" s="44"/>
      <c r="BU17" s="44"/>
      <c r="BV17" s="43">
        <v>5000</v>
      </c>
      <c r="BW17" s="47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7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7"/>
      <c r="EA17" s="47"/>
      <c r="EB17" s="47"/>
    </row>
    <row r="18" spans="3:132" s="32" customFormat="1">
      <c r="C18" s="33">
        <v>44209</v>
      </c>
      <c r="D18" s="34" t="s">
        <v>759</v>
      </c>
      <c r="E18" s="286" t="s">
        <v>11</v>
      </c>
      <c r="F18" s="36">
        <v>0.48749999999999999</v>
      </c>
      <c r="G18" s="36">
        <v>0.49236111111111108</v>
      </c>
      <c r="H18" s="37" t="s">
        <v>0</v>
      </c>
      <c r="I18" s="38">
        <v>1</v>
      </c>
      <c r="J18" s="39">
        <v>713</v>
      </c>
      <c r="K18" s="51" t="str">
        <f>VLOOKUP(J18,'[2]Chart of accounts'!A:H,2,FALSE)</f>
        <v>50102020 00</v>
      </c>
      <c r="L18" s="39"/>
      <c r="M18" s="39"/>
      <c r="N18" s="34"/>
      <c r="O18" s="34"/>
      <c r="P18" s="34"/>
      <c r="Q18" s="53" t="s">
        <v>1</v>
      </c>
      <c r="R18" s="53" t="s">
        <v>1</v>
      </c>
      <c r="S18" s="57" t="s">
        <v>2</v>
      </c>
      <c r="T18" s="42" t="s">
        <v>800</v>
      </c>
      <c r="U18" s="42" t="s">
        <v>760</v>
      </c>
      <c r="V18" s="43">
        <v>5000</v>
      </c>
      <c r="W18" s="52"/>
      <c r="X18" s="43">
        <v>5000</v>
      </c>
      <c r="Y18" s="44"/>
      <c r="Z18" s="59"/>
      <c r="AA18" s="46"/>
      <c r="AB18" s="47"/>
      <c r="AC18" s="47"/>
      <c r="AD18" s="47"/>
      <c r="AE18" s="47"/>
      <c r="AF18" s="47"/>
      <c r="AG18" s="44"/>
      <c r="AH18" s="44"/>
      <c r="AI18" s="44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4"/>
      <c r="BB18" s="44"/>
      <c r="BC18" s="44"/>
      <c r="BD18" s="44"/>
      <c r="BE18" s="44"/>
      <c r="BF18" s="48"/>
      <c r="BG18" s="44"/>
      <c r="BH18" s="43">
        <v>5000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9"/>
      <c r="BS18" s="44"/>
      <c r="BT18" s="44"/>
      <c r="BU18" s="44"/>
      <c r="BV18" s="43">
        <v>5000</v>
      </c>
      <c r="BW18" s="47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7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7"/>
      <c r="EA18" s="47"/>
      <c r="EB18" s="47"/>
    </row>
    <row r="19" spans="3:132" s="32" customFormat="1">
      <c r="C19" s="33">
        <v>44209</v>
      </c>
      <c r="D19" s="34" t="s">
        <v>759</v>
      </c>
      <c r="E19" s="286" t="s">
        <v>11</v>
      </c>
      <c r="F19" s="36">
        <v>0.48749999999999999</v>
      </c>
      <c r="G19" s="36">
        <v>0.49236111111111108</v>
      </c>
      <c r="H19" s="37" t="s">
        <v>0</v>
      </c>
      <c r="I19" s="38">
        <v>1</v>
      </c>
      <c r="J19" s="39">
        <v>714</v>
      </c>
      <c r="K19" s="51" t="str">
        <f>VLOOKUP(J19,'[2]Chart of accounts'!A:H,2,FALSE)</f>
        <v>50102030 01</v>
      </c>
      <c r="L19" s="39"/>
      <c r="M19" s="39"/>
      <c r="N19" s="34"/>
      <c r="O19" s="34"/>
      <c r="P19" s="34"/>
      <c r="Q19" s="53" t="s">
        <v>1</v>
      </c>
      <c r="R19" s="53" t="s">
        <v>1</v>
      </c>
      <c r="S19" s="57" t="s">
        <v>2</v>
      </c>
      <c r="T19" s="42" t="s">
        <v>800</v>
      </c>
      <c r="U19" s="42" t="s">
        <v>760</v>
      </c>
      <c r="V19" s="43">
        <v>5000</v>
      </c>
      <c r="W19" s="52"/>
      <c r="X19" s="43">
        <v>5000</v>
      </c>
      <c r="Y19" s="44"/>
      <c r="Z19" s="59"/>
      <c r="AA19" s="46"/>
      <c r="AB19" s="47"/>
      <c r="AC19" s="47"/>
      <c r="AD19" s="47"/>
      <c r="AE19" s="47"/>
      <c r="AF19" s="47"/>
      <c r="AG19" s="44"/>
      <c r="AH19" s="44"/>
      <c r="AI19" s="44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4"/>
      <c r="BB19" s="44"/>
      <c r="BC19" s="44"/>
      <c r="BD19" s="44"/>
      <c r="BE19" s="44"/>
      <c r="BF19" s="48"/>
      <c r="BG19" s="44"/>
      <c r="BI19" s="43">
        <v>5000</v>
      </c>
      <c r="BJ19" s="44"/>
      <c r="BK19" s="44"/>
      <c r="BL19" s="44"/>
      <c r="BM19" s="44"/>
      <c r="BN19" s="44"/>
      <c r="BO19" s="44"/>
      <c r="BP19" s="44"/>
      <c r="BQ19" s="44"/>
      <c r="BR19" s="49"/>
      <c r="BS19" s="44"/>
      <c r="BT19" s="44"/>
      <c r="BU19" s="44"/>
      <c r="BV19" s="43">
        <v>5000</v>
      </c>
      <c r="BW19" s="47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7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7"/>
      <c r="EA19" s="47"/>
      <c r="EB19" s="47"/>
    </row>
    <row r="20" spans="3:132" s="32" customFormat="1">
      <c r="C20" s="33">
        <v>44209</v>
      </c>
      <c r="D20" s="34" t="s">
        <v>759</v>
      </c>
      <c r="E20" s="286" t="s">
        <v>11</v>
      </c>
      <c r="F20" s="36">
        <v>0.48749999999999999</v>
      </c>
      <c r="G20" s="36">
        <v>0.49236111111111108</v>
      </c>
      <c r="H20" s="37" t="s">
        <v>0</v>
      </c>
      <c r="I20" s="38">
        <v>1</v>
      </c>
      <c r="J20" s="39">
        <v>713</v>
      </c>
      <c r="K20" s="51" t="str">
        <f>VLOOKUP(J20,'[2]Chart of accounts'!A:H,2,FALSE)</f>
        <v>50102020 00</v>
      </c>
      <c r="L20" s="39"/>
      <c r="M20" s="39"/>
      <c r="N20" s="34"/>
      <c r="O20" s="34"/>
      <c r="P20" s="34"/>
      <c r="Q20" s="53" t="s">
        <v>1</v>
      </c>
      <c r="R20" s="53" t="s">
        <v>1</v>
      </c>
      <c r="S20" s="57" t="s">
        <v>2</v>
      </c>
      <c r="T20" s="42" t="s">
        <v>801</v>
      </c>
      <c r="U20" s="42" t="s">
        <v>760</v>
      </c>
      <c r="V20" s="43">
        <v>7500</v>
      </c>
      <c r="W20" s="52"/>
      <c r="X20" s="43">
        <v>7500</v>
      </c>
      <c r="Y20" s="44"/>
      <c r="Z20" s="59"/>
      <c r="AA20" s="46"/>
      <c r="AB20" s="47"/>
      <c r="AC20" s="47"/>
      <c r="AD20" s="47"/>
      <c r="AE20" s="47"/>
      <c r="AF20" s="47"/>
      <c r="AG20" s="44"/>
      <c r="AH20" s="44"/>
      <c r="AI20" s="44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4"/>
      <c r="BB20" s="44"/>
      <c r="BC20" s="44"/>
      <c r="BD20" s="44"/>
      <c r="BE20" s="44"/>
      <c r="BF20" s="48"/>
      <c r="BG20" s="44"/>
      <c r="BH20" s="43">
        <v>7500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9"/>
      <c r="BS20" s="44"/>
      <c r="BT20" s="44"/>
      <c r="BU20" s="44"/>
      <c r="BV20" s="43">
        <v>7500</v>
      </c>
      <c r="BW20" s="47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7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7"/>
      <c r="EA20" s="47"/>
      <c r="EB20" s="47"/>
    </row>
    <row r="21" spans="3:132" s="32" customFormat="1">
      <c r="C21" s="33">
        <v>44209</v>
      </c>
      <c r="D21" s="34" t="s">
        <v>759</v>
      </c>
      <c r="E21" s="286" t="s">
        <v>11</v>
      </c>
      <c r="F21" s="36">
        <v>0.48749999999999999</v>
      </c>
      <c r="G21" s="36">
        <v>0.49236111111111108</v>
      </c>
      <c r="H21" s="37" t="s">
        <v>0</v>
      </c>
      <c r="I21" s="38">
        <v>1</v>
      </c>
      <c r="J21" s="39">
        <v>714</v>
      </c>
      <c r="K21" s="51" t="str">
        <f>VLOOKUP(J21,'[2]Chart of accounts'!A:H,2,FALSE)</f>
        <v>50102030 01</v>
      </c>
      <c r="L21" s="39"/>
      <c r="M21" s="39"/>
      <c r="N21" s="34"/>
      <c r="O21" s="34"/>
      <c r="P21" s="34"/>
      <c r="Q21" s="53" t="s">
        <v>1</v>
      </c>
      <c r="R21" s="53" t="s">
        <v>1</v>
      </c>
      <c r="S21" s="57" t="s">
        <v>2</v>
      </c>
      <c r="T21" s="42" t="s">
        <v>801</v>
      </c>
      <c r="U21" s="42" t="s">
        <v>760</v>
      </c>
      <c r="V21" s="43">
        <v>7500</v>
      </c>
      <c r="W21" s="52"/>
      <c r="X21" s="43">
        <v>7500</v>
      </c>
      <c r="Y21" s="44"/>
      <c r="Z21" s="59"/>
      <c r="AA21" s="46"/>
      <c r="AB21" s="47"/>
      <c r="AC21" s="47"/>
      <c r="AD21" s="47"/>
      <c r="AE21" s="47"/>
      <c r="AF21" s="47"/>
      <c r="AG21" s="44"/>
      <c r="AH21" s="44"/>
      <c r="AI21" s="44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4"/>
      <c r="BB21" s="44"/>
      <c r="BC21" s="44"/>
      <c r="BD21" s="44"/>
      <c r="BE21" s="44"/>
      <c r="BF21" s="48"/>
      <c r="BG21" s="44"/>
      <c r="BI21" s="43">
        <v>7500</v>
      </c>
      <c r="BJ21" s="44"/>
      <c r="BK21" s="44"/>
      <c r="BL21" s="44"/>
      <c r="BM21" s="44"/>
      <c r="BN21" s="44"/>
      <c r="BO21" s="44"/>
      <c r="BP21" s="44"/>
      <c r="BQ21" s="44"/>
      <c r="BR21" s="49"/>
      <c r="BS21" s="44"/>
      <c r="BT21" s="44"/>
      <c r="BU21" s="44"/>
      <c r="BV21" s="43">
        <v>7500</v>
      </c>
      <c r="BW21" s="47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7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7"/>
      <c r="EA21" s="47"/>
      <c r="EB21" s="47"/>
    </row>
    <row r="22" spans="3:132" s="32" customFormat="1">
      <c r="C22" s="33">
        <v>44209</v>
      </c>
      <c r="D22" s="34" t="s">
        <v>759</v>
      </c>
      <c r="E22" s="286" t="s">
        <v>11</v>
      </c>
      <c r="F22" s="36">
        <v>0.48749999999999999</v>
      </c>
      <c r="G22" s="36">
        <v>0.49236111111111108</v>
      </c>
      <c r="H22" s="37" t="s">
        <v>0</v>
      </c>
      <c r="I22" s="38">
        <v>1</v>
      </c>
      <c r="J22" s="39">
        <v>713</v>
      </c>
      <c r="K22" s="51" t="str">
        <f>VLOOKUP(J22,'[2]Chart of accounts'!A:H,2,FALSE)</f>
        <v>50102020 00</v>
      </c>
      <c r="L22" s="39"/>
      <c r="M22" s="39"/>
      <c r="N22" s="34"/>
      <c r="O22" s="34"/>
      <c r="P22" s="34"/>
      <c r="Q22" s="53" t="s">
        <v>1</v>
      </c>
      <c r="R22" s="53" t="s">
        <v>1</v>
      </c>
      <c r="S22" s="57" t="s">
        <v>2</v>
      </c>
      <c r="T22" s="42" t="s">
        <v>802</v>
      </c>
      <c r="U22" s="42" t="s">
        <v>760</v>
      </c>
      <c r="V22" s="43">
        <v>5000</v>
      </c>
      <c r="W22" s="52"/>
      <c r="X22" s="43">
        <v>5000</v>
      </c>
      <c r="Y22" s="44"/>
      <c r="Z22" s="59"/>
      <c r="AA22" s="46"/>
      <c r="AB22" s="47"/>
      <c r="AC22" s="47"/>
      <c r="AD22" s="47"/>
      <c r="AE22" s="47"/>
      <c r="AF22" s="47"/>
      <c r="AG22" s="44"/>
      <c r="AH22" s="44"/>
      <c r="AI22" s="44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4"/>
      <c r="BB22" s="44"/>
      <c r="BC22" s="44"/>
      <c r="BD22" s="44"/>
      <c r="BE22" s="44"/>
      <c r="BF22" s="48"/>
      <c r="BG22" s="44"/>
      <c r="BH22" s="43">
        <v>5000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9"/>
      <c r="BS22" s="44"/>
      <c r="BT22" s="44"/>
      <c r="BU22" s="44"/>
      <c r="BV22" s="43">
        <v>5000</v>
      </c>
      <c r="BW22" s="47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7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7"/>
      <c r="EA22" s="47"/>
      <c r="EB22" s="47"/>
    </row>
    <row r="23" spans="3:132" s="32" customFormat="1">
      <c r="C23" s="33">
        <v>44209</v>
      </c>
      <c r="D23" s="34" t="s">
        <v>759</v>
      </c>
      <c r="E23" s="286" t="s">
        <v>11</v>
      </c>
      <c r="F23" s="36">
        <v>0.48749999999999999</v>
      </c>
      <c r="G23" s="36">
        <v>0.49236111111111108</v>
      </c>
      <c r="H23" s="37" t="s">
        <v>0</v>
      </c>
      <c r="I23" s="38">
        <v>1</v>
      </c>
      <c r="J23" s="39">
        <v>714</v>
      </c>
      <c r="K23" s="51" t="str">
        <f>VLOOKUP(J23,'[2]Chart of accounts'!A:H,2,FALSE)</f>
        <v>50102030 01</v>
      </c>
      <c r="L23" s="39"/>
      <c r="M23" s="39"/>
      <c r="N23" s="34"/>
      <c r="O23" s="34"/>
      <c r="P23" s="34"/>
      <c r="Q23" s="53" t="s">
        <v>1</v>
      </c>
      <c r="R23" s="53" t="s">
        <v>1</v>
      </c>
      <c r="S23" s="57" t="s">
        <v>2</v>
      </c>
      <c r="T23" s="42" t="s">
        <v>802</v>
      </c>
      <c r="U23" s="42" t="s">
        <v>760</v>
      </c>
      <c r="V23" s="43">
        <v>5000</v>
      </c>
      <c r="W23" s="52"/>
      <c r="X23" s="43">
        <v>5000</v>
      </c>
      <c r="Y23" s="44"/>
      <c r="Z23" s="59"/>
      <c r="AA23" s="46"/>
      <c r="AB23" s="47"/>
      <c r="AC23" s="47"/>
      <c r="AD23" s="47"/>
      <c r="AE23" s="47"/>
      <c r="AF23" s="47"/>
      <c r="AG23" s="44"/>
      <c r="AH23" s="44"/>
      <c r="AI23" s="44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4"/>
      <c r="BB23" s="44"/>
      <c r="BC23" s="44"/>
      <c r="BD23" s="44"/>
      <c r="BE23" s="44"/>
      <c r="BF23" s="48"/>
      <c r="BG23" s="44"/>
      <c r="BI23" s="43">
        <v>5000</v>
      </c>
      <c r="BJ23" s="44"/>
      <c r="BK23" s="44"/>
      <c r="BL23" s="44"/>
      <c r="BM23" s="44"/>
      <c r="BN23" s="44"/>
      <c r="BO23" s="44"/>
      <c r="BP23" s="44"/>
      <c r="BQ23" s="44"/>
      <c r="BR23" s="49"/>
      <c r="BS23" s="44"/>
      <c r="BT23" s="44"/>
      <c r="BU23" s="44"/>
      <c r="BV23" s="43">
        <v>5000</v>
      </c>
      <c r="BW23" s="47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7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7"/>
      <c r="EA23" s="47"/>
      <c r="EB23" s="47"/>
    </row>
    <row r="24" spans="3:132" s="32" customFormat="1">
      <c r="C24" s="33">
        <v>44209</v>
      </c>
      <c r="D24" s="34" t="s">
        <v>759</v>
      </c>
      <c r="E24" s="286" t="s">
        <v>11</v>
      </c>
      <c r="F24" s="36">
        <v>0.48749999999999999</v>
      </c>
      <c r="G24" s="36">
        <v>0.49236111111111108</v>
      </c>
      <c r="H24" s="37" t="s">
        <v>0</v>
      </c>
      <c r="I24" s="38">
        <v>1</v>
      </c>
      <c r="J24" s="39">
        <v>713</v>
      </c>
      <c r="K24" s="51" t="str">
        <f>VLOOKUP(J24,'[2]Chart of accounts'!A:H,2,FALSE)</f>
        <v>50102020 00</v>
      </c>
      <c r="L24" s="39"/>
      <c r="M24" s="39"/>
      <c r="N24" s="34"/>
      <c r="O24" s="34"/>
      <c r="P24" s="34"/>
      <c r="Q24" s="53" t="s">
        <v>1</v>
      </c>
      <c r="R24" s="53" t="s">
        <v>1</v>
      </c>
      <c r="S24" s="57" t="s">
        <v>2</v>
      </c>
      <c r="T24" s="42" t="s">
        <v>803</v>
      </c>
      <c r="U24" s="42" t="s">
        <v>760</v>
      </c>
      <c r="V24" s="43">
        <v>5000</v>
      </c>
      <c r="W24" s="52"/>
      <c r="X24" s="43">
        <v>5000</v>
      </c>
      <c r="Y24" s="44"/>
      <c r="Z24" s="59"/>
      <c r="AA24" s="46"/>
      <c r="AB24" s="47"/>
      <c r="AC24" s="47"/>
      <c r="AD24" s="47"/>
      <c r="AE24" s="47"/>
      <c r="AF24" s="47"/>
      <c r="AG24" s="44"/>
      <c r="AH24" s="44"/>
      <c r="AI24" s="44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4"/>
      <c r="BB24" s="44"/>
      <c r="BC24" s="44"/>
      <c r="BD24" s="44"/>
      <c r="BE24" s="44"/>
      <c r="BF24" s="48"/>
      <c r="BG24" s="44"/>
      <c r="BH24" s="43">
        <v>5000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9"/>
      <c r="BS24" s="44"/>
      <c r="BT24" s="44"/>
      <c r="BU24" s="44"/>
      <c r="BV24" s="43">
        <v>5000</v>
      </c>
      <c r="BW24" s="47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7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7"/>
      <c r="EA24" s="47"/>
      <c r="EB24" s="47"/>
    </row>
    <row r="25" spans="3:132" s="32" customFormat="1">
      <c r="C25" s="33">
        <v>44209</v>
      </c>
      <c r="D25" s="34" t="s">
        <v>759</v>
      </c>
      <c r="E25" s="286" t="s">
        <v>11</v>
      </c>
      <c r="F25" s="36">
        <v>0.48749999999999999</v>
      </c>
      <c r="G25" s="36">
        <v>0.49236111111111108</v>
      </c>
      <c r="H25" s="37" t="s">
        <v>0</v>
      </c>
      <c r="I25" s="38">
        <v>1</v>
      </c>
      <c r="J25" s="39">
        <v>714</v>
      </c>
      <c r="K25" s="51" t="str">
        <f>VLOOKUP(J25,'[2]Chart of accounts'!A:H,2,FALSE)</f>
        <v>50102030 01</v>
      </c>
      <c r="L25" s="39"/>
      <c r="M25" s="39"/>
      <c r="N25" s="34"/>
      <c r="O25" s="34"/>
      <c r="P25" s="34"/>
      <c r="Q25" s="53" t="s">
        <v>1</v>
      </c>
      <c r="R25" s="53" t="s">
        <v>1</v>
      </c>
      <c r="S25" s="57" t="s">
        <v>2</v>
      </c>
      <c r="T25" s="42" t="s">
        <v>803</v>
      </c>
      <c r="U25" s="42" t="s">
        <v>760</v>
      </c>
      <c r="V25" s="43">
        <v>5000</v>
      </c>
      <c r="W25" s="52"/>
      <c r="X25" s="43">
        <v>5000</v>
      </c>
      <c r="Y25" s="44"/>
      <c r="Z25" s="59"/>
      <c r="AA25" s="46"/>
      <c r="AB25" s="47"/>
      <c r="AC25" s="47"/>
      <c r="AD25" s="47"/>
      <c r="AE25" s="47"/>
      <c r="AF25" s="47"/>
      <c r="AG25" s="44"/>
      <c r="AH25" s="44"/>
      <c r="AI25" s="44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4"/>
      <c r="BB25" s="44"/>
      <c r="BC25" s="44"/>
      <c r="BD25" s="44"/>
      <c r="BE25" s="44"/>
      <c r="BF25" s="48"/>
      <c r="BG25" s="44"/>
      <c r="BI25" s="43">
        <v>5000</v>
      </c>
      <c r="BJ25" s="44"/>
      <c r="BK25" s="44"/>
      <c r="BL25" s="44"/>
      <c r="BM25" s="44"/>
      <c r="BN25" s="44"/>
      <c r="BO25" s="44"/>
      <c r="BP25" s="44"/>
      <c r="BQ25" s="44"/>
      <c r="BR25" s="49"/>
      <c r="BS25" s="44"/>
      <c r="BT25" s="44"/>
      <c r="BU25" s="44"/>
      <c r="BV25" s="43">
        <v>5000</v>
      </c>
      <c r="BW25" s="47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7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7"/>
      <c r="EA25" s="47"/>
      <c r="EB25" s="47"/>
    </row>
    <row r="26" spans="3:132" s="32" customFormat="1">
      <c r="C26" s="33">
        <v>44209</v>
      </c>
      <c r="D26" s="34" t="s">
        <v>759</v>
      </c>
      <c r="E26" s="286" t="s">
        <v>11</v>
      </c>
      <c r="F26" s="36">
        <v>0.48749999999999999</v>
      </c>
      <c r="G26" s="36">
        <v>0.49236111111111108</v>
      </c>
      <c r="H26" s="37" t="s">
        <v>0</v>
      </c>
      <c r="I26" s="38">
        <v>1</v>
      </c>
      <c r="J26" s="39">
        <v>713</v>
      </c>
      <c r="K26" s="51" t="str">
        <f>VLOOKUP(J26,'[2]Chart of accounts'!A:H,2,FALSE)</f>
        <v>50102020 00</v>
      </c>
      <c r="L26" s="39"/>
      <c r="M26" s="39"/>
      <c r="N26" s="34"/>
      <c r="O26" s="34"/>
      <c r="P26" s="34"/>
      <c r="Q26" s="53" t="s">
        <v>1</v>
      </c>
      <c r="R26" s="53" t="s">
        <v>1</v>
      </c>
      <c r="S26" s="57" t="s">
        <v>2</v>
      </c>
      <c r="T26" s="42" t="s">
        <v>804</v>
      </c>
      <c r="U26" s="42" t="s">
        <v>760</v>
      </c>
      <c r="V26" s="43">
        <v>7500</v>
      </c>
      <c r="W26" s="52"/>
      <c r="X26" s="43">
        <v>7500</v>
      </c>
      <c r="Y26" s="44"/>
      <c r="Z26" s="59"/>
      <c r="AA26" s="46"/>
      <c r="AB26" s="47"/>
      <c r="AC26" s="47"/>
      <c r="AD26" s="47"/>
      <c r="AE26" s="47"/>
      <c r="AF26" s="47"/>
      <c r="AG26" s="44"/>
      <c r="AH26" s="44"/>
      <c r="AI26" s="44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4"/>
      <c r="BB26" s="44"/>
      <c r="BC26" s="44"/>
      <c r="BD26" s="44"/>
      <c r="BE26" s="44"/>
      <c r="BF26" s="48"/>
      <c r="BG26" s="44"/>
      <c r="BH26" s="43">
        <v>7500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9"/>
      <c r="BS26" s="44"/>
      <c r="BT26" s="44"/>
      <c r="BU26" s="44"/>
      <c r="BV26" s="43">
        <v>7500</v>
      </c>
      <c r="BW26" s="47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7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7"/>
      <c r="EA26" s="47"/>
      <c r="EB26" s="47"/>
    </row>
    <row r="27" spans="3:132" s="32" customFormat="1">
      <c r="C27" s="33">
        <v>44209</v>
      </c>
      <c r="D27" s="34" t="s">
        <v>759</v>
      </c>
      <c r="E27" s="286" t="s">
        <v>11</v>
      </c>
      <c r="F27" s="36">
        <v>0.48749999999999999</v>
      </c>
      <c r="G27" s="36">
        <v>0.49236111111111108</v>
      </c>
      <c r="H27" s="37" t="s">
        <v>0</v>
      </c>
      <c r="I27" s="38">
        <v>1</v>
      </c>
      <c r="J27" s="39">
        <v>714</v>
      </c>
      <c r="K27" s="51" t="str">
        <f>VLOOKUP(J27,'[2]Chart of accounts'!A:H,2,FALSE)</f>
        <v>50102030 01</v>
      </c>
      <c r="L27" s="39"/>
      <c r="M27" s="39"/>
      <c r="N27" s="34"/>
      <c r="O27" s="34"/>
      <c r="P27" s="34"/>
      <c r="Q27" s="53" t="s">
        <v>1</v>
      </c>
      <c r="R27" s="53" t="s">
        <v>1</v>
      </c>
      <c r="S27" s="57" t="s">
        <v>2</v>
      </c>
      <c r="T27" s="42" t="s">
        <v>804</v>
      </c>
      <c r="U27" s="42" t="s">
        <v>760</v>
      </c>
      <c r="V27" s="43">
        <v>7500</v>
      </c>
      <c r="W27" s="52"/>
      <c r="X27" s="43">
        <v>7500</v>
      </c>
      <c r="Y27" s="44"/>
      <c r="Z27" s="59"/>
      <c r="AA27" s="46"/>
      <c r="AB27" s="47"/>
      <c r="AC27" s="47"/>
      <c r="AD27" s="47"/>
      <c r="AE27" s="47"/>
      <c r="AF27" s="47"/>
      <c r="AG27" s="44"/>
      <c r="AH27" s="44"/>
      <c r="AI27" s="44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4"/>
      <c r="BB27" s="44"/>
      <c r="BC27" s="44"/>
      <c r="BD27" s="44"/>
      <c r="BE27" s="44"/>
      <c r="BF27" s="48"/>
      <c r="BG27" s="44"/>
      <c r="BI27" s="43">
        <v>7500</v>
      </c>
      <c r="BJ27" s="44"/>
      <c r="BK27" s="44"/>
      <c r="BL27" s="44"/>
      <c r="BM27" s="44"/>
      <c r="BN27" s="44"/>
      <c r="BO27" s="44"/>
      <c r="BP27" s="44"/>
      <c r="BQ27" s="44"/>
      <c r="BR27" s="49"/>
      <c r="BS27" s="44"/>
      <c r="BT27" s="44"/>
      <c r="BU27" s="44"/>
      <c r="BV27" s="43">
        <v>7500</v>
      </c>
      <c r="BW27" s="47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7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7"/>
      <c r="EA27" s="47"/>
      <c r="EB27" s="47"/>
    </row>
    <row r="28" spans="3:132" s="32" customFormat="1">
      <c r="C28" s="33">
        <v>44209</v>
      </c>
      <c r="D28" s="34" t="s">
        <v>759</v>
      </c>
      <c r="E28" s="286" t="s">
        <v>11</v>
      </c>
      <c r="F28" s="36">
        <v>0.48749999999999999</v>
      </c>
      <c r="G28" s="36">
        <v>0.49236111111111108</v>
      </c>
      <c r="H28" s="37" t="s">
        <v>0</v>
      </c>
      <c r="I28" s="38">
        <v>1</v>
      </c>
      <c r="J28" s="39">
        <v>713</v>
      </c>
      <c r="K28" s="51" t="str">
        <f>VLOOKUP(J28,'[2]Chart of accounts'!A:H,2,FALSE)</f>
        <v>50102020 00</v>
      </c>
      <c r="L28" s="39"/>
      <c r="M28" s="39"/>
      <c r="N28" s="34"/>
      <c r="O28" s="34"/>
      <c r="P28" s="34"/>
      <c r="Q28" s="53" t="s">
        <v>1</v>
      </c>
      <c r="R28" s="53" t="s">
        <v>1</v>
      </c>
      <c r="S28" s="57" t="s">
        <v>2</v>
      </c>
      <c r="T28" s="42" t="s">
        <v>805</v>
      </c>
      <c r="U28" s="42" t="s">
        <v>760</v>
      </c>
      <c r="V28" s="43">
        <v>5000</v>
      </c>
      <c r="W28" s="52"/>
      <c r="X28" s="43">
        <v>5000</v>
      </c>
      <c r="Y28" s="44"/>
      <c r="Z28" s="59"/>
      <c r="AA28" s="46"/>
      <c r="AB28" s="47"/>
      <c r="AC28" s="47"/>
      <c r="AD28" s="47"/>
      <c r="AE28" s="47"/>
      <c r="AF28" s="47"/>
      <c r="AG28" s="44"/>
      <c r="AH28" s="44"/>
      <c r="AI28" s="44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4"/>
      <c r="BB28" s="44"/>
      <c r="BC28" s="44"/>
      <c r="BD28" s="44"/>
      <c r="BE28" s="44"/>
      <c r="BF28" s="48"/>
      <c r="BG28" s="44"/>
      <c r="BH28" s="43">
        <v>5000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9"/>
      <c r="BS28" s="44"/>
      <c r="BT28" s="44"/>
      <c r="BU28" s="44"/>
      <c r="BV28" s="43">
        <v>5000</v>
      </c>
      <c r="BW28" s="47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7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7"/>
      <c r="EA28" s="47"/>
      <c r="EB28" s="47"/>
    </row>
    <row r="29" spans="3:132" s="32" customFormat="1">
      <c r="C29" s="33">
        <v>44209</v>
      </c>
      <c r="D29" s="34" t="s">
        <v>759</v>
      </c>
      <c r="E29" s="286" t="s">
        <v>11</v>
      </c>
      <c r="F29" s="36">
        <v>0.48749999999999999</v>
      </c>
      <c r="G29" s="36">
        <v>0.49236111111111108</v>
      </c>
      <c r="H29" s="37" t="s">
        <v>0</v>
      </c>
      <c r="I29" s="38">
        <v>1</v>
      </c>
      <c r="J29" s="39">
        <v>714</v>
      </c>
      <c r="K29" s="51" t="str">
        <f>VLOOKUP(J29,'[2]Chart of accounts'!A:H,2,FALSE)</f>
        <v>50102030 01</v>
      </c>
      <c r="L29" s="39"/>
      <c r="M29" s="39"/>
      <c r="N29" s="34"/>
      <c r="O29" s="34"/>
      <c r="P29" s="34"/>
      <c r="Q29" s="53" t="s">
        <v>1</v>
      </c>
      <c r="R29" s="53" t="s">
        <v>1</v>
      </c>
      <c r="S29" s="57" t="s">
        <v>2</v>
      </c>
      <c r="T29" s="42" t="s">
        <v>805</v>
      </c>
      <c r="U29" s="42" t="s">
        <v>760</v>
      </c>
      <c r="V29" s="43">
        <v>5000</v>
      </c>
      <c r="W29" s="52"/>
      <c r="X29" s="43">
        <v>5000</v>
      </c>
      <c r="Y29" s="44"/>
      <c r="Z29" s="59"/>
      <c r="AA29" s="46"/>
      <c r="AB29" s="47"/>
      <c r="AC29" s="47"/>
      <c r="AD29" s="47"/>
      <c r="AE29" s="47"/>
      <c r="AF29" s="47"/>
      <c r="AG29" s="44"/>
      <c r="AH29" s="44"/>
      <c r="AI29" s="44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4"/>
      <c r="BB29" s="44"/>
      <c r="BC29" s="44"/>
      <c r="BD29" s="44"/>
      <c r="BE29" s="44"/>
      <c r="BF29" s="48"/>
      <c r="BG29" s="44"/>
      <c r="BI29" s="43">
        <v>5000</v>
      </c>
      <c r="BJ29" s="44"/>
      <c r="BK29" s="44"/>
      <c r="BL29" s="44"/>
      <c r="BM29" s="44"/>
      <c r="BN29" s="44"/>
      <c r="BO29" s="44"/>
      <c r="BP29" s="44"/>
      <c r="BQ29" s="44"/>
      <c r="BR29" s="49"/>
      <c r="BS29" s="44"/>
      <c r="BT29" s="44"/>
      <c r="BU29" s="44"/>
      <c r="BV29" s="43">
        <v>5000</v>
      </c>
      <c r="BW29" s="47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7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7"/>
      <c r="EA29" s="47"/>
      <c r="EB29" s="47"/>
    </row>
    <row r="30" spans="3:132" s="32" customFormat="1">
      <c r="C30" s="33">
        <v>44209</v>
      </c>
      <c r="D30" s="34" t="s">
        <v>759</v>
      </c>
      <c r="E30" s="286" t="s">
        <v>11</v>
      </c>
      <c r="F30" s="36">
        <v>0.48749999999999999</v>
      </c>
      <c r="G30" s="36">
        <v>0.49236111111111108</v>
      </c>
      <c r="H30" s="37" t="s">
        <v>0</v>
      </c>
      <c r="I30" s="38">
        <v>1</v>
      </c>
      <c r="J30" s="39">
        <v>713</v>
      </c>
      <c r="K30" s="51" t="str">
        <f>VLOOKUP(J30,'[2]Chart of accounts'!A:H,2,FALSE)</f>
        <v>50102020 00</v>
      </c>
      <c r="L30" s="39"/>
      <c r="M30" s="39"/>
      <c r="N30" s="34"/>
      <c r="O30" s="34"/>
      <c r="P30" s="34"/>
      <c r="Q30" s="53" t="s">
        <v>1</v>
      </c>
      <c r="R30" s="53" t="s">
        <v>1</v>
      </c>
      <c r="S30" s="57" t="s">
        <v>2</v>
      </c>
      <c r="T30" s="42" t="s">
        <v>806</v>
      </c>
      <c r="U30" s="42" t="s">
        <v>760</v>
      </c>
      <c r="V30" s="43">
        <v>7500</v>
      </c>
      <c r="W30" s="52"/>
      <c r="X30" s="43">
        <v>7500</v>
      </c>
      <c r="Y30" s="44"/>
      <c r="Z30" s="59"/>
      <c r="AA30" s="46"/>
      <c r="AB30" s="47"/>
      <c r="AC30" s="47"/>
      <c r="AD30" s="47"/>
      <c r="AE30" s="47"/>
      <c r="AF30" s="47"/>
      <c r="AG30" s="44"/>
      <c r="AH30" s="44"/>
      <c r="AI30" s="44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4"/>
      <c r="BB30" s="44"/>
      <c r="BC30" s="44"/>
      <c r="BD30" s="44"/>
      <c r="BE30" s="44"/>
      <c r="BF30" s="48"/>
      <c r="BG30" s="44"/>
      <c r="BH30" s="43">
        <v>7500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9"/>
      <c r="BS30" s="44"/>
      <c r="BT30" s="44"/>
      <c r="BU30" s="44"/>
      <c r="BV30" s="43">
        <v>7500</v>
      </c>
      <c r="BW30" s="47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7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7"/>
      <c r="EA30" s="47"/>
      <c r="EB30" s="47"/>
    </row>
    <row r="31" spans="3:132" s="32" customFormat="1">
      <c r="C31" s="33">
        <v>44209</v>
      </c>
      <c r="D31" s="34" t="s">
        <v>759</v>
      </c>
      <c r="E31" s="286" t="s">
        <v>11</v>
      </c>
      <c r="F31" s="36">
        <v>0.48749999999999999</v>
      </c>
      <c r="G31" s="36">
        <v>0.49236111111111108</v>
      </c>
      <c r="H31" s="37" t="s">
        <v>0</v>
      </c>
      <c r="I31" s="38">
        <v>1</v>
      </c>
      <c r="J31" s="39">
        <v>714</v>
      </c>
      <c r="K31" s="51" t="str">
        <f>VLOOKUP(J31,'[2]Chart of accounts'!A:H,2,FALSE)</f>
        <v>50102030 01</v>
      </c>
      <c r="L31" s="39"/>
      <c r="M31" s="39"/>
      <c r="N31" s="34"/>
      <c r="O31" s="34"/>
      <c r="P31" s="34"/>
      <c r="Q31" s="53" t="s">
        <v>1</v>
      </c>
      <c r="R31" s="53" t="s">
        <v>1</v>
      </c>
      <c r="S31" s="57" t="s">
        <v>2</v>
      </c>
      <c r="T31" s="42" t="s">
        <v>806</v>
      </c>
      <c r="U31" s="42" t="s">
        <v>760</v>
      </c>
      <c r="V31" s="43">
        <v>7500</v>
      </c>
      <c r="W31" s="52"/>
      <c r="X31" s="43">
        <v>7500</v>
      </c>
      <c r="Y31" s="44"/>
      <c r="Z31" s="59"/>
      <c r="AA31" s="46"/>
      <c r="AB31" s="47"/>
      <c r="AC31" s="47"/>
      <c r="AD31" s="47"/>
      <c r="AE31" s="47"/>
      <c r="AF31" s="47"/>
      <c r="AG31" s="44"/>
      <c r="AH31" s="44"/>
      <c r="AI31" s="44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4"/>
      <c r="BB31" s="44"/>
      <c r="BC31" s="44"/>
      <c r="BD31" s="44"/>
      <c r="BE31" s="44"/>
      <c r="BF31" s="48"/>
      <c r="BG31" s="44"/>
      <c r="BI31" s="43">
        <v>7500</v>
      </c>
      <c r="BJ31" s="44"/>
      <c r="BK31" s="44"/>
      <c r="BL31" s="44"/>
      <c r="BM31" s="44"/>
      <c r="BN31" s="44"/>
      <c r="BO31" s="44"/>
      <c r="BP31" s="44"/>
      <c r="BQ31" s="44"/>
      <c r="BR31" s="49"/>
      <c r="BS31" s="44"/>
      <c r="BT31" s="44"/>
      <c r="BU31" s="44"/>
      <c r="BV31" s="43">
        <v>7500</v>
      </c>
      <c r="BW31" s="47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7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7"/>
      <c r="EA31" s="47"/>
      <c r="EB31" s="47"/>
    </row>
    <row r="32" spans="3:132" s="32" customFormat="1">
      <c r="C32" s="33">
        <v>44209</v>
      </c>
      <c r="D32" s="34" t="s">
        <v>759</v>
      </c>
      <c r="E32" s="286" t="s">
        <v>8</v>
      </c>
      <c r="F32" s="36">
        <v>0.49236111111111108</v>
      </c>
      <c r="G32" s="36">
        <v>0.49305555555555558</v>
      </c>
      <c r="H32" s="37" t="s">
        <v>0</v>
      </c>
      <c r="I32" s="38">
        <v>1</v>
      </c>
      <c r="J32" s="39">
        <v>883</v>
      </c>
      <c r="K32" s="51" t="str">
        <f>VLOOKUP(J32,'[2]Chart of accounts'!A:H,2,FALSE)</f>
        <v>50210030 00</v>
      </c>
      <c r="L32" s="39"/>
      <c r="M32" s="39"/>
      <c r="N32" s="34"/>
      <c r="O32" s="34"/>
      <c r="P32" s="34"/>
      <c r="Q32" s="53" t="s">
        <v>3</v>
      </c>
      <c r="R32" s="53" t="s">
        <v>3</v>
      </c>
      <c r="S32" s="54" t="s">
        <v>2</v>
      </c>
      <c r="T32" s="42" t="s">
        <v>6</v>
      </c>
      <c r="U32" s="42" t="s">
        <v>761</v>
      </c>
      <c r="V32" s="43">
        <v>10000</v>
      </c>
      <c r="W32" s="52"/>
      <c r="X32" s="43"/>
      <c r="Y32" s="44">
        <f t="shared" ref="Y32:Y38" si="0">+V32-X32</f>
        <v>10000</v>
      </c>
      <c r="Z32" s="59"/>
      <c r="AA32" s="46"/>
      <c r="AB32" s="47"/>
      <c r="AC32" s="47"/>
      <c r="AD32" s="47"/>
      <c r="AE32" s="47"/>
      <c r="AF32" s="47"/>
      <c r="AG32" s="44"/>
      <c r="AH32" s="44"/>
      <c r="AI32" s="44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4"/>
      <c r="BB32" s="44"/>
      <c r="BC32" s="44"/>
      <c r="BD32" s="44"/>
      <c r="BE32" s="44"/>
      <c r="BF32" s="48"/>
      <c r="BG32" s="44"/>
      <c r="BH32" s="43"/>
      <c r="BI32" s="44"/>
      <c r="BJ32" s="44"/>
      <c r="BK32" s="44"/>
      <c r="BL32" s="44"/>
      <c r="BM32" s="44"/>
      <c r="BN32" s="44"/>
      <c r="BO32" s="44"/>
      <c r="BP32" s="44"/>
      <c r="BQ32" s="44"/>
      <c r="BR32" s="49"/>
      <c r="BS32" s="44"/>
      <c r="BT32" s="44"/>
      <c r="BU32" s="44"/>
      <c r="BV32" s="43">
        <v>10000</v>
      </c>
      <c r="BW32" s="47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7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3">
        <v>10000</v>
      </c>
      <c r="DR32" s="44"/>
      <c r="DS32" s="44"/>
      <c r="DT32" s="44"/>
      <c r="DU32" s="44"/>
      <c r="DV32" s="44"/>
      <c r="DW32" s="44"/>
      <c r="DX32" s="44"/>
      <c r="DY32" s="44"/>
      <c r="DZ32" s="47"/>
      <c r="EA32" s="47"/>
      <c r="EB32" s="47"/>
    </row>
    <row r="33" spans="3:132" s="32" customFormat="1" ht="27.6">
      <c r="C33" s="33">
        <v>44210</v>
      </c>
      <c r="D33" s="34" t="s">
        <v>759</v>
      </c>
      <c r="E33" s="286" t="s">
        <v>4</v>
      </c>
      <c r="F33" s="36">
        <v>0.57777777777777783</v>
      </c>
      <c r="G33" s="36">
        <v>0.58680555555555558</v>
      </c>
      <c r="H33" s="37" t="s">
        <v>0</v>
      </c>
      <c r="I33" s="38">
        <v>1</v>
      </c>
      <c r="J33" s="39">
        <v>701</v>
      </c>
      <c r="K33" s="51" t="str">
        <f>VLOOKUP(J33,'[2]Chart of accounts'!A:H,2,FALSE)</f>
        <v>50101010 01</v>
      </c>
      <c r="L33" s="39"/>
      <c r="M33" s="39"/>
      <c r="N33" s="34"/>
      <c r="O33" s="34"/>
      <c r="P33" s="34"/>
      <c r="Q33" s="53" t="s">
        <v>1</v>
      </c>
      <c r="R33" s="53" t="s">
        <v>1</v>
      </c>
      <c r="S33" s="54" t="s">
        <v>2</v>
      </c>
      <c r="T33" s="42" t="s">
        <v>10</v>
      </c>
      <c r="U33" s="42" t="s">
        <v>762</v>
      </c>
      <c r="V33" s="43">
        <v>1634515</v>
      </c>
      <c r="W33" s="52"/>
      <c r="X33" s="43">
        <v>1634515</v>
      </c>
      <c r="Y33" s="44">
        <f t="shared" si="0"/>
        <v>0</v>
      </c>
      <c r="Z33" s="59"/>
      <c r="AA33" s="46"/>
      <c r="AB33" s="47"/>
      <c r="AC33" s="47"/>
      <c r="AD33" s="47"/>
      <c r="AE33" s="47"/>
      <c r="AF33" s="47"/>
      <c r="AG33" s="44"/>
      <c r="AH33" s="44"/>
      <c r="AI33" s="44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4"/>
      <c r="BB33" s="44"/>
      <c r="BC33" s="44"/>
      <c r="BD33" s="44"/>
      <c r="BE33" s="43">
        <v>1634515</v>
      </c>
      <c r="BF33" s="48"/>
      <c r="BG33" s="44"/>
      <c r="BI33" s="43"/>
      <c r="BJ33" s="44"/>
      <c r="BK33" s="44"/>
      <c r="BL33" s="44"/>
      <c r="BM33" s="44"/>
      <c r="BN33" s="44"/>
      <c r="BO33" s="44"/>
      <c r="BP33" s="44"/>
      <c r="BQ33" s="44"/>
      <c r="BR33" s="49"/>
      <c r="BS33" s="44"/>
      <c r="BT33" s="44"/>
      <c r="BU33" s="44"/>
      <c r="BV33" s="43">
        <v>1634515</v>
      </c>
      <c r="BW33" s="47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7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7"/>
      <c r="EA33" s="47"/>
      <c r="EB33" s="47"/>
    </row>
    <row r="34" spans="3:132" s="32" customFormat="1" ht="27.6">
      <c r="C34" s="33">
        <v>44210</v>
      </c>
      <c r="D34" s="34" t="s">
        <v>759</v>
      </c>
      <c r="E34" s="286" t="s">
        <v>4</v>
      </c>
      <c r="F34" s="36">
        <v>0.57777777777777783</v>
      </c>
      <c r="G34" s="36">
        <v>0.58680555555555558</v>
      </c>
      <c r="H34" s="37" t="s">
        <v>0</v>
      </c>
      <c r="I34" s="38">
        <v>1</v>
      </c>
      <c r="J34" s="39">
        <v>711</v>
      </c>
      <c r="K34" s="51" t="str">
        <f>VLOOKUP(J34,'[2]Chart of accounts'!A:H,2,FALSE)</f>
        <v>50102010 01</v>
      </c>
      <c r="L34" s="39"/>
      <c r="M34" s="39"/>
      <c r="N34" s="34"/>
      <c r="O34" s="34"/>
      <c r="P34" s="34"/>
      <c r="Q34" s="53" t="s">
        <v>1</v>
      </c>
      <c r="R34" s="53" t="s">
        <v>1</v>
      </c>
      <c r="S34" s="54" t="s">
        <v>2</v>
      </c>
      <c r="T34" s="42" t="s">
        <v>10</v>
      </c>
      <c r="U34" s="42" t="s">
        <v>762</v>
      </c>
      <c r="V34" s="43">
        <v>76000</v>
      </c>
      <c r="W34" s="52"/>
      <c r="X34" s="43">
        <v>76000</v>
      </c>
      <c r="Y34" s="44">
        <f t="shared" si="0"/>
        <v>0</v>
      </c>
      <c r="Z34" s="59"/>
      <c r="AA34" s="46"/>
      <c r="AB34" s="47"/>
      <c r="AC34" s="47"/>
      <c r="AD34" s="47"/>
      <c r="AE34" s="47"/>
      <c r="AF34" s="47"/>
      <c r="AG34" s="44"/>
      <c r="AH34" s="44"/>
      <c r="AI34" s="44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4"/>
      <c r="BB34" s="44"/>
      <c r="BC34" s="44"/>
      <c r="BD34" s="44"/>
      <c r="BF34" s="48"/>
      <c r="BG34" s="43">
        <v>76000</v>
      </c>
      <c r="BH34" s="43"/>
      <c r="BI34" s="44"/>
      <c r="BJ34" s="44"/>
      <c r="BK34" s="44"/>
      <c r="BL34" s="44"/>
      <c r="BM34" s="44"/>
      <c r="BN34" s="44"/>
      <c r="BO34" s="44"/>
      <c r="BP34" s="44"/>
      <c r="BQ34" s="44"/>
      <c r="BR34" s="49"/>
      <c r="BS34" s="44"/>
      <c r="BT34" s="44"/>
      <c r="BU34" s="44"/>
      <c r="BV34" s="43">
        <v>76000</v>
      </c>
      <c r="BW34" s="47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7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7"/>
      <c r="EA34" s="47"/>
      <c r="EB34" s="47"/>
    </row>
    <row r="35" spans="3:132" s="32" customFormat="1" ht="27.6">
      <c r="C35" s="33">
        <v>44210</v>
      </c>
      <c r="D35" s="34" t="s">
        <v>759</v>
      </c>
      <c r="E35" s="286" t="s">
        <v>4</v>
      </c>
      <c r="F35" s="36">
        <v>0.57777777777777783</v>
      </c>
      <c r="G35" s="36">
        <v>0.58680555555555558</v>
      </c>
      <c r="H35" s="37" t="s">
        <v>0</v>
      </c>
      <c r="I35" s="38">
        <v>1</v>
      </c>
      <c r="J35" s="39">
        <v>731</v>
      </c>
      <c r="K35" s="51" t="str">
        <f>VLOOKUP(J35,'[2]Chart of accounts'!A:H,2,FALSE)</f>
        <v>50103010 00</v>
      </c>
      <c r="L35" s="39"/>
      <c r="M35" s="39"/>
      <c r="N35" s="34"/>
      <c r="O35" s="34"/>
      <c r="P35" s="34"/>
      <c r="Q35" s="53" t="s">
        <v>1</v>
      </c>
      <c r="R35" s="53" t="s">
        <v>1</v>
      </c>
      <c r="S35" s="54" t="s">
        <v>2</v>
      </c>
      <c r="T35" s="42" t="s">
        <v>10</v>
      </c>
      <c r="U35" s="42" t="s">
        <v>762</v>
      </c>
      <c r="V35" s="43">
        <v>196141.8</v>
      </c>
      <c r="W35" s="52"/>
      <c r="X35" s="43">
        <v>196141.8</v>
      </c>
      <c r="Y35" s="44">
        <f t="shared" si="0"/>
        <v>0</v>
      </c>
      <c r="Z35" s="59"/>
      <c r="AA35" s="46"/>
      <c r="AB35" s="47"/>
      <c r="AC35" s="47"/>
      <c r="AD35" s="47"/>
      <c r="AE35" s="47"/>
      <c r="AF35" s="47"/>
      <c r="AG35" s="44"/>
      <c r="AH35" s="44"/>
      <c r="AI35" s="44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4"/>
      <c r="BB35" s="44"/>
      <c r="BC35" s="44"/>
      <c r="BD35" s="44"/>
      <c r="BF35" s="73"/>
      <c r="BG35" s="43"/>
      <c r="BI35" s="43"/>
      <c r="BJ35" s="44"/>
      <c r="BK35" s="44"/>
      <c r="BL35" s="44"/>
      <c r="BM35" s="44"/>
      <c r="BN35" s="44"/>
      <c r="BO35" s="43">
        <v>196141.8</v>
      </c>
      <c r="BP35" s="44"/>
      <c r="BQ35" s="44"/>
      <c r="BR35" s="49"/>
      <c r="BS35" s="44"/>
      <c r="BT35" s="44"/>
      <c r="BU35" s="44"/>
      <c r="BV35" s="43">
        <v>196141.8</v>
      </c>
      <c r="BW35" s="47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7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7"/>
      <c r="EA35" s="47"/>
      <c r="EB35" s="47"/>
    </row>
    <row r="36" spans="3:132" s="75" customFormat="1" ht="27.6">
      <c r="C36" s="33">
        <v>44210</v>
      </c>
      <c r="D36" s="34" t="s">
        <v>759</v>
      </c>
      <c r="E36" s="286" t="s">
        <v>4</v>
      </c>
      <c r="F36" s="36">
        <v>0.57777777777777783</v>
      </c>
      <c r="G36" s="36">
        <v>0.58680555555555558</v>
      </c>
      <c r="H36" s="37" t="s">
        <v>0</v>
      </c>
      <c r="I36" s="38">
        <v>1</v>
      </c>
      <c r="J36" s="39">
        <v>732</v>
      </c>
      <c r="K36" s="51" t="str">
        <f>VLOOKUP(J36,'[2]Chart of accounts'!A:H,2,FALSE)</f>
        <v>50103020 01</v>
      </c>
      <c r="L36" s="55"/>
      <c r="M36" s="55"/>
      <c r="N36" s="56"/>
      <c r="O36" s="56"/>
      <c r="P36" s="56"/>
      <c r="Q36" s="53" t="s">
        <v>1</v>
      </c>
      <c r="R36" s="53" t="s">
        <v>1</v>
      </c>
      <c r="S36" s="54" t="s">
        <v>2</v>
      </c>
      <c r="T36" s="42" t="s">
        <v>10</v>
      </c>
      <c r="U36" s="42" t="s">
        <v>762</v>
      </c>
      <c r="V36" s="58">
        <v>3800</v>
      </c>
      <c r="W36" s="67"/>
      <c r="X36" s="58">
        <v>3800</v>
      </c>
      <c r="Y36" s="44">
        <f t="shared" si="0"/>
        <v>0</v>
      </c>
      <c r="Z36" s="69"/>
      <c r="AA36" s="70"/>
      <c r="AB36" s="71"/>
      <c r="AC36" s="71"/>
      <c r="AD36" s="71"/>
      <c r="AE36" s="71"/>
      <c r="AF36" s="71"/>
      <c r="AG36" s="43"/>
      <c r="AH36" s="43"/>
      <c r="AI36" s="43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43"/>
      <c r="BB36" s="43"/>
      <c r="BC36" s="43"/>
      <c r="BD36" s="43"/>
      <c r="BF36" s="73"/>
      <c r="BG36" s="43"/>
      <c r="BH36" s="43"/>
      <c r="BI36" s="43"/>
      <c r="BJ36" s="43"/>
      <c r="BK36" s="43"/>
      <c r="BL36" s="43"/>
      <c r="BM36" s="43"/>
      <c r="BN36" s="43"/>
      <c r="BP36" s="58">
        <v>3800</v>
      </c>
      <c r="BQ36" s="43"/>
      <c r="BR36" s="74"/>
      <c r="BS36" s="43"/>
      <c r="BT36" s="43"/>
      <c r="BU36" s="43"/>
      <c r="BV36" s="58">
        <v>3800</v>
      </c>
      <c r="BW36" s="71"/>
      <c r="BX36" s="43"/>
      <c r="BY36" s="43"/>
      <c r="BZ36" s="43"/>
      <c r="CA36" s="43"/>
      <c r="CB36" s="43"/>
      <c r="CC36" s="43"/>
      <c r="CD36" s="43">
        <f t="shared" ref="CD36:CD43" si="1">SUM(CF36:EB36)-Y36</f>
        <v>0</v>
      </c>
      <c r="CE36" s="43"/>
      <c r="CF36" s="58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71"/>
      <c r="EA36" s="71"/>
      <c r="EB36" s="71"/>
    </row>
    <row r="37" spans="3:132" s="75" customFormat="1" ht="27.6">
      <c r="C37" s="33">
        <v>44210</v>
      </c>
      <c r="D37" s="34" t="s">
        <v>759</v>
      </c>
      <c r="E37" s="286" t="s">
        <v>4</v>
      </c>
      <c r="F37" s="36">
        <v>0.57777777777777783</v>
      </c>
      <c r="G37" s="36">
        <v>0.58680555555555558</v>
      </c>
      <c r="H37" s="37" t="s">
        <v>0</v>
      </c>
      <c r="I37" s="38">
        <v>1</v>
      </c>
      <c r="J37" s="55">
        <v>733</v>
      </c>
      <c r="K37" s="51" t="str">
        <f>VLOOKUP(J37,'[2]Chart of accounts'!A:H,2,FALSE)</f>
        <v>50103030 01</v>
      </c>
      <c r="L37" s="55"/>
      <c r="M37" s="55"/>
      <c r="N37" s="56"/>
      <c r="O37" s="56"/>
      <c r="P37" s="56"/>
      <c r="Q37" s="53" t="s">
        <v>1</v>
      </c>
      <c r="R37" s="53" t="s">
        <v>1</v>
      </c>
      <c r="S37" s="54" t="s">
        <v>2</v>
      </c>
      <c r="T37" s="42" t="s">
        <v>10</v>
      </c>
      <c r="U37" s="42" t="s">
        <v>762</v>
      </c>
      <c r="V37" s="43">
        <v>21044.43</v>
      </c>
      <c r="W37" s="67"/>
      <c r="X37" s="43">
        <v>21044.43</v>
      </c>
      <c r="Y37" s="44">
        <f t="shared" si="0"/>
        <v>0</v>
      </c>
      <c r="Z37" s="69"/>
      <c r="AA37" s="70"/>
      <c r="AB37" s="71"/>
      <c r="AC37" s="71"/>
      <c r="AD37" s="71"/>
      <c r="AE37" s="71"/>
      <c r="AF37" s="71"/>
      <c r="AG37" s="43"/>
      <c r="AH37" s="43"/>
      <c r="AI37" s="43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43"/>
      <c r="BB37" s="43"/>
      <c r="BC37" s="43"/>
      <c r="BD37" s="43"/>
      <c r="BF37" s="73"/>
      <c r="BG37" s="43"/>
      <c r="BH37" s="43"/>
      <c r="BI37" s="43"/>
      <c r="BJ37" s="43"/>
      <c r="BK37" s="43"/>
      <c r="BL37" s="43"/>
      <c r="BM37" s="43"/>
      <c r="BN37" s="43"/>
      <c r="BO37" s="72"/>
      <c r="BP37" s="72"/>
      <c r="BQ37" s="43">
        <v>21044.43</v>
      </c>
      <c r="BR37" s="43"/>
      <c r="BS37" s="43"/>
      <c r="BT37" s="43"/>
      <c r="BU37" s="43"/>
      <c r="BV37" s="43">
        <v>21044.43</v>
      </c>
      <c r="BW37" s="71"/>
      <c r="BX37" s="43"/>
      <c r="BY37" s="43"/>
      <c r="BZ37" s="43"/>
      <c r="CA37" s="43"/>
      <c r="CB37" s="43"/>
      <c r="CC37" s="43"/>
      <c r="CD37" s="43">
        <f t="shared" si="1"/>
        <v>0</v>
      </c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71"/>
      <c r="EA37" s="71"/>
      <c r="EB37" s="71"/>
    </row>
    <row r="38" spans="3:132" s="75" customFormat="1" ht="27.6">
      <c r="C38" s="33">
        <v>44210</v>
      </c>
      <c r="D38" s="34" t="s">
        <v>759</v>
      </c>
      <c r="E38" s="286" t="s">
        <v>4</v>
      </c>
      <c r="F38" s="36">
        <v>0.57777777777777783</v>
      </c>
      <c r="G38" s="36">
        <v>0.58680555555555558</v>
      </c>
      <c r="H38" s="37" t="s">
        <v>0</v>
      </c>
      <c r="I38" s="38">
        <v>1</v>
      </c>
      <c r="J38" s="55">
        <v>734</v>
      </c>
      <c r="K38" s="51" t="str">
        <f>VLOOKUP(J38,'[2]Chart of accounts'!A:H,2,FALSE)</f>
        <v>50103040 01</v>
      </c>
      <c r="L38" s="55"/>
      <c r="M38" s="55"/>
      <c r="N38" s="56"/>
      <c r="O38" s="56"/>
      <c r="P38" s="56"/>
      <c r="Q38" s="53" t="s">
        <v>1</v>
      </c>
      <c r="R38" s="53" t="s">
        <v>1</v>
      </c>
      <c r="S38" s="54" t="s">
        <v>2</v>
      </c>
      <c r="T38" s="42" t="s">
        <v>10</v>
      </c>
      <c r="U38" s="42" t="s">
        <v>762</v>
      </c>
      <c r="V38" s="43">
        <v>3800</v>
      </c>
      <c r="W38" s="67"/>
      <c r="X38" s="43">
        <v>3800</v>
      </c>
      <c r="Y38" s="44">
        <f t="shared" si="0"/>
        <v>0</v>
      </c>
      <c r="Z38" s="69"/>
      <c r="AA38" s="70"/>
      <c r="AB38" s="71"/>
      <c r="AC38" s="71"/>
      <c r="AD38" s="71"/>
      <c r="AE38" s="71"/>
      <c r="AF38" s="71"/>
      <c r="AG38" s="43"/>
      <c r="AH38" s="43"/>
      <c r="AI38" s="43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43"/>
      <c r="BB38" s="43"/>
      <c r="BC38" s="43"/>
      <c r="BD38" s="43"/>
      <c r="BF38" s="73"/>
      <c r="BG38" s="43"/>
      <c r="BH38" s="43"/>
      <c r="BI38" s="43"/>
      <c r="BJ38" s="43"/>
      <c r="BK38" s="43"/>
      <c r="BL38" s="43"/>
      <c r="BM38" s="43"/>
      <c r="BN38" s="43"/>
      <c r="BO38" s="72"/>
      <c r="BP38" s="72"/>
      <c r="BQ38" s="72"/>
      <c r="BR38" s="43">
        <v>3800</v>
      </c>
      <c r="BS38" s="43"/>
      <c r="BT38" s="43"/>
      <c r="BU38" s="43"/>
      <c r="BV38" s="43">
        <v>3800</v>
      </c>
      <c r="BW38" s="71"/>
      <c r="BX38" s="43"/>
      <c r="BY38" s="43"/>
      <c r="BZ38" s="43"/>
      <c r="CA38" s="43"/>
      <c r="CB38" s="43"/>
      <c r="CC38" s="43"/>
      <c r="CD38" s="43">
        <f t="shared" si="1"/>
        <v>0</v>
      </c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71"/>
      <c r="EA38" s="71"/>
      <c r="EB38" s="71"/>
    </row>
    <row r="39" spans="3:132" s="75" customFormat="1" ht="27.6">
      <c r="C39" s="76">
        <v>44211</v>
      </c>
      <c r="D39" s="34" t="s">
        <v>759</v>
      </c>
      <c r="E39" s="286" t="s">
        <v>763</v>
      </c>
      <c r="F39" s="61">
        <v>0.59097222222222223</v>
      </c>
      <c r="G39" s="61">
        <v>0.59513888888888888</v>
      </c>
      <c r="H39" s="55" t="s">
        <v>0</v>
      </c>
      <c r="I39" s="38">
        <v>1</v>
      </c>
      <c r="J39" s="39">
        <v>701</v>
      </c>
      <c r="K39" s="51" t="str">
        <f>VLOOKUP(J39,'[2]Chart of accounts'!A:H,2,FALSE)</f>
        <v>50101010 01</v>
      </c>
      <c r="L39" s="39"/>
      <c r="M39" s="39"/>
      <c r="N39" s="34"/>
      <c r="O39" s="34"/>
      <c r="P39" s="34"/>
      <c r="Q39" s="53" t="s">
        <v>1</v>
      </c>
      <c r="R39" s="53" t="s">
        <v>1</v>
      </c>
      <c r="S39" s="66" t="s">
        <v>769</v>
      </c>
      <c r="T39" s="58" t="s">
        <v>764</v>
      </c>
      <c r="U39" s="42" t="s">
        <v>762</v>
      </c>
      <c r="V39" s="43">
        <v>377575</v>
      </c>
      <c r="W39" s="67"/>
      <c r="X39" s="68">
        <v>377575</v>
      </c>
      <c r="Y39" s="44">
        <f t="shared" ref="Y39:Y62" si="2">+V39-X39</f>
        <v>0</v>
      </c>
      <c r="Z39" s="69"/>
      <c r="AA39" s="70"/>
      <c r="AB39" s="71"/>
      <c r="AC39" s="71"/>
      <c r="AD39" s="71"/>
      <c r="AE39" s="71"/>
      <c r="AF39" s="71"/>
      <c r="AG39" s="43"/>
      <c r="AH39" s="43"/>
      <c r="AI39" s="43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43"/>
      <c r="BB39" s="43"/>
      <c r="BC39" s="43"/>
      <c r="BD39" s="43"/>
      <c r="BE39" s="43">
        <v>377575</v>
      </c>
      <c r="BF39" s="7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74"/>
      <c r="BS39" s="43"/>
      <c r="BT39" s="43"/>
      <c r="BU39" s="43"/>
      <c r="BV39" s="43">
        <v>377575</v>
      </c>
      <c r="BW39" s="71"/>
      <c r="BX39" s="43"/>
      <c r="BY39" s="43"/>
      <c r="BZ39" s="43"/>
      <c r="CA39" s="43"/>
      <c r="CB39" s="43"/>
      <c r="CC39" s="43"/>
      <c r="CD39" s="43">
        <f t="shared" si="1"/>
        <v>0</v>
      </c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71"/>
      <c r="EA39" s="71"/>
      <c r="EB39" s="71"/>
    </row>
    <row r="40" spans="3:132" s="32" customFormat="1" ht="27.6">
      <c r="C40" s="76">
        <v>44211</v>
      </c>
      <c r="D40" s="34" t="s">
        <v>759</v>
      </c>
      <c r="E40" s="286" t="s">
        <v>763</v>
      </c>
      <c r="F40" s="61">
        <v>0.59097222222222223</v>
      </c>
      <c r="G40" s="61">
        <v>0.59513888888888888</v>
      </c>
      <c r="H40" s="55" t="s">
        <v>0</v>
      </c>
      <c r="I40" s="38">
        <v>1</v>
      </c>
      <c r="J40" s="39">
        <v>711</v>
      </c>
      <c r="K40" s="51" t="str">
        <f>VLOOKUP(J40,'[2]Chart of accounts'!A:H,2,FALSE)</f>
        <v>50102010 01</v>
      </c>
      <c r="L40" s="39"/>
      <c r="M40" s="39"/>
      <c r="N40" s="34"/>
      <c r="O40" s="34"/>
      <c r="P40" s="34"/>
      <c r="Q40" s="53" t="s">
        <v>1</v>
      </c>
      <c r="R40" s="53" t="s">
        <v>1</v>
      </c>
      <c r="S40" s="66" t="s">
        <v>769</v>
      </c>
      <c r="T40" s="58" t="s">
        <v>764</v>
      </c>
      <c r="U40" s="42" t="s">
        <v>762</v>
      </c>
      <c r="V40" s="43">
        <v>22000</v>
      </c>
      <c r="W40" s="52"/>
      <c r="X40" s="49">
        <v>22000</v>
      </c>
      <c r="Y40" s="44">
        <f t="shared" si="2"/>
        <v>0</v>
      </c>
      <c r="Z40" s="45"/>
      <c r="AA40" s="46"/>
      <c r="AB40" s="47"/>
      <c r="AC40" s="47"/>
      <c r="AD40" s="47"/>
      <c r="AE40" s="47"/>
      <c r="AF40" s="47"/>
      <c r="AG40" s="44"/>
      <c r="AH40" s="44"/>
      <c r="AI40" s="44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4"/>
      <c r="BB40" s="44"/>
      <c r="BC40" s="44"/>
      <c r="BD40" s="44"/>
      <c r="BE40" s="43"/>
      <c r="BF40" s="48"/>
      <c r="BG40" s="43">
        <v>22000</v>
      </c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9"/>
      <c r="BS40" s="44"/>
      <c r="BT40" s="44"/>
      <c r="BU40" s="44"/>
      <c r="BV40" s="43">
        <v>22000</v>
      </c>
      <c r="BW40" s="47"/>
      <c r="BX40" s="44"/>
      <c r="BY40" s="44"/>
      <c r="BZ40" s="44"/>
      <c r="CA40" s="44"/>
      <c r="CB40" s="44"/>
      <c r="CC40" s="44"/>
      <c r="CD40" s="43">
        <f t="shared" si="1"/>
        <v>0</v>
      </c>
      <c r="CE40" s="44"/>
      <c r="CF40" s="44"/>
      <c r="CG40" s="44"/>
      <c r="CH40" s="44"/>
      <c r="CI40" s="44"/>
      <c r="CJ40" s="47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3"/>
      <c r="DF40" s="44"/>
      <c r="DH40" s="44"/>
      <c r="DI40" s="44"/>
      <c r="DJ40" s="62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7"/>
      <c r="EA40" s="47"/>
      <c r="EB40" s="47"/>
    </row>
    <row r="41" spans="3:132" s="32" customFormat="1" ht="27.6">
      <c r="C41" s="76">
        <v>44211</v>
      </c>
      <c r="D41" s="34" t="s">
        <v>759</v>
      </c>
      <c r="E41" s="286" t="s">
        <v>763</v>
      </c>
      <c r="F41" s="61">
        <v>0.59097222222222223</v>
      </c>
      <c r="G41" s="61">
        <v>0.59513888888888888</v>
      </c>
      <c r="H41" s="55" t="s">
        <v>0</v>
      </c>
      <c r="I41" s="38">
        <v>1</v>
      </c>
      <c r="J41" s="39">
        <v>731</v>
      </c>
      <c r="K41" s="51" t="str">
        <f>VLOOKUP(J41,'[2]Chart of accounts'!A:H,2,FALSE)</f>
        <v>50103010 00</v>
      </c>
      <c r="L41" s="39"/>
      <c r="M41" s="39"/>
      <c r="N41" s="34"/>
      <c r="O41" s="34"/>
      <c r="P41" s="34"/>
      <c r="Q41" s="53" t="s">
        <v>1</v>
      </c>
      <c r="R41" s="53" t="s">
        <v>1</v>
      </c>
      <c r="S41" s="66" t="s">
        <v>769</v>
      </c>
      <c r="T41" s="58" t="s">
        <v>764</v>
      </c>
      <c r="U41" s="42" t="s">
        <v>762</v>
      </c>
      <c r="V41" s="43">
        <v>45309</v>
      </c>
      <c r="W41" s="52"/>
      <c r="X41" s="49">
        <v>45309</v>
      </c>
      <c r="Y41" s="44">
        <f t="shared" si="2"/>
        <v>0</v>
      </c>
      <c r="Z41" s="45"/>
      <c r="AA41" s="46"/>
      <c r="AB41" s="47"/>
      <c r="AC41" s="47"/>
      <c r="AD41" s="47"/>
      <c r="AE41" s="47"/>
      <c r="AF41" s="47"/>
      <c r="AG41" s="44"/>
      <c r="AH41" s="44"/>
      <c r="AI41" s="44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4"/>
      <c r="BB41" s="44"/>
      <c r="BC41" s="44"/>
      <c r="BD41" s="44"/>
      <c r="BE41" s="43"/>
      <c r="BF41" s="48"/>
      <c r="BH41" s="44"/>
      <c r="BI41" s="44"/>
      <c r="BJ41" s="44"/>
      <c r="BK41" s="44"/>
      <c r="BL41" s="44"/>
      <c r="BM41" s="44"/>
      <c r="BN41" s="44"/>
      <c r="BO41" s="43">
        <v>45309</v>
      </c>
      <c r="BP41" s="44"/>
      <c r="BQ41" s="44"/>
      <c r="BR41" s="49"/>
      <c r="BS41" s="44"/>
      <c r="BT41" s="44"/>
      <c r="BU41" s="44"/>
      <c r="BV41" s="43">
        <v>45309</v>
      </c>
      <c r="BW41" s="47"/>
      <c r="BX41" s="44"/>
      <c r="BY41" s="43"/>
      <c r="BZ41" s="44"/>
      <c r="CA41" s="44"/>
      <c r="CB41" s="44"/>
      <c r="CC41" s="44"/>
      <c r="CD41" s="43">
        <f t="shared" si="1"/>
        <v>0</v>
      </c>
      <c r="CE41" s="44"/>
      <c r="CF41" s="44"/>
      <c r="CG41" s="44"/>
      <c r="CH41" s="44"/>
      <c r="CI41" s="44"/>
      <c r="CJ41" s="47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F41" s="44"/>
      <c r="DG41" s="43"/>
      <c r="DH41" s="62"/>
      <c r="DI41" s="44"/>
      <c r="DJ41" s="62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7"/>
      <c r="EA41" s="47"/>
      <c r="EB41" s="47"/>
    </row>
    <row r="42" spans="3:132" s="32" customFormat="1" ht="27.6">
      <c r="C42" s="76">
        <v>44211</v>
      </c>
      <c r="D42" s="34" t="s">
        <v>759</v>
      </c>
      <c r="E42" s="286" t="s">
        <v>763</v>
      </c>
      <c r="F42" s="61">
        <v>0.59097222222222223</v>
      </c>
      <c r="G42" s="61">
        <v>0.59513888888888888</v>
      </c>
      <c r="H42" s="55" t="s">
        <v>0</v>
      </c>
      <c r="I42" s="38">
        <v>1</v>
      </c>
      <c r="J42" s="39">
        <v>732</v>
      </c>
      <c r="K42" s="51" t="str">
        <f>VLOOKUP(J42,'[2]Chart of accounts'!A:H,2,FALSE)</f>
        <v>50103020 01</v>
      </c>
      <c r="L42" s="55"/>
      <c r="M42" s="55"/>
      <c r="N42" s="56"/>
      <c r="O42" s="56"/>
      <c r="P42" s="56"/>
      <c r="Q42" s="53" t="s">
        <v>1</v>
      </c>
      <c r="R42" s="53" t="s">
        <v>1</v>
      </c>
      <c r="S42" s="66" t="s">
        <v>769</v>
      </c>
      <c r="T42" s="58" t="s">
        <v>764</v>
      </c>
      <c r="U42" s="42" t="s">
        <v>762</v>
      </c>
      <c r="V42" s="43">
        <v>1100</v>
      </c>
      <c r="W42" s="52"/>
      <c r="X42" s="49">
        <v>1100</v>
      </c>
      <c r="Y42" s="44">
        <f t="shared" si="2"/>
        <v>0</v>
      </c>
      <c r="Z42" s="45"/>
      <c r="AA42" s="46"/>
      <c r="AB42" s="47"/>
      <c r="AC42" s="47"/>
      <c r="AD42" s="47"/>
      <c r="AE42" s="47"/>
      <c r="AF42" s="47"/>
      <c r="AG42" s="44"/>
      <c r="AH42" s="44"/>
      <c r="AI42" s="44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4"/>
      <c r="BB42" s="44"/>
      <c r="BC42" s="44"/>
      <c r="BD42" s="44"/>
      <c r="BE42" s="43"/>
      <c r="BF42" s="48"/>
      <c r="BH42" s="44"/>
      <c r="BI42" s="44"/>
      <c r="BJ42" s="44"/>
      <c r="BK42" s="44"/>
      <c r="BL42" s="44"/>
      <c r="BM42" s="44"/>
      <c r="BN42" s="44"/>
      <c r="BP42" s="43">
        <v>1100</v>
      </c>
      <c r="BQ42" s="44"/>
      <c r="BR42" s="49"/>
      <c r="BS42" s="44"/>
      <c r="BT42" s="44"/>
      <c r="BU42" s="44"/>
      <c r="BV42" s="43">
        <v>1100</v>
      </c>
      <c r="BW42" s="47"/>
      <c r="BX42" s="44"/>
      <c r="BY42" s="43"/>
      <c r="BZ42" s="44"/>
      <c r="CA42" s="44"/>
      <c r="CB42" s="44"/>
      <c r="CC42" s="44"/>
      <c r="CD42" s="43">
        <f t="shared" si="1"/>
        <v>0</v>
      </c>
      <c r="CE42" s="44"/>
      <c r="CF42" s="44"/>
      <c r="CG42" s="44"/>
      <c r="CH42" s="44"/>
      <c r="CI42" s="44"/>
      <c r="CJ42" s="47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F42" s="44"/>
      <c r="DH42" s="62"/>
      <c r="DI42" s="44"/>
      <c r="DJ42" s="43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7"/>
      <c r="EA42" s="47"/>
      <c r="EB42" s="47"/>
    </row>
    <row r="43" spans="3:132" s="32" customFormat="1" ht="27.6">
      <c r="C43" s="76">
        <v>44211</v>
      </c>
      <c r="D43" s="34" t="s">
        <v>759</v>
      </c>
      <c r="E43" s="286" t="s">
        <v>763</v>
      </c>
      <c r="F43" s="61">
        <v>0.59097222222222223</v>
      </c>
      <c r="G43" s="61">
        <v>0.59513888888888888</v>
      </c>
      <c r="H43" s="55" t="s">
        <v>0</v>
      </c>
      <c r="I43" s="38">
        <v>1</v>
      </c>
      <c r="J43" s="55">
        <v>733</v>
      </c>
      <c r="K43" s="51" t="str">
        <f>VLOOKUP(J43,'[2]Chart of accounts'!A:H,2,FALSE)</f>
        <v>50103030 01</v>
      </c>
      <c r="L43" s="55"/>
      <c r="M43" s="55"/>
      <c r="N43" s="56"/>
      <c r="O43" s="56"/>
      <c r="P43" s="56"/>
      <c r="Q43" s="53" t="s">
        <v>1</v>
      </c>
      <c r="R43" s="53" t="s">
        <v>1</v>
      </c>
      <c r="S43" s="66" t="s">
        <v>769</v>
      </c>
      <c r="T43" s="58" t="s">
        <v>764</v>
      </c>
      <c r="U43" s="42" t="s">
        <v>762</v>
      </c>
      <c r="V43" s="43">
        <v>5560.64</v>
      </c>
      <c r="W43" s="52"/>
      <c r="X43" s="43">
        <v>5560.64</v>
      </c>
      <c r="Y43" s="44">
        <f t="shared" si="2"/>
        <v>0</v>
      </c>
      <c r="Z43" s="45"/>
      <c r="AA43" s="46"/>
      <c r="AB43" s="47"/>
      <c r="AC43" s="47"/>
      <c r="AD43" s="47"/>
      <c r="AE43" s="47"/>
      <c r="AF43" s="47"/>
      <c r="AG43" s="44"/>
      <c r="AH43" s="44"/>
      <c r="AI43" s="44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4"/>
      <c r="BB43" s="44"/>
      <c r="BC43" s="44"/>
      <c r="BD43" s="44"/>
      <c r="BE43" s="43"/>
      <c r="BF43" s="48"/>
      <c r="BH43" s="44"/>
      <c r="BI43" s="44"/>
      <c r="BJ43" s="44"/>
      <c r="BK43" s="44"/>
      <c r="BL43" s="44"/>
      <c r="BM43" s="44"/>
      <c r="BN43" s="44"/>
      <c r="BQ43" s="43">
        <v>5560.64</v>
      </c>
      <c r="BR43" s="49"/>
      <c r="BS43" s="44"/>
      <c r="BT43" s="44"/>
      <c r="BU43" s="44"/>
      <c r="BV43" s="43">
        <v>5560.64</v>
      </c>
      <c r="BW43" s="47"/>
      <c r="BX43" s="44"/>
      <c r="BY43" s="50"/>
      <c r="BZ43" s="44"/>
      <c r="CA43" s="44"/>
      <c r="CB43" s="44"/>
      <c r="CC43" s="44"/>
      <c r="CD43" s="43">
        <f t="shared" si="1"/>
        <v>0</v>
      </c>
      <c r="CE43" s="44"/>
      <c r="CF43" s="65"/>
      <c r="CG43" s="44"/>
      <c r="CH43" s="44"/>
      <c r="CI43" s="44"/>
      <c r="CJ43" s="47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50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7"/>
      <c r="EA43" s="47"/>
      <c r="EB43" s="47"/>
    </row>
    <row r="44" spans="3:132" s="32" customFormat="1" ht="27.6">
      <c r="C44" s="76">
        <v>44211</v>
      </c>
      <c r="D44" s="34" t="s">
        <v>759</v>
      </c>
      <c r="E44" s="286" t="s">
        <v>763</v>
      </c>
      <c r="F44" s="61">
        <v>0.59097222222222223</v>
      </c>
      <c r="G44" s="61">
        <v>0.59513888888888888</v>
      </c>
      <c r="H44" s="55" t="s">
        <v>0</v>
      </c>
      <c r="I44" s="38">
        <v>1</v>
      </c>
      <c r="J44" s="55">
        <v>734</v>
      </c>
      <c r="K44" s="51" t="str">
        <f>VLOOKUP(J44,'[2]Chart of accounts'!A:H,2,FALSE)</f>
        <v>50103040 01</v>
      </c>
      <c r="L44" s="55"/>
      <c r="M44" s="55"/>
      <c r="N44" s="56"/>
      <c r="O44" s="56"/>
      <c r="P44" s="56"/>
      <c r="Q44" s="53" t="s">
        <v>1</v>
      </c>
      <c r="R44" s="53" t="s">
        <v>1</v>
      </c>
      <c r="S44" s="66" t="s">
        <v>769</v>
      </c>
      <c r="T44" s="58" t="s">
        <v>764</v>
      </c>
      <c r="U44" s="42" t="s">
        <v>762</v>
      </c>
      <c r="V44" s="43">
        <v>1100</v>
      </c>
      <c r="W44" s="52"/>
      <c r="X44" s="43">
        <v>1100</v>
      </c>
      <c r="Y44" s="44">
        <f t="shared" si="2"/>
        <v>0</v>
      </c>
      <c r="Z44" s="45"/>
      <c r="AA44" s="46"/>
      <c r="AB44" s="47"/>
      <c r="AC44" s="47"/>
      <c r="AD44" s="47"/>
      <c r="AE44" s="47"/>
      <c r="AF44" s="47"/>
      <c r="AG44" s="44"/>
      <c r="AH44" s="44"/>
      <c r="AI44" s="44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4"/>
      <c r="BB44" s="44"/>
      <c r="BC44" s="44"/>
      <c r="BD44" s="44"/>
      <c r="BE44" s="43"/>
      <c r="BF44" s="48"/>
      <c r="BH44" s="44"/>
      <c r="BI44" s="44"/>
      <c r="BJ44" s="44"/>
      <c r="BK44" s="44"/>
      <c r="BL44" s="44"/>
      <c r="BM44" s="44"/>
      <c r="BN44" s="44"/>
      <c r="BR44" s="43">
        <v>1100</v>
      </c>
      <c r="BS44" s="44"/>
      <c r="BT44" s="44"/>
      <c r="BU44" s="44"/>
      <c r="BV44" s="43">
        <v>1100</v>
      </c>
      <c r="BW44" s="47"/>
      <c r="BX44" s="44"/>
      <c r="BY44" s="50"/>
      <c r="BZ44" s="44"/>
      <c r="CA44" s="44"/>
      <c r="CB44" s="44"/>
      <c r="CC44" s="44"/>
      <c r="CD44" s="43">
        <f t="shared" ref="CD44:CD62" si="3">SUM(CF44:EB44)-Y44</f>
        <v>0</v>
      </c>
      <c r="CE44" s="44"/>
      <c r="CF44" s="65"/>
      <c r="CG44" s="44"/>
      <c r="CH44" s="44"/>
      <c r="CI44" s="44"/>
      <c r="CJ44" s="47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50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7"/>
      <c r="EA44" s="47"/>
      <c r="EB44" s="47"/>
    </row>
    <row r="45" spans="3:132" s="32" customFormat="1" ht="27.6">
      <c r="C45" s="76">
        <v>44211</v>
      </c>
      <c r="D45" s="34" t="s">
        <v>759</v>
      </c>
      <c r="E45" s="286" t="s">
        <v>766</v>
      </c>
      <c r="F45" s="61">
        <v>0.59861111111111109</v>
      </c>
      <c r="G45" s="61">
        <v>0.6</v>
      </c>
      <c r="H45" s="55" t="s">
        <v>0</v>
      </c>
      <c r="I45" s="38">
        <v>1</v>
      </c>
      <c r="J45" s="39">
        <v>701</v>
      </c>
      <c r="K45" s="51" t="str">
        <f>VLOOKUP(J45,'[2]Chart of accounts'!A:H,2,FALSE)</f>
        <v>50101010 01</v>
      </c>
      <c r="L45" s="39"/>
      <c r="M45" s="39"/>
      <c r="N45" s="34"/>
      <c r="O45" s="34"/>
      <c r="P45" s="34"/>
      <c r="Q45" s="53" t="s">
        <v>1</v>
      </c>
      <c r="R45" s="53" t="s">
        <v>1</v>
      </c>
      <c r="S45" s="41" t="s">
        <v>770</v>
      </c>
      <c r="T45" s="42" t="s">
        <v>765</v>
      </c>
      <c r="U45" s="42" t="s">
        <v>762</v>
      </c>
      <c r="V45" s="43">
        <v>273461</v>
      </c>
      <c r="W45" s="52"/>
      <c r="X45" s="49">
        <v>273461</v>
      </c>
      <c r="Y45" s="44">
        <f t="shared" si="2"/>
        <v>0</v>
      </c>
      <c r="Z45" s="45"/>
      <c r="AA45" s="46"/>
      <c r="AB45" s="47"/>
      <c r="AC45" s="47"/>
      <c r="AD45" s="47"/>
      <c r="AE45" s="47"/>
      <c r="AF45" s="47"/>
      <c r="AG45" s="44"/>
      <c r="AH45" s="44"/>
      <c r="AI45" s="44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4"/>
      <c r="BB45" s="44"/>
      <c r="BC45" s="44"/>
      <c r="BD45" s="44"/>
      <c r="BE45" s="43">
        <v>273461</v>
      </c>
      <c r="BF45" s="48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9"/>
      <c r="BS45" s="44"/>
      <c r="BT45" s="44"/>
      <c r="BU45" s="44"/>
      <c r="BV45" s="43">
        <v>273461</v>
      </c>
      <c r="BW45" s="47"/>
      <c r="BX45" s="44"/>
      <c r="BY45" s="50"/>
      <c r="BZ45" s="44"/>
      <c r="CA45" s="44"/>
      <c r="CB45" s="44"/>
      <c r="CC45" s="44"/>
      <c r="CD45" s="43">
        <f t="shared" si="3"/>
        <v>0</v>
      </c>
      <c r="CE45" s="44"/>
      <c r="CF45" s="65"/>
      <c r="CG45" s="44"/>
      <c r="CH45" s="44"/>
      <c r="CI45" s="44"/>
      <c r="CJ45" s="47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50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7"/>
      <c r="EA45" s="47"/>
      <c r="EB45" s="47"/>
    </row>
    <row r="46" spans="3:132" s="32" customFormat="1" ht="27.6">
      <c r="C46" s="76">
        <v>44211</v>
      </c>
      <c r="D46" s="34" t="s">
        <v>759</v>
      </c>
      <c r="E46" s="286" t="s">
        <v>766</v>
      </c>
      <c r="F46" s="61">
        <v>0.59861111111111109</v>
      </c>
      <c r="G46" s="61">
        <v>0.6</v>
      </c>
      <c r="H46" s="55" t="s">
        <v>0</v>
      </c>
      <c r="I46" s="38">
        <v>1</v>
      </c>
      <c r="J46" s="39">
        <v>711</v>
      </c>
      <c r="K46" s="51" t="str">
        <f>VLOOKUP(J46,'[2]Chart of accounts'!A:H,2,FALSE)</f>
        <v>50102010 01</v>
      </c>
      <c r="L46" s="39"/>
      <c r="M46" s="39"/>
      <c r="N46" s="34"/>
      <c r="O46" s="34"/>
      <c r="P46" s="34"/>
      <c r="Q46" s="53" t="s">
        <v>1</v>
      </c>
      <c r="R46" s="53" t="s">
        <v>1</v>
      </c>
      <c r="S46" s="41" t="s">
        <v>770</v>
      </c>
      <c r="T46" s="42" t="s">
        <v>765</v>
      </c>
      <c r="U46" s="42" t="s">
        <v>762</v>
      </c>
      <c r="V46" s="43">
        <v>14000</v>
      </c>
      <c r="W46" s="52"/>
      <c r="X46" s="49">
        <v>14000</v>
      </c>
      <c r="Y46" s="44">
        <f t="shared" si="2"/>
        <v>0</v>
      </c>
      <c r="Z46" s="45"/>
      <c r="AA46" s="46"/>
      <c r="AB46" s="47"/>
      <c r="AC46" s="47"/>
      <c r="AD46" s="47"/>
      <c r="AE46" s="47"/>
      <c r="AF46" s="47"/>
      <c r="AG46" s="44"/>
      <c r="AH46" s="44"/>
      <c r="AI46" s="44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4"/>
      <c r="BB46" s="44"/>
      <c r="BC46" s="44"/>
      <c r="BD46" s="44"/>
      <c r="BF46" s="48"/>
      <c r="BG46" s="43">
        <v>14000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9"/>
      <c r="BS46" s="44"/>
      <c r="BT46" s="44"/>
      <c r="BU46" s="44"/>
      <c r="BV46" s="43">
        <v>14000</v>
      </c>
      <c r="BW46" s="47"/>
      <c r="BX46" s="44"/>
      <c r="BY46" s="50"/>
      <c r="BZ46" s="44"/>
      <c r="CA46" s="44"/>
      <c r="CB46" s="44"/>
      <c r="CC46" s="44"/>
      <c r="CD46" s="43">
        <f t="shared" si="3"/>
        <v>0</v>
      </c>
      <c r="CE46" s="44"/>
      <c r="CF46" s="65"/>
      <c r="CG46" s="44"/>
      <c r="CH46" s="44"/>
      <c r="CI46" s="44"/>
      <c r="CJ46" s="47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50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7"/>
      <c r="EA46" s="47"/>
      <c r="EB46" s="47"/>
    </row>
    <row r="47" spans="3:132" s="32" customFormat="1" ht="27.6">
      <c r="C47" s="76">
        <v>44211</v>
      </c>
      <c r="D47" s="34" t="s">
        <v>759</v>
      </c>
      <c r="E47" s="286" t="s">
        <v>766</v>
      </c>
      <c r="F47" s="61">
        <v>0.59861111111111109</v>
      </c>
      <c r="G47" s="61">
        <v>0.6</v>
      </c>
      <c r="H47" s="55" t="s">
        <v>0</v>
      </c>
      <c r="I47" s="38">
        <v>1</v>
      </c>
      <c r="J47" s="39">
        <v>731</v>
      </c>
      <c r="K47" s="51" t="str">
        <f>VLOOKUP(J47,'[2]Chart of accounts'!A:H,2,FALSE)</f>
        <v>50103010 00</v>
      </c>
      <c r="L47" s="39"/>
      <c r="M47" s="39"/>
      <c r="N47" s="34"/>
      <c r="O47" s="34"/>
      <c r="P47" s="34"/>
      <c r="Q47" s="53" t="s">
        <v>1</v>
      </c>
      <c r="R47" s="53" t="s">
        <v>1</v>
      </c>
      <c r="S47" s="41" t="s">
        <v>770</v>
      </c>
      <c r="T47" s="42" t="s">
        <v>765</v>
      </c>
      <c r="U47" s="42" t="s">
        <v>762</v>
      </c>
      <c r="V47" s="43">
        <v>32815.32</v>
      </c>
      <c r="W47" s="52"/>
      <c r="X47" s="49">
        <v>32815.32</v>
      </c>
      <c r="Y47" s="44">
        <f t="shared" si="2"/>
        <v>0</v>
      </c>
      <c r="Z47" s="45"/>
      <c r="AA47" s="46"/>
      <c r="AB47" s="47"/>
      <c r="AC47" s="47"/>
      <c r="AD47" s="47"/>
      <c r="AE47" s="47"/>
      <c r="AF47" s="47"/>
      <c r="AG47" s="44"/>
      <c r="AH47" s="44"/>
      <c r="AI47" s="44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4"/>
      <c r="BB47" s="44"/>
      <c r="BC47" s="44"/>
      <c r="BD47" s="44"/>
      <c r="BF47" s="48"/>
      <c r="BH47" s="44"/>
      <c r="BI47" s="44"/>
      <c r="BJ47" s="44"/>
      <c r="BK47" s="44"/>
      <c r="BL47" s="44"/>
      <c r="BM47" s="44"/>
      <c r="BN47" s="44"/>
      <c r="BO47" s="43">
        <v>32815.32</v>
      </c>
      <c r="BP47" s="44"/>
      <c r="BQ47" s="44"/>
      <c r="BR47" s="49"/>
      <c r="BS47" s="44"/>
      <c r="BT47" s="44"/>
      <c r="BU47" s="44"/>
      <c r="BV47" s="43">
        <v>32815.32</v>
      </c>
      <c r="BW47" s="47"/>
      <c r="BX47" s="44"/>
      <c r="BY47" s="50"/>
      <c r="BZ47" s="44"/>
      <c r="CA47" s="44"/>
      <c r="CB47" s="44"/>
      <c r="CC47" s="44"/>
      <c r="CD47" s="43">
        <f t="shared" si="3"/>
        <v>0</v>
      </c>
      <c r="CE47" s="44"/>
      <c r="CF47" s="65"/>
      <c r="CG47" s="44"/>
      <c r="CH47" s="44"/>
      <c r="CI47" s="44"/>
      <c r="CJ47" s="47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50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7"/>
      <c r="EA47" s="47"/>
      <c r="EB47" s="47"/>
    </row>
    <row r="48" spans="3:132" s="32" customFormat="1" ht="27.6">
      <c r="C48" s="76">
        <v>44211</v>
      </c>
      <c r="D48" s="34" t="s">
        <v>759</v>
      </c>
      <c r="E48" s="286" t="s">
        <v>766</v>
      </c>
      <c r="F48" s="61">
        <v>0.59861111111111109</v>
      </c>
      <c r="G48" s="61">
        <v>0.6</v>
      </c>
      <c r="H48" s="55" t="s">
        <v>0</v>
      </c>
      <c r="I48" s="38">
        <v>1</v>
      </c>
      <c r="J48" s="39">
        <v>732</v>
      </c>
      <c r="K48" s="51" t="str">
        <f>VLOOKUP(J48,'[2]Chart of accounts'!A:H,2,FALSE)</f>
        <v>50103020 01</v>
      </c>
      <c r="L48" s="55"/>
      <c r="M48" s="55"/>
      <c r="N48" s="56"/>
      <c r="O48" s="56"/>
      <c r="P48" s="56"/>
      <c r="Q48" s="53" t="s">
        <v>1</v>
      </c>
      <c r="R48" s="53" t="s">
        <v>1</v>
      </c>
      <c r="S48" s="41" t="s">
        <v>770</v>
      </c>
      <c r="T48" s="42" t="s">
        <v>765</v>
      </c>
      <c r="U48" s="42" t="s">
        <v>762</v>
      </c>
      <c r="V48" s="43">
        <v>700</v>
      </c>
      <c r="W48" s="52"/>
      <c r="X48" s="49">
        <v>700</v>
      </c>
      <c r="Y48" s="44">
        <f t="shared" si="2"/>
        <v>0</v>
      </c>
      <c r="Z48" s="45"/>
      <c r="AA48" s="46"/>
      <c r="AB48" s="47"/>
      <c r="AC48" s="47"/>
      <c r="AD48" s="47"/>
      <c r="AE48" s="47"/>
      <c r="AF48" s="47"/>
      <c r="AG48" s="44"/>
      <c r="AH48" s="44"/>
      <c r="AI48" s="44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4"/>
      <c r="BB48" s="44"/>
      <c r="BC48" s="44"/>
      <c r="BD48" s="44"/>
      <c r="BF48" s="48"/>
      <c r="BH48" s="44"/>
      <c r="BI48" s="44"/>
      <c r="BJ48" s="44"/>
      <c r="BK48" s="44"/>
      <c r="BL48" s="44"/>
      <c r="BM48" s="44"/>
      <c r="BN48" s="44"/>
      <c r="BP48" s="43">
        <v>700</v>
      </c>
      <c r="BQ48" s="44"/>
      <c r="BR48" s="49"/>
      <c r="BS48" s="44"/>
      <c r="BT48" s="44"/>
      <c r="BU48" s="44"/>
      <c r="BV48" s="43">
        <v>700</v>
      </c>
      <c r="BW48" s="47"/>
      <c r="BX48" s="44"/>
      <c r="BY48" s="50"/>
      <c r="BZ48" s="44"/>
      <c r="CA48" s="44"/>
      <c r="CB48" s="44"/>
      <c r="CC48" s="44"/>
      <c r="CD48" s="43">
        <f t="shared" si="3"/>
        <v>0</v>
      </c>
      <c r="CE48" s="44"/>
      <c r="CF48" s="65"/>
      <c r="CG48" s="44"/>
      <c r="CH48" s="44"/>
      <c r="CI48" s="44"/>
      <c r="CJ48" s="47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50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7"/>
      <c r="EA48" s="47"/>
      <c r="EB48" s="47"/>
    </row>
    <row r="49" spans="3:132" s="32" customFormat="1" ht="27.6">
      <c r="C49" s="76">
        <v>44211</v>
      </c>
      <c r="D49" s="34" t="s">
        <v>759</v>
      </c>
      <c r="E49" s="286" t="s">
        <v>766</v>
      </c>
      <c r="F49" s="61">
        <v>0.59861111111111109</v>
      </c>
      <c r="G49" s="61">
        <v>0.6</v>
      </c>
      <c r="H49" s="55" t="s">
        <v>0</v>
      </c>
      <c r="I49" s="38">
        <v>1</v>
      </c>
      <c r="J49" s="55">
        <v>733</v>
      </c>
      <c r="K49" s="51" t="str">
        <f>VLOOKUP(J49,'[2]Chart of accounts'!A:H,2,FALSE)</f>
        <v>50103030 01</v>
      </c>
      <c r="L49" s="55"/>
      <c r="M49" s="55"/>
      <c r="N49" s="56"/>
      <c r="O49" s="56"/>
      <c r="P49" s="56"/>
      <c r="Q49" s="53" t="s">
        <v>1</v>
      </c>
      <c r="R49" s="53" t="s">
        <v>1</v>
      </c>
      <c r="S49" s="41" t="s">
        <v>770</v>
      </c>
      <c r="T49" s="42" t="s">
        <v>765</v>
      </c>
      <c r="U49" s="42" t="s">
        <v>762</v>
      </c>
      <c r="V49" s="43">
        <v>3358.03</v>
      </c>
      <c r="W49" s="52"/>
      <c r="X49" s="49">
        <v>3358.03</v>
      </c>
      <c r="Y49" s="44">
        <f t="shared" si="2"/>
        <v>0</v>
      </c>
      <c r="Z49" s="45"/>
      <c r="AA49" s="46"/>
      <c r="AB49" s="47"/>
      <c r="AC49" s="47"/>
      <c r="AD49" s="47"/>
      <c r="AE49" s="47"/>
      <c r="AF49" s="47"/>
      <c r="AG49" s="44"/>
      <c r="AH49" s="44"/>
      <c r="AI49" s="44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4"/>
      <c r="BB49" s="44"/>
      <c r="BC49" s="44"/>
      <c r="BD49" s="44"/>
      <c r="BF49" s="48"/>
      <c r="BH49" s="44"/>
      <c r="BI49" s="44"/>
      <c r="BJ49" s="44"/>
      <c r="BK49" s="44"/>
      <c r="BL49" s="44"/>
      <c r="BM49" s="44"/>
      <c r="BN49" s="44"/>
      <c r="BQ49" s="43">
        <v>3358.03</v>
      </c>
      <c r="BR49" s="49"/>
      <c r="BS49" s="44"/>
      <c r="BT49" s="44"/>
      <c r="BU49" s="44"/>
      <c r="BV49" s="43">
        <v>3358.03</v>
      </c>
      <c r="BW49" s="47"/>
      <c r="BX49" s="44"/>
      <c r="BY49" s="50"/>
      <c r="BZ49" s="44"/>
      <c r="CA49" s="44"/>
      <c r="CB49" s="44"/>
      <c r="CC49" s="44"/>
      <c r="CD49" s="43">
        <f t="shared" si="3"/>
        <v>0</v>
      </c>
      <c r="CE49" s="44"/>
      <c r="CF49" s="65"/>
      <c r="CG49" s="44"/>
      <c r="CH49" s="44"/>
      <c r="CI49" s="44"/>
      <c r="CJ49" s="47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50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7"/>
      <c r="EA49" s="47"/>
      <c r="EB49" s="47"/>
    </row>
    <row r="50" spans="3:132" s="32" customFormat="1" ht="27.6">
      <c r="C50" s="76">
        <v>44211</v>
      </c>
      <c r="D50" s="34" t="s">
        <v>759</v>
      </c>
      <c r="E50" s="286" t="s">
        <v>766</v>
      </c>
      <c r="F50" s="61">
        <v>0.59861111111111109</v>
      </c>
      <c r="G50" s="61">
        <v>0.6</v>
      </c>
      <c r="H50" s="55" t="s">
        <v>0</v>
      </c>
      <c r="I50" s="38">
        <v>1</v>
      </c>
      <c r="J50" s="55">
        <v>734</v>
      </c>
      <c r="K50" s="51" t="str">
        <f>VLOOKUP(J50,'[2]Chart of accounts'!A:H,2,FALSE)</f>
        <v>50103040 01</v>
      </c>
      <c r="L50" s="55"/>
      <c r="M50" s="55"/>
      <c r="N50" s="56"/>
      <c r="O50" s="56"/>
      <c r="P50" s="56"/>
      <c r="Q50" s="53" t="s">
        <v>1</v>
      </c>
      <c r="R50" s="53" t="s">
        <v>1</v>
      </c>
      <c r="S50" s="41" t="s">
        <v>770</v>
      </c>
      <c r="T50" s="42" t="s">
        <v>765</v>
      </c>
      <c r="U50" s="42" t="s">
        <v>762</v>
      </c>
      <c r="V50" s="43">
        <v>700</v>
      </c>
      <c r="W50" s="52"/>
      <c r="X50" s="49">
        <v>700</v>
      </c>
      <c r="Y50" s="44">
        <f t="shared" si="2"/>
        <v>0</v>
      </c>
      <c r="Z50" s="45"/>
      <c r="AA50" s="46"/>
      <c r="AB50" s="47"/>
      <c r="AC50" s="47"/>
      <c r="AD50" s="47"/>
      <c r="AE50" s="47"/>
      <c r="AF50" s="47"/>
      <c r="AG50" s="44"/>
      <c r="AH50" s="44"/>
      <c r="AI50" s="44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4"/>
      <c r="BB50" s="44"/>
      <c r="BC50" s="44"/>
      <c r="BD50" s="44"/>
      <c r="BF50" s="48"/>
      <c r="BH50" s="44"/>
      <c r="BI50" s="44"/>
      <c r="BJ50" s="44"/>
      <c r="BK50" s="44"/>
      <c r="BL50" s="44"/>
      <c r="BM50" s="44"/>
      <c r="BN50" s="44"/>
      <c r="BR50" s="43">
        <v>700</v>
      </c>
      <c r="BS50" s="44"/>
      <c r="BT50" s="44"/>
      <c r="BU50" s="44"/>
      <c r="BV50" s="43">
        <v>700</v>
      </c>
      <c r="BW50" s="47"/>
      <c r="BX50" s="44"/>
      <c r="BY50" s="50"/>
      <c r="BZ50" s="44"/>
      <c r="CA50" s="44"/>
      <c r="CB50" s="44"/>
      <c r="CC50" s="44"/>
      <c r="CD50" s="43">
        <f t="shared" si="3"/>
        <v>0</v>
      </c>
      <c r="CE50" s="44"/>
      <c r="CF50" s="65"/>
      <c r="CG50" s="44"/>
      <c r="CH50" s="44"/>
      <c r="CI50" s="44"/>
      <c r="CJ50" s="47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50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7"/>
      <c r="EA50" s="47"/>
      <c r="EB50" s="47"/>
    </row>
    <row r="51" spans="3:132" s="32" customFormat="1" ht="27.6">
      <c r="C51" s="76">
        <v>44211</v>
      </c>
      <c r="D51" s="34" t="s">
        <v>759</v>
      </c>
      <c r="E51" s="286" t="s">
        <v>767</v>
      </c>
      <c r="F51" s="61">
        <v>0.60069444444444442</v>
      </c>
      <c r="G51" s="61">
        <v>0.6069444444444444</v>
      </c>
      <c r="H51" s="55" t="s">
        <v>0</v>
      </c>
      <c r="I51" s="38">
        <v>1</v>
      </c>
      <c r="J51" s="39">
        <v>701</v>
      </c>
      <c r="K51" s="51" t="str">
        <f>VLOOKUP(J51,'[2]Chart of accounts'!A:H,2,FALSE)</f>
        <v>50101010 01</v>
      </c>
      <c r="L51" s="39"/>
      <c r="M51" s="39"/>
      <c r="N51" s="34"/>
      <c r="O51" s="34"/>
      <c r="P51" s="34"/>
      <c r="Q51" s="53" t="s">
        <v>1</v>
      </c>
      <c r="R51" s="53" t="s">
        <v>1</v>
      </c>
      <c r="S51" s="41" t="s">
        <v>771</v>
      </c>
      <c r="T51" s="42" t="s">
        <v>768</v>
      </c>
      <c r="U51" s="42" t="s">
        <v>762</v>
      </c>
      <c r="V51" s="43">
        <v>565193</v>
      </c>
      <c r="W51" s="52"/>
      <c r="X51" s="49">
        <v>565193</v>
      </c>
      <c r="Y51" s="44">
        <f t="shared" si="2"/>
        <v>0</v>
      </c>
      <c r="Z51" s="45"/>
      <c r="AA51" s="46"/>
      <c r="AB51" s="47"/>
      <c r="AC51" s="47"/>
      <c r="AD51" s="47"/>
      <c r="AE51" s="47"/>
      <c r="AF51" s="47"/>
      <c r="AG51" s="44"/>
      <c r="AH51" s="44"/>
      <c r="AI51" s="44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4"/>
      <c r="BB51" s="44"/>
      <c r="BC51" s="44"/>
      <c r="BD51" s="44"/>
      <c r="BE51" s="43">
        <v>565193</v>
      </c>
      <c r="BF51" s="48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9"/>
      <c r="BS51" s="44"/>
      <c r="BT51" s="44"/>
      <c r="BU51" s="44"/>
      <c r="BV51" s="43">
        <v>565193</v>
      </c>
      <c r="BW51" s="47"/>
      <c r="BX51" s="44"/>
      <c r="BY51" s="50"/>
      <c r="BZ51" s="44"/>
      <c r="CA51" s="44"/>
      <c r="CB51" s="44"/>
      <c r="CC51" s="44"/>
      <c r="CD51" s="43">
        <f t="shared" si="3"/>
        <v>0</v>
      </c>
      <c r="CE51" s="44"/>
      <c r="CF51" s="65"/>
      <c r="CG51" s="44"/>
      <c r="CH51" s="44"/>
      <c r="CI51" s="44"/>
      <c r="CJ51" s="47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50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7"/>
      <c r="EA51" s="47"/>
      <c r="EB51" s="47"/>
    </row>
    <row r="52" spans="3:132" s="32" customFormat="1" ht="27.6">
      <c r="C52" s="76">
        <v>44211</v>
      </c>
      <c r="D52" s="34" t="s">
        <v>759</v>
      </c>
      <c r="E52" s="286" t="s">
        <v>767</v>
      </c>
      <c r="F52" s="61">
        <v>0.60069444444444442</v>
      </c>
      <c r="G52" s="61">
        <v>0.6069444444444444</v>
      </c>
      <c r="H52" s="55" t="s">
        <v>0</v>
      </c>
      <c r="I52" s="38">
        <v>1</v>
      </c>
      <c r="J52" s="39">
        <v>711</v>
      </c>
      <c r="K52" s="51" t="str">
        <f>VLOOKUP(J52,'[2]Chart of accounts'!A:H,2,FALSE)</f>
        <v>50102010 01</v>
      </c>
      <c r="L52" s="39"/>
      <c r="M52" s="39"/>
      <c r="N52" s="34"/>
      <c r="O52" s="34"/>
      <c r="P52" s="34"/>
      <c r="Q52" s="53" t="s">
        <v>1</v>
      </c>
      <c r="R52" s="53" t="s">
        <v>1</v>
      </c>
      <c r="S52" s="41" t="s">
        <v>771</v>
      </c>
      <c r="T52" s="42" t="s">
        <v>768</v>
      </c>
      <c r="U52" s="42" t="s">
        <v>762</v>
      </c>
      <c r="V52" s="43">
        <v>24000</v>
      </c>
      <c r="W52" s="52"/>
      <c r="X52" s="49">
        <v>24000</v>
      </c>
      <c r="Y52" s="44">
        <f t="shared" si="2"/>
        <v>0</v>
      </c>
      <c r="Z52" s="45"/>
      <c r="AA52" s="46"/>
      <c r="AB52" s="47"/>
      <c r="AC52" s="47"/>
      <c r="AD52" s="47"/>
      <c r="AE52" s="47"/>
      <c r="AF52" s="47"/>
      <c r="AG52" s="44"/>
      <c r="AH52" s="44"/>
      <c r="AI52" s="44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4"/>
      <c r="BB52" s="44"/>
      <c r="BC52" s="44"/>
      <c r="BD52" s="44"/>
      <c r="BF52" s="48"/>
      <c r="BG52" s="43">
        <v>24000</v>
      </c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9"/>
      <c r="BS52" s="44"/>
      <c r="BT52" s="44"/>
      <c r="BU52" s="44"/>
      <c r="BV52" s="43">
        <v>24000</v>
      </c>
      <c r="BW52" s="47"/>
      <c r="BX52" s="44"/>
      <c r="BY52" s="50"/>
      <c r="BZ52" s="44"/>
      <c r="CA52" s="44"/>
      <c r="CB52" s="44"/>
      <c r="CC52" s="44"/>
      <c r="CD52" s="43">
        <f t="shared" si="3"/>
        <v>0</v>
      </c>
      <c r="CE52" s="44"/>
      <c r="CF52" s="65"/>
      <c r="CG52" s="44"/>
      <c r="CH52" s="44"/>
      <c r="CI52" s="44"/>
      <c r="CJ52" s="47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50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7"/>
      <c r="EA52" s="47"/>
      <c r="EB52" s="47"/>
    </row>
    <row r="53" spans="3:132" s="32" customFormat="1" ht="27.6">
      <c r="C53" s="76">
        <v>44211</v>
      </c>
      <c r="D53" s="34" t="s">
        <v>759</v>
      </c>
      <c r="E53" s="286" t="s">
        <v>767</v>
      </c>
      <c r="F53" s="61">
        <v>0.60069444444444442</v>
      </c>
      <c r="G53" s="61">
        <v>0.6069444444444444</v>
      </c>
      <c r="H53" s="55" t="s">
        <v>0</v>
      </c>
      <c r="I53" s="38">
        <v>1</v>
      </c>
      <c r="J53" s="39">
        <v>731</v>
      </c>
      <c r="K53" s="51" t="str">
        <f>VLOOKUP(J53,'[2]Chart of accounts'!A:H,2,FALSE)</f>
        <v>50103010 00</v>
      </c>
      <c r="L53" s="39"/>
      <c r="M53" s="39"/>
      <c r="N53" s="34"/>
      <c r="O53" s="34"/>
      <c r="P53" s="34"/>
      <c r="Q53" s="53" t="s">
        <v>1</v>
      </c>
      <c r="R53" s="53" t="s">
        <v>1</v>
      </c>
      <c r="S53" s="41" t="s">
        <v>771</v>
      </c>
      <c r="T53" s="42" t="s">
        <v>768</v>
      </c>
      <c r="U53" s="42" t="s">
        <v>762</v>
      </c>
      <c r="V53" s="43">
        <v>67823.16</v>
      </c>
      <c r="W53" s="52"/>
      <c r="X53" s="49">
        <v>67823.16</v>
      </c>
      <c r="Y53" s="44">
        <f t="shared" si="2"/>
        <v>0</v>
      </c>
      <c r="Z53" s="45"/>
      <c r="AA53" s="46"/>
      <c r="AB53" s="47"/>
      <c r="AC53" s="47"/>
      <c r="AD53" s="47"/>
      <c r="AE53" s="47"/>
      <c r="AF53" s="47"/>
      <c r="AG53" s="44"/>
      <c r="AH53" s="44"/>
      <c r="AI53" s="44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4"/>
      <c r="BB53" s="44"/>
      <c r="BC53" s="44"/>
      <c r="BD53" s="44"/>
      <c r="BF53" s="48"/>
      <c r="BG53" s="44"/>
      <c r="BH53" s="44"/>
      <c r="BI53" s="44"/>
      <c r="BJ53" s="44"/>
      <c r="BK53" s="44"/>
      <c r="BL53" s="44"/>
      <c r="BM53" s="44"/>
      <c r="BN53" s="44"/>
      <c r="BO53" s="43">
        <v>67823.16</v>
      </c>
      <c r="BP53" s="44"/>
      <c r="BQ53" s="44"/>
      <c r="BR53" s="49"/>
      <c r="BS53" s="44"/>
      <c r="BT53" s="44"/>
      <c r="BU53" s="44"/>
      <c r="BV53" s="43">
        <v>67823.16</v>
      </c>
      <c r="BW53" s="47"/>
      <c r="BX53" s="44"/>
      <c r="BY53" s="50"/>
      <c r="BZ53" s="44"/>
      <c r="CA53" s="44"/>
      <c r="CB53" s="44"/>
      <c r="CC53" s="44"/>
      <c r="CD53" s="43">
        <f t="shared" si="3"/>
        <v>0</v>
      </c>
      <c r="CE53" s="44"/>
      <c r="CF53" s="65"/>
      <c r="CG53" s="44"/>
      <c r="CH53" s="44"/>
      <c r="CI53" s="44"/>
      <c r="CJ53" s="47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50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7"/>
      <c r="EA53" s="47"/>
      <c r="EB53" s="47"/>
    </row>
    <row r="54" spans="3:132" s="32" customFormat="1" ht="27.6">
      <c r="C54" s="76">
        <v>44211</v>
      </c>
      <c r="D54" s="34" t="s">
        <v>759</v>
      </c>
      <c r="E54" s="286" t="s">
        <v>767</v>
      </c>
      <c r="F54" s="61">
        <v>0.60069444444444442</v>
      </c>
      <c r="G54" s="61">
        <v>0.6069444444444444</v>
      </c>
      <c r="H54" s="55" t="s">
        <v>0</v>
      </c>
      <c r="I54" s="38">
        <v>1</v>
      </c>
      <c r="J54" s="39">
        <v>732</v>
      </c>
      <c r="K54" s="51" t="str">
        <f>VLOOKUP(J54,'[2]Chart of accounts'!A:H,2,FALSE)</f>
        <v>50103020 01</v>
      </c>
      <c r="L54" s="55"/>
      <c r="M54" s="55"/>
      <c r="N54" s="56"/>
      <c r="O54" s="56"/>
      <c r="P54" s="56"/>
      <c r="Q54" s="53" t="s">
        <v>1</v>
      </c>
      <c r="R54" s="53" t="s">
        <v>1</v>
      </c>
      <c r="S54" s="41" t="s">
        <v>771</v>
      </c>
      <c r="T54" s="42" t="s">
        <v>768</v>
      </c>
      <c r="U54" s="42" t="s">
        <v>762</v>
      </c>
      <c r="V54" s="43">
        <v>1200</v>
      </c>
      <c r="W54" s="52"/>
      <c r="X54" s="49">
        <v>1200</v>
      </c>
      <c r="Y54" s="44">
        <f t="shared" si="2"/>
        <v>0</v>
      </c>
      <c r="Z54" s="45"/>
      <c r="AA54" s="46"/>
      <c r="AB54" s="47"/>
      <c r="AC54" s="47"/>
      <c r="AD54" s="47"/>
      <c r="AE54" s="47"/>
      <c r="AF54" s="47"/>
      <c r="AG54" s="44"/>
      <c r="AH54" s="44"/>
      <c r="AI54" s="44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4"/>
      <c r="BB54" s="44"/>
      <c r="BC54" s="44"/>
      <c r="BD54" s="44"/>
      <c r="BF54" s="48"/>
      <c r="BG54" s="44"/>
      <c r="BH54" s="44"/>
      <c r="BI54" s="44"/>
      <c r="BJ54" s="44"/>
      <c r="BK54" s="44"/>
      <c r="BL54" s="44"/>
      <c r="BM54" s="44"/>
      <c r="BN54" s="44"/>
      <c r="BP54" s="43">
        <v>1200</v>
      </c>
      <c r="BQ54" s="44"/>
      <c r="BR54" s="49"/>
      <c r="BS54" s="44"/>
      <c r="BT54" s="44"/>
      <c r="BU54" s="44"/>
      <c r="BV54" s="43">
        <v>1200</v>
      </c>
      <c r="BW54" s="47"/>
      <c r="BX54" s="44"/>
      <c r="BY54" s="50"/>
      <c r="BZ54" s="44"/>
      <c r="CA54" s="44"/>
      <c r="CB54" s="44"/>
      <c r="CC54" s="44"/>
      <c r="CD54" s="43">
        <f t="shared" si="3"/>
        <v>0</v>
      </c>
      <c r="CE54" s="44"/>
      <c r="CF54" s="65"/>
      <c r="CG54" s="44"/>
      <c r="CH54" s="44"/>
      <c r="CI54" s="44"/>
      <c r="CJ54" s="47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50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7"/>
      <c r="EA54" s="47"/>
      <c r="EB54" s="47"/>
    </row>
    <row r="55" spans="3:132" s="32" customFormat="1" ht="27.6">
      <c r="C55" s="76">
        <v>44211</v>
      </c>
      <c r="D55" s="34" t="s">
        <v>759</v>
      </c>
      <c r="E55" s="286" t="s">
        <v>767</v>
      </c>
      <c r="F55" s="61">
        <v>0.60069444444444442</v>
      </c>
      <c r="G55" s="61">
        <v>0.6069444444444444</v>
      </c>
      <c r="H55" s="55" t="s">
        <v>0</v>
      </c>
      <c r="I55" s="38">
        <v>1</v>
      </c>
      <c r="J55" s="55">
        <v>733</v>
      </c>
      <c r="K55" s="51" t="str">
        <f>VLOOKUP(J55,'[2]Chart of accounts'!A:H,2,FALSE)</f>
        <v>50103030 01</v>
      </c>
      <c r="L55" s="55"/>
      <c r="M55" s="55"/>
      <c r="N55" s="56"/>
      <c r="O55" s="56"/>
      <c r="P55" s="56"/>
      <c r="Q55" s="53" t="s">
        <v>1</v>
      </c>
      <c r="R55" s="53" t="s">
        <v>1</v>
      </c>
      <c r="S55" s="41" t="s">
        <v>771</v>
      </c>
      <c r="T55" s="42" t="s">
        <v>768</v>
      </c>
      <c r="U55" s="42" t="s">
        <v>762</v>
      </c>
      <c r="V55" s="43">
        <v>7357.93</v>
      </c>
      <c r="W55" s="52"/>
      <c r="X55" s="49">
        <v>7357.93</v>
      </c>
      <c r="Y55" s="44">
        <f t="shared" si="2"/>
        <v>0</v>
      </c>
      <c r="Z55" s="45"/>
      <c r="AA55" s="46"/>
      <c r="AB55" s="47"/>
      <c r="AC55" s="47"/>
      <c r="AD55" s="47"/>
      <c r="AE55" s="47"/>
      <c r="AF55" s="47"/>
      <c r="AG55" s="44"/>
      <c r="AH55" s="44"/>
      <c r="AI55" s="44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4"/>
      <c r="BB55" s="44"/>
      <c r="BC55" s="44"/>
      <c r="BD55" s="44"/>
      <c r="BF55" s="48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3">
        <v>7357.93</v>
      </c>
      <c r="BS55" s="44"/>
      <c r="BT55" s="44"/>
      <c r="BU55" s="44"/>
      <c r="BV55" s="43">
        <v>7357.93</v>
      </c>
      <c r="BW55" s="47"/>
      <c r="BX55" s="44"/>
      <c r="BY55" s="50"/>
      <c r="BZ55" s="44"/>
      <c r="CA55" s="44"/>
      <c r="CB55" s="44"/>
      <c r="CC55" s="44"/>
      <c r="CD55" s="43">
        <f t="shared" si="3"/>
        <v>0</v>
      </c>
      <c r="CE55" s="44"/>
      <c r="CF55" s="65"/>
      <c r="CG55" s="44"/>
      <c r="CH55" s="44"/>
      <c r="CI55" s="44"/>
      <c r="CJ55" s="47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50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7"/>
      <c r="EA55" s="47"/>
      <c r="EB55" s="47"/>
    </row>
    <row r="56" spans="3:132" s="32" customFormat="1" ht="27.6">
      <c r="C56" s="76">
        <v>44211</v>
      </c>
      <c r="D56" s="34" t="s">
        <v>759</v>
      </c>
      <c r="E56" s="286" t="s">
        <v>767</v>
      </c>
      <c r="F56" s="61">
        <v>0.60069444444444442</v>
      </c>
      <c r="G56" s="61">
        <v>0.6069444444444444</v>
      </c>
      <c r="H56" s="55" t="s">
        <v>0</v>
      </c>
      <c r="I56" s="38">
        <v>1</v>
      </c>
      <c r="J56" s="55">
        <v>734</v>
      </c>
      <c r="K56" s="51" t="str">
        <f>VLOOKUP(J56,'[2]Chart of accounts'!A:H,2,FALSE)</f>
        <v>50103040 01</v>
      </c>
      <c r="L56" s="55"/>
      <c r="M56" s="55"/>
      <c r="N56" s="56"/>
      <c r="O56" s="56"/>
      <c r="P56" s="56"/>
      <c r="Q56" s="53" t="s">
        <v>1</v>
      </c>
      <c r="R56" s="53" t="s">
        <v>1</v>
      </c>
      <c r="S56" s="41" t="s">
        <v>771</v>
      </c>
      <c r="T56" s="42" t="s">
        <v>768</v>
      </c>
      <c r="U56" s="42" t="s">
        <v>762</v>
      </c>
      <c r="V56" s="43">
        <v>1200</v>
      </c>
      <c r="W56" s="52"/>
      <c r="X56" s="49">
        <v>1200</v>
      </c>
      <c r="Y56" s="44">
        <f t="shared" si="2"/>
        <v>0</v>
      </c>
      <c r="Z56" s="45"/>
      <c r="AA56" s="46"/>
      <c r="AB56" s="47"/>
      <c r="AC56" s="47"/>
      <c r="AD56" s="47"/>
      <c r="AE56" s="47"/>
      <c r="AF56" s="47"/>
      <c r="AG56" s="44"/>
      <c r="AH56" s="44"/>
      <c r="AI56" s="44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4"/>
      <c r="BB56" s="44"/>
      <c r="BC56" s="44"/>
      <c r="BD56" s="44"/>
      <c r="BF56" s="48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R56" s="43">
        <v>1200</v>
      </c>
      <c r="BS56" s="44"/>
      <c r="BT56" s="44"/>
      <c r="BU56" s="44"/>
      <c r="BV56" s="43">
        <v>1200</v>
      </c>
      <c r="BW56" s="47"/>
      <c r="BX56" s="44"/>
      <c r="BY56" s="50"/>
      <c r="BZ56" s="44"/>
      <c r="CA56" s="44"/>
      <c r="CB56" s="44"/>
      <c r="CC56" s="44"/>
      <c r="CD56" s="43">
        <f t="shared" si="3"/>
        <v>0</v>
      </c>
      <c r="CE56" s="44"/>
      <c r="CF56" s="65"/>
      <c r="CG56" s="44"/>
      <c r="CH56" s="44"/>
      <c r="CI56" s="44"/>
      <c r="CJ56" s="47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50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7"/>
      <c r="EA56" s="47"/>
      <c r="EB56" s="47"/>
    </row>
    <row r="57" spans="3:132" s="32" customFormat="1">
      <c r="C57" s="76">
        <v>44214</v>
      </c>
      <c r="D57" s="34" t="s">
        <v>759</v>
      </c>
      <c r="E57" s="286" t="s">
        <v>772</v>
      </c>
      <c r="F57" s="36">
        <v>0.38958333333333334</v>
      </c>
      <c r="G57" s="36">
        <v>0.39444444444444443</v>
      </c>
      <c r="H57" s="55" t="s">
        <v>0</v>
      </c>
      <c r="I57" s="38">
        <v>2</v>
      </c>
      <c r="J57" s="39">
        <v>755</v>
      </c>
      <c r="K57" s="39" t="str">
        <f>VLOOKUP(J57,'[3]Chart of accounts'!A:H,2,FALSE)</f>
        <v>50203010 00</v>
      </c>
      <c r="L57" s="39"/>
      <c r="M57" s="39"/>
      <c r="N57" s="34"/>
      <c r="O57" s="34"/>
      <c r="P57" s="34"/>
      <c r="Q57" s="40" t="s">
        <v>3</v>
      </c>
      <c r="R57" s="40" t="s">
        <v>3</v>
      </c>
      <c r="S57" s="78" t="s">
        <v>2</v>
      </c>
      <c r="T57" s="42" t="s">
        <v>773</v>
      </c>
      <c r="U57" s="42" t="s">
        <v>774</v>
      </c>
      <c r="V57" s="47">
        <v>1000</v>
      </c>
      <c r="W57" s="52"/>
      <c r="X57" s="49"/>
      <c r="Y57" s="44">
        <f t="shared" si="2"/>
        <v>1000</v>
      </c>
      <c r="Z57" s="45"/>
      <c r="AA57" s="46"/>
      <c r="AB57" s="47"/>
      <c r="AC57" s="47"/>
      <c r="AD57" s="47"/>
      <c r="AE57" s="47"/>
      <c r="AF57" s="47"/>
      <c r="AG57" s="44"/>
      <c r="AH57" s="44"/>
      <c r="AI57" s="44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4"/>
      <c r="BB57" s="44"/>
      <c r="BC57" s="44"/>
      <c r="BD57" s="44"/>
      <c r="BE57" s="44"/>
      <c r="BF57" s="48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9"/>
      <c r="BS57" s="44"/>
      <c r="BT57" s="44"/>
      <c r="BU57" s="44"/>
      <c r="BV57" s="47">
        <v>1000</v>
      </c>
      <c r="BW57" s="47"/>
      <c r="BX57" s="44"/>
      <c r="BY57" s="50"/>
      <c r="BZ57" s="44"/>
      <c r="CA57" s="44"/>
      <c r="CB57" s="44"/>
      <c r="CC57" s="44"/>
      <c r="CD57" s="43">
        <f t="shared" si="3"/>
        <v>0</v>
      </c>
      <c r="CE57" s="44"/>
      <c r="CF57" s="65"/>
      <c r="CG57" s="44"/>
      <c r="CH57" s="44"/>
      <c r="CI57" s="44"/>
      <c r="CJ57" s="47">
        <v>1000</v>
      </c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50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7"/>
      <c r="EA57" s="47"/>
      <c r="EB57" s="47"/>
    </row>
    <row r="58" spans="3:132" s="32" customFormat="1">
      <c r="C58" s="76">
        <v>44214</v>
      </c>
      <c r="D58" s="34" t="s">
        <v>759</v>
      </c>
      <c r="E58" s="286" t="s">
        <v>772</v>
      </c>
      <c r="F58" s="36">
        <v>0.38958333333333334</v>
      </c>
      <c r="G58" s="36">
        <v>0.39444444444444443</v>
      </c>
      <c r="H58" s="55" t="s">
        <v>0</v>
      </c>
      <c r="I58" s="38">
        <v>2</v>
      </c>
      <c r="J58" s="39">
        <v>765</v>
      </c>
      <c r="K58" s="39" t="str">
        <f>VLOOKUP(J58,'[3]Chart of accounts'!A:H,2,FALSE)</f>
        <v>50203990 00</v>
      </c>
      <c r="L58" s="39"/>
      <c r="M58" s="39"/>
      <c r="N58" s="34"/>
      <c r="O58" s="34"/>
      <c r="P58" s="34"/>
      <c r="Q58" s="40" t="s">
        <v>3</v>
      </c>
      <c r="R58" s="40" t="s">
        <v>3</v>
      </c>
      <c r="S58" s="78" t="s">
        <v>2</v>
      </c>
      <c r="T58" s="42" t="s">
        <v>773</v>
      </c>
      <c r="U58" s="42" t="s">
        <v>774</v>
      </c>
      <c r="V58" s="47">
        <v>600</v>
      </c>
      <c r="W58" s="52"/>
      <c r="X58" s="49"/>
      <c r="Y58" s="44">
        <f t="shared" si="2"/>
        <v>600</v>
      </c>
      <c r="Z58" s="45"/>
      <c r="AA58" s="46"/>
      <c r="AB58" s="47"/>
      <c r="AC58" s="47"/>
      <c r="AD58" s="47"/>
      <c r="AE58" s="47"/>
      <c r="AF58" s="47"/>
      <c r="AG58" s="44"/>
      <c r="AH58" s="44"/>
      <c r="AI58" s="44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4"/>
      <c r="BB58" s="44"/>
      <c r="BC58" s="44"/>
      <c r="BD58" s="44"/>
      <c r="BE58" s="44"/>
      <c r="BF58" s="48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9"/>
      <c r="BS58" s="44"/>
      <c r="BT58" s="44"/>
      <c r="BU58" s="44"/>
      <c r="BV58" s="47">
        <v>600</v>
      </c>
      <c r="BW58" s="47"/>
      <c r="BX58" s="44"/>
      <c r="BY58" s="50"/>
      <c r="BZ58" s="44"/>
      <c r="CA58" s="44"/>
      <c r="CB58" s="44"/>
      <c r="CC58" s="44"/>
      <c r="CD58" s="43">
        <f t="shared" si="3"/>
        <v>0</v>
      </c>
      <c r="CE58" s="44"/>
      <c r="CF58" s="65"/>
      <c r="CG58" s="44"/>
      <c r="CH58" s="44"/>
      <c r="CI58" s="44"/>
      <c r="CK58" s="44"/>
      <c r="CL58" s="44"/>
      <c r="CM58" s="47">
        <v>600</v>
      </c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50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7"/>
      <c r="EA58" s="47"/>
      <c r="EB58" s="47"/>
    </row>
    <row r="59" spans="3:132" s="32" customFormat="1">
      <c r="C59" s="76">
        <v>44214</v>
      </c>
      <c r="D59" s="34" t="s">
        <v>759</v>
      </c>
      <c r="E59" s="286" t="s">
        <v>772</v>
      </c>
      <c r="F59" s="36">
        <v>0.38958333333333334</v>
      </c>
      <c r="G59" s="36">
        <v>0.39444444444444443</v>
      </c>
      <c r="H59" s="55" t="s">
        <v>0</v>
      </c>
      <c r="I59" s="38">
        <v>2</v>
      </c>
      <c r="J59" s="39">
        <v>781</v>
      </c>
      <c r="K59" s="39" t="str">
        <f>VLOOKUP(J59,'[3]Chart of accounts'!A:H,2,FALSE)</f>
        <v>50299020 00</v>
      </c>
      <c r="L59" s="39"/>
      <c r="M59" s="39"/>
      <c r="N59" s="34"/>
      <c r="O59" s="34"/>
      <c r="P59" s="34"/>
      <c r="Q59" s="40" t="s">
        <v>3</v>
      </c>
      <c r="R59" s="40" t="s">
        <v>3</v>
      </c>
      <c r="S59" s="78" t="s">
        <v>2</v>
      </c>
      <c r="T59" s="42" t="s">
        <v>773</v>
      </c>
      <c r="U59" s="42" t="s">
        <v>774</v>
      </c>
      <c r="V59" s="47">
        <v>300</v>
      </c>
      <c r="W59" s="52"/>
      <c r="X59" s="49"/>
      <c r="Y59" s="44">
        <f t="shared" si="2"/>
        <v>300</v>
      </c>
      <c r="Z59" s="45"/>
      <c r="AA59" s="46"/>
      <c r="AB59" s="47"/>
      <c r="AC59" s="47"/>
      <c r="AD59" s="47"/>
      <c r="AE59" s="47"/>
      <c r="AF59" s="47"/>
      <c r="AG59" s="44"/>
      <c r="AH59" s="44"/>
      <c r="AI59" s="44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4"/>
      <c r="BB59" s="44"/>
      <c r="BC59" s="44"/>
      <c r="BD59" s="44"/>
      <c r="BE59" s="44"/>
      <c r="BF59" s="48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9"/>
      <c r="BS59" s="44"/>
      <c r="BT59" s="44"/>
      <c r="BU59" s="44"/>
      <c r="BV59" s="47">
        <v>300</v>
      </c>
      <c r="BW59" s="47"/>
      <c r="BX59" s="44"/>
      <c r="BY59" s="50"/>
      <c r="BZ59" s="44"/>
      <c r="CA59" s="44"/>
      <c r="CB59" s="44"/>
      <c r="CC59" s="44"/>
      <c r="CD59" s="43">
        <f t="shared" si="3"/>
        <v>0</v>
      </c>
      <c r="CE59" s="44"/>
      <c r="CF59" s="65"/>
      <c r="CG59" s="44"/>
      <c r="CH59" s="44"/>
      <c r="CI59" s="44"/>
      <c r="CK59" s="44"/>
      <c r="CL59" s="44"/>
      <c r="CN59" s="44"/>
      <c r="CO59" s="44"/>
      <c r="CP59" s="44"/>
      <c r="CQ59" s="44"/>
      <c r="CR59" s="44"/>
      <c r="CS59" s="44"/>
      <c r="CT59" s="44"/>
      <c r="CU59" s="44"/>
      <c r="CV59" s="44"/>
      <c r="CW59" s="47">
        <v>300</v>
      </c>
      <c r="CX59" s="44"/>
      <c r="CY59" s="44"/>
      <c r="CZ59" s="50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7"/>
      <c r="EA59" s="47"/>
      <c r="EB59" s="47"/>
    </row>
    <row r="60" spans="3:132" s="32" customFormat="1">
      <c r="C60" s="76">
        <v>44214</v>
      </c>
      <c r="D60" s="34" t="s">
        <v>759</v>
      </c>
      <c r="E60" s="286" t="s">
        <v>772</v>
      </c>
      <c r="F60" s="36">
        <v>0.38958333333333334</v>
      </c>
      <c r="G60" s="36">
        <v>0.39444444444444443</v>
      </c>
      <c r="H60" s="55" t="s">
        <v>0</v>
      </c>
      <c r="I60" s="38">
        <v>2</v>
      </c>
      <c r="J60" s="39">
        <v>795</v>
      </c>
      <c r="K60" s="39" t="str">
        <f>VLOOKUP(J60,'[3]Chart of accounts'!A:H,2,FALSE)</f>
        <v>50212990 00</v>
      </c>
      <c r="L60" s="39"/>
      <c r="M60" s="39"/>
      <c r="N60" s="34"/>
      <c r="O60" s="34"/>
      <c r="P60" s="34"/>
      <c r="Q60" s="40" t="s">
        <v>3</v>
      </c>
      <c r="R60" s="40" t="s">
        <v>3</v>
      </c>
      <c r="S60" s="78" t="s">
        <v>2</v>
      </c>
      <c r="T60" s="42" t="s">
        <v>773</v>
      </c>
      <c r="U60" s="42" t="s">
        <v>774</v>
      </c>
      <c r="V60" s="47">
        <v>1500</v>
      </c>
      <c r="W60" s="52"/>
      <c r="X60" s="49"/>
      <c r="Y60" s="44">
        <f t="shared" si="2"/>
        <v>1500</v>
      </c>
      <c r="Z60" s="45"/>
      <c r="AA60" s="46"/>
      <c r="AB60" s="47"/>
      <c r="AC60" s="47"/>
      <c r="AD60" s="47"/>
      <c r="AE60" s="47"/>
      <c r="AF60" s="47"/>
      <c r="AG60" s="44"/>
      <c r="AH60" s="44"/>
      <c r="AI60" s="44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4"/>
      <c r="BB60" s="44"/>
      <c r="BC60" s="44"/>
      <c r="BD60" s="44"/>
      <c r="BE60" s="44"/>
      <c r="BF60" s="48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9"/>
      <c r="BS60" s="44"/>
      <c r="BT60" s="44"/>
      <c r="BU60" s="44"/>
      <c r="BV60" s="47">
        <v>1500</v>
      </c>
      <c r="BW60" s="47"/>
      <c r="BX60" s="44"/>
      <c r="BY60" s="50"/>
      <c r="BZ60" s="44"/>
      <c r="CA60" s="44"/>
      <c r="CB60" s="44"/>
      <c r="CC60" s="44"/>
      <c r="CD60" s="43">
        <f t="shared" si="3"/>
        <v>0</v>
      </c>
      <c r="CE60" s="44"/>
      <c r="CF60" s="65"/>
      <c r="CG60" s="44"/>
      <c r="CH60" s="44"/>
      <c r="CI60" s="44"/>
      <c r="CK60" s="44"/>
      <c r="CL60" s="44"/>
      <c r="CN60" s="44"/>
      <c r="CO60" s="44"/>
      <c r="CP60" s="44"/>
      <c r="CQ60" s="44"/>
      <c r="CR60" s="44"/>
      <c r="CS60" s="44"/>
      <c r="CT60" s="44"/>
      <c r="CU60" s="44"/>
      <c r="CV60" s="44"/>
      <c r="CX60" s="44"/>
      <c r="CY60" s="44"/>
      <c r="CZ60" s="50"/>
      <c r="DA60" s="44"/>
      <c r="DB60" s="44"/>
      <c r="DC60" s="44"/>
      <c r="DD60" s="44"/>
      <c r="DE60" s="44"/>
      <c r="DF60" s="44"/>
      <c r="DG60" s="47">
        <v>1500</v>
      </c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7"/>
      <c r="EA60" s="47"/>
      <c r="EB60" s="47"/>
    </row>
    <row r="61" spans="3:132" s="32" customFormat="1">
      <c r="C61" s="76">
        <v>44214</v>
      </c>
      <c r="D61" s="34" t="s">
        <v>759</v>
      </c>
      <c r="E61" s="286" t="s">
        <v>772</v>
      </c>
      <c r="F61" s="36">
        <v>0.38958333333333334</v>
      </c>
      <c r="G61" s="36">
        <v>0.39444444444444443</v>
      </c>
      <c r="H61" s="55" t="s">
        <v>0</v>
      </c>
      <c r="I61" s="38">
        <v>2</v>
      </c>
      <c r="J61" s="39">
        <v>799</v>
      </c>
      <c r="K61" s="39" t="str">
        <f>VLOOKUP(J61,'[3]Chart of accounts'!A:H,2,FALSE)</f>
        <v>50211990 00</v>
      </c>
      <c r="L61" s="39"/>
      <c r="M61" s="39"/>
      <c r="N61" s="34"/>
      <c r="O61" s="34"/>
      <c r="P61" s="34"/>
      <c r="Q61" s="40" t="s">
        <v>3</v>
      </c>
      <c r="R61" s="40" t="s">
        <v>3</v>
      </c>
      <c r="S61" s="78" t="s">
        <v>2</v>
      </c>
      <c r="T61" s="42" t="s">
        <v>773</v>
      </c>
      <c r="U61" s="42" t="s">
        <v>774</v>
      </c>
      <c r="V61" s="44">
        <v>1000</v>
      </c>
      <c r="W61" s="52"/>
      <c r="X61" s="49"/>
      <c r="Y61" s="44">
        <f t="shared" si="2"/>
        <v>1000</v>
      </c>
      <c r="Z61" s="45"/>
      <c r="AA61" s="46"/>
      <c r="AB61" s="47"/>
      <c r="AC61" s="47"/>
      <c r="AD61" s="47"/>
      <c r="AE61" s="47"/>
      <c r="AF61" s="47"/>
      <c r="AG61" s="44"/>
      <c r="AH61" s="44"/>
      <c r="AI61" s="44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4"/>
      <c r="BB61" s="44"/>
      <c r="BC61" s="44"/>
      <c r="BD61" s="44"/>
      <c r="BE61" s="44"/>
      <c r="BF61" s="48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9"/>
      <c r="BS61" s="44"/>
      <c r="BT61" s="44"/>
      <c r="BU61" s="44"/>
      <c r="BV61" s="44">
        <v>1000</v>
      </c>
      <c r="BW61" s="47"/>
      <c r="BX61" s="44"/>
      <c r="BY61" s="50"/>
      <c r="BZ61" s="44"/>
      <c r="CA61" s="44"/>
      <c r="CB61" s="44"/>
      <c r="CC61" s="44"/>
      <c r="CD61" s="43">
        <f t="shared" si="3"/>
        <v>0</v>
      </c>
      <c r="CE61" s="44"/>
      <c r="CF61" s="65"/>
      <c r="CG61" s="44"/>
      <c r="CH61" s="44"/>
      <c r="CI61" s="44"/>
      <c r="CK61" s="44"/>
      <c r="CL61" s="44"/>
      <c r="CN61" s="44"/>
      <c r="CO61" s="44"/>
      <c r="CP61" s="44"/>
      <c r="CQ61" s="44"/>
      <c r="CR61" s="44"/>
      <c r="CS61" s="44"/>
      <c r="CT61" s="44"/>
      <c r="CU61" s="44"/>
      <c r="CV61" s="44"/>
      <c r="CX61" s="44"/>
      <c r="CY61" s="44"/>
      <c r="CZ61" s="50"/>
      <c r="DA61" s="44"/>
      <c r="DB61" s="44"/>
      <c r="DC61" s="44"/>
      <c r="DD61" s="44"/>
      <c r="DE61" s="44"/>
      <c r="DF61" s="44"/>
      <c r="DH61" s="44"/>
      <c r="DI61" s="44"/>
      <c r="DJ61" s="44">
        <v>1000</v>
      </c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7"/>
      <c r="EA61" s="47"/>
      <c r="EB61" s="47"/>
    </row>
    <row r="62" spans="3:132" s="32" customFormat="1">
      <c r="C62" s="76">
        <v>44214</v>
      </c>
      <c r="D62" s="34" t="s">
        <v>759</v>
      </c>
      <c r="E62" s="286" t="s">
        <v>772</v>
      </c>
      <c r="F62" s="36">
        <v>0.38958333333333334</v>
      </c>
      <c r="G62" s="36">
        <v>0.39444444444444443</v>
      </c>
      <c r="H62" s="55" t="s">
        <v>0</v>
      </c>
      <c r="I62" s="38">
        <v>2</v>
      </c>
      <c r="J62" s="39">
        <v>969</v>
      </c>
      <c r="K62" s="39" t="str">
        <f>VLOOKUP(J62,'[3]Chart of accounts'!A:H,2,FALSE)</f>
        <v>50299990 99</v>
      </c>
      <c r="L62" s="39"/>
      <c r="M62" s="39"/>
      <c r="N62" s="34"/>
      <c r="O62" s="34"/>
      <c r="P62" s="34"/>
      <c r="Q62" s="40" t="s">
        <v>3</v>
      </c>
      <c r="R62" s="40" t="s">
        <v>3</v>
      </c>
      <c r="S62" s="78" t="s">
        <v>2</v>
      </c>
      <c r="T62" s="42" t="s">
        <v>773</v>
      </c>
      <c r="U62" s="42" t="s">
        <v>774</v>
      </c>
      <c r="V62" s="44">
        <v>600</v>
      </c>
      <c r="W62" s="52"/>
      <c r="X62" s="49"/>
      <c r="Y62" s="44">
        <f t="shared" si="2"/>
        <v>600</v>
      </c>
      <c r="Z62" s="45"/>
      <c r="AA62" s="46"/>
      <c r="AB62" s="47"/>
      <c r="AC62" s="47"/>
      <c r="AD62" s="47"/>
      <c r="AE62" s="47"/>
      <c r="AF62" s="47"/>
      <c r="AG62" s="44"/>
      <c r="AH62" s="44"/>
      <c r="AI62" s="44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4"/>
      <c r="BB62" s="44"/>
      <c r="BC62" s="44"/>
      <c r="BD62" s="44"/>
      <c r="BE62" s="44"/>
      <c r="BF62" s="48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9"/>
      <c r="BS62" s="44"/>
      <c r="BT62" s="44"/>
      <c r="BU62" s="44"/>
      <c r="BV62" s="44">
        <v>600</v>
      </c>
      <c r="BW62" s="47"/>
      <c r="BX62" s="44"/>
      <c r="BY62" s="50"/>
      <c r="BZ62" s="44"/>
      <c r="CA62" s="44"/>
      <c r="CB62" s="44"/>
      <c r="CC62" s="44"/>
      <c r="CD62" s="43">
        <f t="shared" si="3"/>
        <v>0</v>
      </c>
      <c r="CE62" s="44"/>
      <c r="CF62" s="65"/>
      <c r="CG62" s="44"/>
      <c r="CH62" s="44"/>
      <c r="CI62" s="44"/>
      <c r="CK62" s="44"/>
      <c r="CL62" s="44"/>
      <c r="CN62" s="44"/>
      <c r="CO62" s="44"/>
      <c r="CP62" s="44"/>
      <c r="CQ62" s="44"/>
      <c r="CR62" s="44"/>
      <c r="CS62" s="44"/>
      <c r="CT62" s="44"/>
      <c r="CU62" s="44"/>
      <c r="CV62" s="44"/>
      <c r="CX62" s="44"/>
      <c r="CY62" s="44"/>
      <c r="CZ62" s="50"/>
      <c r="DA62" s="44"/>
      <c r="DB62" s="44"/>
      <c r="DC62" s="44"/>
      <c r="DD62" s="44"/>
      <c r="DE62" s="44"/>
      <c r="DF62" s="44"/>
      <c r="DH62" s="44"/>
      <c r="DI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>
        <v>600</v>
      </c>
      <c r="DZ62" s="47"/>
      <c r="EA62" s="47"/>
      <c r="EB62" s="47"/>
    </row>
    <row r="63" spans="3:132" s="32" customFormat="1" ht="27.6">
      <c r="C63" s="76">
        <v>44214</v>
      </c>
      <c r="D63" s="34" t="s">
        <v>759</v>
      </c>
      <c r="E63" s="286" t="s">
        <v>775</v>
      </c>
      <c r="F63" s="61">
        <v>0.72083333333333333</v>
      </c>
      <c r="G63" s="61">
        <v>0.72152777777777777</v>
      </c>
      <c r="H63" s="55" t="s">
        <v>0</v>
      </c>
      <c r="I63" s="38">
        <v>1</v>
      </c>
      <c r="J63" s="39">
        <v>701</v>
      </c>
      <c r="K63" s="51" t="str">
        <f>VLOOKUP(J63,'[2]Chart of accounts'!A:H,2,FALSE)</f>
        <v>50101010 01</v>
      </c>
      <c r="L63" s="39"/>
      <c r="M63" s="39"/>
      <c r="N63" s="34"/>
      <c r="O63" s="34"/>
      <c r="P63" s="34"/>
      <c r="Q63" s="53" t="s">
        <v>1</v>
      </c>
      <c r="R63" s="53" t="s">
        <v>1</v>
      </c>
      <c r="S63" s="41" t="s">
        <v>776</v>
      </c>
      <c r="T63" s="42" t="s">
        <v>777</v>
      </c>
      <c r="U63" s="42" t="s">
        <v>762</v>
      </c>
      <c r="V63" s="43">
        <v>377147</v>
      </c>
      <c r="W63" s="52"/>
      <c r="X63" s="49">
        <v>377147</v>
      </c>
      <c r="Y63" s="44">
        <f t="shared" ref="Y63:Y120" si="4">+V63-X63</f>
        <v>0</v>
      </c>
      <c r="Z63" s="45"/>
      <c r="AA63" s="46"/>
      <c r="AB63" s="47"/>
      <c r="AC63" s="47"/>
      <c r="AD63" s="47"/>
      <c r="AE63" s="47"/>
      <c r="AF63" s="47"/>
      <c r="AG63" s="44"/>
      <c r="AH63" s="44"/>
      <c r="AI63" s="44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4"/>
      <c r="BB63" s="44"/>
      <c r="BC63" s="44"/>
      <c r="BD63" s="44"/>
      <c r="BE63" s="43">
        <v>377147</v>
      </c>
      <c r="BF63" s="48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9"/>
      <c r="BS63" s="44"/>
      <c r="BT63" s="44"/>
      <c r="BU63" s="44"/>
      <c r="BV63" s="43">
        <v>377147</v>
      </c>
      <c r="BW63" s="47"/>
      <c r="BX63" s="44"/>
      <c r="BY63" s="50"/>
      <c r="BZ63" s="44"/>
      <c r="CA63" s="44"/>
      <c r="CB63" s="44"/>
      <c r="CC63" s="44"/>
      <c r="CD63" s="43">
        <f t="shared" ref="CD63:CD68" si="5">SUM(CF63:EB63)-Y63</f>
        <v>0</v>
      </c>
      <c r="CE63" s="44"/>
      <c r="CF63" s="65"/>
      <c r="CG63" s="44"/>
      <c r="CH63" s="44"/>
      <c r="CI63" s="44"/>
      <c r="CJ63" s="47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50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7"/>
      <c r="EA63" s="47"/>
      <c r="EB63" s="47"/>
    </row>
    <row r="64" spans="3:132" s="32" customFormat="1" ht="27.6">
      <c r="C64" s="76">
        <v>44214</v>
      </c>
      <c r="D64" s="34" t="s">
        <v>759</v>
      </c>
      <c r="E64" s="286" t="s">
        <v>775</v>
      </c>
      <c r="F64" s="61">
        <v>0.72083333333333333</v>
      </c>
      <c r="G64" s="61">
        <v>0.72152777777777777</v>
      </c>
      <c r="H64" s="55" t="s">
        <v>0</v>
      </c>
      <c r="I64" s="38">
        <v>1</v>
      </c>
      <c r="J64" s="39">
        <v>711</v>
      </c>
      <c r="K64" s="51" t="str">
        <f>VLOOKUP(J64,'[2]Chart of accounts'!A:H,2,FALSE)</f>
        <v>50102010 01</v>
      </c>
      <c r="L64" s="39"/>
      <c r="M64" s="39"/>
      <c r="N64" s="34"/>
      <c r="O64" s="34"/>
      <c r="P64" s="34"/>
      <c r="Q64" s="53" t="s">
        <v>1</v>
      </c>
      <c r="R64" s="53" t="s">
        <v>1</v>
      </c>
      <c r="S64" s="41" t="s">
        <v>776</v>
      </c>
      <c r="T64" s="42" t="s">
        <v>777</v>
      </c>
      <c r="U64" s="42" t="s">
        <v>762</v>
      </c>
      <c r="V64" s="43">
        <v>22000</v>
      </c>
      <c r="W64" s="52"/>
      <c r="X64" s="49">
        <v>22000</v>
      </c>
      <c r="Y64" s="44">
        <f t="shared" si="4"/>
        <v>0</v>
      </c>
      <c r="Z64" s="45"/>
      <c r="AA64" s="46"/>
      <c r="AB64" s="47"/>
      <c r="AC64" s="47"/>
      <c r="AD64" s="47"/>
      <c r="AE64" s="47"/>
      <c r="AF64" s="47"/>
      <c r="AG64" s="44"/>
      <c r="AH64" s="44"/>
      <c r="AI64" s="44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4"/>
      <c r="BB64" s="44"/>
      <c r="BC64" s="44"/>
      <c r="BD64" s="44"/>
      <c r="BF64" s="48"/>
      <c r="BG64" s="43">
        <v>22000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9"/>
      <c r="BS64" s="44"/>
      <c r="BT64" s="44"/>
      <c r="BU64" s="44"/>
      <c r="BV64" s="43">
        <v>22000</v>
      </c>
      <c r="BW64" s="47"/>
      <c r="BX64" s="44"/>
      <c r="BY64" s="50"/>
      <c r="BZ64" s="44"/>
      <c r="CA64" s="44"/>
      <c r="CB64" s="44"/>
      <c r="CC64" s="44"/>
      <c r="CD64" s="43">
        <f t="shared" si="5"/>
        <v>0</v>
      </c>
      <c r="CE64" s="44"/>
      <c r="CF64" s="65"/>
      <c r="CG64" s="44"/>
      <c r="CH64" s="44"/>
      <c r="CI64" s="44"/>
      <c r="CJ64" s="47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50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7"/>
      <c r="EA64" s="47"/>
      <c r="EB64" s="47"/>
    </row>
    <row r="65" spans="3:132" s="32" customFormat="1" ht="27.6">
      <c r="C65" s="76">
        <v>44214</v>
      </c>
      <c r="D65" s="34" t="s">
        <v>759</v>
      </c>
      <c r="E65" s="286" t="s">
        <v>775</v>
      </c>
      <c r="F65" s="61">
        <v>0.72083333333333333</v>
      </c>
      <c r="G65" s="61">
        <v>0.72152777777777777</v>
      </c>
      <c r="H65" s="55" t="s">
        <v>0</v>
      </c>
      <c r="I65" s="38">
        <v>1</v>
      </c>
      <c r="J65" s="39">
        <v>731</v>
      </c>
      <c r="K65" s="51" t="str">
        <f>VLOOKUP(J65,'[2]Chart of accounts'!A:H,2,FALSE)</f>
        <v>50103010 00</v>
      </c>
      <c r="L65" s="39"/>
      <c r="M65" s="39"/>
      <c r="N65" s="34"/>
      <c r="O65" s="34"/>
      <c r="P65" s="34"/>
      <c r="Q65" s="53" t="s">
        <v>1</v>
      </c>
      <c r="R65" s="53" t="s">
        <v>1</v>
      </c>
      <c r="S65" s="41" t="s">
        <v>776</v>
      </c>
      <c r="T65" s="42" t="s">
        <v>777</v>
      </c>
      <c r="U65" s="42" t="s">
        <v>762</v>
      </c>
      <c r="V65" s="43">
        <v>45257.64</v>
      </c>
      <c r="W65" s="52"/>
      <c r="X65" s="49">
        <v>45257.64</v>
      </c>
      <c r="Y65" s="44">
        <f t="shared" si="4"/>
        <v>0</v>
      </c>
      <c r="Z65" s="45"/>
      <c r="AA65" s="46"/>
      <c r="AB65" s="47"/>
      <c r="AC65" s="47"/>
      <c r="AD65" s="47"/>
      <c r="AE65" s="47"/>
      <c r="AF65" s="47"/>
      <c r="AG65" s="44"/>
      <c r="AH65" s="44"/>
      <c r="AI65" s="44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4"/>
      <c r="BB65" s="44"/>
      <c r="BC65" s="44"/>
      <c r="BD65" s="44"/>
      <c r="BF65" s="48"/>
      <c r="BG65" s="44"/>
      <c r="BH65" s="44"/>
      <c r="BI65" s="44"/>
      <c r="BJ65" s="44"/>
      <c r="BK65" s="44"/>
      <c r="BL65" s="44"/>
      <c r="BM65" s="44"/>
      <c r="BN65" s="44"/>
      <c r="BO65" s="43">
        <v>45257.64</v>
      </c>
      <c r="BP65" s="44"/>
      <c r="BQ65" s="44"/>
      <c r="BR65" s="49"/>
      <c r="BS65" s="44"/>
      <c r="BT65" s="44"/>
      <c r="BU65" s="44"/>
      <c r="BV65" s="43">
        <v>45257.64</v>
      </c>
      <c r="BW65" s="47"/>
      <c r="BX65" s="44"/>
      <c r="BY65" s="50"/>
      <c r="BZ65" s="44"/>
      <c r="CA65" s="44"/>
      <c r="CB65" s="44"/>
      <c r="CC65" s="44"/>
      <c r="CD65" s="43">
        <f t="shared" si="5"/>
        <v>0</v>
      </c>
      <c r="CE65" s="44"/>
      <c r="CF65" s="65"/>
      <c r="CG65" s="44"/>
      <c r="CH65" s="44"/>
      <c r="CI65" s="44"/>
      <c r="CJ65" s="47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50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7"/>
      <c r="EA65" s="47"/>
      <c r="EB65" s="47"/>
    </row>
    <row r="66" spans="3:132" s="32" customFormat="1" ht="27.6">
      <c r="C66" s="76">
        <v>44214</v>
      </c>
      <c r="D66" s="34" t="s">
        <v>759</v>
      </c>
      <c r="E66" s="286" t="s">
        <v>775</v>
      </c>
      <c r="F66" s="61">
        <v>0.72083333333333333</v>
      </c>
      <c r="G66" s="61">
        <v>0.72152777777777777</v>
      </c>
      <c r="H66" s="55" t="s">
        <v>0</v>
      </c>
      <c r="I66" s="38">
        <v>1</v>
      </c>
      <c r="J66" s="39">
        <v>732</v>
      </c>
      <c r="K66" s="51" t="str">
        <f>VLOOKUP(J66,'[2]Chart of accounts'!A:H,2,FALSE)</f>
        <v>50103020 01</v>
      </c>
      <c r="L66" s="55"/>
      <c r="M66" s="55"/>
      <c r="N66" s="56"/>
      <c r="O66" s="56"/>
      <c r="P66" s="56"/>
      <c r="Q66" s="53" t="s">
        <v>1</v>
      </c>
      <c r="R66" s="53" t="s">
        <v>1</v>
      </c>
      <c r="S66" s="41" t="s">
        <v>776</v>
      </c>
      <c r="T66" s="42" t="s">
        <v>777</v>
      </c>
      <c r="U66" s="42" t="s">
        <v>762</v>
      </c>
      <c r="V66" s="43">
        <v>1100</v>
      </c>
      <c r="W66" s="52"/>
      <c r="X66" s="49">
        <v>1100</v>
      </c>
      <c r="Y66" s="44">
        <f t="shared" si="4"/>
        <v>0</v>
      </c>
      <c r="Z66" s="45"/>
      <c r="AA66" s="46"/>
      <c r="AB66" s="47"/>
      <c r="AC66" s="47"/>
      <c r="AD66" s="47"/>
      <c r="AE66" s="47"/>
      <c r="AF66" s="47"/>
      <c r="AG66" s="44"/>
      <c r="AH66" s="44"/>
      <c r="AI66" s="44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4"/>
      <c r="BB66" s="44"/>
      <c r="BC66" s="44"/>
      <c r="BD66" s="44"/>
      <c r="BF66" s="48"/>
      <c r="BG66" s="44"/>
      <c r="BH66" s="44"/>
      <c r="BI66" s="44"/>
      <c r="BJ66" s="44"/>
      <c r="BK66" s="44"/>
      <c r="BL66" s="44"/>
      <c r="BM66" s="44"/>
      <c r="BN66" s="44"/>
      <c r="BP66" s="43">
        <v>1100</v>
      </c>
      <c r="BQ66" s="44"/>
      <c r="BR66" s="49"/>
      <c r="BS66" s="44"/>
      <c r="BT66" s="44"/>
      <c r="BU66" s="44"/>
      <c r="BV66" s="43">
        <v>1100</v>
      </c>
      <c r="BW66" s="47"/>
      <c r="BX66" s="44"/>
      <c r="BY66" s="50"/>
      <c r="BZ66" s="44"/>
      <c r="CA66" s="44"/>
      <c r="CB66" s="44"/>
      <c r="CC66" s="44"/>
      <c r="CD66" s="43">
        <f t="shared" si="5"/>
        <v>0</v>
      </c>
      <c r="CE66" s="44"/>
      <c r="CF66" s="65"/>
      <c r="CG66" s="44"/>
      <c r="CH66" s="44"/>
      <c r="CI66" s="44"/>
      <c r="CJ66" s="47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50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7"/>
      <c r="EA66" s="47"/>
      <c r="EB66" s="47"/>
    </row>
    <row r="67" spans="3:132" s="32" customFormat="1" ht="27.6">
      <c r="C67" s="76">
        <v>44214</v>
      </c>
      <c r="D67" s="34" t="s">
        <v>759</v>
      </c>
      <c r="E67" s="286" t="s">
        <v>775</v>
      </c>
      <c r="F67" s="61">
        <v>0.72083333333333333</v>
      </c>
      <c r="G67" s="61">
        <v>0.72152777777777777</v>
      </c>
      <c r="H67" s="55" t="s">
        <v>0</v>
      </c>
      <c r="I67" s="38">
        <v>1</v>
      </c>
      <c r="J67" s="55">
        <v>733</v>
      </c>
      <c r="K67" s="51" t="str">
        <f>VLOOKUP(J67,'[2]Chart of accounts'!A:H,2,FALSE)</f>
        <v>50103030 01</v>
      </c>
      <c r="L67" s="55"/>
      <c r="M67" s="55"/>
      <c r="N67" s="56"/>
      <c r="O67" s="56"/>
      <c r="P67" s="56"/>
      <c r="Q67" s="53" t="s">
        <v>1</v>
      </c>
      <c r="R67" s="53" t="s">
        <v>1</v>
      </c>
      <c r="S67" s="41" t="s">
        <v>776</v>
      </c>
      <c r="T67" s="42" t="s">
        <v>777</v>
      </c>
      <c r="U67" s="42" t="s">
        <v>762</v>
      </c>
      <c r="V67" s="43">
        <v>5521.98</v>
      </c>
      <c r="W67" s="52"/>
      <c r="X67" s="49">
        <v>5521.98</v>
      </c>
      <c r="Y67" s="44">
        <f t="shared" si="4"/>
        <v>0</v>
      </c>
      <c r="Z67" s="45"/>
      <c r="AA67" s="46"/>
      <c r="AB67" s="47"/>
      <c r="AC67" s="47"/>
      <c r="AD67" s="47"/>
      <c r="AE67" s="47"/>
      <c r="AF67" s="47"/>
      <c r="AG67" s="44"/>
      <c r="AH67" s="44"/>
      <c r="AI67" s="44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4"/>
      <c r="BB67" s="44"/>
      <c r="BC67" s="44"/>
      <c r="BD67" s="44"/>
      <c r="BF67" s="48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3">
        <v>5521.98</v>
      </c>
      <c r="BR67" s="49"/>
      <c r="BS67" s="44"/>
      <c r="BT67" s="44"/>
      <c r="BU67" s="44"/>
      <c r="BV67" s="43">
        <v>5521.98</v>
      </c>
      <c r="BW67" s="47"/>
      <c r="BX67" s="44"/>
      <c r="BY67" s="50"/>
      <c r="BZ67" s="44"/>
      <c r="CA67" s="44"/>
      <c r="CB67" s="44"/>
      <c r="CC67" s="44"/>
      <c r="CD67" s="43">
        <f t="shared" si="5"/>
        <v>0</v>
      </c>
      <c r="CE67" s="44"/>
      <c r="CF67" s="65"/>
      <c r="CG67" s="44"/>
      <c r="CH67" s="44"/>
      <c r="CI67" s="44"/>
      <c r="CJ67" s="47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50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7"/>
      <c r="EA67" s="47"/>
      <c r="EB67" s="47"/>
    </row>
    <row r="68" spans="3:132" s="32" customFormat="1" ht="27.6">
      <c r="C68" s="76">
        <v>44214</v>
      </c>
      <c r="D68" s="34" t="s">
        <v>759</v>
      </c>
      <c r="E68" s="286" t="s">
        <v>775</v>
      </c>
      <c r="F68" s="61">
        <v>0.72083333333333333</v>
      </c>
      <c r="G68" s="61">
        <v>0.72152777777777777</v>
      </c>
      <c r="H68" s="55" t="s">
        <v>0</v>
      </c>
      <c r="I68" s="38">
        <v>1</v>
      </c>
      <c r="J68" s="55">
        <v>734</v>
      </c>
      <c r="K68" s="51" t="str">
        <f>VLOOKUP(J68,'[2]Chart of accounts'!A:H,2,FALSE)</f>
        <v>50103040 01</v>
      </c>
      <c r="L68" s="55"/>
      <c r="M68" s="55"/>
      <c r="N68" s="56"/>
      <c r="O68" s="56"/>
      <c r="P68" s="56"/>
      <c r="Q68" s="53" t="s">
        <v>1</v>
      </c>
      <c r="R68" s="53" t="s">
        <v>1</v>
      </c>
      <c r="S68" s="41" t="s">
        <v>776</v>
      </c>
      <c r="T68" s="42" t="s">
        <v>777</v>
      </c>
      <c r="U68" s="42" t="s">
        <v>762</v>
      </c>
      <c r="V68" s="43">
        <v>1100</v>
      </c>
      <c r="W68" s="52"/>
      <c r="X68" s="49">
        <v>1100</v>
      </c>
      <c r="Y68" s="44">
        <f t="shared" si="4"/>
        <v>0</v>
      </c>
      <c r="Z68" s="45"/>
      <c r="AA68" s="46"/>
      <c r="AB68" s="47"/>
      <c r="AC68" s="47"/>
      <c r="AD68" s="47"/>
      <c r="AE68" s="47"/>
      <c r="AF68" s="47"/>
      <c r="AG68" s="44"/>
      <c r="AH68" s="44"/>
      <c r="AI68" s="44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4"/>
      <c r="BB68" s="44"/>
      <c r="BC68" s="44"/>
      <c r="BD68" s="44"/>
      <c r="BF68" s="48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R68" s="43">
        <v>1100</v>
      </c>
      <c r="BS68" s="44"/>
      <c r="BT68" s="44"/>
      <c r="BU68" s="44"/>
      <c r="BV68" s="43">
        <v>1100</v>
      </c>
      <c r="BW68" s="47"/>
      <c r="BX68" s="44"/>
      <c r="BY68" s="50"/>
      <c r="BZ68" s="44"/>
      <c r="CA68" s="44"/>
      <c r="CB68" s="44"/>
      <c r="CC68" s="44"/>
      <c r="CD68" s="43">
        <f t="shared" si="5"/>
        <v>0</v>
      </c>
      <c r="CE68" s="44"/>
      <c r="CF68" s="65"/>
      <c r="CG68" s="44"/>
      <c r="CH68" s="44"/>
      <c r="CI68" s="44"/>
      <c r="CJ68" s="47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50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7"/>
      <c r="EA68" s="47"/>
      <c r="EB68" s="47"/>
    </row>
    <row r="69" spans="3:132" s="75" customFormat="1" ht="27.6">
      <c r="C69" s="76">
        <v>44214</v>
      </c>
      <c r="D69" s="56" t="s">
        <v>759</v>
      </c>
      <c r="E69" s="293" t="s">
        <v>778</v>
      </c>
      <c r="F69" s="61">
        <v>0.72152777777777777</v>
      </c>
      <c r="G69" s="61">
        <v>0.72222222222222221</v>
      </c>
      <c r="H69" s="55" t="s">
        <v>0</v>
      </c>
      <c r="I69" s="38">
        <v>2</v>
      </c>
      <c r="J69" s="55">
        <v>782</v>
      </c>
      <c r="K69" s="37" t="str">
        <f>VLOOKUP(J69,'[2]Chart of accounts'!A:H,2,FALSE)</f>
        <v>50299050 01</v>
      </c>
      <c r="L69" s="55"/>
      <c r="M69" s="55"/>
      <c r="N69" s="56"/>
      <c r="O69" s="56"/>
      <c r="P69" s="56"/>
      <c r="Q69" s="131" t="s">
        <v>3</v>
      </c>
      <c r="R69" s="131" t="s">
        <v>3</v>
      </c>
      <c r="S69" s="66" t="s">
        <v>2</v>
      </c>
      <c r="T69" s="58" t="s">
        <v>779</v>
      </c>
      <c r="U69" s="58" t="s">
        <v>850</v>
      </c>
      <c r="V69" s="43">
        <f>160190.04</f>
        <v>160190.04</v>
      </c>
      <c r="W69" s="67"/>
      <c r="X69" s="74"/>
      <c r="Y69" s="43">
        <f t="shared" si="4"/>
        <v>160190.04</v>
      </c>
      <c r="Z69" s="69"/>
      <c r="AA69" s="70"/>
      <c r="AB69" s="71"/>
      <c r="AC69" s="71"/>
      <c r="AD69" s="71"/>
      <c r="AE69" s="71"/>
      <c r="AF69" s="71"/>
      <c r="AG69" s="43"/>
      <c r="AH69" s="43"/>
      <c r="AI69" s="43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43"/>
      <c r="BB69" s="43"/>
      <c r="BC69" s="43"/>
      <c r="BD69" s="43"/>
      <c r="BF69" s="135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74"/>
      <c r="BS69" s="43"/>
      <c r="BT69" s="43"/>
      <c r="BU69" s="43"/>
      <c r="BV69" s="43">
        <f>160190.04</f>
        <v>160190.04</v>
      </c>
      <c r="BW69" s="71"/>
      <c r="BX69" s="43"/>
      <c r="BY69" s="239"/>
      <c r="BZ69" s="43"/>
      <c r="CA69" s="43"/>
      <c r="CB69" s="43"/>
      <c r="CC69" s="43"/>
      <c r="CD69" s="43"/>
      <c r="CE69" s="43"/>
      <c r="CF69" s="63"/>
      <c r="CG69" s="43"/>
      <c r="CH69" s="43"/>
      <c r="CI69" s="43"/>
      <c r="CJ69" s="164"/>
      <c r="CK69" s="43"/>
      <c r="CL69" s="43"/>
      <c r="CM69" s="68"/>
      <c r="CN69" s="43"/>
      <c r="CO69" s="43"/>
      <c r="CP69" s="43"/>
      <c r="CQ69" s="43"/>
      <c r="CR69" s="43"/>
      <c r="CS69" s="43"/>
      <c r="CT69" s="43"/>
      <c r="CU69" s="43"/>
      <c r="CV69" s="43"/>
      <c r="CW69" s="68"/>
      <c r="CX69" s="43">
        <f>160190.04</f>
        <v>160190.04</v>
      </c>
      <c r="CY69" s="43"/>
      <c r="CZ69" s="239"/>
      <c r="DA69" s="43"/>
      <c r="DB69" s="43"/>
      <c r="DC69" s="43"/>
      <c r="DD69" s="43"/>
      <c r="DE69" s="43"/>
      <c r="DF69" s="43"/>
      <c r="DG69" s="68"/>
      <c r="DH69" s="43"/>
      <c r="DI69" s="43"/>
      <c r="DJ69" s="68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71"/>
      <c r="EA69" s="71"/>
      <c r="EB69" s="71"/>
    </row>
    <row r="70" spans="3:132" s="32" customFormat="1" ht="27.6">
      <c r="C70" s="76">
        <v>44214</v>
      </c>
      <c r="D70" s="34" t="s">
        <v>759</v>
      </c>
      <c r="E70" s="286" t="s">
        <v>849</v>
      </c>
      <c r="F70" s="61">
        <v>0.72152777777777777</v>
      </c>
      <c r="G70" s="36">
        <v>0.72430555555555554</v>
      </c>
      <c r="H70" s="55" t="s">
        <v>0</v>
      </c>
      <c r="I70" s="38">
        <v>2</v>
      </c>
      <c r="J70" s="39">
        <v>782</v>
      </c>
      <c r="K70" s="51" t="str">
        <f>VLOOKUP(J70,'[2]Chart of accounts'!A:H,2,FALSE)</f>
        <v>50299050 01</v>
      </c>
      <c r="L70" s="39"/>
      <c r="M70" s="39"/>
      <c r="N70" s="34"/>
      <c r="O70" s="34"/>
      <c r="P70" s="34"/>
      <c r="Q70" s="40" t="s">
        <v>3</v>
      </c>
      <c r="R70" s="40" t="s">
        <v>3</v>
      </c>
      <c r="S70" s="41" t="s">
        <v>2</v>
      </c>
      <c r="T70" s="42" t="s">
        <v>779</v>
      </c>
      <c r="U70" s="42" t="s">
        <v>780</v>
      </c>
      <c r="V70" s="44">
        <v>10311.43</v>
      </c>
      <c r="W70" s="52"/>
      <c r="X70" s="49"/>
      <c r="Y70" s="44">
        <f t="shared" si="4"/>
        <v>10311.43</v>
      </c>
      <c r="Z70" s="45"/>
      <c r="AA70" s="46"/>
      <c r="AB70" s="47"/>
      <c r="AC70" s="47"/>
      <c r="AD70" s="47"/>
      <c r="AE70" s="47"/>
      <c r="AF70" s="47"/>
      <c r="AG70" s="44"/>
      <c r="AH70" s="44"/>
      <c r="AI70" s="44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4"/>
      <c r="BB70" s="44"/>
      <c r="BC70" s="44"/>
      <c r="BD70" s="44"/>
      <c r="BE70" s="44"/>
      <c r="BF70" s="48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9"/>
      <c r="BS70" s="44"/>
      <c r="BT70" s="44"/>
      <c r="BU70" s="44"/>
      <c r="BV70" s="44">
        <v>10311.43</v>
      </c>
      <c r="BW70" s="47"/>
      <c r="BX70" s="44"/>
      <c r="BY70" s="50"/>
      <c r="BZ70" s="44"/>
      <c r="CA70" s="44"/>
      <c r="CB70" s="44"/>
      <c r="CC70" s="44"/>
      <c r="CD70" s="43"/>
      <c r="CE70" s="44"/>
      <c r="CF70" s="65"/>
      <c r="CG70" s="44"/>
      <c r="CH70" s="44"/>
      <c r="CI70" s="44"/>
      <c r="CK70" s="44"/>
      <c r="CL70" s="44"/>
      <c r="CN70" s="44"/>
      <c r="CO70" s="44"/>
      <c r="CP70" s="44"/>
      <c r="CQ70" s="44"/>
      <c r="CR70" s="44"/>
      <c r="CS70" s="44"/>
      <c r="CT70" s="44"/>
      <c r="CU70" s="44"/>
      <c r="CV70" s="44"/>
      <c r="CX70" s="44">
        <v>10311.43</v>
      </c>
      <c r="CY70" s="44"/>
      <c r="CZ70" s="50"/>
      <c r="DA70" s="44"/>
      <c r="DB70" s="44"/>
      <c r="DC70" s="44"/>
      <c r="DD70" s="44"/>
      <c r="DE70" s="44"/>
      <c r="DF70" s="44"/>
      <c r="DH70" s="44"/>
      <c r="DI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7"/>
      <c r="EA70" s="47"/>
      <c r="EB70" s="47"/>
    </row>
    <row r="71" spans="3:132" s="32" customFormat="1" ht="27.6">
      <c r="C71" s="76">
        <v>44215</v>
      </c>
      <c r="D71" s="34" t="s">
        <v>759</v>
      </c>
      <c r="E71" s="286" t="s">
        <v>781</v>
      </c>
      <c r="F71" s="36">
        <v>0.54305555555555551</v>
      </c>
      <c r="G71" s="36">
        <v>0.54375000000000007</v>
      </c>
      <c r="H71" s="55" t="s">
        <v>0</v>
      </c>
      <c r="I71" s="38">
        <v>2</v>
      </c>
      <c r="J71" s="39">
        <v>892</v>
      </c>
      <c r="K71" s="51" t="str">
        <f>VLOOKUP(J71,'[2]Chart of accounts'!A:H,2,FALSE)</f>
        <v>50215020 00</v>
      </c>
      <c r="L71" s="39"/>
      <c r="M71" s="39"/>
      <c r="N71" s="34"/>
      <c r="O71" s="34"/>
      <c r="P71" s="34"/>
      <c r="Q71" s="40" t="s">
        <v>3</v>
      </c>
      <c r="R71" s="40" t="s">
        <v>3</v>
      </c>
      <c r="S71" s="41" t="s">
        <v>2</v>
      </c>
      <c r="T71" s="42" t="s">
        <v>782</v>
      </c>
      <c r="U71" s="42" t="s">
        <v>783</v>
      </c>
      <c r="V71" s="44">
        <v>11250</v>
      </c>
      <c r="W71" s="52"/>
      <c r="X71" s="49"/>
      <c r="Y71" s="44">
        <f t="shared" si="4"/>
        <v>11250</v>
      </c>
      <c r="Z71" s="45"/>
      <c r="AA71" s="46"/>
      <c r="AB71" s="47"/>
      <c r="AC71" s="47"/>
      <c r="AD71" s="47"/>
      <c r="AE71" s="47"/>
      <c r="AF71" s="47"/>
      <c r="AG71" s="44"/>
      <c r="AH71" s="44"/>
      <c r="AI71" s="44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4"/>
      <c r="BB71" s="44"/>
      <c r="BC71" s="44"/>
      <c r="BD71" s="44"/>
      <c r="BE71" s="44"/>
      <c r="BF71" s="48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9"/>
      <c r="BS71" s="44"/>
      <c r="BT71" s="44"/>
      <c r="BU71" s="44"/>
      <c r="BV71" s="44">
        <v>11250</v>
      </c>
      <c r="BW71" s="47"/>
      <c r="BX71" s="44"/>
      <c r="BY71" s="50"/>
      <c r="BZ71" s="44"/>
      <c r="CA71" s="44"/>
      <c r="CB71" s="44"/>
      <c r="CC71" s="44"/>
      <c r="CD71" s="43"/>
      <c r="CE71" s="44"/>
      <c r="CF71" s="65"/>
      <c r="CG71" s="44"/>
      <c r="CH71" s="44"/>
      <c r="CI71" s="44"/>
      <c r="CK71" s="44"/>
      <c r="CL71" s="44"/>
      <c r="CN71" s="44"/>
      <c r="CO71" s="44"/>
      <c r="CP71" s="44"/>
      <c r="CQ71" s="44"/>
      <c r="CR71" s="44"/>
      <c r="CS71" s="44"/>
      <c r="CT71" s="44"/>
      <c r="CU71" s="44"/>
      <c r="CV71" s="44"/>
      <c r="CX71" s="44"/>
      <c r="CY71" s="44"/>
      <c r="CZ71" s="50"/>
      <c r="DA71" s="44"/>
      <c r="DB71" s="44"/>
      <c r="DC71" s="44"/>
      <c r="DD71" s="44"/>
      <c r="DE71" s="44"/>
      <c r="DF71" s="44"/>
      <c r="DH71" s="44"/>
      <c r="DI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>
        <v>11250</v>
      </c>
      <c r="DW71" s="44"/>
      <c r="DX71" s="44"/>
      <c r="DY71" s="44"/>
      <c r="DZ71" s="47"/>
      <c r="EA71" s="47"/>
      <c r="EB71" s="47"/>
    </row>
    <row r="72" spans="3:132" s="32" customFormat="1" ht="27.6">
      <c r="C72" s="76">
        <v>44215</v>
      </c>
      <c r="D72" s="34" t="s">
        <v>759</v>
      </c>
      <c r="E72" s="286" t="s">
        <v>787</v>
      </c>
      <c r="F72" s="61">
        <v>0.56527777777777777</v>
      </c>
      <c r="G72" s="61">
        <v>0.56597222222222221</v>
      </c>
      <c r="H72" s="55" t="s">
        <v>0</v>
      </c>
      <c r="I72" s="38">
        <v>1</v>
      </c>
      <c r="J72" s="39">
        <v>701</v>
      </c>
      <c r="K72" s="51" t="str">
        <f>VLOOKUP(J72,'[2]Chart of accounts'!A:H,2,FALSE)</f>
        <v>50101010 01</v>
      </c>
      <c r="L72" s="39"/>
      <c r="M72" s="39"/>
      <c r="N72" s="34"/>
      <c r="O72" s="34"/>
      <c r="P72" s="34"/>
      <c r="Q72" s="53" t="s">
        <v>1</v>
      </c>
      <c r="R72" s="53" t="s">
        <v>1</v>
      </c>
      <c r="S72" s="41" t="s">
        <v>788</v>
      </c>
      <c r="T72" s="42" t="s">
        <v>789</v>
      </c>
      <c r="U72" s="42" t="s">
        <v>762</v>
      </c>
      <c r="V72" s="43">
        <v>487450</v>
      </c>
      <c r="W72" s="52"/>
      <c r="X72" s="43">
        <v>487450</v>
      </c>
      <c r="Y72" s="44">
        <f t="shared" si="4"/>
        <v>0</v>
      </c>
      <c r="Z72" s="45"/>
      <c r="AA72" s="46"/>
      <c r="AB72" s="47"/>
      <c r="AC72" s="47"/>
      <c r="AD72" s="47"/>
      <c r="AE72" s="47"/>
      <c r="AF72" s="47"/>
      <c r="AG72" s="44"/>
      <c r="AH72" s="44"/>
      <c r="AI72" s="44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4"/>
      <c r="BB72" s="44"/>
      <c r="BC72" s="44"/>
      <c r="BD72" s="44"/>
      <c r="BE72" s="43">
        <v>487450</v>
      </c>
      <c r="BF72" s="48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9"/>
      <c r="BS72" s="44"/>
      <c r="BT72" s="44"/>
      <c r="BU72" s="44"/>
      <c r="BV72" s="43">
        <v>487450</v>
      </c>
      <c r="BW72" s="47"/>
      <c r="BX72" s="44"/>
      <c r="BY72" s="50"/>
      <c r="BZ72" s="44"/>
      <c r="CA72" s="44"/>
      <c r="CB72" s="44"/>
      <c r="CC72" s="44"/>
      <c r="CD72" s="43">
        <f t="shared" ref="CD72:CD77" si="6">SUM(CF72:EB72)-Y72</f>
        <v>0</v>
      </c>
      <c r="CE72" s="44"/>
      <c r="CF72" s="65"/>
      <c r="CG72" s="44"/>
      <c r="CH72" s="44"/>
      <c r="CI72" s="44"/>
      <c r="CJ72" s="47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50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7"/>
      <c r="EA72" s="47"/>
      <c r="EB72" s="47"/>
    </row>
    <row r="73" spans="3:132" s="32" customFormat="1" ht="27.6">
      <c r="C73" s="76">
        <v>44215</v>
      </c>
      <c r="D73" s="34" t="s">
        <v>759</v>
      </c>
      <c r="E73" s="286" t="s">
        <v>787</v>
      </c>
      <c r="F73" s="61">
        <v>0.56527777777777777</v>
      </c>
      <c r="G73" s="61">
        <v>0.56597222222222221</v>
      </c>
      <c r="H73" s="55" t="s">
        <v>0</v>
      </c>
      <c r="I73" s="38">
        <v>1</v>
      </c>
      <c r="J73" s="39">
        <v>711</v>
      </c>
      <c r="K73" s="51" t="str">
        <f>VLOOKUP(J73,'[2]Chart of accounts'!A:H,2,FALSE)</f>
        <v>50102010 01</v>
      </c>
      <c r="L73" s="39"/>
      <c r="M73" s="39"/>
      <c r="N73" s="34"/>
      <c r="O73" s="34"/>
      <c r="P73" s="34"/>
      <c r="Q73" s="53" t="s">
        <v>1</v>
      </c>
      <c r="R73" s="53" t="s">
        <v>1</v>
      </c>
      <c r="S73" s="41" t="s">
        <v>788</v>
      </c>
      <c r="T73" s="42" t="s">
        <v>789</v>
      </c>
      <c r="U73" s="42" t="s">
        <v>762</v>
      </c>
      <c r="V73" s="43">
        <v>20000</v>
      </c>
      <c r="W73" s="52"/>
      <c r="X73" s="43">
        <v>20000</v>
      </c>
      <c r="Y73" s="44">
        <f t="shared" si="4"/>
        <v>0</v>
      </c>
      <c r="Z73" s="45"/>
      <c r="AA73" s="46"/>
      <c r="AB73" s="47"/>
      <c r="AC73" s="47"/>
      <c r="AD73" s="47"/>
      <c r="AE73" s="47"/>
      <c r="AF73" s="47"/>
      <c r="AG73" s="44"/>
      <c r="AH73" s="44"/>
      <c r="AI73" s="44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4"/>
      <c r="BB73" s="44"/>
      <c r="BC73" s="44"/>
      <c r="BD73" s="44"/>
      <c r="BF73" s="48"/>
      <c r="BG73" s="43">
        <v>20000</v>
      </c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9"/>
      <c r="BS73" s="44"/>
      <c r="BT73" s="44"/>
      <c r="BU73" s="44"/>
      <c r="BV73" s="43">
        <v>20000</v>
      </c>
      <c r="BW73" s="47"/>
      <c r="BX73" s="44"/>
      <c r="BY73" s="50"/>
      <c r="BZ73" s="44"/>
      <c r="CA73" s="44"/>
      <c r="CB73" s="44"/>
      <c r="CC73" s="44"/>
      <c r="CD73" s="43">
        <f t="shared" si="6"/>
        <v>0</v>
      </c>
      <c r="CE73" s="44"/>
      <c r="CF73" s="65"/>
      <c r="CG73" s="44"/>
      <c r="CH73" s="44"/>
      <c r="CI73" s="44"/>
      <c r="CJ73" s="47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50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7"/>
      <c r="EA73" s="47"/>
      <c r="EB73" s="47"/>
    </row>
    <row r="74" spans="3:132" s="32" customFormat="1" ht="27.6">
      <c r="C74" s="76">
        <v>44215</v>
      </c>
      <c r="D74" s="34" t="s">
        <v>759</v>
      </c>
      <c r="E74" s="286" t="s">
        <v>787</v>
      </c>
      <c r="F74" s="61">
        <v>0.56527777777777777</v>
      </c>
      <c r="G74" s="61">
        <v>0.56597222222222221</v>
      </c>
      <c r="H74" s="55" t="s">
        <v>0</v>
      </c>
      <c r="I74" s="38">
        <v>1</v>
      </c>
      <c r="J74" s="39">
        <v>731</v>
      </c>
      <c r="K74" s="51" t="str">
        <f>VLOOKUP(J74,'[2]Chart of accounts'!A:H,2,FALSE)</f>
        <v>50103010 00</v>
      </c>
      <c r="L74" s="39"/>
      <c r="M74" s="39"/>
      <c r="N74" s="34"/>
      <c r="O74" s="34"/>
      <c r="P74" s="34"/>
      <c r="Q74" s="53" t="s">
        <v>1</v>
      </c>
      <c r="R74" s="53" t="s">
        <v>1</v>
      </c>
      <c r="S74" s="41" t="s">
        <v>788</v>
      </c>
      <c r="T74" s="42" t="s">
        <v>789</v>
      </c>
      <c r="U74" s="42" t="s">
        <v>762</v>
      </c>
      <c r="V74" s="43">
        <v>58494</v>
      </c>
      <c r="W74" s="52"/>
      <c r="X74" s="43">
        <v>58494</v>
      </c>
      <c r="Y74" s="44">
        <f t="shared" si="4"/>
        <v>0</v>
      </c>
      <c r="Z74" s="45"/>
      <c r="AA74" s="46"/>
      <c r="AB74" s="47"/>
      <c r="AC74" s="47"/>
      <c r="AD74" s="47"/>
      <c r="AE74" s="47"/>
      <c r="AF74" s="47"/>
      <c r="AG74" s="44"/>
      <c r="AH74" s="44"/>
      <c r="AI74" s="44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4"/>
      <c r="BB74" s="44"/>
      <c r="BC74" s="44"/>
      <c r="BD74" s="44"/>
      <c r="BF74" s="48"/>
      <c r="BG74" s="44"/>
      <c r="BH74" s="44"/>
      <c r="BI74" s="44"/>
      <c r="BJ74" s="44"/>
      <c r="BK74" s="44"/>
      <c r="BL74" s="44"/>
      <c r="BM74" s="44"/>
      <c r="BN74" s="44"/>
      <c r="BO74" s="43">
        <v>58494</v>
      </c>
      <c r="BP74" s="44"/>
      <c r="BQ74" s="44"/>
      <c r="BR74" s="49"/>
      <c r="BS74" s="44"/>
      <c r="BT74" s="44"/>
      <c r="BU74" s="44"/>
      <c r="BV74" s="43">
        <v>58494</v>
      </c>
      <c r="BW74" s="47"/>
      <c r="BX74" s="44"/>
      <c r="BY74" s="50"/>
      <c r="BZ74" s="44"/>
      <c r="CA74" s="44"/>
      <c r="CB74" s="44"/>
      <c r="CC74" s="44"/>
      <c r="CD74" s="43">
        <f t="shared" si="6"/>
        <v>0</v>
      </c>
      <c r="CE74" s="44"/>
      <c r="CF74" s="65"/>
      <c r="CG74" s="44"/>
      <c r="CH74" s="44"/>
      <c r="CI74" s="44"/>
      <c r="CJ74" s="47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50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7"/>
      <c r="EA74" s="47"/>
      <c r="EB74" s="47"/>
    </row>
    <row r="75" spans="3:132" s="32" customFormat="1" ht="27.6">
      <c r="C75" s="76">
        <v>44215</v>
      </c>
      <c r="D75" s="34" t="s">
        <v>759</v>
      </c>
      <c r="E75" s="286" t="s">
        <v>787</v>
      </c>
      <c r="F75" s="61">
        <v>0.56527777777777777</v>
      </c>
      <c r="G75" s="61">
        <v>0.56597222222222221</v>
      </c>
      <c r="H75" s="55" t="s">
        <v>0</v>
      </c>
      <c r="I75" s="38">
        <v>1</v>
      </c>
      <c r="J75" s="39">
        <v>732</v>
      </c>
      <c r="K75" s="51" t="str">
        <f>VLOOKUP(J75,'[2]Chart of accounts'!A:H,2,FALSE)</f>
        <v>50103020 01</v>
      </c>
      <c r="L75" s="55"/>
      <c r="M75" s="55"/>
      <c r="N75" s="56"/>
      <c r="O75" s="56"/>
      <c r="P75" s="56"/>
      <c r="Q75" s="53" t="s">
        <v>1</v>
      </c>
      <c r="R75" s="53" t="s">
        <v>1</v>
      </c>
      <c r="S75" s="41" t="s">
        <v>788</v>
      </c>
      <c r="T75" s="42" t="s">
        <v>789</v>
      </c>
      <c r="U75" s="42" t="s">
        <v>762</v>
      </c>
      <c r="V75" s="43">
        <v>1000</v>
      </c>
      <c r="W75" s="52"/>
      <c r="X75" s="43">
        <v>1000</v>
      </c>
      <c r="Y75" s="44">
        <f t="shared" si="4"/>
        <v>0</v>
      </c>
      <c r="Z75" s="45"/>
      <c r="AA75" s="46"/>
      <c r="AB75" s="47"/>
      <c r="AC75" s="47"/>
      <c r="AD75" s="47"/>
      <c r="AE75" s="47"/>
      <c r="AF75" s="47"/>
      <c r="AG75" s="44"/>
      <c r="AH75" s="44"/>
      <c r="AI75" s="44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4"/>
      <c r="BB75" s="44"/>
      <c r="BC75" s="44"/>
      <c r="BD75" s="44"/>
      <c r="BF75" s="48"/>
      <c r="BG75" s="44"/>
      <c r="BH75" s="44"/>
      <c r="BI75" s="44"/>
      <c r="BJ75" s="44"/>
      <c r="BK75" s="44"/>
      <c r="BL75" s="44"/>
      <c r="BM75" s="44"/>
      <c r="BN75" s="44"/>
      <c r="BP75" s="43">
        <v>1000</v>
      </c>
      <c r="BQ75" s="44"/>
      <c r="BR75" s="49"/>
      <c r="BS75" s="44"/>
      <c r="BT75" s="44"/>
      <c r="BU75" s="44"/>
      <c r="BV75" s="43">
        <v>1000</v>
      </c>
      <c r="BW75" s="47"/>
      <c r="BX75" s="44"/>
      <c r="BY75" s="50"/>
      <c r="BZ75" s="44"/>
      <c r="CA75" s="44"/>
      <c r="CB75" s="44"/>
      <c r="CC75" s="44"/>
      <c r="CD75" s="43">
        <f t="shared" si="6"/>
        <v>0</v>
      </c>
      <c r="CE75" s="44"/>
      <c r="CF75" s="65"/>
      <c r="CG75" s="44"/>
      <c r="CH75" s="44"/>
      <c r="CI75" s="44"/>
      <c r="CJ75" s="47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50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7"/>
      <c r="EA75" s="47"/>
      <c r="EB75" s="47"/>
    </row>
    <row r="76" spans="3:132" s="32" customFormat="1" ht="27.6">
      <c r="C76" s="76">
        <v>44215</v>
      </c>
      <c r="D76" s="34" t="s">
        <v>759</v>
      </c>
      <c r="E76" s="286" t="s">
        <v>787</v>
      </c>
      <c r="F76" s="61">
        <v>0.56527777777777777</v>
      </c>
      <c r="G76" s="61">
        <v>0.56597222222222221</v>
      </c>
      <c r="H76" s="55" t="s">
        <v>0</v>
      </c>
      <c r="I76" s="38">
        <v>1</v>
      </c>
      <c r="J76" s="55">
        <v>733</v>
      </c>
      <c r="K76" s="51" t="str">
        <f>VLOOKUP(J76,'[2]Chart of accounts'!A:H,2,FALSE)</f>
        <v>50103030 01</v>
      </c>
      <c r="L76" s="55"/>
      <c r="M76" s="55"/>
      <c r="N76" s="56"/>
      <c r="O76" s="56"/>
      <c r="P76" s="56"/>
      <c r="Q76" s="53" t="s">
        <v>1</v>
      </c>
      <c r="R76" s="53" t="s">
        <v>1</v>
      </c>
      <c r="S76" s="41" t="s">
        <v>788</v>
      </c>
      <c r="T76" s="42" t="s">
        <v>789</v>
      </c>
      <c r="U76" s="42" t="s">
        <v>762</v>
      </c>
      <c r="V76" s="43">
        <v>6170.95</v>
      </c>
      <c r="W76" s="52"/>
      <c r="X76" s="43">
        <v>6170.95</v>
      </c>
      <c r="Y76" s="44">
        <f t="shared" si="4"/>
        <v>0</v>
      </c>
      <c r="Z76" s="45"/>
      <c r="AA76" s="46"/>
      <c r="AB76" s="47"/>
      <c r="AC76" s="47"/>
      <c r="AD76" s="47"/>
      <c r="AE76" s="47"/>
      <c r="AF76" s="47"/>
      <c r="AG76" s="44"/>
      <c r="AH76" s="44"/>
      <c r="AI76" s="44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4"/>
      <c r="BB76" s="44"/>
      <c r="BC76" s="44"/>
      <c r="BD76" s="44"/>
      <c r="BF76" s="48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3">
        <v>6170.95</v>
      </c>
      <c r="BS76" s="44"/>
      <c r="BT76" s="44"/>
      <c r="BU76" s="44"/>
      <c r="BV76" s="43">
        <v>6170.95</v>
      </c>
      <c r="BW76" s="47"/>
      <c r="BX76" s="44"/>
      <c r="BY76" s="50"/>
      <c r="BZ76" s="44"/>
      <c r="CA76" s="44"/>
      <c r="CB76" s="44"/>
      <c r="CC76" s="44"/>
      <c r="CD76" s="43">
        <f t="shared" si="6"/>
        <v>0</v>
      </c>
      <c r="CE76" s="44"/>
      <c r="CF76" s="65"/>
      <c r="CG76" s="44"/>
      <c r="CH76" s="44"/>
      <c r="CI76" s="44"/>
      <c r="CJ76" s="47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50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7"/>
      <c r="EA76" s="47"/>
      <c r="EB76" s="47"/>
    </row>
    <row r="77" spans="3:132" s="32" customFormat="1" ht="27.6">
      <c r="C77" s="76">
        <v>44215</v>
      </c>
      <c r="D77" s="34" t="s">
        <v>759</v>
      </c>
      <c r="E77" s="286" t="s">
        <v>787</v>
      </c>
      <c r="F77" s="61">
        <v>0.56527777777777777</v>
      </c>
      <c r="G77" s="61">
        <v>0.56597222222222221</v>
      </c>
      <c r="H77" s="55" t="s">
        <v>0</v>
      </c>
      <c r="I77" s="38">
        <v>1</v>
      </c>
      <c r="J77" s="55">
        <v>734</v>
      </c>
      <c r="K77" s="51" t="str">
        <f>VLOOKUP(J77,'[2]Chart of accounts'!A:H,2,FALSE)</f>
        <v>50103040 01</v>
      </c>
      <c r="L77" s="55"/>
      <c r="M77" s="55"/>
      <c r="N77" s="56"/>
      <c r="O77" s="56"/>
      <c r="P77" s="56"/>
      <c r="Q77" s="53" t="s">
        <v>1</v>
      </c>
      <c r="R77" s="53" t="s">
        <v>1</v>
      </c>
      <c r="S77" s="41" t="s">
        <v>788</v>
      </c>
      <c r="T77" s="42" t="s">
        <v>789</v>
      </c>
      <c r="U77" s="42" t="s">
        <v>762</v>
      </c>
      <c r="V77" s="43">
        <v>1000</v>
      </c>
      <c r="W77" s="52"/>
      <c r="X77" s="43">
        <v>1000</v>
      </c>
      <c r="Y77" s="44">
        <f t="shared" si="4"/>
        <v>0</v>
      </c>
      <c r="Z77" s="45"/>
      <c r="AA77" s="46"/>
      <c r="AB77" s="47"/>
      <c r="AC77" s="47"/>
      <c r="AD77" s="47"/>
      <c r="AE77" s="47"/>
      <c r="AF77" s="47"/>
      <c r="AG77" s="44"/>
      <c r="AH77" s="44"/>
      <c r="AI77" s="44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4"/>
      <c r="BB77" s="44"/>
      <c r="BC77" s="44"/>
      <c r="BD77" s="44"/>
      <c r="BF77" s="48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R77" s="43">
        <v>1000</v>
      </c>
      <c r="BS77" s="44"/>
      <c r="BT77" s="44"/>
      <c r="BU77" s="44"/>
      <c r="BV77" s="43">
        <v>1000</v>
      </c>
      <c r="BW77" s="47"/>
      <c r="BX77" s="44"/>
      <c r="BY77" s="50"/>
      <c r="BZ77" s="44"/>
      <c r="CA77" s="44"/>
      <c r="CB77" s="44"/>
      <c r="CC77" s="44"/>
      <c r="CD77" s="43">
        <f t="shared" si="6"/>
        <v>0</v>
      </c>
      <c r="CE77" s="44"/>
      <c r="CF77" s="65"/>
      <c r="CG77" s="44"/>
      <c r="CH77" s="44"/>
      <c r="CI77" s="44"/>
      <c r="CJ77" s="47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50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7"/>
      <c r="EA77" s="47"/>
      <c r="EB77" s="47"/>
    </row>
    <row r="78" spans="3:132" s="32" customFormat="1" ht="27.6">
      <c r="C78" s="76">
        <v>44215</v>
      </c>
      <c r="D78" s="34" t="s">
        <v>759</v>
      </c>
      <c r="E78" s="286" t="s">
        <v>790</v>
      </c>
      <c r="F78" s="36">
        <v>0.71458333333333324</v>
      </c>
      <c r="G78" s="36">
        <v>0.71597222222222223</v>
      </c>
      <c r="H78" s="55" t="s">
        <v>0</v>
      </c>
      <c r="I78" s="38">
        <v>2</v>
      </c>
      <c r="J78" s="39">
        <v>773</v>
      </c>
      <c r="K78" s="51" t="str">
        <f>VLOOKUP(J78,'[2]Chart of accounts'!A:H,2,FALSE)</f>
        <v>50205020 01</v>
      </c>
      <c r="L78" s="39"/>
      <c r="M78" s="39"/>
      <c r="N78" s="34"/>
      <c r="O78" s="34"/>
      <c r="P78" s="34"/>
      <c r="Q78" s="40" t="s">
        <v>3</v>
      </c>
      <c r="R78" s="40" t="s">
        <v>3</v>
      </c>
      <c r="S78" s="41" t="s">
        <v>2</v>
      </c>
      <c r="T78" s="42" t="s">
        <v>791</v>
      </c>
      <c r="U78" s="42" t="s">
        <v>792</v>
      </c>
      <c r="V78" s="44">
        <v>2500</v>
      </c>
      <c r="W78" s="52"/>
      <c r="X78" s="49"/>
      <c r="Y78" s="44">
        <f t="shared" si="4"/>
        <v>2500</v>
      </c>
      <c r="Z78" s="45"/>
      <c r="AA78" s="46"/>
      <c r="AB78" s="47"/>
      <c r="AC78" s="47"/>
      <c r="AD78" s="47"/>
      <c r="AE78" s="47"/>
      <c r="AF78" s="47"/>
      <c r="AG78" s="44"/>
      <c r="AH78" s="44"/>
      <c r="AI78" s="44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4"/>
      <c r="BB78" s="44"/>
      <c r="BC78" s="44"/>
      <c r="BD78" s="44"/>
      <c r="BE78" s="44"/>
      <c r="BF78" s="48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9"/>
      <c r="BS78" s="44"/>
      <c r="BT78" s="44"/>
      <c r="BU78" s="44"/>
      <c r="BV78" s="44">
        <v>2500</v>
      </c>
      <c r="BW78" s="47"/>
      <c r="BX78" s="44"/>
      <c r="BY78" s="50"/>
      <c r="BZ78" s="44"/>
      <c r="CA78" s="44"/>
      <c r="CB78" s="44"/>
      <c r="CC78" s="44"/>
      <c r="CD78" s="43"/>
      <c r="CE78" s="44"/>
      <c r="CF78" s="65"/>
      <c r="CG78" s="44"/>
      <c r="CH78" s="44"/>
      <c r="CI78" s="44"/>
      <c r="CK78" s="44"/>
      <c r="CL78" s="44"/>
      <c r="CN78" s="44"/>
      <c r="CO78" s="44"/>
      <c r="CP78" s="44"/>
      <c r="CQ78" s="44"/>
      <c r="CR78" s="44">
        <v>2500</v>
      </c>
      <c r="CS78" s="44"/>
      <c r="CT78" s="44"/>
      <c r="CU78" s="44"/>
      <c r="CV78" s="44"/>
      <c r="CX78" s="44"/>
      <c r="CY78" s="44"/>
      <c r="CZ78" s="50"/>
      <c r="DA78" s="44"/>
      <c r="DB78" s="44"/>
      <c r="DC78" s="44"/>
      <c r="DD78" s="44"/>
      <c r="DE78" s="44"/>
      <c r="DF78" s="44"/>
      <c r="DH78" s="44"/>
      <c r="DI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7"/>
      <c r="EA78" s="47"/>
      <c r="EB78" s="47"/>
    </row>
    <row r="79" spans="3:132" s="411" customFormat="1" ht="27.6">
      <c r="C79" s="402">
        <v>44215</v>
      </c>
      <c r="D79" s="403" t="s">
        <v>759</v>
      </c>
      <c r="E79" s="404" t="s">
        <v>793</v>
      </c>
      <c r="F79" s="405">
        <v>0.71597222222222223</v>
      </c>
      <c r="G79" s="405">
        <v>0.71666666666666667</v>
      </c>
      <c r="H79" s="412" t="s">
        <v>0</v>
      </c>
      <c r="I79" s="413">
        <v>2</v>
      </c>
      <c r="J79" s="406">
        <v>775</v>
      </c>
      <c r="K79" s="406" t="str">
        <f>VLOOKUP(J79,'[2]Chart of accounts'!A:H,2,FALSE)</f>
        <v>50205040 00</v>
      </c>
      <c r="L79" s="406"/>
      <c r="M79" s="406"/>
      <c r="N79" s="403"/>
      <c r="O79" s="403"/>
      <c r="P79" s="403"/>
      <c r="Q79" s="407" t="s">
        <v>3</v>
      </c>
      <c r="R79" s="407" t="s">
        <v>3</v>
      </c>
      <c r="S79" s="414" t="s">
        <v>2</v>
      </c>
      <c r="T79" s="409" t="s">
        <v>794</v>
      </c>
      <c r="U79" s="409" t="s">
        <v>795</v>
      </c>
      <c r="V79" s="65"/>
      <c r="W79" s="46"/>
      <c r="X79" s="64"/>
      <c r="Y79" s="65">
        <f t="shared" si="4"/>
        <v>0</v>
      </c>
      <c r="Z79" s="45"/>
      <c r="AA79" s="46"/>
      <c r="AB79" s="45"/>
      <c r="AC79" s="45"/>
      <c r="AD79" s="45"/>
      <c r="AE79" s="45"/>
      <c r="AF79" s="45"/>
      <c r="AG79" s="65"/>
      <c r="AH79" s="65"/>
      <c r="AI79" s="6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65"/>
      <c r="BB79" s="65"/>
      <c r="BC79" s="65"/>
      <c r="BD79" s="65"/>
      <c r="BE79" s="65"/>
      <c r="BF79" s="410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4"/>
      <c r="BS79" s="65"/>
      <c r="BT79" s="65"/>
      <c r="BU79" s="65"/>
      <c r="BV79" s="65"/>
      <c r="BW79" s="45"/>
      <c r="BX79" s="65"/>
      <c r="BY79" s="65"/>
      <c r="BZ79" s="65"/>
      <c r="CA79" s="65"/>
      <c r="CB79" s="65"/>
      <c r="CC79" s="65"/>
      <c r="CD79" s="63"/>
      <c r="CE79" s="65"/>
      <c r="CF79" s="65"/>
      <c r="CG79" s="65"/>
      <c r="CH79" s="65"/>
      <c r="CI79" s="65"/>
      <c r="CK79" s="65"/>
      <c r="CL79" s="65"/>
      <c r="CN79" s="65"/>
      <c r="CO79" s="65"/>
      <c r="CP79" s="65"/>
      <c r="CQ79" s="65"/>
      <c r="CR79" s="65"/>
      <c r="CS79" s="65"/>
      <c r="CT79" s="65"/>
      <c r="CU79" s="65"/>
      <c r="CV79" s="65"/>
      <c r="CX79" s="65"/>
      <c r="CY79" s="65"/>
      <c r="CZ79" s="65"/>
      <c r="DA79" s="65"/>
      <c r="DB79" s="65"/>
      <c r="DC79" s="65"/>
      <c r="DD79" s="65"/>
      <c r="DE79" s="65"/>
      <c r="DF79" s="65"/>
      <c r="DH79" s="65"/>
      <c r="DI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45"/>
      <c r="EA79" s="45"/>
      <c r="EB79" s="45"/>
    </row>
    <row r="80" spans="3:132" s="32" customFormat="1">
      <c r="C80" s="76">
        <v>44217</v>
      </c>
      <c r="D80" s="34" t="s">
        <v>759</v>
      </c>
      <c r="E80" s="286" t="s">
        <v>807</v>
      </c>
      <c r="F80" s="36">
        <v>0.70000000000000007</v>
      </c>
      <c r="G80" s="36">
        <v>0.7006944444444444</v>
      </c>
      <c r="H80" s="55" t="s">
        <v>0</v>
      </c>
      <c r="I80" s="38">
        <v>2</v>
      </c>
      <c r="J80" s="39">
        <v>755</v>
      </c>
      <c r="K80" s="51" t="str">
        <f>VLOOKUP(J80,'[2]Chart of accounts'!A:H,2,FALSE)</f>
        <v>50203010 00</v>
      </c>
      <c r="L80" s="39"/>
      <c r="M80" s="39"/>
      <c r="N80" s="34"/>
      <c r="O80" s="34"/>
      <c r="P80" s="34"/>
      <c r="Q80" s="40" t="s">
        <v>3</v>
      </c>
      <c r="R80" s="40" t="s">
        <v>3</v>
      </c>
      <c r="S80" s="41" t="s">
        <v>2</v>
      </c>
      <c r="T80" s="42" t="s">
        <v>773</v>
      </c>
      <c r="U80" s="42" t="s">
        <v>808</v>
      </c>
      <c r="V80" s="44">
        <v>1834.25</v>
      </c>
      <c r="W80" s="52"/>
      <c r="X80" s="49"/>
      <c r="Y80" s="44">
        <f t="shared" si="4"/>
        <v>1834.25</v>
      </c>
      <c r="Z80" s="45"/>
      <c r="AA80" s="46"/>
      <c r="AB80" s="47"/>
      <c r="AC80" s="47"/>
      <c r="AD80" s="47"/>
      <c r="AE80" s="47"/>
      <c r="AF80" s="47"/>
      <c r="AG80" s="44"/>
      <c r="AH80" s="44"/>
      <c r="AI80" s="44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4"/>
      <c r="BB80" s="44"/>
      <c r="BC80" s="44"/>
      <c r="BD80" s="44"/>
      <c r="BE80" s="44"/>
      <c r="BF80" s="48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9"/>
      <c r="BS80" s="44"/>
      <c r="BT80" s="44"/>
      <c r="BU80" s="44"/>
      <c r="BV80" s="44">
        <v>1834.25</v>
      </c>
      <c r="BW80" s="47"/>
      <c r="BX80" s="44"/>
      <c r="BY80" s="50"/>
      <c r="BZ80" s="44"/>
      <c r="CA80" s="44"/>
      <c r="CB80" s="44"/>
      <c r="CC80" s="44"/>
      <c r="CD80" s="43"/>
      <c r="CE80" s="44"/>
      <c r="CF80" s="65"/>
      <c r="CG80" s="44"/>
      <c r="CH80" s="44"/>
      <c r="CI80" s="44"/>
      <c r="CJ80" s="44">
        <v>1834.25</v>
      </c>
      <c r="CK80" s="44"/>
      <c r="CL80" s="44"/>
      <c r="CN80" s="44"/>
      <c r="CO80" s="44"/>
      <c r="CP80" s="44"/>
      <c r="CQ80" s="44"/>
      <c r="CR80" s="44"/>
      <c r="CS80" s="44"/>
      <c r="CT80" s="44"/>
      <c r="CU80" s="44"/>
      <c r="CV80" s="44"/>
      <c r="CX80" s="44"/>
      <c r="CY80" s="44"/>
      <c r="CZ80" s="50"/>
      <c r="DA80" s="44"/>
      <c r="DB80" s="44"/>
      <c r="DC80" s="44"/>
      <c r="DD80" s="44"/>
      <c r="DE80" s="44"/>
      <c r="DF80" s="44"/>
      <c r="DH80" s="44"/>
      <c r="DI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7"/>
      <c r="EA80" s="47"/>
      <c r="EB80" s="47"/>
    </row>
    <row r="81" spans="3:132" s="32" customFormat="1">
      <c r="C81" s="76">
        <v>44217</v>
      </c>
      <c r="D81" s="34" t="s">
        <v>759</v>
      </c>
      <c r="E81" s="286" t="s">
        <v>807</v>
      </c>
      <c r="F81" s="36">
        <v>0.70000000000000007</v>
      </c>
      <c r="G81" s="36">
        <v>0.7006944444444444</v>
      </c>
      <c r="H81" s="55" t="s">
        <v>0</v>
      </c>
      <c r="I81" s="38">
        <v>2</v>
      </c>
      <c r="J81" s="39">
        <v>792</v>
      </c>
      <c r="K81" s="51" t="str">
        <f>VLOOKUP(J81,'[2]Chart of accounts'!A:H,2,FALSE)</f>
        <v>50211020 00</v>
      </c>
      <c r="L81" s="39"/>
      <c r="M81" s="39"/>
      <c r="N81" s="34"/>
      <c r="O81" s="34"/>
      <c r="P81" s="34"/>
      <c r="Q81" s="40" t="s">
        <v>3</v>
      </c>
      <c r="R81" s="40" t="s">
        <v>3</v>
      </c>
      <c r="S81" s="41" t="s">
        <v>2</v>
      </c>
      <c r="T81" s="42" t="s">
        <v>773</v>
      </c>
      <c r="U81" s="42" t="s">
        <v>808</v>
      </c>
      <c r="V81" s="44">
        <v>219</v>
      </c>
      <c r="W81" s="52"/>
      <c r="X81" s="49"/>
      <c r="Y81" s="44">
        <f t="shared" si="4"/>
        <v>219</v>
      </c>
      <c r="Z81" s="45"/>
      <c r="AA81" s="46"/>
      <c r="AB81" s="47"/>
      <c r="AC81" s="47"/>
      <c r="AD81" s="47"/>
      <c r="AE81" s="47"/>
      <c r="AF81" s="47"/>
      <c r="AG81" s="44"/>
      <c r="AH81" s="44"/>
      <c r="AI81" s="44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4"/>
      <c r="BB81" s="44"/>
      <c r="BC81" s="44"/>
      <c r="BD81" s="44"/>
      <c r="BE81" s="44"/>
      <c r="BF81" s="48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9"/>
      <c r="BS81" s="44"/>
      <c r="BT81" s="44"/>
      <c r="BU81" s="44"/>
      <c r="BV81" s="44">
        <v>219</v>
      </c>
      <c r="BW81" s="47"/>
      <c r="BX81" s="44"/>
      <c r="BY81" s="50"/>
      <c r="BZ81" s="44"/>
      <c r="CA81" s="44"/>
      <c r="CB81" s="44"/>
      <c r="CC81" s="44"/>
      <c r="CD81" s="43"/>
      <c r="CE81" s="44"/>
      <c r="CF81" s="65"/>
      <c r="CG81" s="44"/>
      <c r="CH81" s="44"/>
      <c r="CI81" s="44"/>
      <c r="CK81" s="44"/>
      <c r="CL81" s="44"/>
      <c r="CN81" s="44"/>
      <c r="CO81" s="44"/>
      <c r="CP81" s="44"/>
      <c r="CQ81" s="44"/>
      <c r="CR81" s="44"/>
      <c r="CS81" s="44"/>
      <c r="CT81" s="44"/>
      <c r="CU81" s="44"/>
      <c r="CV81" s="44"/>
      <c r="CX81" s="44"/>
      <c r="CY81" s="44"/>
      <c r="CZ81" s="50"/>
      <c r="DA81" s="44"/>
      <c r="DB81" s="44"/>
      <c r="DC81" s="44"/>
      <c r="DD81" s="44"/>
      <c r="DE81" s="44">
        <v>219</v>
      </c>
      <c r="DF81" s="44"/>
      <c r="DH81" s="44"/>
      <c r="DI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7"/>
      <c r="EA81" s="47"/>
      <c r="EB81" s="47"/>
    </row>
    <row r="82" spans="3:132" s="32" customFormat="1">
      <c r="C82" s="76">
        <v>44217</v>
      </c>
      <c r="D82" s="34" t="s">
        <v>759</v>
      </c>
      <c r="E82" s="286" t="s">
        <v>807</v>
      </c>
      <c r="F82" s="36">
        <v>0.70000000000000007</v>
      </c>
      <c r="G82" s="36">
        <v>0.7006944444444444</v>
      </c>
      <c r="H82" s="55" t="s">
        <v>0</v>
      </c>
      <c r="I82" s="38">
        <v>2</v>
      </c>
      <c r="J82" s="39">
        <v>795</v>
      </c>
      <c r="K82" s="51" t="str">
        <f>VLOOKUP(J82,'[2]Chart of accounts'!A:H,2,FALSE)</f>
        <v>50212990 00</v>
      </c>
      <c r="L82" s="39"/>
      <c r="M82" s="39"/>
      <c r="N82" s="34"/>
      <c r="O82" s="34"/>
      <c r="P82" s="34"/>
      <c r="Q82" s="40" t="s">
        <v>3</v>
      </c>
      <c r="R82" s="40" t="s">
        <v>3</v>
      </c>
      <c r="S82" s="41" t="s">
        <v>2</v>
      </c>
      <c r="T82" s="42" t="s">
        <v>773</v>
      </c>
      <c r="U82" s="42" t="s">
        <v>808</v>
      </c>
      <c r="V82" s="44">
        <v>1960</v>
      </c>
      <c r="W82" s="52"/>
      <c r="X82" s="49"/>
      <c r="Y82" s="44">
        <f t="shared" si="4"/>
        <v>1960</v>
      </c>
      <c r="Z82" s="45"/>
      <c r="AA82" s="46"/>
      <c r="AB82" s="47"/>
      <c r="AC82" s="47"/>
      <c r="AD82" s="47"/>
      <c r="AE82" s="47"/>
      <c r="AF82" s="47"/>
      <c r="AG82" s="44"/>
      <c r="AH82" s="44"/>
      <c r="AI82" s="44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4"/>
      <c r="BB82" s="44"/>
      <c r="BC82" s="44"/>
      <c r="BD82" s="44"/>
      <c r="BE82" s="44"/>
      <c r="BF82" s="48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9"/>
      <c r="BS82" s="44"/>
      <c r="BT82" s="44"/>
      <c r="BU82" s="44"/>
      <c r="BV82" s="44">
        <v>1960</v>
      </c>
      <c r="BW82" s="47"/>
      <c r="BX82" s="44"/>
      <c r="BY82" s="50"/>
      <c r="BZ82" s="44"/>
      <c r="CA82" s="44"/>
      <c r="CB82" s="44"/>
      <c r="CC82" s="44"/>
      <c r="CD82" s="43"/>
      <c r="CE82" s="44"/>
      <c r="CF82" s="65"/>
      <c r="CG82" s="44"/>
      <c r="CH82" s="44"/>
      <c r="CI82" s="44"/>
      <c r="CK82" s="44"/>
      <c r="CL82" s="44"/>
      <c r="CN82" s="44"/>
      <c r="CO82" s="44"/>
      <c r="CP82" s="44"/>
      <c r="CQ82" s="44"/>
      <c r="CR82" s="44"/>
      <c r="CS82" s="44"/>
      <c r="CT82" s="44"/>
      <c r="CU82" s="44"/>
      <c r="CV82" s="44"/>
      <c r="CX82" s="44"/>
      <c r="CY82" s="44"/>
      <c r="CZ82" s="50"/>
      <c r="DA82" s="44"/>
      <c r="DB82" s="44"/>
      <c r="DC82" s="44"/>
      <c r="DD82" s="44"/>
      <c r="DF82" s="44"/>
      <c r="DG82" s="44">
        <v>1960</v>
      </c>
      <c r="DH82" s="44"/>
      <c r="DI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7"/>
      <c r="EA82" s="47"/>
      <c r="EB82" s="47"/>
    </row>
    <row r="83" spans="3:132" s="32" customFormat="1">
      <c r="C83" s="76">
        <v>44217</v>
      </c>
      <c r="D83" s="34" t="s">
        <v>759</v>
      </c>
      <c r="E83" s="286" t="s">
        <v>807</v>
      </c>
      <c r="F83" s="36">
        <v>0.70000000000000007</v>
      </c>
      <c r="G83" s="36">
        <v>0.7006944444444444</v>
      </c>
      <c r="H83" s="55" t="s">
        <v>0</v>
      </c>
      <c r="I83" s="38">
        <v>2</v>
      </c>
      <c r="J83" s="39">
        <v>799</v>
      </c>
      <c r="K83" s="51" t="str">
        <f>VLOOKUP(J83,'[2]Chart of accounts'!A:H,2,FALSE)</f>
        <v>50211990 00</v>
      </c>
      <c r="L83" s="39"/>
      <c r="M83" s="39"/>
      <c r="N83" s="34"/>
      <c r="O83" s="34"/>
      <c r="P83" s="34"/>
      <c r="Q83" s="40" t="s">
        <v>3</v>
      </c>
      <c r="R83" s="40" t="s">
        <v>3</v>
      </c>
      <c r="S83" s="41" t="s">
        <v>2</v>
      </c>
      <c r="T83" s="42" t="s">
        <v>773</v>
      </c>
      <c r="U83" s="42" t="s">
        <v>808</v>
      </c>
      <c r="V83" s="44">
        <v>300</v>
      </c>
      <c r="W83" s="52"/>
      <c r="X83" s="49"/>
      <c r="Y83" s="44">
        <f t="shared" si="4"/>
        <v>300</v>
      </c>
      <c r="Z83" s="45"/>
      <c r="AA83" s="46"/>
      <c r="AB83" s="47"/>
      <c r="AC83" s="47"/>
      <c r="AD83" s="47"/>
      <c r="AE83" s="47"/>
      <c r="AF83" s="47"/>
      <c r="AG83" s="44"/>
      <c r="AH83" s="44"/>
      <c r="AI83" s="44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4"/>
      <c r="BB83" s="44"/>
      <c r="BC83" s="44"/>
      <c r="BD83" s="44"/>
      <c r="BE83" s="44"/>
      <c r="BF83" s="48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9"/>
      <c r="BS83" s="44"/>
      <c r="BT83" s="44"/>
      <c r="BU83" s="44"/>
      <c r="BV83" s="44">
        <v>300</v>
      </c>
      <c r="BW83" s="47"/>
      <c r="BX83" s="44"/>
      <c r="BY83" s="50"/>
      <c r="BZ83" s="44"/>
      <c r="CA83" s="44"/>
      <c r="CB83" s="44"/>
      <c r="CC83" s="44"/>
      <c r="CD83" s="43"/>
      <c r="CE83" s="44"/>
      <c r="CF83" s="65"/>
      <c r="CG83" s="44"/>
      <c r="CH83" s="44"/>
      <c r="CI83" s="44"/>
      <c r="CK83" s="44"/>
      <c r="CL83" s="44"/>
      <c r="CN83" s="44"/>
      <c r="CO83" s="44"/>
      <c r="CP83" s="44"/>
      <c r="CQ83" s="44"/>
      <c r="CR83" s="44"/>
      <c r="CS83" s="44"/>
      <c r="CT83" s="44"/>
      <c r="CU83" s="44"/>
      <c r="CV83" s="44"/>
      <c r="CX83" s="44"/>
      <c r="CY83" s="44"/>
      <c r="CZ83" s="50"/>
      <c r="DA83" s="44"/>
      <c r="DB83" s="44"/>
      <c r="DC83" s="44"/>
      <c r="DD83" s="44"/>
      <c r="DF83" s="44"/>
      <c r="DH83" s="44"/>
      <c r="DI83" s="44"/>
      <c r="DJ83" s="44">
        <v>300</v>
      </c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7"/>
      <c r="EA83" s="47"/>
      <c r="EB83" s="47"/>
    </row>
    <row r="84" spans="3:132" s="32" customFormat="1" ht="27.6">
      <c r="C84" s="76">
        <v>44218</v>
      </c>
      <c r="D84" s="34" t="s">
        <v>759</v>
      </c>
      <c r="E84" s="286" t="s">
        <v>809</v>
      </c>
      <c r="F84" s="36">
        <v>0.70763888888888893</v>
      </c>
      <c r="G84" s="36">
        <v>0.70833333333333337</v>
      </c>
      <c r="H84" s="55" t="s">
        <v>0</v>
      </c>
      <c r="I84" s="38">
        <v>2</v>
      </c>
      <c r="J84" s="39">
        <v>761</v>
      </c>
      <c r="K84" s="51" t="str">
        <f>VLOOKUP(J84,'[2]Chart of accounts'!A:H,2,FALSE)</f>
        <v>50203090 00</v>
      </c>
      <c r="L84" s="39"/>
      <c r="M84" s="39"/>
      <c r="N84" s="34"/>
      <c r="O84" s="34"/>
      <c r="P84" s="34"/>
      <c r="Q84" s="53" t="s">
        <v>11</v>
      </c>
      <c r="R84" s="40" t="s">
        <v>812</v>
      </c>
      <c r="S84" s="41" t="s">
        <v>2</v>
      </c>
      <c r="T84" s="42" t="s">
        <v>810</v>
      </c>
      <c r="U84" s="42" t="s">
        <v>811</v>
      </c>
      <c r="V84" s="44">
        <v>6006.93</v>
      </c>
      <c r="W84" s="52"/>
      <c r="X84" s="49"/>
      <c r="Y84" s="44">
        <f t="shared" si="4"/>
        <v>6006.93</v>
      </c>
      <c r="Z84" s="45"/>
      <c r="AA84" s="46"/>
      <c r="AB84" s="47"/>
      <c r="AC84" s="47"/>
      <c r="AD84" s="47"/>
      <c r="AE84" s="47"/>
      <c r="AF84" s="47"/>
      <c r="AG84" s="44"/>
      <c r="AH84" s="44"/>
      <c r="AI84" s="44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4"/>
      <c r="BB84" s="44"/>
      <c r="BC84" s="44"/>
      <c r="BD84" s="44"/>
      <c r="BE84" s="44"/>
      <c r="BF84" s="48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9"/>
      <c r="BS84" s="44"/>
      <c r="BT84" s="44"/>
      <c r="BU84" s="44"/>
      <c r="BV84" s="44"/>
      <c r="BW84" s="44">
        <v>6006.93</v>
      </c>
      <c r="BX84" s="44"/>
      <c r="BY84" s="50"/>
      <c r="BZ84" s="44"/>
      <c r="CA84" s="44"/>
      <c r="CB84" s="44"/>
      <c r="CC84" s="44"/>
      <c r="CD84" s="43"/>
      <c r="CE84" s="44"/>
      <c r="CF84" s="65"/>
      <c r="CG84" s="44"/>
      <c r="CH84" s="44"/>
      <c r="CI84" s="44"/>
      <c r="CK84" s="44"/>
      <c r="CL84" s="44">
        <v>6006.93</v>
      </c>
      <c r="CN84" s="44"/>
      <c r="CO84" s="44"/>
      <c r="CP84" s="44"/>
      <c r="CQ84" s="44"/>
      <c r="CR84" s="44"/>
      <c r="CS84" s="44"/>
      <c r="CT84" s="44"/>
      <c r="CU84" s="44"/>
      <c r="CV84" s="44"/>
      <c r="CX84" s="44"/>
      <c r="CY84" s="44"/>
      <c r="CZ84" s="50"/>
      <c r="DA84" s="44"/>
      <c r="DB84" s="44"/>
      <c r="DC84" s="44"/>
      <c r="DD84" s="44"/>
      <c r="DF84" s="44"/>
      <c r="DH84" s="44"/>
      <c r="DI84" s="44"/>
      <c r="DJ84" s="129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7"/>
      <c r="EA84" s="47"/>
      <c r="EB84" s="47"/>
    </row>
    <row r="85" spans="3:132" s="32" customFormat="1" ht="27.6">
      <c r="C85" s="76">
        <v>44218</v>
      </c>
      <c r="D85" s="34" t="s">
        <v>759</v>
      </c>
      <c r="E85" s="286" t="s">
        <v>809</v>
      </c>
      <c r="F85" s="36">
        <v>0.70763888888888893</v>
      </c>
      <c r="G85" s="36">
        <v>0.70833333333333337</v>
      </c>
      <c r="H85" s="55" t="s">
        <v>0</v>
      </c>
      <c r="I85" s="38">
        <v>2</v>
      </c>
      <c r="J85" s="39">
        <v>761</v>
      </c>
      <c r="K85" s="51" t="str">
        <f>VLOOKUP(J85,'[2]Chart of accounts'!A:H,2,FALSE)</f>
        <v>50203090 00</v>
      </c>
      <c r="L85" s="39"/>
      <c r="M85" s="39"/>
      <c r="N85" s="34"/>
      <c r="O85" s="34"/>
      <c r="P85" s="34"/>
      <c r="Q85" s="53" t="s">
        <v>4</v>
      </c>
      <c r="R85" s="40" t="s">
        <v>813</v>
      </c>
      <c r="S85" s="41" t="s">
        <v>2</v>
      </c>
      <c r="T85" s="42" t="s">
        <v>810</v>
      </c>
      <c r="U85" s="42" t="s">
        <v>811</v>
      </c>
      <c r="V85" s="44">
        <v>5794.22</v>
      </c>
      <c r="W85" s="52"/>
      <c r="X85" s="49"/>
      <c r="Y85" s="44">
        <f t="shared" si="4"/>
        <v>5794.22</v>
      </c>
      <c r="Z85" s="45"/>
      <c r="AA85" s="46"/>
      <c r="AB85" s="47"/>
      <c r="AC85" s="47"/>
      <c r="AD85" s="47"/>
      <c r="AE85" s="47"/>
      <c r="AF85" s="47"/>
      <c r="AG85" s="44"/>
      <c r="AH85" s="44"/>
      <c r="AI85" s="44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4"/>
      <c r="BB85" s="44"/>
      <c r="BC85" s="44"/>
      <c r="BD85" s="44"/>
      <c r="BE85" s="44"/>
      <c r="BF85" s="48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9"/>
      <c r="BS85" s="44"/>
      <c r="BT85" s="44"/>
      <c r="BU85" s="44"/>
      <c r="BV85" s="44"/>
      <c r="BX85" s="44"/>
      <c r="BY85" s="44">
        <v>5794.22</v>
      </c>
      <c r="BZ85" s="44"/>
      <c r="CA85" s="44"/>
      <c r="CB85" s="44"/>
      <c r="CC85" s="44"/>
      <c r="CD85" s="43"/>
      <c r="CE85" s="44"/>
      <c r="CF85" s="65"/>
      <c r="CG85" s="44"/>
      <c r="CH85" s="44"/>
      <c r="CI85" s="44"/>
      <c r="CK85" s="44"/>
      <c r="CL85" s="44">
        <v>5794.22</v>
      </c>
      <c r="CN85" s="44"/>
      <c r="CO85" s="44"/>
      <c r="CP85" s="44"/>
      <c r="CQ85" s="44"/>
      <c r="CR85" s="44"/>
      <c r="CS85" s="44"/>
      <c r="CT85" s="44"/>
      <c r="CU85" s="44"/>
      <c r="CV85" s="44"/>
      <c r="CX85" s="44"/>
      <c r="CY85" s="44"/>
      <c r="CZ85" s="50"/>
      <c r="DA85" s="44"/>
      <c r="DB85" s="44"/>
      <c r="DC85" s="44"/>
      <c r="DD85" s="44"/>
      <c r="DF85" s="44"/>
      <c r="DH85" s="44"/>
      <c r="DI85" s="44"/>
      <c r="DJ85" s="129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7"/>
      <c r="EA85" s="47"/>
      <c r="EB85" s="47"/>
    </row>
    <row r="86" spans="3:132" s="32" customFormat="1" ht="27.6">
      <c r="C86" s="76">
        <v>44218</v>
      </c>
      <c r="D86" s="34" t="s">
        <v>759</v>
      </c>
      <c r="E86" s="286" t="s">
        <v>809</v>
      </c>
      <c r="F86" s="36">
        <v>0.70763888888888893</v>
      </c>
      <c r="G86" s="36">
        <v>0.70833333333333337</v>
      </c>
      <c r="H86" s="55" t="s">
        <v>0</v>
      </c>
      <c r="I86" s="38">
        <v>2</v>
      </c>
      <c r="J86" s="39">
        <v>761</v>
      </c>
      <c r="K86" s="51" t="str">
        <f>VLOOKUP(J86,'[2]Chart of accounts'!A:H,2,FALSE)</f>
        <v>50203090 00</v>
      </c>
      <c r="L86" s="39"/>
      <c r="M86" s="39"/>
      <c r="N86" s="34"/>
      <c r="O86" s="34"/>
      <c r="P86" s="34"/>
      <c r="Q86" s="53" t="s">
        <v>8</v>
      </c>
      <c r="R86" s="40" t="s">
        <v>814</v>
      </c>
      <c r="S86" s="41" t="s">
        <v>2</v>
      </c>
      <c r="T86" s="42" t="s">
        <v>810</v>
      </c>
      <c r="U86" s="42" t="s">
        <v>811</v>
      </c>
      <c r="V86" s="44">
        <v>1558.07</v>
      </c>
      <c r="W86" s="52"/>
      <c r="X86" s="49"/>
      <c r="Y86" s="44">
        <f t="shared" si="4"/>
        <v>1558.07</v>
      </c>
      <c r="Z86" s="45"/>
      <c r="AA86" s="46"/>
      <c r="AB86" s="47"/>
      <c r="AC86" s="47"/>
      <c r="AD86" s="47"/>
      <c r="AE86" s="47"/>
      <c r="AF86" s="47"/>
      <c r="AG86" s="44"/>
      <c r="AH86" s="44"/>
      <c r="AI86" s="44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4"/>
      <c r="BB86" s="44"/>
      <c r="BC86" s="44"/>
      <c r="BD86" s="44"/>
      <c r="BE86" s="44"/>
      <c r="BF86" s="48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9"/>
      <c r="BS86" s="44"/>
      <c r="BT86" s="44"/>
      <c r="BU86" s="44"/>
      <c r="BV86" s="44"/>
      <c r="BX86" s="44">
        <v>1558.07</v>
      </c>
      <c r="BZ86" s="44"/>
      <c r="CA86" s="44"/>
      <c r="CB86" s="44"/>
      <c r="CC86" s="44"/>
      <c r="CD86" s="43"/>
      <c r="CE86" s="44"/>
      <c r="CF86" s="65"/>
      <c r="CG86" s="44"/>
      <c r="CH86" s="44"/>
      <c r="CI86" s="44"/>
      <c r="CK86" s="44"/>
      <c r="CL86" s="44">
        <v>1558.07</v>
      </c>
      <c r="CN86" s="44"/>
      <c r="CO86" s="44"/>
      <c r="CP86" s="44"/>
      <c r="CQ86" s="44"/>
      <c r="CR86" s="44"/>
      <c r="CS86" s="44"/>
      <c r="CT86" s="44"/>
      <c r="CU86" s="44"/>
      <c r="CV86" s="44"/>
      <c r="CX86" s="44"/>
      <c r="CY86" s="44"/>
      <c r="CZ86" s="50"/>
      <c r="DA86" s="44"/>
      <c r="DB86" s="44"/>
      <c r="DC86" s="44"/>
      <c r="DD86" s="44"/>
      <c r="DF86" s="44"/>
      <c r="DH86" s="44"/>
      <c r="DI86" s="44"/>
      <c r="DJ86" s="129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7"/>
      <c r="EA86" s="47"/>
      <c r="EB86" s="47"/>
    </row>
    <row r="87" spans="3:132" s="32" customFormat="1" ht="27.6">
      <c r="C87" s="76">
        <v>44218</v>
      </c>
      <c r="D87" s="34" t="s">
        <v>759</v>
      </c>
      <c r="E87" s="286" t="s">
        <v>809</v>
      </c>
      <c r="F87" s="36">
        <v>0.70763888888888893</v>
      </c>
      <c r="G87" s="36">
        <v>0.70833333333333337</v>
      </c>
      <c r="H87" s="55" t="s">
        <v>0</v>
      </c>
      <c r="I87" s="38">
        <v>2</v>
      </c>
      <c r="J87" s="39">
        <v>761</v>
      </c>
      <c r="K87" s="51" t="str">
        <f>VLOOKUP(J87,'[2]Chart of accounts'!A:H,2,FALSE)</f>
        <v>50203090 00</v>
      </c>
      <c r="L87" s="39"/>
      <c r="M87" s="39"/>
      <c r="N87" s="34"/>
      <c r="O87" s="34"/>
      <c r="P87" s="34"/>
      <c r="Q87" s="53" t="s">
        <v>763</v>
      </c>
      <c r="R87" s="40" t="s">
        <v>815</v>
      </c>
      <c r="S87" s="41" t="s">
        <v>2</v>
      </c>
      <c r="T87" s="42" t="s">
        <v>810</v>
      </c>
      <c r="U87" s="42" t="s">
        <v>811</v>
      </c>
      <c r="V87" s="44">
        <v>759.68</v>
      </c>
      <c r="W87" s="52"/>
      <c r="X87" s="49"/>
      <c r="Y87" s="44">
        <f t="shared" si="4"/>
        <v>759.68</v>
      </c>
      <c r="Z87" s="45"/>
      <c r="AA87" s="46"/>
      <c r="AB87" s="47"/>
      <c r="AC87" s="47"/>
      <c r="AD87" s="47"/>
      <c r="AE87" s="47"/>
      <c r="AF87" s="47"/>
      <c r="AG87" s="44"/>
      <c r="AH87" s="44"/>
      <c r="AI87" s="44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4"/>
      <c r="BB87" s="44"/>
      <c r="BC87" s="44"/>
      <c r="BD87" s="44"/>
      <c r="BE87" s="44"/>
      <c r="BF87" s="48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9"/>
      <c r="BS87" s="44"/>
      <c r="BT87" s="44"/>
      <c r="BU87" s="44"/>
      <c r="BV87" s="44"/>
      <c r="BX87" s="44"/>
      <c r="BZ87" s="44">
        <v>759.68</v>
      </c>
      <c r="CA87" s="44"/>
      <c r="CB87" s="44"/>
      <c r="CC87" s="44"/>
      <c r="CD87" s="43"/>
      <c r="CE87" s="44"/>
      <c r="CF87" s="65"/>
      <c r="CG87" s="44"/>
      <c r="CH87" s="44"/>
      <c r="CI87" s="44"/>
      <c r="CK87" s="44"/>
      <c r="CL87" s="44">
        <v>759.68</v>
      </c>
      <c r="CN87" s="44"/>
      <c r="CO87" s="44"/>
      <c r="CP87" s="44"/>
      <c r="CQ87" s="44"/>
      <c r="CR87" s="44"/>
      <c r="CS87" s="44"/>
      <c r="CT87" s="44"/>
      <c r="CU87" s="44"/>
      <c r="CV87" s="44"/>
      <c r="CX87" s="44"/>
      <c r="CY87" s="44"/>
      <c r="CZ87" s="50"/>
      <c r="DA87" s="44"/>
      <c r="DB87" s="44"/>
      <c r="DC87" s="44"/>
      <c r="DD87" s="44"/>
      <c r="DF87" s="44"/>
      <c r="DH87" s="44"/>
      <c r="DI87" s="44"/>
      <c r="DJ87" s="129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7"/>
      <c r="EA87" s="47"/>
      <c r="EB87" s="47"/>
    </row>
    <row r="88" spans="3:132" s="32" customFormat="1" ht="27.6">
      <c r="C88" s="76">
        <v>44218</v>
      </c>
      <c r="D88" s="34" t="s">
        <v>759</v>
      </c>
      <c r="E88" s="286" t="s">
        <v>809</v>
      </c>
      <c r="F88" s="36">
        <v>0.70763888888888893</v>
      </c>
      <c r="G88" s="36">
        <v>0.70833333333333337</v>
      </c>
      <c r="H88" s="55" t="s">
        <v>0</v>
      </c>
      <c r="I88" s="38">
        <v>2</v>
      </c>
      <c r="J88" s="39">
        <v>761</v>
      </c>
      <c r="K88" s="51" t="str">
        <f>VLOOKUP(J88,'[2]Chart of accounts'!A:H,2,FALSE)</f>
        <v>50203090 00</v>
      </c>
      <c r="L88" s="39"/>
      <c r="M88" s="39"/>
      <c r="N88" s="34"/>
      <c r="O88" s="34"/>
      <c r="P88" s="34"/>
      <c r="Q88" s="53" t="s">
        <v>3</v>
      </c>
      <c r="R88" s="40" t="s">
        <v>816</v>
      </c>
      <c r="S88" s="41" t="s">
        <v>2</v>
      </c>
      <c r="T88" s="42" t="s">
        <v>810</v>
      </c>
      <c r="U88" s="42" t="s">
        <v>811</v>
      </c>
      <c r="V88" s="44">
        <v>8431.59</v>
      </c>
      <c r="W88" s="52"/>
      <c r="X88" s="49"/>
      <c r="Y88" s="44">
        <f t="shared" si="4"/>
        <v>8431.59</v>
      </c>
      <c r="Z88" s="45"/>
      <c r="AA88" s="46"/>
      <c r="AB88" s="47"/>
      <c r="AC88" s="47"/>
      <c r="AD88" s="47"/>
      <c r="AE88" s="47"/>
      <c r="AF88" s="47"/>
      <c r="AG88" s="44"/>
      <c r="AH88" s="44"/>
      <c r="AI88" s="44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4"/>
      <c r="BB88" s="44"/>
      <c r="BC88" s="44"/>
      <c r="BD88" s="44"/>
      <c r="BE88" s="44"/>
      <c r="BF88" s="48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9"/>
      <c r="BS88" s="44"/>
      <c r="BT88" s="44"/>
      <c r="BU88" s="44"/>
      <c r="BV88" s="44">
        <v>8431.59</v>
      </c>
      <c r="BX88" s="44"/>
      <c r="BY88" s="50"/>
      <c r="BZ88" s="44"/>
      <c r="CA88" s="44"/>
      <c r="CB88" s="44"/>
      <c r="CC88" s="44"/>
      <c r="CD88" s="43"/>
      <c r="CE88" s="44"/>
      <c r="CF88" s="65"/>
      <c r="CG88" s="44"/>
      <c r="CH88" s="44"/>
      <c r="CI88" s="44"/>
      <c r="CK88" s="44"/>
      <c r="CL88" s="44">
        <v>8431.59</v>
      </c>
      <c r="CN88" s="44"/>
      <c r="CO88" s="44"/>
      <c r="CP88" s="44"/>
      <c r="CQ88" s="44"/>
      <c r="CR88" s="44"/>
      <c r="CS88" s="44"/>
      <c r="CT88" s="44"/>
      <c r="CU88" s="44"/>
      <c r="CV88" s="44"/>
      <c r="CX88" s="44"/>
      <c r="CY88" s="44"/>
      <c r="CZ88" s="50"/>
      <c r="DA88" s="44"/>
      <c r="DB88" s="44"/>
      <c r="DC88" s="44"/>
      <c r="DD88" s="44"/>
      <c r="DF88" s="44"/>
      <c r="DH88" s="44"/>
      <c r="DI88" s="44"/>
      <c r="DJ88" s="129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7"/>
      <c r="EA88" s="47"/>
      <c r="EB88" s="47"/>
    </row>
    <row r="89" spans="3:132" s="32" customFormat="1" ht="27.6">
      <c r="C89" s="76">
        <v>44221</v>
      </c>
      <c r="D89" s="34" t="s">
        <v>759</v>
      </c>
      <c r="E89" s="286" t="s">
        <v>817</v>
      </c>
      <c r="F89" s="36">
        <v>0.59027777777777779</v>
      </c>
      <c r="G89" s="36">
        <v>0.59097222222222223</v>
      </c>
      <c r="H89" s="55" t="s">
        <v>0</v>
      </c>
      <c r="I89" s="38">
        <v>2</v>
      </c>
      <c r="J89" s="39">
        <v>783</v>
      </c>
      <c r="K89" s="51" t="str">
        <f>VLOOKUP(J89,'[2]Chart of accounts'!A:H,2,FALSE)</f>
        <v>50299030 00</v>
      </c>
      <c r="L89" s="39"/>
      <c r="M89" s="39"/>
      <c r="N89" s="34"/>
      <c r="O89" s="34"/>
      <c r="P89" s="34"/>
      <c r="Q89" s="53" t="s">
        <v>3</v>
      </c>
      <c r="R89" s="53" t="s">
        <v>3</v>
      </c>
      <c r="S89" s="41" t="s">
        <v>788</v>
      </c>
      <c r="T89" s="42" t="s">
        <v>818</v>
      </c>
      <c r="U89" s="42" t="s">
        <v>819</v>
      </c>
      <c r="V89" s="44">
        <v>7800</v>
      </c>
      <c r="W89" s="52"/>
      <c r="X89" s="49"/>
      <c r="Y89" s="44">
        <f t="shared" si="4"/>
        <v>7800</v>
      </c>
      <c r="Z89" s="45"/>
      <c r="AA89" s="46"/>
      <c r="AB89" s="47"/>
      <c r="AC89" s="47"/>
      <c r="AD89" s="47"/>
      <c r="AE89" s="47"/>
      <c r="AF89" s="47"/>
      <c r="AG89" s="44"/>
      <c r="AH89" s="44"/>
      <c r="AI89" s="44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4"/>
      <c r="BB89" s="44"/>
      <c r="BC89" s="44"/>
      <c r="BD89" s="44"/>
      <c r="BE89" s="44"/>
      <c r="BF89" s="48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9"/>
      <c r="BS89" s="44"/>
      <c r="BT89" s="44"/>
      <c r="BU89" s="44"/>
      <c r="BV89" s="44">
        <v>7800</v>
      </c>
      <c r="BW89" s="47"/>
      <c r="BX89" s="44"/>
      <c r="BY89" s="50"/>
      <c r="BZ89" s="44"/>
      <c r="CA89" s="44"/>
      <c r="CB89" s="44"/>
      <c r="CC89" s="44"/>
      <c r="CD89" s="43"/>
      <c r="CE89" s="44"/>
      <c r="CF89" s="65"/>
      <c r="CG89" s="44"/>
      <c r="CH89" s="44"/>
      <c r="CI89" s="44"/>
      <c r="CK89" s="44"/>
      <c r="CL89" s="44"/>
      <c r="CN89" s="44"/>
      <c r="CO89" s="44"/>
      <c r="CP89" s="44"/>
      <c r="CQ89" s="44"/>
      <c r="CR89" s="44"/>
      <c r="CS89" s="44"/>
      <c r="CT89" s="44"/>
      <c r="CU89" s="44"/>
      <c r="CV89" s="44"/>
      <c r="CX89" s="44"/>
      <c r="CY89" s="44"/>
      <c r="CZ89" s="44">
        <v>7800</v>
      </c>
      <c r="DA89" s="44"/>
      <c r="DB89" s="44"/>
      <c r="DC89" s="44"/>
      <c r="DD89" s="44"/>
      <c r="DF89" s="44"/>
      <c r="DH89" s="44"/>
      <c r="DI89" s="44"/>
      <c r="DJ89" s="129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7"/>
      <c r="EA89" s="47"/>
      <c r="EB89" s="47"/>
    </row>
    <row r="90" spans="3:132" s="32" customFormat="1" ht="27.6">
      <c r="C90" s="76">
        <v>44221</v>
      </c>
      <c r="D90" s="34" t="s">
        <v>759</v>
      </c>
      <c r="E90" s="286" t="s">
        <v>824</v>
      </c>
      <c r="F90" s="36">
        <v>0.59097222222222223</v>
      </c>
      <c r="G90" s="36">
        <v>0.59236111111111112</v>
      </c>
      <c r="H90" s="55" t="s">
        <v>0</v>
      </c>
      <c r="I90" s="38">
        <v>2</v>
      </c>
      <c r="J90" s="39">
        <v>783</v>
      </c>
      <c r="K90" s="51" t="str">
        <f>VLOOKUP(J90,'[2]Chart of accounts'!A:H,2,FALSE)</f>
        <v>50299030 00</v>
      </c>
      <c r="L90" s="39"/>
      <c r="M90" s="39"/>
      <c r="N90" s="34"/>
      <c r="O90" s="34"/>
      <c r="P90" s="34"/>
      <c r="Q90" s="53" t="s">
        <v>3</v>
      </c>
      <c r="R90" s="53" t="s">
        <v>3</v>
      </c>
      <c r="S90" s="41" t="s">
        <v>776</v>
      </c>
      <c r="T90" s="42" t="s">
        <v>820</v>
      </c>
      <c r="U90" s="42" t="s">
        <v>819</v>
      </c>
      <c r="V90" s="44">
        <v>7800</v>
      </c>
      <c r="W90" s="52"/>
      <c r="X90" s="49"/>
      <c r="Y90" s="44">
        <f t="shared" si="4"/>
        <v>7800</v>
      </c>
      <c r="Z90" s="45"/>
      <c r="AA90" s="46"/>
      <c r="AB90" s="47"/>
      <c r="AC90" s="47"/>
      <c r="AD90" s="47"/>
      <c r="AE90" s="47"/>
      <c r="AF90" s="47"/>
      <c r="AG90" s="44"/>
      <c r="AH90" s="44"/>
      <c r="AI90" s="44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4"/>
      <c r="BB90" s="44"/>
      <c r="BC90" s="44"/>
      <c r="BD90" s="44"/>
      <c r="BE90" s="44"/>
      <c r="BF90" s="48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9"/>
      <c r="BS90" s="44"/>
      <c r="BT90" s="44"/>
      <c r="BU90" s="44"/>
      <c r="BV90" s="44">
        <v>7800</v>
      </c>
      <c r="BW90" s="47"/>
      <c r="BX90" s="44"/>
      <c r="BY90" s="50"/>
      <c r="BZ90" s="44"/>
      <c r="CA90" s="44"/>
      <c r="CB90" s="44"/>
      <c r="CC90" s="44"/>
      <c r="CD90" s="43"/>
      <c r="CE90" s="44"/>
      <c r="CF90" s="65"/>
      <c r="CG90" s="44"/>
      <c r="CH90" s="44"/>
      <c r="CI90" s="44"/>
      <c r="CK90" s="44"/>
      <c r="CL90" s="44"/>
      <c r="CN90" s="44"/>
      <c r="CO90" s="44"/>
      <c r="CP90" s="44"/>
      <c r="CQ90" s="44"/>
      <c r="CR90" s="44"/>
      <c r="CS90" s="44"/>
      <c r="CT90" s="44"/>
      <c r="CU90" s="44"/>
      <c r="CV90" s="44"/>
      <c r="CX90" s="44"/>
      <c r="CY90" s="44"/>
      <c r="CZ90" s="44">
        <v>7800</v>
      </c>
      <c r="DA90" s="44"/>
      <c r="DB90" s="44"/>
      <c r="DC90" s="44"/>
      <c r="DD90" s="44"/>
      <c r="DF90" s="44"/>
      <c r="DH90" s="44"/>
      <c r="DI90" s="44"/>
      <c r="DJ90" s="129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7"/>
      <c r="EA90" s="47"/>
      <c r="EB90" s="47"/>
    </row>
    <row r="91" spans="3:132" s="32" customFormat="1" ht="27.6">
      <c r="C91" s="76">
        <v>44221</v>
      </c>
      <c r="D91" s="34" t="s">
        <v>759</v>
      </c>
      <c r="E91" s="286" t="s">
        <v>825</v>
      </c>
      <c r="F91" s="36">
        <v>0.59236111111111112</v>
      </c>
      <c r="G91" s="36">
        <v>0.59305555555555556</v>
      </c>
      <c r="H91" s="55" t="s">
        <v>0</v>
      </c>
      <c r="I91" s="38">
        <v>2</v>
      </c>
      <c r="J91" s="39">
        <v>783</v>
      </c>
      <c r="K91" s="51" t="str">
        <f>VLOOKUP(J91,'[2]Chart of accounts'!A:H,2,FALSE)</f>
        <v>50299030 00</v>
      </c>
      <c r="L91" s="39"/>
      <c r="M91" s="39"/>
      <c r="N91" s="34"/>
      <c r="O91" s="34"/>
      <c r="P91" s="34"/>
      <c r="Q91" s="53" t="s">
        <v>3</v>
      </c>
      <c r="R91" s="53" t="s">
        <v>3</v>
      </c>
      <c r="S91" s="41" t="s">
        <v>769</v>
      </c>
      <c r="T91" s="42" t="s">
        <v>821</v>
      </c>
      <c r="U91" s="42" t="s">
        <v>819</v>
      </c>
      <c r="V91" s="44">
        <v>7800</v>
      </c>
      <c r="W91" s="52"/>
      <c r="X91" s="49"/>
      <c r="Y91" s="44">
        <f t="shared" si="4"/>
        <v>7800</v>
      </c>
      <c r="Z91" s="45"/>
      <c r="AA91" s="46"/>
      <c r="AB91" s="47"/>
      <c r="AC91" s="47"/>
      <c r="AD91" s="47"/>
      <c r="AE91" s="47"/>
      <c r="AF91" s="47"/>
      <c r="AG91" s="44"/>
      <c r="AH91" s="44"/>
      <c r="AI91" s="44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4"/>
      <c r="BB91" s="44"/>
      <c r="BC91" s="44"/>
      <c r="BD91" s="44"/>
      <c r="BE91" s="44"/>
      <c r="BF91" s="48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9"/>
      <c r="BS91" s="44"/>
      <c r="BT91" s="44"/>
      <c r="BU91" s="44"/>
      <c r="BV91" s="44">
        <v>7800</v>
      </c>
      <c r="BW91" s="47"/>
      <c r="BX91" s="44"/>
      <c r="BY91" s="50"/>
      <c r="BZ91" s="44"/>
      <c r="CA91" s="44"/>
      <c r="CB91" s="44"/>
      <c r="CC91" s="44"/>
      <c r="CD91" s="43"/>
      <c r="CE91" s="44"/>
      <c r="CF91" s="65"/>
      <c r="CG91" s="44"/>
      <c r="CH91" s="44"/>
      <c r="CI91" s="44"/>
      <c r="CK91" s="44"/>
      <c r="CL91" s="44"/>
      <c r="CN91" s="44"/>
      <c r="CO91" s="44"/>
      <c r="CP91" s="44"/>
      <c r="CQ91" s="44"/>
      <c r="CR91" s="44"/>
      <c r="CS91" s="44"/>
      <c r="CT91" s="44"/>
      <c r="CU91" s="44"/>
      <c r="CV91" s="44"/>
      <c r="CX91" s="44"/>
      <c r="CY91" s="44"/>
      <c r="CZ91" s="44">
        <v>7800</v>
      </c>
      <c r="DA91" s="44"/>
      <c r="DB91" s="44"/>
      <c r="DC91" s="44"/>
      <c r="DD91" s="44"/>
      <c r="DF91" s="44"/>
      <c r="DH91" s="44"/>
      <c r="DI91" s="44"/>
      <c r="DJ91" s="129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7"/>
      <c r="EA91" s="47"/>
      <c r="EB91" s="47"/>
    </row>
    <row r="92" spans="3:132" s="32" customFormat="1" ht="27.6">
      <c r="C92" s="76">
        <v>44221</v>
      </c>
      <c r="D92" s="34" t="s">
        <v>759</v>
      </c>
      <c r="E92" s="286" t="s">
        <v>826</v>
      </c>
      <c r="F92" s="36">
        <v>0.59305555555555556</v>
      </c>
      <c r="G92" s="36">
        <v>0.59375</v>
      </c>
      <c r="H92" s="55" t="s">
        <v>0</v>
      </c>
      <c r="I92" s="38">
        <v>2</v>
      </c>
      <c r="J92" s="39">
        <v>783</v>
      </c>
      <c r="K92" s="51" t="str">
        <f>VLOOKUP(J92,'[2]Chart of accounts'!A:H,2,FALSE)</f>
        <v>50299030 00</v>
      </c>
      <c r="L92" s="39"/>
      <c r="M92" s="39"/>
      <c r="N92" s="34"/>
      <c r="O92" s="34"/>
      <c r="P92" s="34"/>
      <c r="Q92" s="53" t="s">
        <v>3</v>
      </c>
      <c r="R92" s="53" t="s">
        <v>3</v>
      </c>
      <c r="S92" s="41" t="s">
        <v>771</v>
      </c>
      <c r="T92" s="42" t="s">
        <v>822</v>
      </c>
      <c r="U92" s="42" t="s">
        <v>819</v>
      </c>
      <c r="V92" s="44">
        <v>7800</v>
      </c>
      <c r="W92" s="52"/>
      <c r="X92" s="49"/>
      <c r="Y92" s="44">
        <f t="shared" si="4"/>
        <v>7800</v>
      </c>
      <c r="Z92" s="45"/>
      <c r="AA92" s="46"/>
      <c r="AB92" s="47"/>
      <c r="AC92" s="47"/>
      <c r="AD92" s="47"/>
      <c r="AE92" s="47"/>
      <c r="AF92" s="47"/>
      <c r="AG92" s="44"/>
      <c r="AH92" s="44"/>
      <c r="AI92" s="44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4"/>
      <c r="BB92" s="44"/>
      <c r="BC92" s="44"/>
      <c r="BD92" s="44"/>
      <c r="BE92" s="44"/>
      <c r="BF92" s="48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9"/>
      <c r="BS92" s="44"/>
      <c r="BT92" s="44"/>
      <c r="BU92" s="44"/>
      <c r="BV92" s="44">
        <v>7800</v>
      </c>
      <c r="BW92" s="47"/>
      <c r="BX92" s="44"/>
      <c r="BY92" s="50"/>
      <c r="BZ92" s="44"/>
      <c r="CA92" s="44"/>
      <c r="CB92" s="44"/>
      <c r="CC92" s="44"/>
      <c r="CD92" s="43"/>
      <c r="CE92" s="44"/>
      <c r="CF92" s="65"/>
      <c r="CG92" s="44"/>
      <c r="CH92" s="44"/>
      <c r="CI92" s="44"/>
      <c r="CK92" s="44"/>
      <c r="CL92" s="44"/>
      <c r="CN92" s="44"/>
      <c r="CO92" s="44"/>
      <c r="CP92" s="44"/>
      <c r="CQ92" s="44"/>
      <c r="CR92" s="44"/>
      <c r="CS92" s="44"/>
      <c r="CT92" s="44"/>
      <c r="CU92" s="44"/>
      <c r="CV92" s="44"/>
      <c r="CX92" s="44"/>
      <c r="CY92" s="44"/>
      <c r="CZ92" s="44">
        <v>7800</v>
      </c>
      <c r="DA92" s="44"/>
      <c r="DB92" s="44"/>
      <c r="DC92" s="44"/>
      <c r="DD92" s="44"/>
      <c r="DF92" s="44"/>
      <c r="DH92" s="44"/>
      <c r="DI92" s="44"/>
      <c r="DJ92" s="129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7"/>
      <c r="EA92" s="47"/>
      <c r="EB92" s="47"/>
    </row>
    <row r="93" spans="3:132" s="32" customFormat="1" ht="27.6">
      <c r="C93" s="76">
        <v>44221</v>
      </c>
      <c r="D93" s="34" t="s">
        <v>759</v>
      </c>
      <c r="E93" s="286" t="s">
        <v>827</v>
      </c>
      <c r="F93" s="36">
        <v>0.59375</v>
      </c>
      <c r="G93" s="36">
        <v>0.59444444444444444</v>
      </c>
      <c r="H93" s="55" t="s">
        <v>0</v>
      </c>
      <c r="I93" s="38">
        <v>2</v>
      </c>
      <c r="J93" s="39">
        <v>783</v>
      </c>
      <c r="K93" s="51" t="str">
        <f>VLOOKUP(J93,'[2]Chart of accounts'!A:H,2,FALSE)</f>
        <v>50299030 00</v>
      </c>
      <c r="L93" s="39"/>
      <c r="M93" s="39"/>
      <c r="N93" s="34"/>
      <c r="O93" s="34"/>
      <c r="P93" s="34"/>
      <c r="Q93" s="53" t="s">
        <v>3</v>
      </c>
      <c r="R93" s="53" t="s">
        <v>3</v>
      </c>
      <c r="S93" s="41" t="s">
        <v>770</v>
      </c>
      <c r="T93" s="42" t="s">
        <v>823</v>
      </c>
      <c r="U93" s="42" t="s">
        <v>819</v>
      </c>
      <c r="V93" s="44">
        <v>7800</v>
      </c>
      <c r="W93" s="52"/>
      <c r="X93" s="49"/>
      <c r="Y93" s="44">
        <f t="shared" si="4"/>
        <v>7800</v>
      </c>
      <c r="Z93" s="45"/>
      <c r="AA93" s="46"/>
      <c r="AB93" s="47"/>
      <c r="AC93" s="47"/>
      <c r="AD93" s="47"/>
      <c r="AE93" s="47"/>
      <c r="AF93" s="47"/>
      <c r="AG93" s="44"/>
      <c r="AH93" s="44"/>
      <c r="AI93" s="44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4"/>
      <c r="BB93" s="44"/>
      <c r="BC93" s="44"/>
      <c r="BD93" s="44"/>
      <c r="BE93" s="44"/>
      <c r="BF93" s="48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9"/>
      <c r="BS93" s="44"/>
      <c r="BT93" s="44"/>
      <c r="BU93" s="44"/>
      <c r="BV93" s="44">
        <v>7800</v>
      </c>
      <c r="BW93" s="47"/>
      <c r="BX93" s="44"/>
      <c r="BY93" s="50"/>
      <c r="BZ93" s="44"/>
      <c r="CA93" s="44"/>
      <c r="CB93" s="44"/>
      <c r="CC93" s="44"/>
      <c r="CD93" s="43"/>
      <c r="CE93" s="44"/>
      <c r="CF93" s="65"/>
      <c r="CG93" s="44"/>
      <c r="CH93" s="44"/>
      <c r="CI93" s="44"/>
      <c r="CK93" s="44"/>
      <c r="CL93" s="44"/>
      <c r="CN93" s="44"/>
      <c r="CO93" s="44"/>
      <c r="CP93" s="44"/>
      <c r="CQ93" s="44"/>
      <c r="CR93" s="44"/>
      <c r="CS93" s="44"/>
      <c r="CT93" s="44"/>
      <c r="CU93" s="44"/>
      <c r="CV93" s="44"/>
      <c r="CX93" s="44"/>
      <c r="CY93" s="44"/>
      <c r="CZ93" s="44">
        <v>7800</v>
      </c>
      <c r="DA93" s="44"/>
      <c r="DB93" s="44"/>
      <c r="DC93" s="44"/>
      <c r="DD93" s="44"/>
      <c r="DF93" s="44"/>
      <c r="DH93" s="44"/>
      <c r="DI93" s="44"/>
      <c r="DJ93" s="129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7"/>
      <c r="EA93" s="47"/>
      <c r="EB93" s="47"/>
    </row>
    <row r="94" spans="3:132" s="32" customFormat="1" ht="27.6">
      <c r="C94" s="76">
        <v>44222</v>
      </c>
      <c r="D94" s="34" t="s">
        <v>759</v>
      </c>
      <c r="E94" s="286" t="s">
        <v>829</v>
      </c>
      <c r="F94" s="36">
        <v>0.46666666666666662</v>
      </c>
      <c r="G94" s="36">
        <v>0.46736111111111112</v>
      </c>
      <c r="H94" s="55" t="s">
        <v>0</v>
      </c>
      <c r="I94" s="38">
        <v>2</v>
      </c>
      <c r="J94" s="39" t="s">
        <v>828</v>
      </c>
      <c r="K94" s="51" t="str">
        <f>VLOOKUP(J94,'[2]Chart of accounts'!A:H,2,FALSE)</f>
        <v>50604050 03</v>
      </c>
      <c r="L94" s="39"/>
      <c r="M94" s="39"/>
      <c r="N94" s="34"/>
      <c r="O94" s="34"/>
      <c r="P94" s="34"/>
      <c r="Q94" s="53" t="s">
        <v>4</v>
      </c>
      <c r="R94" s="40" t="s">
        <v>753</v>
      </c>
      <c r="S94" s="41" t="s">
        <v>2</v>
      </c>
      <c r="T94" s="42" t="s">
        <v>830</v>
      </c>
      <c r="U94" s="42" t="s">
        <v>831</v>
      </c>
      <c r="V94" s="44">
        <v>59500</v>
      </c>
      <c r="W94" s="52"/>
      <c r="X94" s="49"/>
      <c r="Y94" s="44">
        <f t="shared" si="4"/>
        <v>59500</v>
      </c>
      <c r="Z94" s="45"/>
      <c r="AA94" s="46"/>
      <c r="AB94" s="47"/>
      <c r="AC94" s="47"/>
      <c r="AD94" s="47"/>
      <c r="AE94" s="47"/>
      <c r="AF94" s="47"/>
      <c r="AG94" s="44"/>
      <c r="AH94" s="44"/>
      <c r="AI94" s="44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4"/>
      <c r="BB94" s="44"/>
      <c r="BC94" s="44"/>
      <c r="BD94" s="44"/>
      <c r="BE94" s="44"/>
      <c r="BF94" s="48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9"/>
      <c r="BS94" s="44"/>
      <c r="BT94" s="44"/>
      <c r="BU94" s="44"/>
      <c r="BV94" s="44"/>
      <c r="BW94" s="47"/>
      <c r="BX94" s="44"/>
      <c r="BY94" s="44">
        <v>59500</v>
      </c>
      <c r="BZ94" s="44"/>
      <c r="CA94" s="44"/>
      <c r="CB94" s="44"/>
      <c r="CC94" s="44"/>
      <c r="CD94" s="43"/>
      <c r="CE94" s="44"/>
      <c r="CF94" s="65"/>
      <c r="CG94" s="44"/>
      <c r="CH94" s="44"/>
      <c r="CI94" s="44"/>
      <c r="CK94" s="44"/>
      <c r="CL94" s="44"/>
      <c r="CN94" s="44"/>
      <c r="CO94" s="44"/>
      <c r="CP94" s="44"/>
      <c r="CQ94" s="44"/>
      <c r="CR94" s="44"/>
      <c r="CS94" s="44"/>
      <c r="CT94" s="44"/>
      <c r="CU94" s="44"/>
      <c r="CV94" s="44"/>
      <c r="CX94" s="44"/>
      <c r="CY94" s="44"/>
      <c r="CZ94" s="50"/>
      <c r="DA94" s="44"/>
      <c r="DB94" s="44"/>
      <c r="DC94" s="44"/>
      <c r="DD94" s="44"/>
      <c r="DF94" s="44"/>
      <c r="DH94" s="44"/>
      <c r="DI94" s="44"/>
      <c r="DJ94" s="129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7"/>
      <c r="EA94" s="44">
        <v>59500</v>
      </c>
      <c r="EB94" s="47"/>
    </row>
    <row r="95" spans="3:132" s="32" customFormat="1" ht="27.6">
      <c r="C95" s="76">
        <v>44222</v>
      </c>
      <c r="D95" s="34" t="s">
        <v>759</v>
      </c>
      <c r="E95" s="286" t="s">
        <v>832</v>
      </c>
      <c r="F95" s="36">
        <v>0.6430555555555556</v>
      </c>
      <c r="G95" s="36">
        <v>0.64444444444444449</v>
      </c>
      <c r="H95" s="55" t="s">
        <v>0</v>
      </c>
      <c r="I95" s="38">
        <v>1</v>
      </c>
      <c r="J95" s="39">
        <v>701</v>
      </c>
      <c r="K95" s="51" t="str">
        <f>VLOOKUP(J95,'[2]Chart of accounts'!A:H,2,FALSE)</f>
        <v>50101010 01</v>
      </c>
      <c r="L95" s="39"/>
      <c r="M95" s="39"/>
      <c r="N95" s="34"/>
      <c r="O95" s="34"/>
      <c r="P95" s="34"/>
      <c r="Q95" s="53" t="s">
        <v>1</v>
      </c>
      <c r="R95" s="53" t="s">
        <v>1</v>
      </c>
      <c r="S95" s="41" t="s">
        <v>2</v>
      </c>
      <c r="T95" s="42" t="s">
        <v>833</v>
      </c>
      <c r="U95" s="42" t="s">
        <v>834</v>
      </c>
      <c r="V95" s="44">
        <v>14112.73</v>
      </c>
      <c r="W95" s="52"/>
      <c r="X95" s="44">
        <v>14112.73</v>
      </c>
      <c r="Y95" s="44">
        <f t="shared" si="4"/>
        <v>0</v>
      </c>
      <c r="Z95" s="45"/>
      <c r="AA95" s="46"/>
      <c r="AB95" s="47"/>
      <c r="AC95" s="47"/>
      <c r="AD95" s="47"/>
      <c r="AE95" s="47"/>
      <c r="AF95" s="47"/>
      <c r="AG95" s="44"/>
      <c r="AH95" s="44"/>
      <c r="AI95" s="44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4"/>
      <c r="BB95" s="44"/>
      <c r="BC95" s="44"/>
      <c r="BD95" s="44"/>
      <c r="BE95" s="44">
        <v>14112.73</v>
      </c>
      <c r="BF95" s="48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9"/>
      <c r="BS95" s="44"/>
      <c r="BT95" s="44"/>
      <c r="BU95" s="44"/>
      <c r="BV95" s="44">
        <v>14112.73</v>
      </c>
      <c r="BW95" s="47"/>
      <c r="BX95" s="44"/>
      <c r="BY95" s="50"/>
      <c r="BZ95" s="44"/>
      <c r="CA95" s="44"/>
      <c r="CB95" s="44"/>
      <c r="CC95" s="44"/>
      <c r="CD95" s="43"/>
      <c r="CE95" s="44"/>
      <c r="CF95" s="65"/>
      <c r="CG95" s="44"/>
      <c r="CH95" s="44"/>
      <c r="CI95" s="44"/>
      <c r="CK95" s="44"/>
      <c r="CL95" s="44"/>
      <c r="CN95" s="44"/>
      <c r="CO95" s="44"/>
      <c r="CP95" s="44"/>
      <c r="CQ95" s="44"/>
      <c r="CR95" s="44"/>
      <c r="CS95" s="44"/>
      <c r="CT95" s="44"/>
      <c r="CU95" s="44"/>
      <c r="CV95" s="44"/>
      <c r="CX95" s="44"/>
      <c r="CY95" s="44"/>
      <c r="CZ95" s="50"/>
      <c r="DA95" s="44"/>
      <c r="DB95" s="44"/>
      <c r="DC95" s="44"/>
      <c r="DD95" s="44"/>
      <c r="DF95" s="44"/>
      <c r="DH95" s="44"/>
      <c r="DI95" s="44"/>
      <c r="DJ95" s="129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7"/>
      <c r="EA95" s="47"/>
      <c r="EB95" s="47"/>
    </row>
    <row r="96" spans="3:132" s="32" customFormat="1" ht="27.6">
      <c r="C96" s="76">
        <v>44222</v>
      </c>
      <c r="D96" s="34" t="s">
        <v>759</v>
      </c>
      <c r="E96" s="286" t="s">
        <v>832</v>
      </c>
      <c r="F96" s="36">
        <v>0.6430555555555556</v>
      </c>
      <c r="G96" s="36">
        <v>0.64444444444444449</v>
      </c>
      <c r="H96" s="55" t="s">
        <v>0</v>
      </c>
      <c r="I96" s="38">
        <v>1</v>
      </c>
      <c r="J96" s="39">
        <v>711</v>
      </c>
      <c r="K96" s="51" t="str">
        <f>VLOOKUP(J96,'[2]Chart of accounts'!A:H,2,FALSE)</f>
        <v>50102010 01</v>
      </c>
      <c r="L96" s="39"/>
      <c r="M96" s="39"/>
      <c r="N96" s="34"/>
      <c r="O96" s="34"/>
      <c r="P96" s="34"/>
      <c r="Q96" s="53" t="s">
        <v>1</v>
      </c>
      <c r="R96" s="53" t="s">
        <v>1</v>
      </c>
      <c r="S96" s="41" t="s">
        <v>2</v>
      </c>
      <c r="T96" s="42" t="s">
        <v>833</v>
      </c>
      <c r="U96" s="42" t="s">
        <v>834</v>
      </c>
      <c r="V96" s="44">
        <v>1818.18</v>
      </c>
      <c r="W96" s="52"/>
      <c r="X96" s="44">
        <v>1818.18</v>
      </c>
      <c r="Y96" s="44">
        <f t="shared" si="4"/>
        <v>0</v>
      </c>
      <c r="Z96" s="45"/>
      <c r="AA96" s="46"/>
      <c r="AB96" s="47"/>
      <c r="AC96" s="47"/>
      <c r="AD96" s="47"/>
      <c r="AE96" s="47"/>
      <c r="AF96" s="47"/>
      <c r="AG96" s="44"/>
      <c r="AH96" s="44"/>
      <c r="AI96" s="44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4"/>
      <c r="BB96" s="44"/>
      <c r="BC96" s="44"/>
      <c r="BD96" s="44"/>
      <c r="BF96" s="48"/>
      <c r="BG96" s="44">
        <v>1818.18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9"/>
      <c r="BS96" s="44"/>
      <c r="BT96" s="44"/>
      <c r="BU96" s="44"/>
      <c r="BV96" s="44">
        <v>1818.18</v>
      </c>
      <c r="BW96" s="47"/>
      <c r="BX96" s="44"/>
      <c r="BY96" s="50"/>
      <c r="BZ96" s="44"/>
      <c r="CA96" s="44"/>
      <c r="CB96" s="44"/>
      <c r="CC96" s="44"/>
      <c r="CD96" s="43"/>
      <c r="CE96" s="44"/>
      <c r="CF96" s="65"/>
      <c r="CG96" s="44"/>
      <c r="CH96" s="44"/>
      <c r="CI96" s="44"/>
      <c r="CK96" s="44"/>
      <c r="CL96" s="44"/>
      <c r="CN96" s="44"/>
      <c r="CO96" s="44"/>
      <c r="CP96" s="44"/>
      <c r="CQ96" s="44"/>
      <c r="CR96" s="44"/>
      <c r="CS96" s="44"/>
      <c r="CT96" s="44"/>
      <c r="CU96" s="44"/>
      <c r="CV96" s="44"/>
      <c r="CX96" s="44"/>
      <c r="CY96" s="44"/>
      <c r="CZ96" s="50"/>
      <c r="DA96" s="44"/>
      <c r="DB96" s="44"/>
      <c r="DC96" s="44"/>
      <c r="DD96" s="44"/>
      <c r="DE96" s="44"/>
      <c r="DF96" s="44"/>
      <c r="DH96" s="44"/>
      <c r="DI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7"/>
      <c r="EA96" s="47"/>
      <c r="EB96" s="47"/>
    </row>
    <row r="97" spans="3:132" s="32" customFormat="1" ht="27.6">
      <c r="C97" s="76">
        <v>44222</v>
      </c>
      <c r="D97" s="34" t="s">
        <v>759</v>
      </c>
      <c r="E97" s="286" t="s">
        <v>832</v>
      </c>
      <c r="F97" s="36">
        <v>0.6430555555555556</v>
      </c>
      <c r="G97" s="36">
        <v>0.64444444444444449</v>
      </c>
      <c r="H97" s="55" t="s">
        <v>0</v>
      </c>
      <c r="I97" s="38">
        <v>1</v>
      </c>
      <c r="J97" s="39">
        <v>731</v>
      </c>
      <c r="K97" s="51" t="str">
        <f>VLOOKUP(J97,'[2]Chart of accounts'!A:H,2,FALSE)</f>
        <v>50103010 00</v>
      </c>
      <c r="L97" s="39"/>
      <c r="M97" s="39"/>
      <c r="N97" s="34"/>
      <c r="O97" s="34"/>
      <c r="P97" s="34"/>
      <c r="Q97" s="53" t="s">
        <v>1</v>
      </c>
      <c r="R97" s="53" t="s">
        <v>1</v>
      </c>
      <c r="S97" s="41" t="s">
        <v>2</v>
      </c>
      <c r="T97" s="42" t="s">
        <v>833</v>
      </c>
      <c r="U97" s="42" t="s">
        <v>834</v>
      </c>
      <c r="V97" s="50">
        <v>1682.6</v>
      </c>
      <c r="W97" s="52"/>
      <c r="X97" s="50">
        <v>1682.6</v>
      </c>
      <c r="Y97" s="44">
        <f t="shared" si="4"/>
        <v>0</v>
      </c>
      <c r="Z97" s="45"/>
      <c r="AA97" s="46"/>
      <c r="AB97" s="47"/>
      <c r="AC97" s="47"/>
      <c r="AD97" s="47"/>
      <c r="AE97" s="47"/>
      <c r="AF97" s="47"/>
      <c r="AG97" s="44"/>
      <c r="AH97" s="44"/>
      <c r="AI97" s="44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4"/>
      <c r="BB97" s="44"/>
      <c r="BC97" s="44"/>
      <c r="BD97" s="44"/>
      <c r="BF97" s="48"/>
      <c r="BG97" s="44"/>
      <c r="BH97" s="44"/>
      <c r="BI97" s="44"/>
      <c r="BJ97" s="44"/>
      <c r="BK97" s="44"/>
      <c r="BL97" s="44"/>
      <c r="BM97" s="44"/>
      <c r="BN97" s="44"/>
      <c r="BO97" s="50">
        <v>1682.6</v>
      </c>
      <c r="BP97" s="44"/>
      <c r="BQ97" s="44"/>
      <c r="BR97" s="49"/>
      <c r="BS97" s="44"/>
      <c r="BT97" s="44"/>
      <c r="BU97" s="44"/>
      <c r="BV97" s="50">
        <v>1682.6</v>
      </c>
      <c r="BW97" s="47"/>
      <c r="BX97" s="44"/>
      <c r="BY97" s="50"/>
      <c r="BZ97" s="44"/>
      <c r="CA97" s="44"/>
      <c r="CB97" s="44"/>
      <c r="CC97" s="44"/>
      <c r="CD97" s="43">
        <f>SUM(CF97:EB97)-Y97</f>
        <v>0</v>
      </c>
      <c r="CE97" s="44"/>
      <c r="CF97" s="65"/>
      <c r="CG97" s="44"/>
      <c r="CH97" s="44"/>
      <c r="CI97" s="44"/>
      <c r="CJ97" s="47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50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7"/>
      <c r="EA97" s="47"/>
      <c r="EB97" s="47"/>
    </row>
    <row r="98" spans="3:132" s="32" customFormat="1" ht="27.6">
      <c r="C98" s="76">
        <v>44222</v>
      </c>
      <c r="D98" s="34" t="s">
        <v>759</v>
      </c>
      <c r="E98" s="286" t="s">
        <v>832</v>
      </c>
      <c r="F98" s="36">
        <v>0.6430555555555556</v>
      </c>
      <c r="G98" s="36">
        <v>0.64444444444444449</v>
      </c>
      <c r="H98" s="55" t="s">
        <v>0</v>
      </c>
      <c r="I98" s="38">
        <v>1</v>
      </c>
      <c r="J98" s="39">
        <v>732</v>
      </c>
      <c r="K98" s="51" t="str">
        <f>VLOOKUP(J98,'[2]Chart of accounts'!A:H,2,FALSE)</f>
        <v>50103020 01</v>
      </c>
      <c r="L98" s="55"/>
      <c r="M98" s="55"/>
      <c r="N98" s="56"/>
      <c r="O98" s="56"/>
      <c r="P98" s="56"/>
      <c r="Q98" s="53" t="s">
        <v>1</v>
      </c>
      <c r="R98" s="53" t="s">
        <v>1</v>
      </c>
      <c r="S98" s="41" t="s">
        <v>2</v>
      </c>
      <c r="T98" s="42" t="s">
        <v>833</v>
      </c>
      <c r="U98" s="42" t="s">
        <v>834</v>
      </c>
      <c r="V98" s="50">
        <v>100</v>
      </c>
      <c r="W98" s="52"/>
      <c r="X98" s="50">
        <v>100</v>
      </c>
      <c r="Y98" s="44">
        <f t="shared" si="4"/>
        <v>0</v>
      </c>
      <c r="Z98" s="45"/>
      <c r="AA98" s="46"/>
      <c r="AB98" s="47"/>
      <c r="AC98" s="47"/>
      <c r="AD98" s="47"/>
      <c r="AE98" s="47"/>
      <c r="AF98" s="47"/>
      <c r="AG98" s="44"/>
      <c r="AH98" s="44"/>
      <c r="AI98" s="44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4"/>
      <c r="BB98" s="44"/>
      <c r="BC98" s="44"/>
      <c r="BD98" s="44"/>
      <c r="BF98" s="48"/>
      <c r="BG98" s="44"/>
      <c r="BH98" s="44"/>
      <c r="BI98" s="44"/>
      <c r="BJ98" s="44"/>
      <c r="BK98" s="44"/>
      <c r="BL98" s="44"/>
      <c r="BM98" s="44"/>
      <c r="BN98" s="44"/>
      <c r="BP98" s="50">
        <v>100</v>
      </c>
      <c r="BQ98" s="44"/>
      <c r="BR98" s="49"/>
      <c r="BS98" s="44"/>
      <c r="BT98" s="44"/>
      <c r="BU98" s="44"/>
      <c r="BV98" s="50">
        <v>100</v>
      </c>
      <c r="BW98" s="47"/>
      <c r="BX98" s="44"/>
      <c r="BY98" s="50"/>
      <c r="BZ98" s="44"/>
      <c r="CA98" s="44"/>
      <c r="CB98" s="44"/>
      <c r="CC98" s="44"/>
      <c r="CD98" s="43">
        <f>SUM(CF98:EB98)-Y98</f>
        <v>0</v>
      </c>
      <c r="CE98" s="44"/>
      <c r="CF98" s="65"/>
      <c r="CG98" s="44"/>
      <c r="CH98" s="44"/>
      <c r="CI98" s="44"/>
      <c r="CJ98" s="47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50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7"/>
      <c r="EA98" s="47"/>
      <c r="EB98" s="47"/>
    </row>
    <row r="99" spans="3:132" s="32" customFormat="1" ht="27.6">
      <c r="C99" s="76">
        <v>44222</v>
      </c>
      <c r="D99" s="34" t="s">
        <v>759</v>
      </c>
      <c r="E99" s="286" t="s">
        <v>832</v>
      </c>
      <c r="F99" s="36">
        <v>0.6430555555555556</v>
      </c>
      <c r="G99" s="36">
        <v>0.64444444444444449</v>
      </c>
      <c r="H99" s="55" t="s">
        <v>0</v>
      </c>
      <c r="I99" s="38">
        <v>1</v>
      </c>
      <c r="J99" s="55">
        <v>733</v>
      </c>
      <c r="K99" s="51" t="str">
        <f>VLOOKUP(J99,'[2]Chart of accounts'!A:H,2,FALSE)</f>
        <v>50103030 01</v>
      </c>
      <c r="L99" s="55"/>
      <c r="M99" s="55"/>
      <c r="N99" s="56"/>
      <c r="O99" s="56"/>
      <c r="P99" s="56"/>
      <c r="Q99" s="53" t="s">
        <v>1</v>
      </c>
      <c r="R99" s="53" t="s">
        <v>1</v>
      </c>
      <c r="S99" s="41" t="s">
        <v>2</v>
      </c>
      <c r="T99" s="42" t="s">
        <v>833</v>
      </c>
      <c r="U99" s="42" t="s">
        <v>834</v>
      </c>
      <c r="V99" s="50">
        <v>232.86</v>
      </c>
      <c r="W99" s="52"/>
      <c r="X99" s="50">
        <v>232.86</v>
      </c>
      <c r="Y99" s="44">
        <f t="shared" si="4"/>
        <v>0</v>
      </c>
      <c r="Z99" s="45"/>
      <c r="AA99" s="46"/>
      <c r="AB99" s="47"/>
      <c r="AC99" s="47"/>
      <c r="AD99" s="47"/>
      <c r="AE99" s="47"/>
      <c r="AF99" s="47"/>
      <c r="AG99" s="44"/>
      <c r="AH99" s="44"/>
      <c r="AI99" s="44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4"/>
      <c r="BB99" s="44"/>
      <c r="BC99" s="44"/>
      <c r="BD99" s="44"/>
      <c r="BF99" s="48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50">
        <v>232.86</v>
      </c>
      <c r="BR99" s="49"/>
      <c r="BS99" s="44"/>
      <c r="BT99" s="44"/>
      <c r="BU99" s="44"/>
      <c r="BV99" s="50">
        <v>232.86</v>
      </c>
      <c r="BW99" s="47"/>
      <c r="BX99" s="44"/>
      <c r="BY99" s="50"/>
      <c r="BZ99" s="44"/>
      <c r="CA99" s="44"/>
      <c r="CB99" s="44"/>
      <c r="CC99" s="44"/>
      <c r="CD99" s="43">
        <f>SUM(CF99:EB99)-Y99</f>
        <v>0</v>
      </c>
      <c r="CE99" s="44"/>
      <c r="CF99" s="65"/>
      <c r="CG99" s="44"/>
      <c r="CH99" s="44"/>
      <c r="CI99" s="44"/>
      <c r="CJ99" s="47"/>
      <c r="CK99" s="44"/>
      <c r="CL99" s="44"/>
      <c r="CM99" s="44"/>
      <c r="CN99" s="44"/>
      <c r="CO99" s="44"/>
      <c r="CP99" s="44"/>
      <c r="CQ99" s="44"/>
      <c r="CR99" s="50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7"/>
      <c r="EA99" s="47"/>
      <c r="EB99" s="47"/>
    </row>
    <row r="100" spans="3:132" s="32" customFormat="1" ht="27.6">
      <c r="C100" s="76">
        <v>44222</v>
      </c>
      <c r="D100" s="34" t="s">
        <v>759</v>
      </c>
      <c r="E100" s="286" t="s">
        <v>832</v>
      </c>
      <c r="F100" s="36">
        <v>0.6430555555555556</v>
      </c>
      <c r="G100" s="36">
        <v>0.64444444444444449</v>
      </c>
      <c r="H100" s="55" t="s">
        <v>0</v>
      </c>
      <c r="I100" s="38">
        <v>1</v>
      </c>
      <c r="J100" s="55">
        <v>734</v>
      </c>
      <c r="K100" s="51" t="str">
        <f>VLOOKUP(J100,'[2]Chart of accounts'!A:H,2,FALSE)</f>
        <v>50103040 01</v>
      </c>
      <c r="L100" s="55"/>
      <c r="M100" s="55"/>
      <c r="N100" s="56"/>
      <c r="O100" s="56"/>
      <c r="P100" s="56"/>
      <c r="Q100" s="53" t="s">
        <v>1</v>
      </c>
      <c r="R100" s="53" t="s">
        <v>1</v>
      </c>
      <c r="S100" s="41" t="s">
        <v>2</v>
      </c>
      <c r="T100" s="42" t="s">
        <v>833</v>
      </c>
      <c r="U100" s="42" t="s">
        <v>834</v>
      </c>
      <c r="V100" s="50">
        <v>100</v>
      </c>
      <c r="W100" s="52"/>
      <c r="X100" s="50">
        <v>100</v>
      </c>
      <c r="Y100" s="44">
        <f t="shared" si="4"/>
        <v>0</v>
      </c>
      <c r="Z100" s="45"/>
      <c r="AA100" s="46"/>
      <c r="AB100" s="47"/>
      <c r="AC100" s="47"/>
      <c r="AD100" s="47"/>
      <c r="AE100" s="47"/>
      <c r="AF100" s="47"/>
      <c r="AG100" s="44"/>
      <c r="AH100" s="44"/>
      <c r="AI100" s="44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4"/>
      <c r="BB100" s="44"/>
      <c r="BC100" s="44"/>
      <c r="BD100" s="44"/>
      <c r="BF100" s="48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R100" s="50">
        <v>100</v>
      </c>
      <c r="BS100" s="44"/>
      <c r="BT100" s="44"/>
      <c r="BU100" s="44"/>
      <c r="BV100" s="50">
        <v>100</v>
      </c>
      <c r="BW100" s="47"/>
      <c r="BX100" s="44"/>
      <c r="BY100" s="44"/>
      <c r="BZ100" s="44"/>
      <c r="CA100" s="44"/>
      <c r="CB100" s="44"/>
      <c r="CC100" s="44"/>
      <c r="CD100" s="43">
        <f>SUM(CF100:EB100)-Y100</f>
        <v>0</v>
      </c>
      <c r="CE100" s="44"/>
      <c r="CF100" s="44"/>
      <c r="CG100" s="44"/>
      <c r="CH100" s="44"/>
      <c r="CI100" s="44"/>
      <c r="CJ100" s="47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7"/>
      <c r="EA100" s="47"/>
      <c r="EB100" s="47"/>
    </row>
    <row r="101" spans="3:132" s="32" customFormat="1" ht="27.6">
      <c r="C101" s="76">
        <v>44223</v>
      </c>
      <c r="D101" s="34" t="s">
        <v>759</v>
      </c>
      <c r="E101" s="286" t="s">
        <v>835</v>
      </c>
      <c r="F101" s="36">
        <v>0.48958333333333331</v>
      </c>
      <c r="G101" s="36">
        <v>0.49027777777777781</v>
      </c>
      <c r="H101" s="37" t="s">
        <v>0</v>
      </c>
      <c r="I101" s="38">
        <v>2</v>
      </c>
      <c r="J101" s="39">
        <v>766</v>
      </c>
      <c r="K101" s="51" t="str">
        <f>VLOOKUP(J101,'[2]Chart of accounts'!A:H,2,FALSE)</f>
        <v>50204010 00</v>
      </c>
      <c r="L101" s="39"/>
      <c r="M101" s="39"/>
      <c r="N101" s="34"/>
      <c r="O101" s="34"/>
      <c r="P101" s="34"/>
      <c r="Q101" s="40" t="s">
        <v>3</v>
      </c>
      <c r="R101" s="40" t="s">
        <v>3</v>
      </c>
      <c r="S101" s="78" t="s">
        <v>2</v>
      </c>
      <c r="T101" s="42" t="s">
        <v>836</v>
      </c>
      <c r="U101" s="42" t="s">
        <v>837</v>
      </c>
      <c r="V101" s="44">
        <v>3675</v>
      </c>
      <c r="W101" s="52"/>
      <c r="X101" s="49"/>
      <c r="Y101" s="44">
        <f t="shared" si="4"/>
        <v>3675</v>
      </c>
      <c r="Z101" s="45"/>
      <c r="AA101" s="46"/>
      <c r="AB101" s="47"/>
      <c r="AC101" s="47"/>
      <c r="AD101" s="47"/>
      <c r="AE101" s="47"/>
      <c r="AF101" s="47"/>
      <c r="AG101" s="44"/>
      <c r="AH101" s="44"/>
      <c r="AI101" s="44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4"/>
      <c r="BB101" s="44"/>
      <c r="BC101" s="44"/>
      <c r="BD101" s="44"/>
      <c r="BE101" s="44"/>
      <c r="BF101" s="48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9"/>
      <c r="BS101" s="44"/>
      <c r="BT101" s="44"/>
      <c r="BU101" s="44"/>
      <c r="BV101" s="44">
        <v>3675</v>
      </c>
      <c r="BW101" s="47"/>
      <c r="BX101" s="44"/>
      <c r="BY101" s="44"/>
      <c r="BZ101" s="44"/>
      <c r="CA101" s="44"/>
      <c r="CB101" s="44"/>
      <c r="CC101" s="44"/>
      <c r="CD101" s="43">
        <f>SUM(CH101:EB101)-Y101</f>
        <v>0</v>
      </c>
      <c r="CE101" s="44"/>
      <c r="CF101" s="44"/>
      <c r="CG101" s="44"/>
      <c r="CH101" s="44"/>
      <c r="CI101" s="44"/>
      <c r="CJ101" s="47"/>
      <c r="CK101" s="44"/>
      <c r="CL101" s="44"/>
      <c r="CM101" s="44"/>
      <c r="CN101" s="44">
        <v>3675</v>
      </c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7"/>
      <c r="EA101" s="47"/>
      <c r="EB101" s="47"/>
    </row>
    <row r="102" spans="3:132" s="32" customFormat="1" ht="27.6">
      <c r="C102" s="76">
        <v>44223</v>
      </c>
      <c r="D102" s="34" t="s">
        <v>759</v>
      </c>
      <c r="E102" s="286" t="s">
        <v>838</v>
      </c>
      <c r="F102" s="36">
        <v>0.49027777777777781</v>
      </c>
      <c r="G102" s="36">
        <v>0.4909722222222222</v>
      </c>
      <c r="H102" s="39" t="s">
        <v>0</v>
      </c>
      <c r="I102" s="34">
        <v>2</v>
      </c>
      <c r="J102" s="39">
        <v>766</v>
      </c>
      <c r="K102" s="51" t="str">
        <f>VLOOKUP(J102,'[2]Chart of accounts'!A:H,2,FALSE)</f>
        <v>50204010 00</v>
      </c>
      <c r="L102" s="39"/>
      <c r="M102" s="39"/>
      <c r="N102" s="34"/>
      <c r="O102" s="34"/>
      <c r="P102" s="34"/>
      <c r="Q102" s="40" t="s">
        <v>4</v>
      </c>
      <c r="R102" s="40" t="s">
        <v>4</v>
      </c>
      <c r="S102" s="78" t="s">
        <v>2</v>
      </c>
      <c r="T102" s="42" t="s">
        <v>839</v>
      </c>
      <c r="U102" s="42" t="s">
        <v>840</v>
      </c>
      <c r="V102" s="44">
        <v>10895.41</v>
      </c>
      <c r="W102" s="52"/>
      <c r="X102" s="49"/>
      <c r="Y102" s="44">
        <f t="shared" si="4"/>
        <v>10895.41</v>
      </c>
      <c r="Z102" s="45"/>
      <c r="AA102" s="46"/>
      <c r="AB102" s="47"/>
      <c r="AC102" s="47"/>
      <c r="AD102" s="47"/>
      <c r="AE102" s="47"/>
      <c r="AF102" s="47"/>
      <c r="AG102" s="44"/>
      <c r="AH102" s="44"/>
      <c r="AI102" s="44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4"/>
      <c r="BB102" s="44"/>
      <c r="BC102" s="44"/>
      <c r="BD102" s="44"/>
      <c r="BE102" s="44"/>
      <c r="BF102" s="48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9"/>
      <c r="BS102" s="44"/>
      <c r="BT102" s="44"/>
      <c r="BU102" s="44"/>
      <c r="BW102" s="47"/>
      <c r="BX102" s="44"/>
      <c r="BY102" s="44">
        <v>10895.41</v>
      </c>
      <c r="BZ102" s="44"/>
      <c r="CA102" s="44"/>
      <c r="CB102" s="44"/>
      <c r="CC102" s="44"/>
      <c r="CD102" s="43">
        <f>SUM(CH102:EB102)-Y102</f>
        <v>0</v>
      </c>
      <c r="CE102" s="44"/>
      <c r="CF102" s="44"/>
      <c r="CG102" s="44"/>
      <c r="CH102" s="44"/>
      <c r="CI102" s="44"/>
      <c r="CJ102" s="47"/>
      <c r="CK102" s="44"/>
      <c r="CL102" s="44"/>
      <c r="CM102" s="44"/>
      <c r="CN102" s="44">
        <v>10895.41</v>
      </c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7"/>
      <c r="EA102" s="47"/>
      <c r="EB102" s="47"/>
    </row>
    <row r="103" spans="3:132" s="32" customFormat="1" ht="27.6">
      <c r="C103" s="76">
        <v>44223</v>
      </c>
      <c r="D103" s="34" t="s">
        <v>759</v>
      </c>
      <c r="E103" s="286" t="s">
        <v>841</v>
      </c>
      <c r="F103" s="36">
        <v>0.4916666666666667</v>
      </c>
      <c r="G103" s="36">
        <v>0.49444444444444446</v>
      </c>
      <c r="H103" s="39" t="s">
        <v>0</v>
      </c>
      <c r="I103" s="34">
        <v>2</v>
      </c>
      <c r="J103" s="39">
        <v>795</v>
      </c>
      <c r="K103" s="51" t="str">
        <f>VLOOKUP(J103,'[2]Chart of accounts'!A:H,2,FALSE)</f>
        <v>50212990 00</v>
      </c>
      <c r="L103" s="39"/>
      <c r="M103" s="39"/>
      <c r="N103" s="34"/>
      <c r="O103" s="34"/>
      <c r="P103" s="34"/>
      <c r="Q103" s="40" t="s">
        <v>3</v>
      </c>
      <c r="R103" s="40" t="s">
        <v>3</v>
      </c>
      <c r="S103" s="78" t="s">
        <v>2</v>
      </c>
      <c r="T103" s="42" t="s">
        <v>843</v>
      </c>
      <c r="U103" s="42" t="s">
        <v>842</v>
      </c>
      <c r="V103" s="44">
        <v>2480</v>
      </c>
      <c r="W103" s="52"/>
      <c r="X103" s="49"/>
      <c r="Y103" s="44">
        <f t="shared" si="4"/>
        <v>2480</v>
      </c>
      <c r="Z103" s="45"/>
      <c r="AA103" s="46"/>
      <c r="AB103" s="47"/>
      <c r="AC103" s="47"/>
      <c r="AD103" s="47"/>
      <c r="AE103" s="47"/>
      <c r="AF103" s="47"/>
      <c r="AG103" s="44"/>
      <c r="AH103" s="44"/>
      <c r="AI103" s="44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4"/>
      <c r="BB103" s="44"/>
      <c r="BC103" s="44"/>
      <c r="BD103" s="44"/>
      <c r="BE103" s="44"/>
      <c r="BF103" s="48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9"/>
      <c r="BS103" s="44"/>
      <c r="BT103" s="44"/>
      <c r="BU103" s="44"/>
      <c r="BV103" s="44">
        <v>2480</v>
      </c>
      <c r="BW103" s="47"/>
      <c r="BX103" s="44"/>
      <c r="BY103" s="44"/>
      <c r="BZ103" s="44"/>
      <c r="CA103" s="44"/>
      <c r="CB103" s="44"/>
      <c r="CC103" s="44"/>
      <c r="CD103" s="43">
        <f>SUM(CH103:EB103)-Y103</f>
        <v>0</v>
      </c>
      <c r="CE103" s="44"/>
      <c r="CF103" s="44"/>
      <c r="CG103" s="44"/>
      <c r="CH103" s="44"/>
      <c r="CI103" s="44"/>
      <c r="CJ103" s="47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2480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7"/>
      <c r="EA103" s="47"/>
      <c r="EB103" s="47"/>
    </row>
    <row r="104" spans="3:132" s="32" customFormat="1" ht="27.6">
      <c r="C104" s="76">
        <v>44223</v>
      </c>
      <c r="D104" s="34" t="s">
        <v>759</v>
      </c>
      <c r="E104" s="286" t="s">
        <v>841</v>
      </c>
      <c r="F104" s="36">
        <v>0.4916666666666667</v>
      </c>
      <c r="G104" s="36">
        <v>0.49444444444444446</v>
      </c>
      <c r="H104" s="39" t="s">
        <v>0</v>
      </c>
      <c r="I104" s="34">
        <v>2</v>
      </c>
      <c r="J104" s="39">
        <v>796</v>
      </c>
      <c r="K104" s="51" t="str">
        <f>VLOOKUP(J104,'[2]Chart of accounts'!A:H,2,FALSE)</f>
        <v>50212020 00</v>
      </c>
      <c r="L104" s="39"/>
      <c r="M104" s="39"/>
      <c r="N104" s="34"/>
      <c r="O104" s="34"/>
      <c r="P104" s="34"/>
      <c r="Q104" s="40" t="s">
        <v>3</v>
      </c>
      <c r="R104" s="40" t="s">
        <v>3</v>
      </c>
      <c r="S104" s="78" t="s">
        <v>2</v>
      </c>
      <c r="T104" s="42" t="s">
        <v>843</v>
      </c>
      <c r="U104" s="42" t="s">
        <v>842</v>
      </c>
      <c r="V104" s="44">
        <f>3600+4000</f>
        <v>7600</v>
      </c>
      <c r="W104" s="52"/>
      <c r="X104" s="49"/>
      <c r="Y104" s="44">
        <f t="shared" si="4"/>
        <v>7600</v>
      </c>
      <c r="Z104" s="45"/>
      <c r="AA104" s="46"/>
      <c r="AB104" s="47"/>
      <c r="AC104" s="47"/>
      <c r="AD104" s="47"/>
      <c r="AE104" s="47"/>
      <c r="AF104" s="47"/>
      <c r="AG104" s="44"/>
      <c r="AH104" s="44"/>
      <c r="AI104" s="44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4"/>
      <c r="BB104" s="44"/>
      <c r="BC104" s="44"/>
      <c r="BD104" s="44"/>
      <c r="BE104" s="44"/>
      <c r="BF104" s="48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9"/>
      <c r="BS104" s="44"/>
      <c r="BT104" s="44"/>
      <c r="BU104" s="44"/>
      <c r="BV104" s="44">
        <f>3600+4000</f>
        <v>7600</v>
      </c>
      <c r="BW104" s="47"/>
      <c r="BX104" s="44"/>
      <c r="BY104" s="44"/>
      <c r="BZ104" s="44"/>
      <c r="CA104" s="44"/>
      <c r="CB104" s="44"/>
      <c r="CC104" s="44"/>
      <c r="CD104" s="43"/>
      <c r="CE104" s="44"/>
      <c r="CF104" s="44"/>
      <c r="CG104" s="44"/>
      <c r="CH104" s="44"/>
      <c r="CI104" s="44"/>
      <c r="CJ104" s="47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/>
      <c r="DH104" s="44">
        <f>3600+4000</f>
        <v>7600</v>
      </c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7"/>
      <c r="EA104" s="47"/>
      <c r="EB104" s="47"/>
    </row>
    <row r="105" spans="3:132" s="32" customFormat="1" ht="27.6">
      <c r="C105" s="76">
        <v>44223</v>
      </c>
      <c r="D105" s="34" t="s">
        <v>759</v>
      </c>
      <c r="E105" s="286" t="s">
        <v>841</v>
      </c>
      <c r="F105" s="36">
        <v>0.4916666666666667</v>
      </c>
      <c r="G105" s="36">
        <v>0.49444444444444446</v>
      </c>
      <c r="H105" s="39" t="s">
        <v>0</v>
      </c>
      <c r="I105" s="34">
        <v>2</v>
      </c>
      <c r="J105" s="39">
        <v>799</v>
      </c>
      <c r="K105" s="51" t="str">
        <f>VLOOKUP(J105,'[2]Chart of accounts'!A:H,2,FALSE)</f>
        <v>50211990 00</v>
      </c>
      <c r="L105" s="39"/>
      <c r="M105" s="39"/>
      <c r="N105" s="34"/>
      <c r="O105" s="34"/>
      <c r="P105" s="34"/>
      <c r="Q105" s="40" t="s">
        <v>844</v>
      </c>
      <c r="R105" s="40" t="s">
        <v>844</v>
      </c>
      <c r="S105" s="78" t="s">
        <v>2</v>
      </c>
      <c r="T105" s="42" t="s">
        <v>843</v>
      </c>
      <c r="U105" s="42" t="s">
        <v>842</v>
      </c>
      <c r="V105" s="44">
        <v>4000</v>
      </c>
      <c r="W105" s="52"/>
      <c r="X105" s="49"/>
      <c r="Y105" s="44">
        <f t="shared" si="4"/>
        <v>4000</v>
      </c>
      <c r="Z105" s="45"/>
      <c r="AA105" s="46"/>
      <c r="AB105" s="47"/>
      <c r="AC105" s="47"/>
      <c r="AD105" s="47"/>
      <c r="AE105" s="47"/>
      <c r="AF105" s="47"/>
      <c r="AG105" s="44"/>
      <c r="AH105" s="44"/>
      <c r="AI105" s="44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4"/>
      <c r="BB105" s="44"/>
      <c r="BC105" s="44"/>
      <c r="BD105" s="44"/>
      <c r="BE105" s="44"/>
      <c r="BF105" s="48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9"/>
      <c r="BS105" s="44"/>
      <c r="BT105" s="44"/>
      <c r="BU105" s="44"/>
      <c r="BW105" s="47"/>
      <c r="BX105" s="44"/>
      <c r="BY105" s="44">
        <v>4000</v>
      </c>
      <c r="BZ105" s="44"/>
      <c r="CA105" s="44"/>
      <c r="CB105" s="44"/>
      <c r="CC105" s="44"/>
      <c r="CD105" s="43"/>
      <c r="CE105" s="44"/>
      <c r="CF105" s="44"/>
      <c r="CG105" s="44"/>
      <c r="CH105" s="44"/>
      <c r="CI105" s="44"/>
      <c r="CJ105" s="47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>
        <v>4000</v>
      </c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7"/>
      <c r="EA105" s="47"/>
      <c r="EB105" s="47"/>
    </row>
    <row r="106" spans="3:132" s="32" customFormat="1" ht="41.4">
      <c r="C106" s="76">
        <v>44223</v>
      </c>
      <c r="D106" s="34" t="s">
        <v>759</v>
      </c>
      <c r="E106" s="286" t="s">
        <v>846</v>
      </c>
      <c r="F106" s="36">
        <v>0.49513888888888885</v>
      </c>
      <c r="G106" s="36">
        <v>0.49583333333333335</v>
      </c>
      <c r="H106" s="39" t="s">
        <v>0</v>
      </c>
      <c r="I106" s="34">
        <v>2</v>
      </c>
      <c r="J106" s="39">
        <v>969</v>
      </c>
      <c r="K106" s="51" t="str">
        <f>VLOOKUP(J106,'[2]Chart of accounts'!A:H,2,FALSE)</f>
        <v>50299990 99</v>
      </c>
      <c r="L106" s="39"/>
      <c r="M106" s="39"/>
      <c r="N106" s="34"/>
      <c r="O106" s="34"/>
      <c r="P106" s="34"/>
      <c r="Q106" s="40" t="s">
        <v>3</v>
      </c>
      <c r="R106" s="40" t="s">
        <v>3</v>
      </c>
      <c r="S106" s="78" t="s">
        <v>2</v>
      </c>
      <c r="T106" s="42" t="s">
        <v>847</v>
      </c>
      <c r="U106" s="42" t="s">
        <v>848</v>
      </c>
      <c r="V106" s="44">
        <v>1880</v>
      </c>
      <c r="W106" s="52"/>
      <c r="X106" s="49"/>
      <c r="Y106" s="44">
        <f t="shared" si="4"/>
        <v>1880</v>
      </c>
      <c r="Z106" s="45"/>
      <c r="AA106" s="46"/>
      <c r="AB106" s="47"/>
      <c r="AC106" s="47"/>
      <c r="AD106" s="47"/>
      <c r="AE106" s="47"/>
      <c r="AF106" s="47"/>
      <c r="AG106" s="44"/>
      <c r="AH106" s="44"/>
      <c r="AI106" s="44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4"/>
      <c r="BB106" s="44"/>
      <c r="BC106" s="44"/>
      <c r="BD106" s="44"/>
      <c r="BE106" s="44"/>
      <c r="BF106" s="48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9"/>
      <c r="BS106" s="44"/>
      <c r="BT106" s="44"/>
      <c r="BU106" s="44"/>
      <c r="BV106" s="44">
        <v>1880</v>
      </c>
      <c r="BW106" s="47"/>
      <c r="BX106" s="44"/>
      <c r="BY106" s="44"/>
      <c r="BZ106" s="44"/>
      <c r="CA106" s="44"/>
      <c r="CB106" s="44"/>
      <c r="CC106" s="44"/>
      <c r="CD106" s="43"/>
      <c r="CE106" s="44"/>
      <c r="CF106" s="44"/>
      <c r="CG106" s="44"/>
      <c r="CH106" s="44"/>
      <c r="CI106" s="44"/>
      <c r="CJ106" s="47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>
        <v>1880</v>
      </c>
      <c r="DZ106" s="47"/>
      <c r="EA106" s="47"/>
      <c r="EB106" s="47"/>
    </row>
    <row r="107" spans="3:132" s="411" customFormat="1" ht="27.6">
      <c r="C107" s="402">
        <v>44224</v>
      </c>
      <c r="D107" s="403" t="s">
        <v>759</v>
      </c>
      <c r="E107" s="404" t="s">
        <v>851</v>
      </c>
      <c r="F107" s="405">
        <v>0.42222222222222222</v>
      </c>
      <c r="G107" s="405">
        <v>0.42222222222222222</v>
      </c>
      <c r="H107" s="406" t="s">
        <v>0</v>
      </c>
      <c r="I107" s="403">
        <v>2</v>
      </c>
      <c r="J107" s="406">
        <v>782</v>
      </c>
      <c r="K107" s="406" t="str">
        <f>VLOOKUP(J107,'[2]Chart of accounts'!A:H,2,FALSE)</f>
        <v>50299050 01</v>
      </c>
      <c r="L107" s="406"/>
      <c r="M107" s="406"/>
      <c r="N107" s="403"/>
      <c r="O107" s="403"/>
      <c r="P107" s="403"/>
      <c r="Q107" s="407" t="s">
        <v>3</v>
      </c>
      <c r="R107" s="407" t="s">
        <v>3</v>
      </c>
      <c r="S107" s="408" t="s">
        <v>2</v>
      </c>
      <c r="T107" s="409" t="s">
        <v>852</v>
      </c>
      <c r="U107" s="409" t="s">
        <v>853</v>
      </c>
      <c r="V107" s="65"/>
      <c r="W107" s="46"/>
      <c r="X107" s="64"/>
      <c r="Y107" s="65">
        <f t="shared" si="4"/>
        <v>0</v>
      </c>
      <c r="Z107" s="45"/>
      <c r="AA107" s="46"/>
      <c r="AB107" s="45"/>
      <c r="AC107" s="45"/>
      <c r="AD107" s="45"/>
      <c r="AE107" s="45"/>
      <c r="AF107" s="45"/>
      <c r="AG107" s="65"/>
      <c r="AH107" s="65"/>
      <c r="AI107" s="6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65"/>
      <c r="BB107" s="65"/>
      <c r="BC107" s="65"/>
      <c r="BD107" s="65"/>
      <c r="BE107" s="65"/>
      <c r="BF107" s="410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4"/>
      <c r="BS107" s="65"/>
      <c r="BT107" s="65"/>
      <c r="BU107" s="65"/>
      <c r="BV107" s="65"/>
      <c r="BW107" s="45"/>
      <c r="BX107" s="65"/>
      <c r="BY107" s="65"/>
      <c r="BZ107" s="65"/>
      <c r="CA107" s="65"/>
      <c r="CB107" s="65"/>
      <c r="CC107" s="65"/>
      <c r="CD107" s="63"/>
      <c r="CE107" s="65"/>
      <c r="CF107" s="65"/>
      <c r="CG107" s="65"/>
      <c r="CH107" s="65"/>
      <c r="CI107" s="65"/>
      <c r="CJ107" s="4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45"/>
      <c r="EA107" s="45"/>
      <c r="EB107" s="45"/>
    </row>
    <row r="108" spans="3:132" s="32" customFormat="1" ht="27.6">
      <c r="C108" s="76">
        <v>44224</v>
      </c>
      <c r="D108" s="34" t="s">
        <v>759</v>
      </c>
      <c r="E108" s="286" t="s">
        <v>854</v>
      </c>
      <c r="F108" s="36">
        <v>0.44166666666666665</v>
      </c>
      <c r="G108" s="36">
        <v>0.4465277777777778</v>
      </c>
      <c r="H108" s="39" t="s">
        <v>0</v>
      </c>
      <c r="I108" s="34">
        <v>2</v>
      </c>
      <c r="J108" s="39">
        <v>792</v>
      </c>
      <c r="K108" s="51" t="str">
        <f>VLOOKUP(J108,'[2]Chart of accounts'!A:H,2,FALSE)</f>
        <v>50211020 00</v>
      </c>
      <c r="L108" s="39"/>
      <c r="M108" s="39"/>
      <c r="N108" s="34"/>
      <c r="O108" s="34"/>
      <c r="P108" s="34"/>
      <c r="Q108" s="40" t="s">
        <v>3</v>
      </c>
      <c r="R108" s="40" t="s">
        <v>3</v>
      </c>
      <c r="S108" s="78" t="s">
        <v>2</v>
      </c>
      <c r="T108" s="42" t="s">
        <v>843</v>
      </c>
      <c r="U108" s="42" t="s">
        <v>855</v>
      </c>
      <c r="V108" s="44">
        <v>5534</v>
      </c>
      <c r="W108" s="52"/>
      <c r="X108" s="49"/>
      <c r="Y108" s="44">
        <f t="shared" si="4"/>
        <v>5534</v>
      </c>
      <c r="Z108" s="45"/>
      <c r="AA108" s="46"/>
      <c r="AB108" s="47"/>
      <c r="AC108" s="47"/>
      <c r="AD108" s="47"/>
      <c r="AE108" s="47"/>
      <c r="AF108" s="47"/>
      <c r="AG108" s="44"/>
      <c r="AH108" s="44"/>
      <c r="AI108" s="44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4"/>
      <c r="BB108" s="44"/>
      <c r="BC108" s="44"/>
      <c r="BD108" s="44"/>
      <c r="BE108" s="44"/>
      <c r="BF108" s="48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9"/>
      <c r="BS108" s="44"/>
      <c r="BT108" s="44"/>
      <c r="BU108" s="44"/>
      <c r="BV108" s="44">
        <v>5534</v>
      </c>
      <c r="BW108" s="47"/>
      <c r="BX108" s="44"/>
      <c r="BY108" s="44"/>
      <c r="BZ108" s="44"/>
      <c r="CA108" s="44"/>
      <c r="CB108" s="44"/>
      <c r="CC108" s="44"/>
      <c r="CD108" s="43"/>
      <c r="CE108" s="44"/>
      <c r="CF108" s="44"/>
      <c r="CG108" s="44"/>
      <c r="CH108" s="44"/>
      <c r="CI108" s="44"/>
      <c r="CJ108" s="47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4"/>
      <c r="DE108" s="44">
        <v>5534</v>
      </c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7"/>
      <c r="EA108" s="47"/>
      <c r="EB108" s="47"/>
    </row>
    <row r="109" spans="3:132" s="32" customFormat="1" ht="27.6">
      <c r="C109" s="76">
        <v>44224</v>
      </c>
      <c r="D109" s="34" t="s">
        <v>759</v>
      </c>
      <c r="E109" s="286" t="s">
        <v>854</v>
      </c>
      <c r="F109" s="36">
        <v>0.44166666666666665</v>
      </c>
      <c r="G109" s="36">
        <v>0.4465277777777778</v>
      </c>
      <c r="H109" s="39" t="s">
        <v>0</v>
      </c>
      <c r="I109" s="34">
        <v>2</v>
      </c>
      <c r="J109" s="39">
        <v>795</v>
      </c>
      <c r="K109" s="51" t="str">
        <f>VLOOKUP(J109,'[2]Chart of accounts'!A:H,2,FALSE)</f>
        <v>50212990 00</v>
      </c>
      <c r="L109" s="39"/>
      <c r="M109" s="39"/>
      <c r="N109" s="34"/>
      <c r="O109" s="34"/>
      <c r="P109" s="34"/>
      <c r="Q109" s="40" t="s">
        <v>3</v>
      </c>
      <c r="R109" s="40" t="s">
        <v>3</v>
      </c>
      <c r="S109" s="78" t="s">
        <v>2</v>
      </c>
      <c r="T109" s="42" t="s">
        <v>843</v>
      </c>
      <c r="U109" s="42" t="s">
        <v>855</v>
      </c>
      <c r="V109" s="44">
        <v>4527.82</v>
      </c>
      <c r="W109" s="52"/>
      <c r="X109" s="49"/>
      <c r="Y109" s="44">
        <f t="shared" si="4"/>
        <v>4527.82</v>
      </c>
      <c r="Z109" s="45"/>
      <c r="AA109" s="46"/>
      <c r="AB109" s="47"/>
      <c r="AC109" s="47"/>
      <c r="AD109" s="47"/>
      <c r="AE109" s="47"/>
      <c r="AF109" s="47"/>
      <c r="AG109" s="44"/>
      <c r="AH109" s="44"/>
      <c r="AI109" s="44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4"/>
      <c r="BB109" s="44"/>
      <c r="BC109" s="44"/>
      <c r="BD109" s="44"/>
      <c r="BE109" s="44"/>
      <c r="BF109" s="48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9"/>
      <c r="BS109" s="44"/>
      <c r="BT109" s="44"/>
      <c r="BU109" s="44"/>
      <c r="BV109" s="44">
        <v>4527.82</v>
      </c>
      <c r="BW109" s="47"/>
      <c r="BX109" s="44"/>
      <c r="BY109" s="44"/>
      <c r="BZ109" s="44"/>
      <c r="CA109" s="44"/>
      <c r="CB109" s="44"/>
      <c r="CC109" s="44"/>
      <c r="CD109" s="43"/>
      <c r="CE109" s="44"/>
      <c r="CF109" s="44"/>
      <c r="CG109" s="44"/>
      <c r="CH109" s="44"/>
      <c r="CI109" s="44"/>
      <c r="CJ109" s="47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>
        <v>4527.82</v>
      </c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7"/>
      <c r="EA109" s="47"/>
      <c r="EB109" s="47"/>
    </row>
    <row r="110" spans="3:132" s="32" customFormat="1" ht="27.6">
      <c r="C110" s="76">
        <v>44224</v>
      </c>
      <c r="D110" s="34" t="s">
        <v>759</v>
      </c>
      <c r="E110" s="286" t="s">
        <v>854</v>
      </c>
      <c r="F110" s="36">
        <v>0.44166666666666665</v>
      </c>
      <c r="G110" s="36">
        <v>0.4465277777777778</v>
      </c>
      <c r="H110" s="39" t="s">
        <v>0</v>
      </c>
      <c r="I110" s="34">
        <v>2</v>
      </c>
      <c r="J110" s="39">
        <v>799</v>
      </c>
      <c r="K110" s="51" t="str">
        <f>VLOOKUP(J110,'[2]Chart of accounts'!A:H,2,FALSE)</f>
        <v>50211990 00</v>
      </c>
      <c r="L110" s="39"/>
      <c r="M110" s="39"/>
      <c r="N110" s="34"/>
      <c r="O110" s="34"/>
      <c r="P110" s="34"/>
      <c r="Q110" s="53" t="s">
        <v>4</v>
      </c>
      <c r="R110" s="40" t="s">
        <v>5</v>
      </c>
      <c r="S110" s="78" t="s">
        <v>2</v>
      </c>
      <c r="T110" s="42" t="s">
        <v>843</v>
      </c>
      <c r="U110" s="42" t="s">
        <v>855</v>
      </c>
      <c r="V110" s="44">
        <v>10000</v>
      </c>
      <c r="W110" s="52"/>
      <c r="X110" s="49"/>
      <c r="Y110" s="44">
        <f t="shared" si="4"/>
        <v>10000</v>
      </c>
      <c r="Z110" s="45"/>
      <c r="AA110" s="46"/>
      <c r="AB110" s="47"/>
      <c r="AC110" s="47"/>
      <c r="AD110" s="47"/>
      <c r="AE110" s="47"/>
      <c r="AF110" s="47"/>
      <c r="AG110" s="44"/>
      <c r="AH110" s="44"/>
      <c r="AI110" s="44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4"/>
      <c r="BB110" s="44"/>
      <c r="BC110" s="44"/>
      <c r="BD110" s="44"/>
      <c r="BE110" s="44"/>
      <c r="BF110" s="48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9"/>
      <c r="BS110" s="44"/>
      <c r="BT110" s="44"/>
      <c r="BU110" s="44"/>
      <c r="BW110" s="47"/>
      <c r="BX110" s="44"/>
      <c r="BY110" s="44">
        <v>10000</v>
      </c>
      <c r="BZ110" s="44"/>
      <c r="CA110" s="44"/>
      <c r="CB110" s="44"/>
      <c r="CC110" s="44"/>
      <c r="CD110" s="43"/>
      <c r="CE110" s="44"/>
      <c r="CF110" s="44"/>
      <c r="CG110" s="44"/>
      <c r="CH110" s="44"/>
      <c r="CI110" s="44"/>
      <c r="CJ110" s="47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4"/>
      <c r="DE110" s="44"/>
      <c r="DF110" s="44"/>
      <c r="DG110" s="44"/>
      <c r="DH110" s="44"/>
      <c r="DI110" s="44"/>
      <c r="DJ110" s="44">
        <v>10000</v>
      </c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7"/>
      <c r="EA110" s="47"/>
      <c r="EB110" s="47"/>
    </row>
    <row r="111" spans="3:132" s="32" customFormat="1" ht="27.6">
      <c r="C111" s="76">
        <v>44224</v>
      </c>
      <c r="D111" s="34" t="s">
        <v>759</v>
      </c>
      <c r="E111" s="286" t="s">
        <v>856</v>
      </c>
      <c r="F111" s="36">
        <v>0.4465277777777778</v>
      </c>
      <c r="G111" s="36">
        <v>0.45</v>
      </c>
      <c r="H111" s="39" t="s">
        <v>0</v>
      </c>
      <c r="I111" s="34">
        <v>2</v>
      </c>
      <c r="J111" s="39">
        <v>799</v>
      </c>
      <c r="K111" s="51" t="str">
        <f>VLOOKUP(J111,'[2]Chart of accounts'!A:H,2,FALSE)</f>
        <v>50211990 00</v>
      </c>
      <c r="L111" s="39"/>
      <c r="M111" s="39"/>
      <c r="N111" s="34"/>
      <c r="O111" s="34"/>
      <c r="P111" s="34"/>
      <c r="Q111" s="53" t="s">
        <v>4</v>
      </c>
      <c r="R111" s="40" t="s">
        <v>857</v>
      </c>
      <c r="S111" s="78" t="s">
        <v>2</v>
      </c>
      <c r="T111" s="42" t="s">
        <v>843</v>
      </c>
      <c r="U111" s="42" t="s">
        <v>855</v>
      </c>
      <c r="V111" s="44">
        <v>11158</v>
      </c>
      <c r="W111" s="52"/>
      <c r="X111" s="49"/>
      <c r="Y111" s="44">
        <f t="shared" si="4"/>
        <v>11158</v>
      </c>
      <c r="Z111" s="45"/>
      <c r="AA111" s="46"/>
      <c r="AB111" s="47"/>
      <c r="AC111" s="47"/>
      <c r="AD111" s="47"/>
      <c r="AE111" s="47"/>
      <c r="AF111" s="47"/>
      <c r="AG111" s="44"/>
      <c r="AH111" s="44"/>
      <c r="AI111" s="44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4"/>
      <c r="BB111" s="44"/>
      <c r="BC111" s="44"/>
      <c r="BD111" s="44"/>
      <c r="BE111" s="44"/>
      <c r="BF111" s="48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9"/>
      <c r="BS111" s="44"/>
      <c r="BT111" s="44"/>
      <c r="BU111" s="44"/>
      <c r="BV111" s="49"/>
      <c r="BW111" s="47"/>
      <c r="BX111" s="44"/>
      <c r="BY111" s="44">
        <v>11158</v>
      </c>
      <c r="BZ111" s="44"/>
      <c r="CA111" s="44"/>
      <c r="CB111" s="44"/>
      <c r="CC111" s="44"/>
      <c r="CD111" s="43"/>
      <c r="CE111" s="44"/>
      <c r="CF111" s="44"/>
      <c r="CG111" s="44"/>
      <c r="CH111" s="44"/>
      <c r="CI111" s="44"/>
      <c r="CJ111" s="47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>
        <v>11158</v>
      </c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7"/>
      <c r="EA111" s="47"/>
      <c r="EB111" s="47"/>
    </row>
    <row r="112" spans="3:132" s="32" customFormat="1" ht="27.6">
      <c r="C112" s="76">
        <v>44224</v>
      </c>
      <c r="D112" s="34" t="s">
        <v>759</v>
      </c>
      <c r="E112" s="286" t="s">
        <v>856</v>
      </c>
      <c r="F112" s="36">
        <v>0.4465277777777778</v>
      </c>
      <c r="G112" s="36">
        <v>0.45</v>
      </c>
      <c r="H112" s="39" t="s">
        <v>0</v>
      </c>
      <c r="I112" s="34">
        <v>2</v>
      </c>
      <c r="J112" s="39">
        <v>799</v>
      </c>
      <c r="K112" s="51" t="str">
        <f>VLOOKUP(J112,'[2]Chart of accounts'!A:H,2,FALSE)</f>
        <v>50211990 00</v>
      </c>
      <c r="L112" s="39"/>
      <c r="M112" s="39"/>
      <c r="N112" s="34"/>
      <c r="O112" s="34"/>
      <c r="P112" s="34"/>
      <c r="Q112" s="53" t="s">
        <v>4</v>
      </c>
      <c r="R112" s="40" t="s">
        <v>7</v>
      </c>
      <c r="S112" s="78" t="s">
        <v>2</v>
      </c>
      <c r="T112" s="42" t="s">
        <v>843</v>
      </c>
      <c r="U112" s="42" t="s">
        <v>855</v>
      </c>
      <c r="V112" s="44">
        <v>11158</v>
      </c>
      <c r="W112" s="52"/>
      <c r="X112" s="49"/>
      <c r="Y112" s="44">
        <f t="shared" si="4"/>
        <v>11158</v>
      </c>
      <c r="Z112" s="45"/>
      <c r="AA112" s="46"/>
      <c r="AB112" s="47"/>
      <c r="AC112" s="47"/>
      <c r="AD112" s="47"/>
      <c r="AE112" s="47"/>
      <c r="AF112" s="47"/>
      <c r="AG112" s="44"/>
      <c r="AH112" s="44"/>
      <c r="AI112" s="44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4"/>
      <c r="BB112" s="44"/>
      <c r="BC112" s="44"/>
      <c r="BD112" s="44"/>
      <c r="BE112" s="44"/>
      <c r="BF112" s="48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9"/>
      <c r="BS112" s="44"/>
      <c r="BT112" s="44"/>
      <c r="BU112" s="44"/>
      <c r="BV112" s="49"/>
      <c r="BW112" s="47"/>
      <c r="BX112" s="44"/>
      <c r="BY112" s="44">
        <v>11158</v>
      </c>
      <c r="BZ112" s="44"/>
      <c r="CA112" s="44"/>
      <c r="CB112" s="44"/>
      <c r="CC112" s="44"/>
      <c r="CD112" s="43"/>
      <c r="CE112" s="44"/>
      <c r="CF112" s="44"/>
      <c r="CG112" s="44"/>
      <c r="CH112" s="44"/>
      <c r="CI112" s="44"/>
      <c r="CJ112" s="47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4"/>
      <c r="DE112" s="44"/>
      <c r="DF112" s="44"/>
      <c r="DG112" s="44"/>
      <c r="DH112" s="44"/>
      <c r="DI112" s="44"/>
      <c r="DJ112" s="44">
        <v>11158</v>
      </c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7"/>
      <c r="EA112" s="47"/>
      <c r="EB112" s="47"/>
    </row>
    <row r="113" spans="3:132" s="32" customFormat="1" ht="27.6">
      <c r="C113" s="76">
        <v>44224</v>
      </c>
      <c r="D113" s="34" t="s">
        <v>759</v>
      </c>
      <c r="E113" s="286" t="s">
        <v>856</v>
      </c>
      <c r="F113" s="36">
        <v>0.4465277777777778</v>
      </c>
      <c r="G113" s="36">
        <v>0.45</v>
      </c>
      <c r="H113" s="39" t="s">
        <v>0</v>
      </c>
      <c r="I113" s="34">
        <v>2</v>
      </c>
      <c r="J113" s="39">
        <v>799</v>
      </c>
      <c r="K113" s="51" t="str">
        <f>VLOOKUP(J113,'[2]Chart of accounts'!A:H,2,FALSE)</f>
        <v>50211990 00</v>
      </c>
      <c r="L113" s="39"/>
      <c r="M113" s="39"/>
      <c r="N113" s="34"/>
      <c r="O113" s="34"/>
      <c r="P113" s="34"/>
      <c r="Q113" s="53" t="s">
        <v>4</v>
      </c>
      <c r="R113" s="40" t="s">
        <v>845</v>
      </c>
      <c r="S113" s="78" t="s">
        <v>2</v>
      </c>
      <c r="T113" s="42" t="s">
        <v>843</v>
      </c>
      <c r="U113" s="42" t="s">
        <v>855</v>
      </c>
      <c r="V113" s="44">
        <v>11158</v>
      </c>
      <c r="W113" s="52"/>
      <c r="X113" s="49"/>
      <c r="Y113" s="44">
        <f t="shared" si="4"/>
        <v>11158</v>
      </c>
      <c r="Z113" s="45"/>
      <c r="AA113" s="46"/>
      <c r="AB113" s="47"/>
      <c r="AC113" s="47"/>
      <c r="AD113" s="47"/>
      <c r="AE113" s="47"/>
      <c r="AF113" s="47"/>
      <c r="AG113" s="44"/>
      <c r="AH113" s="44"/>
      <c r="AI113" s="44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4"/>
      <c r="BB113" s="44"/>
      <c r="BC113" s="44"/>
      <c r="BD113" s="44"/>
      <c r="BE113" s="44"/>
      <c r="BF113" s="48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9"/>
      <c r="BS113" s="44"/>
      <c r="BT113" s="44"/>
      <c r="BU113" s="44"/>
      <c r="BV113" s="49"/>
      <c r="BW113" s="47"/>
      <c r="BX113" s="44"/>
      <c r="BY113" s="44">
        <v>11158</v>
      </c>
      <c r="BZ113" s="44"/>
      <c r="CA113" s="44"/>
      <c r="CB113" s="44"/>
      <c r="CC113" s="44"/>
      <c r="CD113" s="43"/>
      <c r="CE113" s="44"/>
      <c r="CF113" s="44"/>
      <c r="CG113" s="44"/>
      <c r="CH113" s="44"/>
      <c r="CI113" s="44"/>
      <c r="CJ113" s="47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4"/>
      <c r="DE113" s="44"/>
      <c r="DF113" s="44"/>
      <c r="DG113" s="44"/>
      <c r="DH113" s="44"/>
      <c r="DI113" s="44"/>
      <c r="DJ113" s="44">
        <v>11158</v>
      </c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7"/>
      <c r="EA113" s="47"/>
      <c r="EB113" s="47"/>
    </row>
    <row r="114" spans="3:132" s="411" customFormat="1" ht="27.6">
      <c r="C114" s="402">
        <v>44224</v>
      </c>
      <c r="D114" s="403" t="s">
        <v>759</v>
      </c>
      <c r="E114" s="404" t="s">
        <v>858</v>
      </c>
      <c r="F114" s="405">
        <v>0.45</v>
      </c>
      <c r="G114" s="405">
        <v>0.4548611111111111</v>
      </c>
      <c r="H114" s="406" t="s">
        <v>0</v>
      </c>
      <c r="I114" s="403">
        <v>2</v>
      </c>
      <c r="J114" s="406">
        <v>755</v>
      </c>
      <c r="K114" s="406" t="str">
        <f>VLOOKUP(J114,'[2]Chart of accounts'!A:H,2,FALSE)</f>
        <v>50203010 00</v>
      </c>
      <c r="L114" s="406"/>
      <c r="M114" s="406"/>
      <c r="N114" s="403"/>
      <c r="O114" s="403"/>
      <c r="P114" s="403"/>
      <c r="Q114" s="407" t="s">
        <v>3</v>
      </c>
      <c r="R114" s="407" t="s">
        <v>812</v>
      </c>
      <c r="S114" s="408" t="s">
        <v>2</v>
      </c>
      <c r="T114" s="409" t="s">
        <v>859</v>
      </c>
      <c r="U114" s="409" t="s">
        <v>860</v>
      </c>
      <c r="V114" s="65"/>
      <c r="W114" s="46"/>
      <c r="X114" s="64"/>
      <c r="Y114" s="65">
        <f t="shared" si="4"/>
        <v>0</v>
      </c>
      <c r="Z114" s="45"/>
      <c r="AA114" s="46"/>
      <c r="AB114" s="45"/>
      <c r="AC114" s="45"/>
      <c r="AD114" s="45"/>
      <c r="AE114" s="45"/>
      <c r="AF114" s="45"/>
      <c r="AG114" s="65"/>
      <c r="AH114" s="65"/>
      <c r="AI114" s="6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65"/>
      <c r="BB114" s="65"/>
      <c r="BC114" s="65"/>
      <c r="BD114" s="65"/>
      <c r="BE114" s="65"/>
      <c r="BF114" s="410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4"/>
      <c r="BS114" s="65"/>
      <c r="BT114" s="65"/>
      <c r="BU114" s="65"/>
      <c r="BV114" s="65"/>
      <c r="BW114" s="45"/>
      <c r="BX114" s="65"/>
      <c r="BY114" s="65"/>
      <c r="BZ114" s="65"/>
      <c r="CA114" s="65"/>
      <c r="CB114" s="65"/>
      <c r="CC114" s="65"/>
      <c r="CD114" s="63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45"/>
      <c r="EA114" s="45"/>
      <c r="EB114" s="45"/>
    </row>
    <row r="115" spans="3:132" s="32" customFormat="1" ht="27.6">
      <c r="C115" s="76">
        <v>44224</v>
      </c>
      <c r="D115" s="34" t="s">
        <v>759</v>
      </c>
      <c r="E115" s="286" t="s">
        <v>861</v>
      </c>
      <c r="F115" s="36">
        <v>0.65416666666666667</v>
      </c>
      <c r="G115" s="36">
        <v>0.6645833333333333</v>
      </c>
      <c r="H115" s="39" t="s">
        <v>0</v>
      </c>
      <c r="I115" s="34">
        <v>1</v>
      </c>
      <c r="J115" s="39">
        <v>706</v>
      </c>
      <c r="K115" s="51" t="str">
        <f>VLOOKUP(J115,'[2]Chart of accounts'!A:H,2,FALSE)</f>
        <v>50101020 00</v>
      </c>
      <c r="L115" s="39"/>
      <c r="M115" s="39"/>
      <c r="N115" s="34"/>
      <c r="O115" s="34"/>
      <c r="P115" s="34"/>
      <c r="Q115" s="53" t="s">
        <v>4</v>
      </c>
      <c r="R115" s="40" t="s">
        <v>862</v>
      </c>
      <c r="S115" s="78" t="s">
        <v>2</v>
      </c>
      <c r="T115" s="42" t="s">
        <v>863</v>
      </c>
      <c r="U115" s="42" t="s">
        <v>864</v>
      </c>
      <c r="V115" s="44">
        <v>43681</v>
      </c>
      <c r="W115" s="52"/>
      <c r="X115" s="44">
        <v>43681</v>
      </c>
      <c r="Y115" s="44">
        <f t="shared" si="4"/>
        <v>0</v>
      </c>
      <c r="Z115" s="45"/>
      <c r="AA115" s="46"/>
      <c r="AB115" s="47"/>
      <c r="AC115" s="47"/>
      <c r="AD115" s="47"/>
      <c r="AE115" s="47"/>
      <c r="AF115" s="47"/>
      <c r="AG115" s="44"/>
      <c r="AH115" s="44"/>
      <c r="AI115" s="44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4"/>
      <c r="BB115" s="44"/>
      <c r="BC115" s="44"/>
      <c r="BD115" s="44"/>
      <c r="BE115" s="44"/>
      <c r="BF115" s="44">
        <v>43681</v>
      </c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9"/>
      <c r="BS115" s="44"/>
      <c r="BT115" s="44"/>
      <c r="BU115" s="44"/>
      <c r="BV115" s="129"/>
      <c r="BW115" s="47"/>
      <c r="BX115" s="44"/>
      <c r="BY115" s="44">
        <v>43681</v>
      </c>
      <c r="BZ115" s="44"/>
      <c r="CA115" s="44"/>
      <c r="CB115" s="44"/>
      <c r="CC115" s="44"/>
      <c r="CD115" s="43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7"/>
      <c r="EA115" s="47"/>
      <c r="EB115" s="47"/>
    </row>
    <row r="116" spans="3:132" s="32" customFormat="1" ht="27.6">
      <c r="C116" s="76">
        <v>44224</v>
      </c>
      <c r="D116" s="34" t="s">
        <v>759</v>
      </c>
      <c r="E116" s="286" t="s">
        <v>861</v>
      </c>
      <c r="F116" s="36">
        <v>0.65416666666666667</v>
      </c>
      <c r="G116" s="36">
        <v>0.6645833333333333</v>
      </c>
      <c r="H116" s="39" t="s">
        <v>0</v>
      </c>
      <c r="I116" s="34">
        <v>1</v>
      </c>
      <c r="J116" s="39">
        <v>711</v>
      </c>
      <c r="K116" s="51" t="str">
        <f>VLOOKUP(J116,'[2]Chart of accounts'!A:H,2,FALSE)</f>
        <v>50102010 01</v>
      </c>
      <c r="L116" s="39"/>
      <c r="M116" s="39"/>
      <c r="N116" s="34"/>
      <c r="O116" s="34"/>
      <c r="P116" s="34"/>
      <c r="Q116" s="53" t="s">
        <v>4</v>
      </c>
      <c r="R116" s="40" t="s">
        <v>862</v>
      </c>
      <c r="S116" s="78" t="s">
        <v>2</v>
      </c>
      <c r="T116" s="42" t="s">
        <v>863</v>
      </c>
      <c r="U116" s="42" t="s">
        <v>864</v>
      </c>
      <c r="V116" s="44">
        <v>2000</v>
      </c>
      <c r="W116" s="52"/>
      <c r="X116" s="44">
        <v>2000</v>
      </c>
      <c r="Y116" s="44">
        <f t="shared" si="4"/>
        <v>0</v>
      </c>
      <c r="Z116" s="45"/>
      <c r="AA116" s="46"/>
      <c r="AB116" s="47"/>
      <c r="AC116" s="47"/>
      <c r="AD116" s="47"/>
      <c r="AE116" s="47"/>
      <c r="AF116" s="47"/>
      <c r="AG116" s="44"/>
      <c r="AH116" s="44"/>
      <c r="AI116" s="44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4"/>
      <c r="BB116" s="44"/>
      <c r="BC116" s="44"/>
      <c r="BD116" s="44"/>
      <c r="BE116" s="44"/>
      <c r="BG116" s="44">
        <v>2000</v>
      </c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9"/>
      <c r="BS116" s="44"/>
      <c r="BT116" s="44"/>
      <c r="BU116" s="44"/>
      <c r="BV116" s="129"/>
      <c r="BW116" s="47"/>
      <c r="BX116" s="44"/>
      <c r="BY116" s="44">
        <v>2000</v>
      </c>
      <c r="BZ116" s="44"/>
      <c r="CA116" s="44"/>
      <c r="CB116" s="44"/>
      <c r="CC116" s="44"/>
      <c r="CD116" s="43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7"/>
      <c r="EA116" s="47"/>
      <c r="EB116" s="47"/>
    </row>
    <row r="117" spans="3:132" s="32" customFormat="1" ht="27.6">
      <c r="C117" s="76">
        <v>44224</v>
      </c>
      <c r="D117" s="34" t="s">
        <v>759</v>
      </c>
      <c r="E117" s="286" t="s">
        <v>861</v>
      </c>
      <c r="F117" s="36">
        <v>0.65416666666666667</v>
      </c>
      <c r="G117" s="36">
        <v>0.6645833333333333</v>
      </c>
      <c r="H117" s="39" t="s">
        <v>0</v>
      </c>
      <c r="I117" s="34">
        <v>1</v>
      </c>
      <c r="J117" s="39">
        <v>731</v>
      </c>
      <c r="K117" s="51" t="str">
        <f>VLOOKUP(J117,'[2]Chart of accounts'!A:H,2,FALSE)</f>
        <v>50103010 00</v>
      </c>
      <c r="L117" s="39"/>
      <c r="M117" s="39"/>
      <c r="N117" s="34"/>
      <c r="O117" s="34"/>
      <c r="P117" s="34"/>
      <c r="Q117" s="53" t="s">
        <v>4</v>
      </c>
      <c r="R117" s="40" t="s">
        <v>862</v>
      </c>
      <c r="S117" s="78" t="s">
        <v>2</v>
      </c>
      <c r="T117" s="42" t="s">
        <v>863</v>
      </c>
      <c r="U117" s="42" t="s">
        <v>864</v>
      </c>
      <c r="V117" s="44">
        <v>5241.72</v>
      </c>
      <c r="W117" s="52"/>
      <c r="X117" s="44">
        <v>5241.72</v>
      </c>
      <c r="Y117" s="44">
        <f t="shared" si="4"/>
        <v>0</v>
      </c>
      <c r="Z117" s="45"/>
      <c r="AA117" s="46"/>
      <c r="AB117" s="47"/>
      <c r="AC117" s="47"/>
      <c r="AD117" s="47"/>
      <c r="AE117" s="47"/>
      <c r="AF117" s="47"/>
      <c r="AG117" s="44"/>
      <c r="AH117" s="44"/>
      <c r="AI117" s="44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4"/>
      <c r="BB117" s="44"/>
      <c r="BC117" s="44"/>
      <c r="BD117" s="44"/>
      <c r="BE117" s="44"/>
      <c r="BF117" s="48"/>
      <c r="BG117" s="44"/>
      <c r="BH117" s="44"/>
      <c r="BI117" s="44"/>
      <c r="BJ117" s="44"/>
      <c r="BK117" s="44"/>
      <c r="BL117" s="44"/>
      <c r="BM117" s="44"/>
      <c r="BN117" s="44"/>
      <c r="BO117" s="44">
        <v>5241.72</v>
      </c>
      <c r="BP117" s="44"/>
      <c r="BQ117" s="44"/>
      <c r="BR117" s="49"/>
      <c r="BS117" s="44"/>
      <c r="BT117" s="44"/>
      <c r="BU117" s="44"/>
      <c r="BV117" s="129"/>
      <c r="BW117" s="47"/>
      <c r="BX117" s="44"/>
      <c r="BY117" s="44">
        <v>5241.72</v>
      </c>
      <c r="BZ117" s="44"/>
      <c r="CA117" s="44"/>
      <c r="CB117" s="44"/>
      <c r="CC117" s="44"/>
      <c r="CD117" s="43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7"/>
      <c r="EA117" s="47"/>
      <c r="EB117" s="47"/>
    </row>
    <row r="118" spans="3:132" s="32" customFormat="1" ht="27.6">
      <c r="C118" s="76">
        <v>44224</v>
      </c>
      <c r="D118" s="34" t="s">
        <v>759</v>
      </c>
      <c r="E118" s="286" t="s">
        <v>861</v>
      </c>
      <c r="F118" s="36">
        <v>0.65416666666666667</v>
      </c>
      <c r="G118" s="36">
        <v>0.6645833333333333</v>
      </c>
      <c r="H118" s="39" t="s">
        <v>0</v>
      </c>
      <c r="I118" s="34">
        <v>1</v>
      </c>
      <c r="J118" s="39">
        <v>732</v>
      </c>
      <c r="K118" s="51" t="str">
        <f>VLOOKUP(J118,'[2]Chart of accounts'!A:H,2,FALSE)</f>
        <v>50103020 01</v>
      </c>
      <c r="L118" s="39"/>
      <c r="M118" s="39"/>
      <c r="N118" s="34"/>
      <c r="O118" s="34"/>
      <c r="P118" s="34"/>
      <c r="Q118" s="53" t="s">
        <v>4</v>
      </c>
      <c r="R118" s="40" t="s">
        <v>862</v>
      </c>
      <c r="S118" s="78" t="s">
        <v>2</v>
      </c>
      <c r="T118" s="42" t="s">
        <v>863</v>
      </c>
      <c r="U118" s="42" t="s">
        <v>864</v>
      </c>
      <c r="V118" s="44">
        <v>100</v>
      </c>
      <c r="W118" s="52"/>
      <c r="X118" s="44">
        <v>100</v>
      </c>
      <c r="Y118" s="44">
        <f t="shared" si="4"/>
        <v>0</v>
      </c>
      <c r="Z118" s="45"/>
      <c r="AA118" s="46"/>
      <c r="AB118" s="47"/>
      <c r="AC118" s="47"/>
      <c r="AD118" s="47"/>
      <c r="AE118" s="47"/>
      <c r="AF118" s="47"/>
      <c r="AG118" s="44"/>
      <c r="AH118" s="44"/>
      <c r="AI118" s="44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4"/>
      <c r="BB118" s="44"/>
      <c r="BC118" s="44"/>
      <c r="BD118" s="44"/>
      <c r="BE118" s="44"/>
      <c r="BF118" s="48"/>
      <c r="BG118" s="44"/>
      <c r="BH118" s="44"/>
      <c r="BI118" s="44"/>
      <c r="BJ118" s="44"/>
      <c r="BK118" s="44"/>
      <c r="BL118" s="44"/>
      <c r="BM118" s="44"/>
      <c r="BN118" s="44"/>
      <c r="BP118" s="44">
        <v>100</v>
      </c>
      <c r="BQ118" s="44"/>
      <c r="BR118" s="49"/>
      <c r="BS118" s="44"/>
      <c r="BT118" s="44"/>
      <c r="BU118" s="44"/>
      <c r="BV118" s="129"/>
      <c r="BW118" s="47"/>
      <c r="BX118" s="44"/>
      <c r="BY118" s="44">
        <v>100</v>
      </c>
      <c r="BZ118" s="44"/>
      <c r="CA118" s="44"/>
      <c r="CB118" s="44"/>
      <c r="CC118" s="44"/>
      <c r="CD118" s="43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7"/>
      <c r="EA118" s="47"/>
      <c r="EB118" s="47"/>
    </row>
    <row r="119" spans="3:132" s="32" customFormat="1" ht="27.6">
      <c r="C119" s="76">
        <v>44224</v>
      </c>
      <c r="D119" s="34" t="s">
        <v>759</v>
      </c>
      <c r="E119" s="286" t="s">
        <v>861</v>
      </c>
      <c r="F119" s="36">
        <v>0.65416666666666667</v>
      </c>
      <c r="G119" s="36">
        <v>0.6645833333333333</v>
      </c>
      <c r="H119" s="39" t="s">
        <v>0</v>
      </c>
      <c r="I119" s="34">
        <v>1</v>
      </c>
      <c r="J119" s="39">
        <v>733</v>
      </c>
      <c r="K119" s="51" t="str">
        <f>VLOOKUP(J119,'[2]Chart of accounts'!A:H,2,FALSE)</f>
        <v>50103030 01</v>
      </c>
      <c r="L119" s="39"/>
      <c r="M119" s="39"/>
      <c r="N119" s="34"/>
      <c r="O119" s="34"/>
      <c r="P119" s="34"/>
      <c r="Q119" s="53" t="s">
        <v>4</v>
      </c>
      <c r="R119" s="40" t="s">
        <v>862</v>
      </c>
      <c r="S119" s="78" t="s">
        <v>2</v>
      </c>
      <c r="T119" s="42" t="s">
        <v>863</v>
      </c>
      <c r="U119" s="42" t="s">
        <v>864</v>
      </c>
      <c r="V119" s="44">
        <v>655.22</v>
      </c>
      <c r="W119" s="52"/>
      <c r="X119" s="44">
        <v>655.22</v>
      </c>
      <c r="Y119" s="44">
        <f t="shared" si="4"/>
        <v>0</v>
      </c>
      <c r="Z119" s="45"/>
      <c r="AA119" s="46"/>
      <c r="AB119" s="47"/>
      <c r="AC119" s="47"/>
      <c r="AD119" s="47"/>
      <c r="AE119" s="47"/>
      <c r="AF119" s="47"/>
      <c r="AG119" s="44"/>
      <c r="AH119" s="44"/>
      <c r="AI119" s="44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4"/>
      <c r="BB119" s="44"/>
      <c r="BC119" s="44"/>
      <c r="BD119" s="44"/>
      <c r="BE119" s="44"/>
      <c r="BF119" s="48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>
        <v>655.22</v>
      </c>
      <c r="BR119" s="49"/>
      <c r="BS119" s="44"/>
      <c r="BT119" s="44"/>
      <c r="BU119" s="44"/>
      <c r="BV119" s="129"/>
      <c r="BW119" s="47"/>
      <c r="BX119" s="44"/>
      <c r="BY119" s="44">
        <v>655.22</v>
      </c>
      <c r="BZ119" s="44"/>
      <c r="CA119" s="44"/>
      <c r="CB119" s="44"/>
      <c r="CC119" s="44"/>
      <c r="CD119" s="43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7"/>
      <c r="EA119" s="47"/>
      <c r="EB119" s="47"/>
    </row>
    <row r="120" spans="3:132" s="32" customFormat="1" ht="27.6">
      <c r="C120" s="76">
        <v>44224</v>
      </c>
      <c r="D120" s="34" t="s">
        <v>759</v>
      </c>
      <c r="E120" s="286" t="s">
        <v>861</v>
      </c>
      <c r="F120" s="36">
        <v>0.65416666666666667</v>
      </c>
      <c r="G120" s="36">
        <v>0.6645833333333333</v>
      </c>
      <c r="H120" s="39" t="s">
        <v>0</v>
      </c>
      <c r="I120" s="34">
        <v>1</v>
      </c>
      <c r="J120" s="39">
        <v>734</v>
      </c>
      <c r="K120" s="51" t="str">
        <f>VLOOKUP(J120,'[2]Chart of accounts'!A:H,2,FALSE)</f>
        <v>50103040 01</v>
      </c>
      <c r="L120" s="39"/>
      <c r="M120" s="39"/>
      <c r="N120" s="34"/>
      <c r="O120" s="34"/>
      <c r="P120" s="34"/>
      <c r="Q120" s="53" t="s">
        <v>4</v>
      </c>
      <c r="R120" s="40" t="s">
        <v>862</v>
      </c>
      <c r="S120" s="78" t="s">
        <v>2</v>
      </c>
      <c r="T120" s="42" t="s">
        <v>863</v>
      </c>
      <c r="U120" s="42" t="s">
        <v>864</v>
      </c>
      <c r="V120" s="44">
        <v>100</v>
      </c>
      <c r="W120" s="52"/>
      <c r="X120" s="44">
        <v>100</v>
      </c>
      <c r="Y120" s="44">
        <f t="shared" si="4"/>
        <v>0</v>
      </c>
      <c r="Z120" s="45"/>
      <c r="AA120" s="46"/>
      <c r="AB120" s="47"/>
      <c r="AC120" s="47"/>
      <c r="AD120" s="47"/>
      <c r="AE120" s="47"/>
      <c r="AF120" s="47"/>
      <c r="AG120" s="44"/>
      <c r="AH120" s="44"/>
      <c r="AI120" s="44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4"/>
      <c r="BB120" s="44"/>
      <c r="BC120" s="44"/>
      <c r="BD120" s="44"/>
      <c r="BE120" s="44"/>
      <c r="BF120" s="48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R120" s="44">
        <v>100</v>
      </c>
      <c r="BS120" s="44"/>
      <c r="BT120" s="44"/>
      <c r="BU120" s="44"/>
      <c r="BV120" s="129"/>
      <c r="BW120" s="47"/>
      <c r="BX120" s="44"/>
      <c r="BY120" s="44">
        <v>100</v>
      </c>
      <c r="BZ120" s="44"/>
      <c r="CA120" s="44"/>
      <c r="CB120" s="44"/>
      <c r="CC120" s="44"/>
      <c r="CD120" s="43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7"/>
      <c r="EA120" s="47"/>
      <c r="EB120" s="47"/>
    </row>
    <row r="121" spans="3:132" s="32" customFormat="1" ht="27.6">
      <c r="C121" s="76">
        <v>44224</v>
      </c>
      <c r="D121" s="34" t="s">
        <v>759</v>
      </c>
      <c r="E121" s="286" t="s">
        <v>865</v>
      </c>
      <c r="F121" s="36">
        <v>0.6645833333333333</v>
      </c>
      <c r="G121" s="36">
        <v>0.66666666666666663</v>
      </c>
      <c r="H121" s="39" t="s">
        <v>0</v>
      </c>
      <c r="I121" s="34">
        <v>1</v>
      </c>
      <c r="J121" s="39">
        <v>706</v>
      </c>
      <c r="K121" s="51" t="str">
        <f>VLOOKUP(J121,'[2]Chart of accounts'!A:H,2,FALSE)</f>
        <v>50101020 00</v>
      </c>
      <c r="L121" s="39"/>
      <c r="M121" s="39"/>
      <c r="N121" s="34"/>
      <c r="O121" s="34"/>
      <c r="P121" s="34"/>
      <c r="Q121" s="53" t="s">
        <v>4</v>
      </c>
      <c r="R121" s="40" t="s">
        <v>862</v>
      </c>
      <c r="S121" s="41" t="s">
        <v>788</v>
      </c>
      <c r="T121" s="42" t="s">
        <v>789</v>
      </c>
      <c r="U121" s="42" t="s">
        <v>864</v>
      </c>
      <c r="V121" s="44">
        <v>77256</v>
      </c>
      <c r="W121" s="52"/>
      <c r="X121" s="44">
        <v>77256</v>
      </c>
      <c r="Y121" s="44">
        <f t="shared" ref="Y121:Y126" si="7">+V121-X121</f>
        <v>0</v>
      </c>
      <c r="Z121" s="45"/>
      <c r="AA121" s="46"/>
      <c r="AB121" s="47"/>
      <c r="AC121" s="47"/>
      <c r="AD121" s="47"/>
      <c r="AE121" s="47"/>
      <c r="AF121" s="47"/>
      <c r="AG121" s="44"/>
      <c r="AH121" s="44"/>
      <c r="AI121" s="44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4"/>
      <c r="BB121" s="44"/>
      <c r="BC121" s="44"/>
      <c r="BD121" s="44"/>
      <c r="BE121" s="44"/>
      <c r="BF121" s="44">
        <v>77256</v>
      </c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9"/>
      <c r="BS121" s="44"/>
      <c r="BT121" s="44"/>
      <c r="BU121" s="44"/>
      <c r="BV121" s="129"/>
      <c r="BW121" s="47"/>
      <c r="BX121" s="44"/>
      <c r="BY121" s="44">
        <v>77256</v>
      </c>
      <c r="BZ121" s="44"/>
      <c r="CA121" s="44"/>
      <c r="CB121" s="44"/>
      <c r="CC121" s="44"/>
      <c r="CD121" s="43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7"/>
      <c r="EA121" s="47"/>
      <c r="EB121" s="47"/>
    </row>
    <row r="122" spans="3:132" s="32" customFormat="1" ht="27.6">
      <c r="C122" s="76">
        <v>44224</v>
      </c>
      <c r="D122" s="34" t="s">
        <v>759</v>
      </c>
      <c r="E122" s="286" t="s">
        <v>865</v>
      </c>
      <c r="F122" s="36">
        <v>0.6645833333333333</v>
      </c>
      <c r="G122" s="36">
        <v>0.66666666666666663</v>
      </c>
      <c r="H122" s="39" t="s">
        <v>0</v>
      </c>
      <c r="I122" s="34">
        <v>1</v>
      </c>
      <c r="J122" s="39">
        <v>711</v>
      </c>
      <c r="K122" s="51" t="str">
        <f>VLOOKUP(J122,'[2]Chart of accounts'!A:H,2,FALSE)</f>
        <v>50102010 01</v>
      </c>
      <c r="L122" s="39"/>
      <c r="M122" s="39"/>
      <c r="N122" s="34"/>
      <c r="O122" s="34"/>
      <c r="P122" s="34"/>
      <c r="Q122" s="53" t="s">
        <v>4</v>
      </c>
      <c r="R122" s="40" t="s">
        <v>862</v>
      </c>
      <c r="S122" s="41" t="s">
        <v>788</v>
      </c>
      <c r="T122" s="42" t="s">
        <v>789</v>
      </c>
      <c r="U122" s="42" t="s">
        <v>864</v>
      </c>
      <c r="V122" s="44">
        <v>4000</v>
      </c>
      <c r="W122" s="52"/>
      <c r="X122" s="44">
        <v>4000</v>
      </c>
      <c r="Y122" s="44">
        <f t="shared" si="7"/>
        <v>0</v>
      </c>
      <c r="Z122" s="45"/>
      <c r="AA122" s="46"/>
      <c r="AB122" s="47"/>
      <c r="AC122" s="47"/>
      <c r="AD122" s="47"/>
      <c r="AE122" s="47"/>
      <c r="AF122" s="47"/>
      <c r="AG122" s="44"/>
      <c r="AH122" s="44"/>
      <c r="AI122" s="44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4"/>
      <c r="BB122" s="44"/>
      <c r="BC122" s="44"/>
      <c r="BD122" s="44"/>
      <c r="BE122" s="44"/>
      <c r="BG122" s="44">
        <v>4000</v>
      </c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9"/>
      <c r="BS122" s="44"/>
      <c r="BT122" s="44"/>
      <c r="BU122" s="44"/>
      <c r="BV122" s="129"/>
      <c r="BW122" s="47"/>
      <c r="BX122" s="44"/>
      <c r="BY122" s="44">
        <v>4000</v>
      </c>
      <c r="BZ122" s="44"/>
      <c r="CA122" s="44"/>
      <c r="CB122" s="44"/>
      <c r="CC122" s="44"/>
      <c r="CD122" s="43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7"/>
      <c r="EA122" s="47"/>
      <c r="EB122" s="47"/>
    </row>
    <row r="123" spans="3:132" s="32" customFormat="1" ht="27.6">
      <c r="C123" s="76">
        <v>44224</v>
      </c>
      <c r="D123" s="34" t="s">
        <v>759</v>
      </c>
      <c r="E123" s="286" t="s">
        <v>865</v>
      </c>
      <c r="F123" s="36">
        <v>0.6645833333333333</v>
      </c>
      <c r="G123" s="36">
        <v>0.66666666666666663</v>
      </c>
      <c r="H123" s="39" t="s">
        <v>0</v>
      </c>
      <c r="I123" s="34">
        <v>1</v>
      </c>
      <c r="J123" s="39">
        <v>731</v>
      </c>
      <c r="K123" s="51" t="str">
        <f>VLOOKUP(J123,'[2]Chart of accounts'!A:H,2,FALSE)</f>
        <v>50103010 00</v>
      </c>
      <c r="L123" s="39"/>
      <c r="M123" s="39"/>
      <c r="N123" s="34"/>
      <c r="O123" s="34"/>
      <c r="P123" s="34"/>
      <c r="Q123" s="53" t="s">
        <v>4</v>
      </c>
      <c r="R123" s="40" t="s">
        <v>862</v>
      </c>
      <c r="S123" s="41" t="s">
        <v>788</v>
      </c>
      <c r="T123" s="42" t="s">
        <v>789</v>
      </c>
      <c r="U123" s="42" t="s">
        <v>864</v>
      </c>
      <c r="V123" s="44">
        <v>9270.7199999999993</v>
      </c>
      <c r="W123" s="52"/>
      <c r="X123" s="44">
        <v>9270.7199999999993</v>
      </c>
      <c r="Y123" s="44">
        <f t="shared" si="7"/>
        <v>0</v>
      </c>
      <c r="Z123" s="45"/>
      <c r="AA123" s="46"/>
      <c r="AB123" s="47"/>
      <c r="AC123" s="47"/>
      <c r="AD123" s="47"/>
      <c r="AE123" s="47"/>
      <c r="AF123" s="47"/>
      <c r="AG123" s="44"/>
      <c r="AH123" s="44"/>
      <c r="AI123" s="44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4"/>
      <c r="BB123" s="44"/>
      <c r="BC123" s="44"/>
      <c r="BD123" s="44"/>
      <c r="BE123" s="44"/>
      <c r="BF123" s="48"/>
      <c r="BG123" s="44"/>
      <c r="BH123" s="44"/>
      <c r="BI123" s="44"/>
      <c r="BJ123" s="44"/>
      <c r="BK123" s="44"/>
      <c r="BL123" s="44"/>
      <c r="BM123" s="44"/>
      <c r="BN123" s="44"/>
      <c r="BO123" s="44">
        <v>9270.7199999999993</v>
      </c>
      <c r="BP123" s="44"/>
      <c r="BQ123" s="44"/>
      <c r="BR123" s="49"/>
      <c r="BS123" s="44"/>
      <c r="BT123" s="44"/>
      <c r="BU123" s="44"/>
      <c r="BV123" s="129"/>
      <c r="BW123" s="47"/>
      <c r="BX123" s="44"/>
      <c r="BY123" s="44">
        <v>9270.7199999999993</v>
      </c>
      <c r="BZ123" s="44"/>
      <c r="CA123" s="44"/>
      <c r="CB123" s="44"/>
      <c r="CC123" s="44"/>
      <c r="CD123" s="43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7"/>
      <c r="EA123" s="47"/>
      <c r="EB123" s="47"/>
    </row>
    <row r="124" spans="3:132" s="32" customFormat="1" ht="27.6">
      <c r="C124" s="76">
        <v>44224</v>
      </c>
      <c r="D124" s="34" t="s">
        <v>759</v>
      </c>
      <c r="E124" s="286" t="s">
        <v>865</v>
      </c>
      <c r="F124" s="36">
        <v>0.6645833333333333</v>
      </c>
      <c r="G124" s="36">
        <v>0.66666666666666663</v>
      </c>
      <c r="H124" s="39" t="s">
        <v>0</v>
      </c>
      <c r="I124" s="34">
        <v>1</v>
      </c>
      <c r="J124" s="39">
        <v>732</v>
      </c>
      <c r="K124" s="51" t="str">
        <f>VLOOKUP(J124,'[2]Chart of accounts'!A:H,2,FALSE)</f>
        <v>50103020 01</v>
      </c>
      <c r="L124" s="39"/>
      <c r="M124" s="39"/>
      <c r="N124" s="34"/>
      <c r="O124" s="34"/>
      <c r="P124" s="34"/>
      <c r="Q124" s="53" t="s">
        <v>4</v>
      </c>
      <c r="R124" s="40" t="s">
        <v>862</v>
      </c>
      <c r="S124" s="41" t="s">
        <v>788</v>
      </c>
      <c r="T124" s="42" t="s">
        <v>789</v>
      </c>
      <c r="U124" s="42" t="s">
        <v>864</v>
      </c>
      <c r="V124" s="44">
        <v>200</v>
      </c>
      <c r="W124" s="52"/>
      <c r="X124" s="44">
        <v>200</v>
      </c>
      <c r="Y124" s="44">
        <f t="shared" si="7"/>
        <v>0</v>
      </c>
      <c r="Z124" s="45"/>
      <c r="AA124" s="46"/>
      <c r="AB124" s="47"/>
      <c r="AC124" s="47"/>
      <c r="AD124" s="47"/>
      <c r="AE124" s="47"/>
      <c r="AF124" s="47"/>
      <c r="AG124" s="44"/>
      <c r="AH124" s="44"/>
      <c r="AI124" s="44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4"/>
      <c r="BB124" s="44"/>
      <c r="BC124" s="44"/>
      <c r="BD124" s="44"/>
      <c r="BE124" s="44"/>
      <c r="BF124" s="48"/>
      <c r="BG124" s="44"/>
      <c r="BH124" s="44"/>
      <c r="BI124" s="44"/>
      <c r="BJ124" s="44"/>
      <c r="BK124" s="44"/>
      <c r="BL124" s="44"/>
      <c r="BM124" s="44"/>
      <c r="BN124" s="44"/>
      <c r="BP124" s="44">
        <v>200</v>
      </c>
      <c r="BQ124" s="44"/>
      <c r="BR124" s="49"/>
      <c r="BS124" s="44"/>
      <c r="BT124" s="44"/>
      <c r="BU124" s="44"/>
      <c r="BV124" s="129"/>
      <c r="BW124" s="47"/>
      <c r="BX124" s="44"/>
      <c r="BY124" s="44">
        <v>200</v>
      </c>
      <c r="BZ124" s="44"/>
      <c r="CA124" s="44"/>
      <c r="CB124" s="44"/>
      <c r="CC124" s="44"/>
      <c r="CD124" s="43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4"/>
      <c r="DE124" s="44"/>
      <c r="DF124" s="44"/>
      <c r="DG124" s="4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7"/>
      <c r="EA124" s="47"/>
      <c r="EB124" s="47"/>
    </row>
    <row r="125" spans="3:132" s="32" customFormat="1" ht="27.6">
      <c r="C125" s="76">
        <v>44224</v>
      </c>
      <c r="D125" s="34" t="s">
        <v>759</v>
      </c>
      <c r="E125" s="286" t="s">
        <v>865</v>
      </c>
      <c r="F125" s="36">
        <v>0.6645833333333333</v>
      </c>
      <c r="G125" s="36">
        <v>0.66666666666666663</v>
      </c>
      <c r="H125" s="39" t="s">
        <v>0</v>
      </c>
      <c r="I125" s="34">
        <v>1</v>
      </c>
      <c r="J125" s="39">
        <v>733</v>
      </c>
      <c r="K125" s="51" t="str">
        <f>VLOOKUP(J125,'[2]Chart of accounts'!A:H,2,FALSE)</f>
        <v>50103030 01</v>
      </c>
      <c r="L125" s="39"/>
      <c r="M125" s="39"/>
      <c r="N125" s="34"/>
      <c r="O125" s="34"/>
      <c r="P125" s="34"/>
      <c r="Q125" s="53" t="s">
        <v>4</v>
      </c>
      <c r="R125" s="40" t="s">
        <v>862</v>
      </c>
      <c r="S125" s="41" t="s">
        <v>788</v>
      </c>
      <c r="T125" s="42" t="s">
        <v>789</v>
      </c>
      <c r="U125" s="42" t="s">
        <v>864</v>
      </c>
      <c r="V125" s="44">
        <v>1158.8499999999999</v>
      </c>
      <c r="W125" s="52"/>
      <c r="X125" s="44">
        <v>1158.8499999999999</v>
      </c>
      <c r="Y125" s="44">
        <f t="shared" si="7"/>
        <v>0</v>
      </c>
      <c r="Z125" s="45"/>
      <c r="AA125" s="46"/>
      <c r="AB125" s="47"/>
      <c r="AC125" s="47"/>
      <c r="AD125" s="47"/>
      <c r="AE125" s="47"/>
      <c r="AF125" s="47"/>
      <c r="AG125" s="44"/>
      <c r="AH125" s="44"/>
      <c r="AI125" s="44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4"/>
      <c r="BB125" s="44"/>
      <c r="BC125" s="44"/>
      <c r="BD125" s="44"/>
      <c r="BE125" s="44"/>
      <c r="BF125" s="48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>
        <v>1158.8499999999999</v>
      </c>
      <c r="BR125" s="49"/>
      <c r="BS125" s="44"/>
      <c r="BT125" s="44"/>
      <c r="BU125" s="44"/>
      <c r="BV125" s="129"/>
      <c r="BW125" s="47"/>
      <c r="BX125" s="44"/>
      <c r="BY125" s="44">
        <v>1158.8499999999999</v>
      </c>
      <c r="BZ125" s="44"/>
      <c r="CA125" s="44"/>
      <c r="CB125" s="44"/>
      <c r="CC125" s="44"/>
      <c r="CD125" s="43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7"/>
      <c r="EA125" s="47"/>
      <c r="EB125" s="47"/>
    </row>
    <row r="126" spans="3:132" s="32" customFormat="1" ht="27.6">
      <c r="C126" s="76">
        <v>44224</v>
      </c>
      <c r="D126" s="34" t="s">
        <v>759</v>
      </c>
      <c r="E126" s="286" t="s">
        <v>865</v>
      </c>
      <c r="F126" s="36">
        <v>0.6645833333333333</v>
      </c>
      <c r="G126" s="36">
        <v>0.66666666666666663</v>
      </c>
      <c r="H126" s="39" t="s">
        <v>0</v>
      </c>
      <c r="I126" s="34">
        <v>1</v>
      </c>
      <c r="J126" s="39">
        <v>734</v>
      </c>
      <c r="K126" s="51" t="str">
        <f>VLOOKUP(J126,'[2]Chart of accounts'!A:H,2,FALSE)</f>
        <v>50103040 01</v>
      </c>
      <c r="L126" s="39"/>
      <c r="M126" s="39"/>
      <c r="N126" s="34"/>
      <c r="O126" s="34"/>
      <c r="P126" s="34"/>
      <c r="Q126" s="53" t="s">
        <v>4</v>
      </c>
      <c r="R126" s="40" t="s">
        <v>862</v>
      </c>
      <c r="S126" s="41" t="s">
        <v>788</v>
      </c>
      <c r="T126" s="42" t="s">
        <v>789</v>
      </c>
      <c r="U126" s="42" t="s">
        <v>864</v>
      </c>
      <c r="V126" s="44">
        <v>200</v>
      </c>
      <c r="W126" s="52"/>
      <c r="X126" s="44">
        <v>200</v>
      </c>
      <c r="Y126" s="44">
        <f t="shared" si="7"/>
        <v>0</v>
      </c>
      <c r="Z126" s="45"/>
      <c r="AA126" s="46"/>
      <c r="AB126" s="47"/>
      <c r="AC126" s="47"/>
      <c r="AD126" s="47"/>
      <c r="AE126" s="47"/>
      <c r="AF126" s="47"/>
      <c r="AG126" s="44"/>
      <c r="AH126" s="44"/>
      <c r="AI126" s="44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4"/>
      <c r="BB126" s="44"/>
      <c r="BC126" s="44"/>
      <c r="BD126" s="44"/>
      <c r="BE126" s="44"/>
      <c r="BF126" s="48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R126" s="44">
        <v>200</v>
      </c>
      <c r="BS126" s="44"/>
      <c r="BT126" s="44"/>
      <c r="BU126" s="44"/>
      <c r="BV126" s="129"/>
      <c r="BW126" s="47"/>
      <c r="BX126" s="44"/>
      <c r="BY126" s="44">
        <v>200</v>
      </c>
      <c r="BZ126" s="44"/>
      <c r="CA126" s="44"/>
      <c r="CB126" s="44"/>
      <c r="CC126" s="44"/>
      <c r="CD126" s="43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7"/>
      <c r="EA126" s="47"/>
      <c r="EB126" s="47"/>
    </row>
    <row r="127" spans="3:132" s="32" customFormat="1" ht="27.6">
      <c r="C127" s="76">
        <v>44224</v>
      </c>
      <c r="D127" s="34" t="s">
        <v>759</v>
      </c>
      <c r="E127" s="286" t="s">
        <v>866</v>
      </c>
      <c r="F127" s="36">
        <v>0.66666666666666663</v>
      </c>
      <c r="G127" s="36">
        <v>0.6694444444444444</v>
      </c>
      <c r="H127" s="39" t="s">
        <v>0</v>
      </c>
      <c r="I127" s="34">
        <v>1</v>
      </c>
      <c r="J127" s="39">
        <v>706</v>
      </c>
      <c r="K127" s="51" t="str">
        <f>VLOOKUP(J127,'[2]Chart of accounts'!A:H,2,FALSE)</f>
        <v>50101020 00</v>
      </c>
      <c r="L127" s="39"/>
      <c r="M127" s="39"/>
      <c r="N127" s="34"/>
      <c r="O127" s="34"/>
      <c r="P127" s="34"/>
      <c r="Q127" s="53" t="s">
        <v>4</v>
      </c>
      <c r="R127" s="40" t="s">
        <v>862</v>
      </c>
      <c r="S127" s="41" t="s">
        <v>776</v>
      </c>
      <c r="T127" s="42" t="s">
        <v>867</v>
      </c>
      <c r="U127" s="42" t="s">
        <v>864</v>
      </c>
      <c r="V127" s="44">
        <v>33575</v>
      </c>
      <c r="W127" s="52"/>
      <c r="X127" s="44">
        <v>33575</v>
      </c>
      <c r="Y127" s="44">
        <f t="shared" ref="Y127:Y132" si="8">+V127-X127</f>
        <v>0</v>
      </c>
      <c r="Z127" s="45"/>
      <c r="AA127" s="46"/>
      <c r="AB127" s="47"/>
      <c r="AC127" s="47"/>
      <c r="AD127" s="47"/>
      <c r="AE127" s="47"/>
      <c r="AF127" s="47"/>
      <c r="AG127" s="44"/>
      <c r="AH127" s="44"/>
      <c r="AI127" s="44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4"/>
      <c r="BB127" s="44"/>
      <c r="BC127" s="44"/>
      <c r="BD127" s="44"/>
      <c r="BE127" s="44"/>
      <c r="BF127" s="44">
        <v>33575</v>
      </c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9"/>
      <c r="BS127" s="44"/>
      <c r="BT127" s="44"/>
      <c r="BU127" s="44"/>
      <c r="BV127" s="129"/>
      <c r="BW127" s="47"/>
      <c r="BX127" s="44"/>
      <c r="BY127" s="44">
        <v>33575</v>
      </c>
      <c r="BZ127" s="44"/>
      <c r="CA127" s="44"/>
      <c r="CB127" s="44"/>
      <c r="CC127" s="44"/>
      <c r="CD127" s="43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7"/>
      <c r="EA127" s="47"/>
      <c r="EB127" s="47"/>
    </row>
    <row r="128" spans="3:132" s="32" customFormat="1" ht="27.6">
      <c r="C128" s="76">
        <v>44224</v>
      </c>
      <c r="D128" s="34" t="s">
        <v>759</v>
      </c>
      <c r="E128" s="286" t="s">
        <v>866</v>
      </c>
      <c r="F128" s="36">
        <v>0.66666666666666663</v>
      </c>
      <c r="G128" s="36">
        <v>0.6694444444444444</v>
      </c>
      <c r="H128" s="39" t="s">
        <v>0</v>
      </c>
      <c r="I128" s="34">
        <v>1</v>
      </c>
      <c r="J128" s="39">
        <v>711</v>
      </c>
      <c r="K128" s="51" t="str">
        <f>VLOOKUP(J128,'[2]Chart of accounts'!A:H,2,FALSE)</f>
        <v>50102010 01</v>
      </c>
      <c r="L128" s="39"/>
      <c r="M128" s="39"/>
      <c r="N128" s="34"/>
      <c r="O128" s="34"/>
      <c r="P128" s="34"/>
      <c r="Q128" s="53" t="s">
        <v>4</v>
      </c>
      <c r="R128" s="40" t="s">
        <v>862</v>
      </c>
      <c r="S128" s="41" t="s">
        <v>776</v>
      </c>
      <c r="T128" s="42" t="s">
        <v>867</v>
      </c>
      <c r="U128" s="42" t="s">
        <v>864</v>
      </c>
      <c r="V128" s="44">
        <v>2000</v>
      </c>
      <c r="W128" s="52"/>
      <c r="X128" s="44">
        <v>2000</v>
      </c>
      <c r="Y128" s="44">
        <f t="shared" si="8"/>
        <v>0</v>
      </c>
      <c r="Z128" s="45"/>
      <c r="AA128" s="46"/>
      <c r="AB128" s="47"/>
      <c r="AC128" s="47"/>
      <c r="AD128" s="47"/>
      <c r="AE128" s="47"/>
      <c r="AF128" s="47"/>
      <c r="AG128" s="44"/>
      <c r="AH128" s="44"/>
      <c r="AI128" s="44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4"/>
      <c r="BB128" s="44"/>
      <c r="BC128" s="44"/>
      <c r="BD128" s="44"/>
      <c r="BE128" s="44"/>
      <c r="BG128" s="44">
        <v>2000</v>
      </c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9"/>
      <c r="BS128" s="44"/>
      <c r="BT128" s="44"/>
      <c r="BU128" s="44"/>
      <c r="BV128" s="129"/>
      <c r="BW128" s="47"/>
      <c r="BX128" s="44"/>
      <c r="BY128" s="44">
        <v>2000</v>
      </c>
      <c r="BZ128" s="44"/>
      <c r="CA128" s="44"/>
      <c r="CB128" s="44"/>
      <c r="CC128" s="44"/>
      <c r="CD128" s="43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7"/>
      <c r="EA128" s="47"/>
      <c r="EB128" s="47"/>
    </row>
    <row r="129" spans="3:132" s="32" customFormat="1" ht="27.6">
      <c r="C129" s="76">
        <v>44224</v>
      </c>
      <c r="D129" s="34" t="s">
        <v>759</v>
      </c>
      <c r="E129" s="286" t="s">
        <v>866</v>
      </c>
      <c r="F129" s="36">
        <v>0.66666666666666663</v>
      </c>
      <c r="G129" s="36">
        <v>0.6694444444444444</v>
      </c>
      <c r="H129" s="39" t="s">
        <v>0</v>
      </c>
      <c r="I129" s="34">
        <v>1</v>
      </c>
      <c r="J129" s="39">
        <v>731</v>
      </c>
      <c r="K129" s="51" t="str">
        <f>VLOOKUP(J129,'[2]Chart of accounts'!A:H,2,FALSE)</f>
        <v>50103010 00</v>
      </c>
      <c r="L129" s="39"/>
      <c r="M129" s="39"/>
      <c r="N129" s="34"/>
      <c r="O129" s="34"/>
      <c r="P129" s="34"/>
      <c r="Q129" s="53" t="s">
        <v>4</v>
      </c>
      <c r="R129" s="40" t="s">
        <v>862</v>
      </c>
      <c r="S129" s="41" t="s">
        <v>776</v>
      </c>
      <c r="T129" s="42" t="s">
        <v>867</v>
      </c>
      <c r="U129" s="42" t="s">
        <v>864</v>
      </c>
      <c r="V129" s="44">
        <v>4029</v>
      </c>
      <c r="W129" s="52"/>
      <c r="X129" s="44">
        <v>4029</v>
      </c>
      <c r="Y129" s="44">
        <f t="shared" si="8"/>
        <v>0</v>
      </c>
      <c r="Z129" s="45"/>
      <c r="AA129" s="46"/>
      <c r="AB129" s="47"/>
      <c r="AC129" s="47"/>
      <c r="AD129" s="47"/>
      <c r="AE129" s="47"/>
      <c r="AF129" s="47"/>
      <c r="AG129" s="44"/>
      <c r="AH129" s="44"/>
      <c r="AI129" s="44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4"/>
      <c r="BB129" s="44"/>
      <c r="BC129" s="44"/>
      <c r="BD129" s="44"/>
      <c r="BE129" s="44"/>
      <c r="BH129" s="44"/>
      <c r="BI129" s="44"/>
      <c r="BJ129" s="44"/>
      <c r="BK129" s="44"/>
      <c r="BL129" s="44"/>
      <c r="BM129" s="44"/>
      <c r="BN129" s="44"/>
      <c r="BO129" s="44">
        <v>4029</v>
      </c>
      <c r="BP129" s="44"/>
      <c r="BQ129" s="44"/>
      <c r="BR129" s="49"/>
      <c r="BS129" s="44"/>
      <c r="BT129" s="44"/>
      <c r="BU129" s="44"/>
      <c r="BV129" s="129"/>
      <c r="BW129" s="47"/>
      <c r="BX129" s="44"/>
      <c r="BY129" s="44">
        <v>4029</v>
      </c>
      <c r="BZ129" s="44"/>
      <c r="CA129" s="44"/>
      <c r="CB129" s="44"/>
      <c r="CC129" s="44"/>
      <c r="CD129" s="43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7"/>
      <c r="EA129" s="47"/>
      <c r="EB129" s="47"/>
    </row>
    <row r="130" spans="3:132" s="32" customFormat="1" ht="27.6">
      <c r="C130" s="76">
        <v>44224</v>
      </c>
      <c r="D130" s="34" t="s">
        <v>759</v>
      </c>
      <c r="E130" s="286" t="s">
        <v>866</v>
      </c>
      <c r="F130" s="36">
        <v>0.66666666666666663</v>
      </c>
      <c r="G130" s="36">
        <v>0.6694444444444444</v>
      </c>
      <c r="H130" s="39" t="s">
        <v>0</v>
      </c>
      <c r="I130" s="34">
        <v>1</v>
      </c>
      <c r="J130" s="39">
        <v>732</v>
      </c>
      <c r="K130" s="51" t="str">
        <f>VLOOKUP(J130,'[2]Chart of accounts'!A:H,2,FALSE)</f>
        <v>50103020 01</v>
      </c>
      <c r="L130" s="39"/>
      <c r="M130" s="39"/>
      <c r="N130" s="34"/>
      <c r="O130" s="34"/>
      <c r="P130" s="34"/>
      <c r="Q130" s="53" t="s">
        <v>4</v>
      </c>
      <c r="R130" s="40" t="s">
        <v>862</v>
      </c>
      <c r="S130" s="41" t="s">
        <v>776</v>
      </c>
      <c r="T130" s="42" t="s">
        <v>867</v>
      </c>
      <c r="U130" s="42" t="s">
        <v>864</v>
      </c>
      <c r="V130" s="44">
        <v>100</v>
      </c>
      <c r="W130" s="52"/>
      <c r="X130" s="44">
        <v>100</v>
      </c>
      <c r="Y130" s="44">
        <f t="shared" si="8"/>
        <v>0</v>
      </c>
      <c r="Z130" s="45"/>
      <c r="AA130" s="46"/>
      <c r="AB130" s="47"/>
      <c r="AC130" s="47"/>
      <c r="AD130" s="47"/>
      <c r="AE130" s="47"/>
      <c r="AF130" s="47"/>
      <c r="AG130" s="44"/>
      <c r="AH130" s="44"/>
      <c r="AI130" s="44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4"/>
      <c r="BB130" s="44"/>
      <c r="BC130" s="44"/>
      <c r="BD130" s="44"/>
      <c r="BE130" s="44"/>
      <c r="BH130" s="44"/>
      <c r="BI130" s="44"/>
      <c r="BJ130" s="44"/>
      <c r="BK130" s="44"/>
      <c r="BL130" s="44"/>
      <c r="BM130" s="44"/>
      <c r="BN130" s="44"/>
      <c r="BP130" s="44">
        <v>100</v>
      </c>
      <c r="BQ130" s="44"/>
      <c r="BR130" s="49"/>
      <c r="BS130" s="44"/>
      <c r="BT130" s="44"/>
      <c r="BU130" s="44"/>
      <c r="BV130" s="129"/>
      <c r="BW130" s="47"/>
      <c r="BX130" s="44"/>
      <c r="BY130" s="44">
        <v>100</v>
      </c>
      <c r="BZ130" s="44"/>
      <c r="CA130" s="44"/>
      <c r="CB130" s="44"/>
      <c r="CC130" s="44"/>
      <c r="CD130" s="43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4"/>
      <c r="DE130" s="44"/>
      <c r="DF130" s="44"/>
      <c r="DG130" s="4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7"/>
      <c r="EA130" s="47"/>
      <c r="EB130" s="47"/>
    </row>
    <row r="131" spans="3:132" s="32" customFormat="1" ht="27.6">
      <c r="C131" s="76">
        <v>44224</v>
      </c>
      <c r="D131" s="34" t="s">
        <v>759</v>
      </c>
      <c r="E131" s="286" t="s">
        <v>866</v>
      </c>
      <c r="F131" s="36">
        <v>0.66666666666666663</v>
      </c>
      <c r="G131" s="36">
        <v>0.6694444444444444</v>
      </c>
      <c r="H131" s="39" t="s">
        <v>0</v>
      </c>
      <c r="I131" s="34">
        <v>1</v>
      </c>
      <c r="J131" s="39">
        <v>733</v>
      </c>
      <c r="K131" s="51" t="str">
        <f>VLOOKUP(J131,'[2]Chart of accounts'!A:H,2,FALSE)</f>
        <v>50103030 01</v>
      </c>
      <c r="L131" s="39"/>
      <c r="M131" s="39"/>
      <c r="N131" s="34"/>
      <c r="O131" s="34"/>
      <c r="P131" s="34"/>
      <c r="Q131" s="53" t="s">
        <v>4</v>
      </c>
      <c r="R131" s="40" t="s">
        <v>862</v>
      </c>
      <c r="S131" s="41" t="s">
        <v>776</v>
      </c>
      <c r="T131" s="42" t="s">
        <v>867</v>
      </c>
      <c r="U131" s="42" t="s">
        <v>864</v>
      </c>
      <c r="V131" s="44">
        <v>503.63</v>
      </c>
      <c r="W131" s="52"/>
      <c r="X131" s="44">
        <v>503.63</v>
      </c>
      <c r="Y131" s="44">
        <f t="shared" si="8"/>
        <v>0</v>
      </c>
      <c r="Z131" s="45"/>
      <c r="AA131" s="46"/>
      <c r="AB131" s="47"/>
      <c r="AC131" s="47"/>
      <c r="AD131" s="47"/>
      <c r="AE131" s="47"/>
      <c r="AF131" s="47"/>
      <c r="AG131" s="44"/>
      <c r="AH131" s="44"/>
      <c r="AI131" s="44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4"/>
      <c r="BB131" s="44"/>
      <c r="BC131" s="44"/>
      <c r="BD131" s="44"/>
      <c r="BE131" s="44"/>
      <c r="BH131" s="44"/>
      <c r="BI131" s="44"/>
      <c r="BJ131" s="44"/>
      <c r="BK131" s="44"/>
      <c r="BL131" s="44"/>
      <c r="BM131" s="44"/>
      <c r="BN131" s="44"/>
      <c r="BQ131" s="44">
        <v>503.63</v>
      </c>
      <c r="BR131" s="49"/>
      <c r="BS131" s="44"/>
      <c r="BT131" s="44"/>
      <c r="BU131" s="44"/>
      <c r="BV131" s="129"/>
      <c r="BW131" s="47"/>
      <c r="BX131" s="44"/>
      <c r="BY131" s="44">
        <v>503.63</v>
      </c>
      <c r="BZ131" s="44"/>
      <c r="CA131" s="44"/>
      <c r="CB131" s="44"/>
      <c r="CC131" s="44"/>
      <c r="CD131" s="43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4"/>
      <c r="DE131" s="44"/>
      <c r="DF131" s="44"/>
      <c r="DG131" s="4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7"/>
      <c r="EA131" s="47"/>
      <c r="EB131" s="47"/>
    </row>
    <row r="132" spans="3:132" s="32" customFormat="1" ht="27.6">
      <c r="C132" s="76">
        <v>44224</v>
      </c>
      <c r="D132" s="34" t="s">
        <v>759</v>
      </c>
      <c r="E132" s="286" t="s">
        <v>866</v>
      </c>
      <c r="F132" s="36">
        <v>0.66666666666666663</v>
      </c>
      <c r="G132" s="36">
        <v>0.6694444444444444</v>
      </c>
      <c r="H132" s="39" t="s">
        <v>0</v>
      </c>
      <c r="I132" s="34">
        <v>1</v>
      </c>
      <c r="J132" s="39">
        <v>734</v>
      </c>
      <c r="K132" s="51" t="str">
        <f>VLOOKUP(J132,'[2]Chart of accounts'!A:H,2,FALSE)</f>
        <v>50103040 01</v>
      </c>
      <c r="L132" s="39"/>
      <c r="M132" s="39"/>
      <c r="N132" s="34"/>
      <c r="O132" s="34"/>
      <c r="P132" s="34"/>
      <c r="Q132" s="53" t="s">
        <v>4</v>
      </c>
      <c r="R132" s="40" t="s">
        <v>862</v>
      </c>
      <c r="S132" s="41" t="s">
        <v>776</v>
      </c>
      <c r="T132" s="42" t="s">
        <v>867</v>
      </c>
      <c r="U132" s="42" t="s">
        <v>864</v>
      </c>
      <c r="V132" s="44">
        <v>100</v>
      </c>
      <c r="W132" s="52"/>
      <c r="X132" s="44">
        <v>100</v>
      </c>
      <c r="Y132" s="44">
        <f t="shared" si="8"/>
        <v>0</v>
      </c>
      <c r="Z132" s="45"/>
      <c r="AA132" s="46"/>
      <c r="AB132" s="47"/>
      <c r="AC132" s="47"/>
      <c r="AD132" s="47"/>
      <c r="AE132" s="47"/>
      <c r="AF132" s="47"/>
      <c r="AG132" s="44"/>
      <c r="AH132" s="44"/>
      <c r="AI132" s="44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4"/>
      <c r="BB132" s="44"/>
      <c r="BC132" s="44"/>
      <c r="BD132" s="44"/>
      <c r="BE132" s="44"/>
      <c r="BH132" s="44"/>
      <c r="BI132" s="44"/>
      <c r="BJ132" s="44"/>
      <c r="BK132" s="44"/>
      <c r="BL132" s="44"/>
      <c r="BM132" s="44"/>
      <c r="BN132" s="44"/>
      <c r="BR132" s="44">
        <v>100</v>
      </c>
      <c r="BS132" s="44"/>
      <c r="BT132" s="44"/>
      <c r="BU132" s="44"/>
      <c r="BV132" s="129"/>
      <c r="BW132" s="47"/>
      <c r="BX132" s="44"/>
      <c r="BY132" s="44">
        <v>100</v>
      </c>
      <c r="BZ132" s="44"/>
      <c r="CA132" s="44"/>
      <c r="CB132" s="44"/>
      <c r="CC132" s="44"/>
      <c r="CD132" s="43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7"/>
      <c r="EA132" s="47"/>
      <c r="EB132" s="47"/>
    </row>
    <row r="133" spans="3:132" s="32" customFormat="1" ht="27.6">
      <c r="C133" s="76">
        <v>44224</v>
      </c>
      <c r="D133" s="34" t="s">
        <v>759</v>
      </c>
      <c r="E133" s="286" t="s">
        <v>868</v>
      </c>
      <c r="F133" s="36">
        <v>0.6694444444444444</v>
      </c>
      <c r="G133" s="36">
        <v>0.67152777777777783</v>
      </c>
      <c r="H133" s="39" t="s">
        <v>0</v>
      </c>
      <c r="I133" s="34">
        <v>1</v>
      </c>
      <c r="J133" s="39">
        <v>706</v>
      </c>
      <c r="K133" s="51" t="str">
        <f>VLOOKUP(J133,'[2]Chart of accounts'!A:H,2,FALSE)</f>
        <v>50101020 00</v>
      </c>
      <c r="L133" s="39"/>
      <c r="M133" s="39"/>
      <c r="N133" s="34"/>
      <c r="O133" s="34"/>
      <c r="P133" s="34"/>
      <c r="Q133" s="53" t="s">
        <v>4</v>
      </c>
      <c r="R133" s="40" t="s">
        <v>862</v>
      </c>
      <c r="S133" s="41" t="s">
        <v>769</v>
      </c>
      <c r="T133" s="42" t="s">
        <v>869</v>
      </c>
      <c r="U133" s="42" t="s">
        <v>864</v>
      </c>
      <c r="V133" s="44">
        <v>33575</v>
      </c>
      <c r="W133" s="52"/>
      <c r="X133" s="44">
        <v>33575</v>
      </c>
      <c r="Y133" s="44">
        <f t="shared" ref="Y133:Y144" si="9">+V133-X133</f>
        <v>0</v>
      </c>
      <c r="Z133" s="45"/>
      <c r="AA133" s="46"/>
      <c r="AB133" s="47"/>
      <c r="AC133" s="47"/>
      <c r="AD133" s="47"/>
      <c r="AE133" s="47"/>
      <c r="AF133" s="47"/>
      <c r="AG133" s="44"/>
      <c r="AH133" s="44"/>
      <c r="AI133" s="44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4"/>
      <c r="BB133" s="44"/>
      <c r="BC133" s="44"/>
      <c r="BD133" s="44"/>
      <c r="BE133" s="44"/>
      <c r="BF133" s="44">
        <v>33575</v>
      </c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9"/>
      <c r="BS133" s="44"/>
      <c r="BT133" s="44"/>
      <c r="BU133" s="44"/>
      <c r="BV133" s="129"/>
      <c r="BW133" s="47"/>
      <c r="BX133" s="44"/>
      <c r="BY133" s="44">
        <v>33575</v>
      </c>
      <c r="BZ133" s="44"/>
      <c r="CA133" s="44"/>
      <c r="CB133" s="44"/>
      <c r="CC133" s="44"/>
      <c r="CD133" s="43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7"/>
      <c r="EA133" s="47"/>
      <c r="EB133" s="47"/>
    </row>
    <row r="134" spans="3:132" s="32" customFormat="1" ht="27.6">
      <c r="C134" s="76">
        <v>44224</v>
      </c>
      <c r="D134" s="34" t="s">
        <v>759</v>
      </c>
      <c r="E134" s="286" t="s">
        <v>868</v>
      </c>
      <c r="F134" s="36">
        <v>0.6694444444444444</v>
      </c>
      <c r="G134" s="36">
        <v>0.67152777777777783</v>
      </c>
      <c r="H134" s="39" t="s">
        <v>0</v>
      </c>
      <c r="I134" s="34">
        <v>1</v>
      </c>
      <c r="J134" s="39">
        <v>711</v>
      </c>
      <c r="K134" s="51" t="str">
        <f>VLOOKUP(J134,'[2]Chart of accounts'!A:H,2,FALSE)</f>
        <v>50102010 01</v>
      </c>
      <c r="L134" s="39"/>
      <c r="M134" s="39"/>
      <c r="N134" s="34"/>
      <c r="O134" s="34"/>
      <c r="P134" s="34"/>
      <c r="Q134" s="53" t="s">
        <v>4</v>
      </c>
      <c r="R134" s="40" t="s">
        <v>862</v>
      </c>
      <c r="S134" s="41" t="s">
        <v>769</v>
      </c>
      <c r="T134" s="42" t="s">
        <v>869</v>
      </c>
      <c r="U134" s="42" t="s">
        <v>864</v>
      </c>
      <c r="V134" s="44">
        <v>2000</v>
      </c>
      <c r="W134" s="52"/>
      <c r="X134" s="44">
        <v>2000</v>
      </c>
      <c r="Y134" s="44">
        <f t="shared" si="9"/>
        <v>0</v>
      </c>
      <c r="Z134" s="45"/>
      <c r="AA134" s="46"/>
      <c r="AB134" s="47"/>
      <c r="AC134" s="47"/>
      <c r="AD134" s="47"/>
      <c r="AE134" s="47"/>
      <c r="AF134" s="47"/>
      <c r="AG134" s="44"/>
      <c r="AH134" s="44"/>
      <c r="AI134" s="44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4"/>
      <c r="BB134" s="44"/>
      <c r="BC134" s="44"/>
      <c r="BD134" s="44"/>
      <c r="BE134" s="44"/>
      <c r="BG134" s="44">
        <v>2000</v>
      </c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9"/>
      <c r="BS134" s="44"/>
      <c r="BT134" s="44"/>
      <c r="BU134" s="44"/>
      <c r="BV134" s="129"/>
      <c r="BW134" s="47"/>
      <c r="BX134" s="44"/>
      <c r="BY134" s="44">
        <v>2000</v>
      </c>
      <c r="BZ134" s="44"/>
      <c r="CA134" s="44"/>
      <c r="CB134" s="44"/>
      <c r="CC134" s="44"/>
      <c r="CD134" s="43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4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7"/>
      <c r="EA134" s="47"/>
      <c r="EB134" s="47"/>
    </row>
    <row r="135" spans="3:132" s="32" customFormat="1" ht="27.6">
      <c r="C135" s="76">
        <v>44224</v>
      </c>
      <c r="D135" s="34" t="s">
        <v>759</v>
      </c>
      <c r="E135" s="286" t="s">
        <v>868</v>
      </c>
      <c r="F135" s="36">
        <v>0.6694444444444444</v>
      </c>
      <c r="G135" s="36">
        <v>0.67152777777777783</v>
      </c>
      <c r="H135" s="39" t="s">
        <v>0</v>
      </c>
      <c r="I135" s="34">
        <v>1</v>
      </c>
      <c r="J135" s="39">
        <v>731</v>
      </c>
      <c r="K135" s="51" t="str">
        <f>VLOOKUP(J135,'[2]Chart of accounts'!A:H,2,FALSE)</f>
        <v>50103010 00</v>
      </c>
      <c r="L135" s="39"/>
      <c r="M135" s="39"/>
      <c r="N135" s="34"/>
      <c r="O135" s="34"/>
      <c r="P135" s="34"/>
      <c r="Q135" s="53" t="s">
        <v>4</v>
      </c>
      <c r="R135" s="40" t="s">
        <v>862</v>
      </c>
      <c r="S135" s="41" t="s">
        <v>769</v>
      </c>
      <c r="T135" s="42" t="s">
        <v>869</v>
      </c>
      <c r="U135" s="42" t="s">
        <v>864</v>
      </c>
      <c r="V135" s="44">
        <v>4029</v>
      </c>
      <c r="W135" s="52"/>
      <c r="X135" s="44">
        <v>4029</v>
      </c>
      <c r="Y135" s="44">
        <f t="shared" si="9"/>
        <v>0</v>
      </c>
      <c r="Z135" s="45"/>
      <c r="AA135" s="46"/>
      <c r="AB135" s="47"/>
      <c r="AC135" s="47"/>
      <c r="AD135" s="47"/>
      <c r="AE135" s="47"/>
      <c r="AF135" s="47"/>
      <c r="AG135" s="44"/>
      <c r="AH135" s="44"/>
      <c r="AI135" s="44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4"/>
      <c r="BB135" s="44"/>
      <c r="BC135" s="44"/>
      <c r="BD135" s="44"/>
      <c r="BE135" s="44"/>
      <c r="BH135" s="44"/>
      <c r="BI135" s="44"/>
      <c r="BJ135" s="44"/>
      <c r="BK135" s="44"/>
      <c r="BL135" s="44"/>
      <c r="BM135" s="44"/>
      <c r="BN135" s="44"/>
      <c r="BO135" s="44">
        <v>4029</v>
      </c>
      <c r="BP135" s="44"/>
      <c r="BQ135" s="44"/>
      <c r="BR135" s="49"/>
      <c r="BS135" s="44"/>
      <c r="BT135" s="44"/>
      <c r="BU135" s="44"/>
      <c r="BV135" s="129"/>
      <c r="BW135" s="47"/>
      <c r="BX135" s="44"/>
      <c r="BY135" s="44">
        <v>4029</v>
      </c>
      <c r="BZ135" s="44"/>
      <c r="CA135" s="44"/>
      <c r="CB135" s="44"/>
      <c r="CC135" s="44"/>
      <c r="CD135" s="43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4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7"/>
      <c r="EA135" s="47"/>
      <c r="EB135" s="47"/>
    </row>
    <row r="136" spans="3:132" s="32" customFormat="1" ht="27.6">
      <c r="C136" s="76">
        <v>44224</v>
      </c>
      <c r="D136" s="34" t="s">
        <v>759</v>
      </c>
      <c r="E136" s="286" t="s">
        <v>868</v>
      </c>
      <c r="F136" s="36">
        <v>0.6694444444444444</v>
      </c>
      <c r="G136" s="36">
        <v>0.67152777777777783</v>
      </c>
      <c r="H136" s="39" t="s">
        <v>0</v>
      </c>
      <c r="I136" s="34">
        <v>1</v>
      </c>
      <c r="J136" s="39">
        <v>732</v>
      </c>
      <c r="K136" s="51" t="str">
        <f>VLOOKUP(J136,'[2]Chart of accounts'!A:H,2,FALSE)</f>
        <v>50103020 01</v>
      </c>
      <c r="L136" s="39"/>
      <c r="M136" s="39"/>
      <c r="N136" s="34"/>
      <c r="O136" s="34"/>
      <c r="P136" s="34"/>
      <c r="Q136" s="53" t="s">
        <v>4</v>
      </c>
      <c r="R136" s="40" t="s">
        <v>862</v>
      </c>
      <c r="S136" s="41" t="s">
        <v>769</v>
      </c>
      <c r="T136" s="42" t="s">
        <v>869</v>
      </c>
      <c r="U136" s="42" t="s">
        <v>864</v>
      </c>
      <c r="V136" s="44">
        <v>100</v>
      </c>
      <c r="W136" s="52"/>
      <c r="X136" s="44">
        <v>100</v>
      </c>
      <c r="Y136" s="44">
        <f t="shared" si="9"/>
        <v>0</v>
      </c>
      <c r="Z136" s="45"/>
      <c r="AA136" s="46"/>
      <c r="AB136" s="47"/>
      <c r="AC136" s="47"/>
      <c r="AD136" s="47"/>
      <c r="AE136" s="47"/>
      <c r="AF136" s="47"/>
      <c r="AG136" s="44"/>
      <c r="AH136" s="44"/>
      <c r="AI136" s="44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4"/>
      <c r="BB136" s="44"/>
      <c r="BC136" s="44"/>
      <c r="BD136" s="44"/>
      <c r="BE136" s="44"/>
      <c r="BH136" s="44"/>
      <c r="BI136" s="44"/>
      <c r="BJ136" s="44"/>
      <c r="BK136" s="44"/>
      <c r="BL136" s="44"/>
      <c r="BM136" s="44"/>
      <c r="BN136" s="44"/>
      <c r="BP136" s="44">
        <v>100</v>
      </c>
      <c r="BQ136" s="44"/>
      <c r="BR136" s="49"/>
      <c r="BS136" s="44"/>
      <c r="BT136" s="44"/>
      <c r="BU136" s="44"/>
      <c r="BV136" s="129"/>
      <c r="BW136" s="47"/>
      <c r="BX136" s="44"/>
      <c r="BY136" s="44">
        <v>100</v>
      </c>
      <c r="BZ136" s="44"/>
      <c r="CA136" s="44"/>
      <c r="CB136" s="44"/>
      <c r="CC136" s="44"/>
      <c r="CD136" s="43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7"/>
      <c r="EA136" s="47"/>
      <c r="EB136" s="47"/>
    </row>
    <row r="137" spans="3:132" s="32" customFormat="1" ht="27.6">
      <c r="C137" s="76">
        <v>44224</v>
      </c>
      <c r="D137" s="34" t="s">
        <v>759</v>
      </c>
      <c r="E137" s="286" t="s">
        <v>868</v>
      </c>
      <c r="F137" s="36">
        <v>0.6694444444444444</v>
      </c>
      <c r="G137" s="36">
        <v>0.67152777777777783</v>
      </c>
      <c r="H137" s="39" t="s">
        <v>0</v>
      </c>
      <c r="I137" s="34">
        <v>1</v>
      </c>
      <c r="J137" s="39">
        <v>733</v>
      </c>
      <c r="K137" s="51" t="str">
        <f>VLOOKUP(J137,'[2]Chart of accounts'!A:H,2,FALSE)</f>
        <v>50103030 01</v>
      </c>
      <c r="L137" s="39"/>
      <c r="M137" s="39"/>
      <c r="N137" s="34"/>
      <c r="O137" s="34"/>
      <c r="P137" s="34"/>
      <c r="Q137" s="53" t="s">
        <v>4</v>
      </c>
      <c r="R137" s="40" t="s">
        <v>862</v>
      </c>
      <c r="S137" s="41" t="s">
        <v>769</v>
      </c>
      <c r="T137" s="42" t="s">
        <v>869</v>
      </c>
      <c r="U137" s="42" t="s">
        <v>864</v>
      </c>
      <c r="V137" s="44">
        <v>503.63</v>
      </c>
      <c r="W137" s="52"/>
      <c r="X137" s="44">
        <v>503.63</v>
      </c>
      <c r="Y137" s="44">
        <f t="shared" si="9"/>
        <v>0</v>
      </c>
      <c r="Z137" s="45"/>
      <c r="AA137" s="46"/>
      <c r="AB137" s="47"/>
      <c r="AC137" s="47"/>
      <c r="AD137" s="47"/>
      <c r="AE137" s="47"/>
      <c r="AF137" s="47"/>
      <c r="AG137" s="44"/>
      <c r="AH137" s="44"/>
      <c r="AI137" s="44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4"/>
      <c r="BB137" s="44"/>
      <c r="BC137" s="44"/>
      <c r="BD137" s="44"/>
      <c r="BE137" s="44"/>
      <c r="BH137" s="44"/>
      <c r="BI137" s="44"/>
      <c r="BJ137" s="44"/>
      <c r="BK137" s="44"/>
      <c r="BL137" s="44"/>
      <c r="BM137" s="44"/>
      <c r="BN137" s="44"/>
      <c r="BQ137" s="44">
        <v>503.63</v>
      </c>
      <c r="BR137" s="49"/>
      <c r="BS137" s="44"/>
      <c r="BT137" s="44"/>
      <c r="BU137" s="44"/>
      <c r="BV137" s="129"/>
      <c r="BW137" s="47"/>
      <c r="BX137" s="44"/>
      <c r="BY137" s="44">
        <v>503.63</v>
      </c>
      <c r="BZ137" s="44"/>
      <c r="CA137" s="44"/>
      <c r="CB137" s="44"/>
      <c r="CC137" s="44"/>
      <c r="CD137" s="43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4"/>
      <c r="DE137" s="44"/>
      <c r="DF137" s="44"/>
      <c r="DG137" s="4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7"/>
      <c r="EA137" s="47"/>
      <c r="EB137" s="47"/>
    </row>
    <row r="138" spans="3:132" s="32" customFormat="1" ht="27.6">
      <c r="C138" s="76">
        <v>44224</v>
      </c>
      <c r="D138" s="34" t="s">
        <v>759</v>
      </c>
      <c r="E138" s="286" t="s">
        <v>868</v>
      </c>
      <c r="F138" s="36">
        <v>0.6694444444444444</v>
      </c>
      <c r="G138" s="36">
        <v>0.67152777777777783</v>
      </c>
      <c r="H138" s="39" t="s">
        <v>0</v>
      </c>
      <c r="I138" s="34">
        <v>1</v>
      </c>
      <c r="J138" s="39">
        <v>734</v>
      </c>
      <c r="K138" s="51" t="str">
        <f>VLOOKUP(J138,'[2]Chart of accounts'!A:H,2,FALSE)</f>
        <v>50103040 01</v>
      </c>
      <c r="L138" s="39"/>
      <c r="M138" s="39"/>
      <c r="N138" s="34"/>
      <c r="O138" s="34"/>
      <c r="P138" s="34"/>
      <c r="Q138" s="53" t="s">
        <v>4</v>
      </c>
      <c r="R138" s="40" t="s">
        <v>862</v>
      </c>
      <c r="S138" s="41" t="s">
        <v>769</v>
      </c>
      <c r="T138" s="42" t="s">
        <v>869</v>
      </c>
      <c r="U138" s="42" t="s">
        <v>864</v>
      </c>
      <c r="V138" s="44">
        <v>100</v>
      </c>
      <c r="W138" s="52"/>
      <c r="X138" s="44">
        <v>100</v>
      </c>
      <c r="Y138" s="44">
        <f t="shared" si="9"/>
        <v>0</v>
      </c>
      <c r="Z138" s="45"/>
      <c r="AA138" s="46"/>
      <c r="AB138" s="47"/>
      <c r="AC138" s="47"/>
      <c r="AD138" s="47"/>
      <c r="AE138" s="47"/>
      <c r="AF138" s="47"/>
      <c r="AG138" s="44"/>
      <c r="AH138" s="44"/>
      <c r="AI138" s="44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4"/>
      <c r="BB138" s="44"/>
      <c r="BC138" s="44"/>
      <c r="BD138" s="44"/>
      <c r="BE138" s="44"/>
      <c r="BH138" s="44"/>
      <c r="BI138" s="44"/>
      <c r="BJ138" s="44"/>
      <c r="BK138" s="44"/>
      <c r="BL138" s="44"/>
      <c r="BM138" s="44"/>
      <c r="BN138" s="44"/>
      <c r="BR138" s="44">
        <v>100</v>
      </c>
      <c r="BS138" s="44"/>
      <c r="BT138" s="44"/>
      <c r="BU138" s="44"/>
      <c r="BV138" s="129"/>
      <c r="BW138" s="47"/>
      <c r="BX138" s="44"/>
      <c r="BY138" s="44">
        <v>100</v>
      </c>
      <c r="BZ138" s="44"/>
      <c r="CA138" s="44"/>
      <c r="CB138" s="44"/>
      <c r="CC138" s="44"/>
      <c r="CD138" s="43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7"/>
      <c r="EA138" s="47"/>
      <c r="EB138" s="47"/>
    </row>
    <row r="139" spans="3:132" s="32" customFormat="1" ht="27.6">
      <c r="C139" s="76">
        <v>44224</v>
      </c>
      <c r="D139" s="34" t="s">
        <v>759</v>
      </c>
      <c r="E139" s="286" t="s">
        <v>870</v>
      </c>
      <c r="F139" s="36">
        <v>0.67152777777777783</v>
      </c>
      <c r="G139" s="36">
        <v>0.6743055555555556</v>
      </c>
      <c r="H139" s="39" t="s">
        <v>0</v>
      </c>
      <c r="I139" s="34">
        <v>1</v>
      </c>
      <c r="J139" s="39">
        <v>706</v>
      </c>
      <c r="K139" s="51" t="str">
        <f>VLOOKUP(J139,'[2]Chart of accounts'!A:H,2,FALSE)</f>
        <v>50101020 00</v>
      </c>
      <c r="L139" s="39"/>
      <c r="M139" s="39"/>
      <c r="N139" s="34"/>
      <c r="O139" s="34"/>
      <c r="P139" s="34"/>
      <c r="Q139" s="53" t="s">
        <v>4</v>
      </c>
      <c r="R139" s="40" t="s">
        <v>862</v>
      </c>
      <c r="S139" s="41" t="s">
        <v>771</v>
      </c>
      <c r="T139" s="42" t="s">
        <v>768</v>
      </c>
      <c r="U139" s="42" t="s">
        <v>864</v>
      </c>
      <c r="V139" s="44">
        <v>77256</v>
      </c>
      <c r="W139" s="52"/>
      <c r="X139" s="44">
        <v>77256</v>
      </c>
      <c r="Y139" s="44">
        <f t="shared" si="9"/>
        <v>0</v>
      </c>
      <c r="Z139" s="45"/>
      <c r="AA139" s="46"/>
      <c r="AB139" s="47"/>
      <c r="AC139" s="47"/>
      <c r="AD139" s="47"/>
      <c r="AE139" s="47"/>
      <c r="AF139" s="47"/>
      <c r="AG139" s="44"/>
      <c r="AH139" s="44"/>
      <c r="AI139" s="44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4"/>
      <c r="BB139" s="44"/>
      <c r="BC139" s="44"/>
      <c r="BD139" s="44"/>
      <c r="BE139" s="44"/>
      <c r="BF139" s="44">
        <v>77256</v>
      </c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9"/>
      <c r="BS139" s="44"/>
      <c r="BT139" s="44"/>
      <c r="BU139" s="44"/>
      <c r="BV139" s="129"/>
      <c r="BW139" s="47"/>
      <c r="BX139" s="44"/>
      <c r="BY139" s="44">
        <v>77256</v>
      </c>
      <c r="BZ139" s="44"/>
      <c r="CA139" s="44"/>
      <c r="CB139" s="44"/>
      <c r="CC139" s="44"/>
      <c r="CD139" s="43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7"/>
      <c r="EA139" s="47"/>
      <c r="EB139" s="47"/>
    </row>
    <row r="140" spans="3:132" s="32" customFormat="1" ht="27.6">
      <c r="C140" s="76">
        <v>44224</v>
      </c>
      <c r="D140" s="34" t="s">
        <v>759</v>
      </c>
      <c r="E140" s="286" t="s">
        <v>870</v>
      </c>
      <c r="F140" s="36">
        <v>0.67152777777777783</v>
      </c>
      <c r="G140" s="36">
        <v>0.6743055555555556</v>
      </c>
      <c r="H140" s="39" t="s">
        <v>0</v>
      </c>
      <c r="I140" s="34">
        <v>1</v>
      </c>
      <c r="J140" s="39">
        <v>711</v>
      </c>
      <c r="K140" s="51" t="str">
        <f>VLOOKUP(J140,'[2]Chart of accounts'!A:H,2,FALSE)</f>
        <v>50102010 01</v>
      </c>
      <c r="L140" s="39"/>
      <c r="M140" s="39"/>
      <c r="N140" s="34"/>
      <c r="O140" s="34"/>
      <c r="P140" s="34"/>
      <c r="Q140" s="53" t="s">
        <v>4</v>
      </c>
      <c r="R140" s="40" t="s">
        <v>862</v>
      </c>
      <c r="S140" s="41" t="s">
        <v>771</v>
      </c>
      <c r="T140" s="42" t="s">
        <v>768</v>
      </c>
      <c r="U140" s="42" t="s">
        <v>864</v>
      </c>
      <c r="V140" s="44">
        <v>4000</v>
      </c>
      <c r="W140" s="52"/>
      <c r="X140" s="44">
        <v>4000</v>
      </c>
      <c r="Y140" s="44">
        <f t="shared" si="9"/>
        <v>0</v>
      </c>
      <c r="Z140" s="45"/>
      <c r="AA140" s="46"/>
      <c r="AB140" s="47"/>
      <c r="AC140" s="47"/>
      <c r="AD140" s="47"/>
      <c r="AE140" s="47"/>
      <c r="AF140" s="47"/>
      <c r="AG140" s="44"/>
      <c r="AH140" s="44"/>
      <c r="AI140" s="44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4"/>
      <c r="BB140" s="44"/>
      <c r="BC140" s="44"/>
      <c r="BD140" s="44"/>
      <c r="BE140" s="44"/>
      <c r="BG140" s="44">
        <v>4000</v>
      </c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9"/>
      <c r="BS140" s="44"/>
      <c r="BT140" s="44"/>
      <c r="BU140" s="44"/>
      <c r="BV140" s="129"/>
      <c r="BW140" s="47"/>
      <c r="BX140" s="44"/>
      <c r="BY140" s="44">
        <v>4000</v>
      </c>
      <c r="BZ140" s="44"/>
      <c r="CA140" s="44"/>
      <c r="CB140" s="44"/>
      <c r="CC140" s="44"/>
      <c r="CD140" s="43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7"/>
      <c r="EA140" s="47"/>
      <c r="EB140" s="47"/>
    </row>
    <row r="141" spans="3:132" s="32" customFormat="1" ht="27.6">
      <c r="C141" s="76">
        <v>44224</v>
      </c>
      <c r="D141" s="34" t="s">
        <v>759</v>
      </c>
      <c r="E141" s="286" t="s">
        <v>870</v>
      </c>
      <c r="F141" s="36">
        <v>0.67152777777777783</v>
      </c>
      <c r="G141" s="36">
        <v>0.6743055555555556</v>
      </c>
      <c r="H141" s="39" t="s">
        <v>0</v>
      </c>
      <c r="I141" s="34">
        <v>1</v>
      </c>
      <c r="J141" s="39">
        <v>731</v>
      </c>
      <c r="K141" s="51" t="str">
        <f>VLOOKUP(J141,'[2]Chart of accounts'!A:H,2,FALSE)</f>
        <v>50103010 00</v>
      </c>
      <c r="L141" s="39"/>
      <c r="M141" s="39"/>
      <c r="N141" s="34"/>
      <c r="O141" s="34"/>
      <c r="P141" s="34"/>
      <c r="Q141" s="53" t="s">
        <v>4</v>
      </c>
      <c r="R141" s="40" t="s">
        <v>862</v>
      </c>
      <c r="S141" s="41" t="s">
        <v>771</v>
      </c>
      <c r="T141" s="42" t="s">
        <v>768</v>
      </c>
      <c r="U141" s="42" t="s">
        <v>864</v>
      </c>
      <c r="V141" s="44">
        <v>9270.7199999999993</v>
      </c>
      <c r="W141" s="52"/>
      <c r="X141" s="44">
        <v>9270.7199999999993</v>
      </c>
      <c r="Y141" s="44">
        <f t="shared" si="9"/>
        <v>0</v>
      </c>
      <c r="Z141" s="45"/>
      <c r="AA141" s="46"/>
      <c r="AB141" s="47"/>
      <c r="AC141" s="47"/>
      <c r="AD141" s="47"/>
      <c r="AE141" s="47"/>
      <c r="AF141" s="47"/>
      <c r="AG141" s="44"/>
      <c r="AH141" s="44"/>
      <c r="AI141" s="44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4"/>
      <c r="BB141" s="44"/>
      <c r="BC141" s="44"/>
      <c r="BD141" s="44"/>
      <c r="BE141" s="44"/>
      <c r="BF141" s="48"/>
      <c r="BG141" s="44"/>
      <c r="BH141" s="44"/>
      <c r="BI141" s="44"/>
      <c r="BJ141" s="44"/>
      <c r="BK141" s="44"/>
      <c r="BL141" s="44"/>
      <c r="BM141" s="44"/>
      <c r="BN141" s="44"/>
      <c r="BO141" s="44">
        <v>9270.7199999999993</v>
      </c>
      <c r="BP141" s="44"/>
      <c r="BQ141" s="44"/>
      <c r="BR141" s="49"/>
      <c r="BS141" s="44"/>
      <c r="BT141" s="44"/>
      <c r="BU141" s="44"/>
      <c r="BV141" s="129"/>
      <c r="BW141" s="47"/>
      <c r="BX141" s="44"/>
      <c r="BY141" s="44">
        <v>9270.7199999999993</v>
      </c>
      <c r="BZ141" s="44"/>
      <c r="CA141" s="44"/>
      <c r="CB141" s="44"/>
      <c r="CC141" s="44"/>
      <c r="CD141" s="43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4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7"/>
      <c r="EA141" s="47"/>
      <c r="EB141" s="47"/>
    </row>
    <row r="142" spans="3:132" s="32" customFormat="1" ht="27.6">
      <c r="C142" s="76">
        <v>44224</v>
      </c>
      <c r="D142" s="34" t="s">
        <v>759</v>
      </c>
      <c r="E142" s="286" t="s">
        <v>870</v>
      </c>
      <c r="F142" s="36">
        <v>0.67152777777777783</v>
      </c>
      <c r="G142" s="36">
        <v>0.6743055555555556</v>
      </c>
      <c r="H142" s="39" t="s">
        <v>0</v>
      </c>
      <c r="I142" s="34">
        <v>1</v>
      </c>
      <c r="J142" s="39">
        <v>732</v>
      </c>
      <c r="K142" s="51" t="str">
        <f>VLOOKUP(J142,'[2]Chart of accounts'!A:H,2,FALSE)</f>
        <v>50103020 01</v>
      </c>
      <c r="L142" s="39"/>
      <c r="M142" s="39"/>
      <c r="N142" s="34"/>
      <c r="O142" s="34"/>
      <c r="P142" s="34"/>
      <c r="Q142" s="53" t="s">
        <v>4</v>
      </c>
      <c r="R142" s="40" t="s">
        <v>862</v>
      </c>
      <c r="S142" s="41" t="s">
        <v>771</v>
      </c>
      <c r="T142" s="42" t="s">
        <v>768</v>
      </c>
      <c r="U142" s="42" t="s">
        <v>864</v>
      </c>
      <c r="V142" s="44">
        <v>200</v>
      </c>
      <c r="W142" s="52"/>
      <c r="X142" s="44">
        <v>200</v>
      </c>
      <c r="Y142" s="44">
        <f t="shared" si="9"/>
        <v>0</v>
      </c>
      <c r="Z142" s="45"/>
      <c r="AA142" s="46"/>
      <c r="AB142" s="47"/>
      <c r="AC142" s="47"/>
      <c r="AD142" s="47"/>
      <c r="AE142" s="47"/>
      <c r="AF142" s="47"/>
      <c r="AG142" s="44"/>
      <c r="AH142" s="44"/>
      <c r="AI142" s="44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4"/>
      <c r="BB142" s="44"/>
      <c r="BC142" s="44"/>
      <c r="BD142" s="44"/>
      <c r="BE142" s="44"/>
      <c r="BF142" s="48"/>
      <c r="BG142" s="44"/>
      <c r="BH142" s="44"/>
      <c r="BI142" s="44"/>
      <c r="BJ142" s="44"/>
      <c r="BK142" s="44"/>
      <c r="BL142" s="44"/>
      <c r="BM142" s="44"/>
      <c r="BN142" s="44"/>
      <c r="BP142" s="44">
        <v>200</v>
      </c>
      <c r="BQ142" s="44"/>
      <c r="BR142" s="49"/>
      <c r="BS142" s="44"/>
      <c r="BT142" s="44"/>
      <c r="BU142" s="44"/>
      <c r="BV142" s="129"/>
      <c r="BW142" s="47"/>
      <c r="BX142" s="44"/>
      <c r="BY142" s="44">
        <v>200</v>
      </c>
      <c r="BZ142" s="44"/>
      <c r="CA142" s="44"/>
      <c r="CB142" s="44"/>
      <c r="CC142" s="44"/>
      <c r="CD142" s="43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7"/>
      <c r="EA142" s="47"/>
      <c r="EB142" s="47"/>
    </row>
    <row r="143" spans="3:132" s="32" customFormat="1" ht="27.6">
      <c r="C143" s="76">
        <v>44224</v>
      </c>
      <c r="D143" s="34" t="s">
        <v>759</v>
      </c>
      <c r="E143" s="286" t="s">
        <v>870</v>
      </c>
      <c r="F143" s="36">
        <v>0.67152777777777783</v>
      </c>
      <c r="G143" s="36">
        <v>0.6743055555555556</v>
      </c>
      <c r="H143" s="39" t="s">
        <v>0</v>
      </c>
      <c r="I143" s="34">
        <v>1</v>
      </c>
      <c r="J143" s="39">
        <v>733</v>
      </c>
      <c r="K143" s="51" t="str">
        <f>VLOOKUP(J143,'[2]Chart of accounts'!A:H,2,FALSE)</f>
        <v>50103030 01</v>
      </c>
      <c r="L143" s="39"/>
      <c r="M143" s="39"/>
      <c r="N143" s="34"/>
      <c r="O143" s="34"/>
      <c r="P143" s="34"/>
      <c r="Q143" s="53" t="s">
        <v>4</v>
      </c>
      <c r="R143" s="40" t="s">
        <v>862</v>
      </c>
      <c r="S143" s="41" t="s">
        <v>771</v>
      </c>
      <c r="T143" s="42" t="s">
        <v>768</v>
      </c>
      <c r="U143" s="42" t="s">
        <v>864</v>
      </c>
      <c r="V143" s="44">
        <v>1158.8499999999999</v>
      </c>
      <c r="W143" s="52"/>
      <c r="X143" s="44">
        <v>1158.8499999999999</v>
      </c>
      <c r="Y143" s="44">
        <f t="shared" si="9"/>
        <v>0</v>
      </c>
      <c r="Z143" s="45"/>
      <c r="AA143" s="46"/>
      <c r="AB143" s="47"/>
      <c r="AC143" s="47"/>
      <c r="AD143" s="47"/>
      <c r="AE143" s="47"/>
      <c r="AF143" s="47"/>
      <c r="AG143" s="44"/>
      <c r="AH143" s="44"/>
      <c r="AI143" s="44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4"/>
      <c r="BB143" s="44"/>
      <c r="BC143" s="44"/>
      <c r="BD143" s="44"/>
      <c r="BE143" s="44"/>
      <c r="BF143" s="48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>
        <v>1158.8499999999999</v>
      </c>
      <c r="BR143" s="49"/>
      <c r="BS143" s="44"/>
      <c r="BT143" s="44"/>
      <c r="BU143" s="44"/>
      <c r="BV143" s="129"/>
      <c r="BW143" s="47"/>
      <c r="BX143" s="44"/>
      <c r="BY143" s="44">
        <v>1158.8499999999999</v>
      </c>
      <c r="BZ143" s="44"/>
      <c r="CA143" s="44"/>
      <c r="CB143" s="44"/>
      <c r="CC143" s="44"/>
      <c r="CD143" s="43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7"/>
      <c r="EA143" s="47"/>
      <c r="EB143" s="47"/>
    </row>
    <row r="144" spans="3:132" s="32" customFormat="1" ht="27.6">
      <c r="C144" s="76">
        <v>44224</v>
      </c>
      <c r="D144" s="34" t="s">
        <v>759</v>
      </c>
      <c r="E144" s="286" t="s">
        <v>870</v>
      </c>
      <c r="F144" s="36">
        <v>0.67152777777777783</v>
      </c>
      <c r="G144" s="36">
        <v>0.6743055555555556</v>
      </c>
      <c r="H144" s="39" t="s">
        <v>0</v>
      </c>
      <c r="I144" s="34">
        <v>1</v>
      </c>
      <c r="J144" s="39">
        <v>734</v>
      </c>
      <c r="K144" s="51" t="str">
        <f>VLOOKUP(J144,'[2]Chart of accounts'!A:H,2,FALSE)</f>
        <v>50103040 01</v>
      </c>
      <c r="L144" s="39"/>
      <c r="M144" s="39"/>
      <c r="N144" s="34"/>
      <c r="O144" s="34"/>
      <c r="P144" s="34"/>
      <c r="Q144" s="53" t="s">
        <v>4</v>
      </c>
      <c r="R144" s="40" t="s">
        <v>862</v>
      </c>
      <c r="S144" s="41" t="s">
        <v>771</v>
      </c>
      <c r="T144" s="42" t="s">
        <v>768</v>
      </c>
      <c r="U144" s="42" t="s">
        <v>864</v>
      </c>
      <c r="V144" s="44">
        <v>200</v>
      </c>
      <c r="W144" s="52"/>
      <c r="X144" s="44">
        <v>200</v>
      </c>
      <c r="Y144" s="44">
        <f t="shared" si="9"/>
        <v>0</v>
      </c>
      <c r="Z144" s="45"/>
      <c r="AA144" s="46"/>
      <c r="AB144" s="47"/>
      <c r="AC144" s="47"/>
      <c r="AD144" s="47"/>
      <c r="AE144" s="47"/>
      <c r="AF144" s="47"/>
      <c r="AG144" s="44"/>
      <c r="AH144" s="44"/>
      <c r="AI144" s="44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4"/>
      <c r="BB144" s="44"/>
      <c r="BC144" s="44"/>
      <c r="BD144" s="44"/>
      <c r="BE144" s="44"/>
      <c r="BF144" s="48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R144" s="44">
        <v>200</v>
      </c>
      <c r="BS144" s="44"/>
      <c r="BT144" s="44"/>
      <c r="BU144" s="44"/>
      <c r="BV144" s="129"/>
      <c r="BW144" s="47"/>
      <c r="BX144" s="44"/>
      <c r="BY144" s="44">
        <v>200</v>
      </c>
      <c r="BZ144" s="44"/>
      <c r="CA144" s="44"/>
      <c r="CB144" s="44"/>
      <c r="CC144" s="44"/>
      <c r="CD144" s="43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4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7"/>
      <c r="EA144" s="47"/>
      <c r="EB144" s="47"/>
    </row>
    <row r="145" spans="3:132" s="32" customFormat="1" ht="27.6">
      <c r="C145" s="76">
        <v>44224</v>
      </c>
      <c r="D145" s="34" t="s">
        <v>759</v>
      </c>
      <c r="E145" s="286" t="s">
        <v>871</v>
      </c>
      <c r="F145" s="36">
        <v>0.6743055555555556</v>
      </c>
      <c r="G145" s="36">
        <v>0.67499999999999993</v>
      </c>
      <c r="H145" s="39" t="s">
        <v>0</v>
      </c>
      <c r="I145" s="34">
        <v>1</v>
      </c>
      <c r="J145" s="39">
        <v>706</v>
      </c>
      <c r="K145" s="51" t="str">
        <f>VLOOKUP(J145,'[2]Chart of accounts'!A:H,2,FALSE)</f>
        <v>50101020 00</v>
      </c>
      <c r="L145" s="39"/>
      <c r="M145" s="39"/>
      <c r="N145" s="34"/>
      <c r="O145" s="34"/>
      <c r="P145" s="34"/>
      <c r="Q145" s="53" t="s">
        <v>4</v>
      </c>
      <c r="R145" s="40" t="s">
        <v>862</v>
      </c>
      <c r="S145" s="41" t="s">
        <v>770</v>
      </c>
      <c r="T145" s="42" t="s">
        <v>872</v>
      </c>
      <c r="U145" s="42" t="s">
        <v>864</v>
      </c>
      <c r="V145" s="44">
        <v>33575</v>
      </c>
      <c r="W145" s="52"/>
      <c r="X145" s="44">
        <v>33575</v>
      </c>
      <c r="Y145" s="44">
        <f t="shared" ref="Y145:Y150" si="10">+V145-X145</f>
        <v>0</v>
      </c>
      <c r="Z145" s="45"/>
      <c r="AA145" s="46"/>
      <c r="AB145" s="47"/>
      <c r="AC145" s="47"/>
      <c r="AD145" s="47"/>
      <c r="AE145" s="47"/>
      <c r="AF145" s="47"/>
      <c r="AG145" s="44"/>
      <c r="AH145" s="44"/>
      <c r="AI145" s="44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4"/>
      <c r="BB145" s="44"/>
      <c r="BC145" s="44"/>
      <c r="BD145" s="44"/>
      <c r="BE145" s="44"/>
      <c r="BF145" s="44">
        <v>33575</v>
      </c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9"/>
      <c r="BS145" s="44"/>
      <c r="BT145" s="44"/>
      <c r="BU145" s="44"/>
      <c r="BV145" s="129"/>
      <c r="BW145" s="47"/>
      <c r="BX145" s="44"/>
      <c r="BY145" s="44">
        <v>33575</v>
      </c>
      <c r="BZ145" s="44"/>
      <c r="CA145" s="44"/>
      <c r="CB145" s="44"/>
      <c r="CC145" s="44"/>
      <c r="CD145" s="43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7"/>
      <c r="EA145" s="47"/>
      <c r="EB145" s="47"/>
    </row>
    <row r="146" spans="3:132" s="32" customFormat="1" ht="27.6">
      <c r="C146" s="76">
        <v>44224</v>
      </c>
      <c r="D146" s="34" t="s">
        <v>759</v>
      </c>
      <c r="E146" s="286" t="s">
        <v>871</v>
      </c>
      <c r="F146" s="36">
        <v>0.6743055555555556</v>
      </c>
      <c r="G146" s="36">
        <v>0.67499999999999993</v>
      </c>
      <c r="H146" s="39" t="s">
        <v>0</v>
      </c>
      <c r="I146" s="34">
        <v>1</v>
      </c>
      <c r="J146" s="39">
        <v>711</v>
      </c>
      <c r="K146" s="51" t="str">
        <f>VLOOKUP(J146,'[2]Chart of accounts'!A:H,2,FALSE)</f>
        <v>50102010 01</v>
      </c>
      <c r="L146" s="39"/>
      <c r="M146" s="39"/>
      <c r="N146" s="34"/>
      <c r="O146" s="34"/>
      <c r="P146" s="34"/>
      <c r="Q146" s="53" t="s">
        <v>4</v>
      </c>
      <c r="R146" s="40" t="s">
        <v>862</v>
      </c>
      <c r="S146" s="41" t="s">
        <v>769</v>
      </c>
      <c r="T146" s="42" t="s">
        <v>872</v>
      </c>
      <c r="U146" s="42" t="s">
        <v>864</v>
      </c>
      <c r="V146" s="44">
        <v>2000</v>
      </c>
      <c r="W146" s="52"/>
      <c r="X146" s="44">
        <v>2000</v>
      </c>
      <c r="Y146" s="44">
        <f t="shared" si="10"/>
        <v>0</v>
      </c>
      <c r="Z146" s="45"/>
      <c r="AA146" s="46"/>
      <c r="AB146" s="47"/>
      <c r="AC146" s="47"/>
      <c r="AD146" s="47"/>
      <c r="AE146" s="47"/>
      <c r="AF146" s="47"/>
      <c r="AG146" s="44"/>
      <c r="AH146" s="44"/>
      <c r="AI146" s="44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4"/>
      <c r="BB146" s="44"/>
      <c r="BC146" s="44"/>
      <c r="BD146" s="44"/>
      <c r="BE146" s="44"/>
      <c r="BG146" s="44">
        <v>2000</v>
      </c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9"/>
      <c r="BS146" s="44"/>
      <c r="BT146" s="44"/>
      <c r="BU146" s="44"/>
      <c r="BV146" s="129"/>
      <c r="BW146" s="47"/>
      <c r="BX146" s="44"/>
      <c r="BY146" s="44">
        <v>2000</v>
      </c>
      <c r="BZ146" s="44"/>
      <c r="CA146" s="44"/>
      <c r="CB146" s="44"/>
      <c r="CC146" s="44"/>
      <c r="CD146" s="43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7"/>
      <c r="EA146" s="47"/>
      <c r="EB146" s="47"/>
    </row>
    <row r="147" spans="3:132" s="32" customFormat="1" ht="27.6">
      <c r="C147" s="76">
        <v>44224</v>
      </c>
      <c r="D147" s="34" t="s">
        <v>759</v>
      </c>
      <c r="E147" s="286" t="s">
        <v>871</v>
      </c>
      <c r="F147" s="36">
        <v>0.6743055555555556</v>
      </c>
      <c r="G147" s="36">
        <v>0.67499999999999993</v>
      </c>
      <c r="H147" s="39" t="s">
        <v>0</v>
      </c>
      <c r="I147" s="34">
        <v>1</v>
      </c>
      <c r="J147" s="39">
        <v>731</v>
      </c>
      <c r="K147" s="51" t="str">
        <f>VLOOKUP(J147,'[2]Chart of accounts'!A:H,2,FALSE)</f>
        <v>50103010 00</v>
      </c>
      <c r="L147" s="39"/>
      <c r="M147" s="39"/>
      <c r="N147" s="34"/>
      <c r="O147" s="34"/>
      <c r="P147" s="34"/>
      <c r="Q147" s="53" t="s">
        <v>4</v>
      </c>
      <c r="R147" s="40" t="s">
        <v>862</v>
      </c>
      <c r="S147" s="41" t="s">
        <v>769</v>
      </c>
      <c r="T147" s="42" t="s">
        <v>872</v>
      </c>
      <c r="U147" s="42" t="s">
        <v>864</v>
      </c>
      <c r="V147" s="44">
        <v>4029</v>
      </c>
      <c r="W147" s="52"/>
      <c r="X147" s="44">
        <v>4029</v>
      </c>
      <c r="Y147" s="44">
        <f t="shared" si="10"/>
        <v>0</v>
      </c>
      <c r="Z147" s="45"/>
      <c r="AA147" s="46"/>
      <c r="AB147" s="47"/>
      <c r="AC147" s="47"/>
      <c r="AD147" s="47"/>
      <c r="AE147" s="47"/>
      <c r="AF147" s="47"/>
      <c r="AG147" s="44"/>
      <c r="AH147" s="44"/>
      <c r="AI147" s="44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4"/>
      <c r="BB147" s="44"/>
      <c r="BC147" s="44"/>
      <c r="BD147" s="44"/>
      <c r="BE147" s="44"/>
      <c r="BH147" s="44"/>
      <c r="BI147" s="44"/>
      <c r="BJ147" s="44"/>
      <c r="BK147" s="44"/>
      <c r="BL147" s="44"/>
      <c r="BM147" s="44"/>
      <c r="BN147" s="44"/>
      <c r="BO147" s="44">
        <v>4029</v>
      </c>
      <c r="BP147" s="44"/>
      <c r="BQ147" s="44"/>
      <c r="BR147" s="49"/>
      <c r="BS147" s="44"/>
      <c r="BT147" s="44"/>
      <c r="BU147" s="44"/>
      <c r="BV147" s="129"/>
      <c r="BW147" s="47"/>
      <c r="BX147" s="44"/>
      <c r="BY147" s="44">
        <v>4029</v>
      </c>
      <c r="BZ147" s="44"/>
      <c r="CA147" s="44"/>
      <c r="CB147" s="44"/>
      <c r="CC147" s="44"/>
      <c r="CD147" s="43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7"/>
      <c r="EA147" s="47"/>
      <c r="EB147" s="47"/>
    </row>
    <row r="148" spans="3:132" s="32" customFormat="1" ht="27.6">
      <c r="C148" s="76">
        <v>44224</v>
      </c>
      <c r="D148" s="34" t="s">
        <v>759</v>
      </c>
      <c r="E148" s="286" t="s">
        <v>871</v>
      </c>
      <c r="F148" s="36">
        <v>0.6743055555555556</v>
      </c>
      <c r="G148" s="36">
        <v>0.67499999999999993</v>
      </c>
      <c r="H148" s="39" t="s">
        <v>0</v>
      </c>
      <c r="I148" s="34">
        <v>1</v>
      </c>
      <c r="J148" s="39">
        <v>732</v>
      </c>
      <c r="K148" s="51" t="str">
        <f>VLOOKUP(J148,'[2]Chart of accounts'!A:H,2,FALSE)</f>
        <v>50103020 01</v>
      </c>
      <c r="L148" s="39"/>
      <c r="M148" s="39"/>
      <c r="N148" s="34"/>
      <c r="O148" s="34"/>
      <c r="P148" s="34"/>
      <c r="Q148" s="53" t="s">
        <v>4</v>
      </c>
      <c r="R148" s="40" t="s">
        <v>862</v>
      </c>
      <c r="S148" s="41" t="s">
        <v>769</v>
      </c>
      <c r="T148" s="42" t="s">
        <v>872</v>
      </c>
      <c r="U148" s="42" t="s">
        <v>864</v>
      </c>
      <c r="V148" s="44">
        <v>100</v>
      </c>
      <c r="W148" s="52"/>
      <c r="X148" s="44">
        <v>100</v>
      </c>
      <c r="Y148" s="44">
        <f t="shared" si="10"/>
        <v>0</v>
      </c>
      <c r="Z148" s="45"/>
      <c r="AA148" s="46"/>
      <c r="AB148" s="47"/>
      <c r="AC148" s="47"/>
      <c r="AD148" s="47"/>
      <c r="AE148" s="47"/>
      <c r="AF148" s="47"/>
      <c r="AG148" s="44"/>
      <c r="AH148" s="44"/>
      <c r="AI148" s="44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4"/>
      <c r="BB148" s="44"/>
      <c r="BC148" s="44"/>
      <c r="BD148" s="44"/>
      <c r="BE148" s="44"/>
      <c r="BH148" s="44"/>
      <c r="BI148" s="44"/>
      <c r="BJ148" s="44"/>
      <c r="BK148" s="44"/>
      <c r="BL148" s="44"/>
      <c r="BM148" s="44"/>
      <c r="BN148" s="44"/>
      <c r="BP148" s="44">
        <v>100</v>
      </c>
      <c r="BQ148" s="44"/>
      <c r="BR148" s="49"/>
      <c r="BS148" s="44"/>
      <c r="BT148" s="44"/>
      <c r="BU148" s="44"/>
      <c r="BV148" s="129"/>
      <c r="BW148" s="47"/>
      <c r="BX148" s="44"/>
      <c r="BY148" s="44">
        <v>100</v>
      </c>
      <c r="BZ148" s="44"/>
      <c r="CA148" s="44"/>
      <c r="CB148" s="44"/>
      <c r="CC148" s="44"/>
      <c r="CD148" s="43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4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7"/>
      <c r="EA148" s="47"/>
      <c r="EB148" s="47"/>
    </row>
    <row r="149" spans="3:132" s="32" customFormat="1" ht="27.6">
      <c r="C149" s="76">
        <v>44224</v>
      </c>
      <c r="D149" s="34" t="s">
        <v>759</v>
      </c>
      <c r="E149" s="286" t="s">
        <v>871</v>
      </c>
      <c r="F149" s="36">
        <v>0.6743055555555556</v>
      </c>
      <c r="G149" s="36">
        <v>0.67499999999999993</v>
      </c>
      <c r="H149" s="39" t="s">
        <v>0</v>
      </c>
      <c r="I149" s="34">
        <v>1</v>
      </c>
      <c r="J149" s="39">
        <v>733</v>
      </c>
      <c r="K149" s="51" t="str">
        <f>VLOOKUP(J149,'[2]Chart of accounts'!A:H,2,FALSE)</f>
        <v>50103030 01</v>
      </c>
      <c r="L149" s="39"/>
      <c r="M149" s="39"/>
      <c r="N149" s="34"/>
      <c r="O149" s="34"/>
      <c r="P149" s="34"/>
      <c r="Q149" s="53" t="s">
        <v>4</v>
      </c>
      <c r="R149" s="40" t="s">
        <v>862</v>
      </c>
      <c r="S149" s="41" t="s">
        <v>769</v>
      </c>
      <c r="T149" s="42" t="s">
        <v>872</v>
      </c>
      <c r="U149" s="42" t="s">
        <v>864</v>
      </c>
      <c r="V149" s="44">
        <v>503.63</v>
      </c>
      <c r="W149" s="52"/>
      <c r="X149" s="44">
        <v>503.63</v>
      </c>
      <c r="Y149" s="44">
        <f t="shared" si="10"/>
        <v>0</v>
      </c>
      <c r="Z149" s="45"/>
      <c r="AA149" s="46"/>
      <c r="AB149" s="47"/>
      <c r="AC149" s="47"/>
      <c r="AD149" s="47"/>
      <c r="AE149" s="47"/>
      <c r="AF149" s="47"/>
      <c r="AG149" s="44"/>
      <c r="AH149" s="44"/>
      <c r="AI149" s="44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4"/>
      <c r="BB149" s="44"/>
      <c r="BC149" s="44"/>
      <c r="BD149" s="44"/>
      <c r="BE149" s="44"/>
      <c r="BH149" s="44"/>
      <c r="BI149" s="44"/>
      <c r="BJ149" s="44"/>
      <c r="BK149" s="44"/>
      <c r="BL149" s="44"/>
      <c r="BM149" s="44"/>
      <c r="BN149" s="44"/>
      <c r="BQ149" s="44">
        <v>503.63</v>
      </c>
      <c r="BR149" s="49"/>
      <c r="BS149" s="44"/>
      <c r="BT149" s="44"/>
      <c r="BU149" s="44"/>
      <c r="BV149" s="129"/>
      <c r="BW149" s="47"/>
      <c r="BX149" s="44"/>
      <c r="BY149" s="44">
        <v>503.63</v>
      </c>
      <c r="BZ149" s="44"/>
      <c r="CA149" s="44"/>
      <c r="CB149" s="44"/>
      <c r="CC149" s="44"/>
      <c r="CD149" s="43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7"/>
      <c r="EA149" s="47"/>
      <c r="EB149" s="47"/>
    </row>
    <row r="150" spans="3:132" s="32" customFormat="1" ht="27.6">
      <c r="C150" s="76">
        <v>44224</v>
      </c>
      <c r="D150" s="34" t="s">
        <v>759</v>
      </c>
      <c r="E150" s="286" t="s">
        <v>871</v>
      </c>
      <c r="F150" s="36">
        <v>0.6743055555555556</v>
      </c>
      <c r="G150" s="36">
        <v>0.67499999999999993</v>
      </c>
      <c r="H150" s="39" t="s">
        <v>0</v>
      </c>
      <c r="I150" s="34">
        <v>1</v>
      </c>
      <c r="J150" s="39">
        <v>734</v>
      </c>
      <c r="K150" s="51" t="str">
        <f>VLOOKUP(J150,'[2]Chart of accounts'!A:H,2,FALSE)</f>
        <v>50103040 01</v>
      </c>
      <c r="L150" s="39"/>
      <c r="M150" s="39"/>
      <c r="N150" s="34"/>
      <c r="O150" s="34"/>
      <c r="P150" s="34"/>
      <c r="Q150" s="53" t="s">
        <v>4</v>
      </c>
      <c r="R150" s="40" t="s">
        <v>862</v>
      </c>
      <c r="S150" s="41" t="s">
        <v>769</v>
      </c>
      <c r="T150" s="42" t="s">
        <v>872</v>
      </c>
      <c r="U150" s="42" t="s">
        <v>864</v>
      </c>
      <c r="V150" s="44">
        <v>100</v>
      </c>
      <c r="W150" s="52"/>
      <c r="X150" s="44">
        <v>100</v>
      </c>
      <c r="Y150" s="44">
        <f t="shared" si="10"/>
        <v>0</v>
      </c>
      <c r="Z150" s="45"/>
      <c r="AA150" s="46"/>
      <c r="AB150" s="47"/>
      <c r="AC150" s="47"/>
      <c r="AD150" s="47"/>
      <c r="AE150" s="47"/>
      <c r="AF150" s="47"/>
      <c r="AG150" s="44"/>
      <c r="AH150" s="44"/>
      <c r="AI150" s="44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4"/>
      <c r="BB150" s="44"/>
      <c r="BC150" s="44"/>
      <c r="BD150" s="44"/>
      <c r="BE150" s="44"/>
      <c r="BH150" s="44"/>
      <c r="BI150" s="44"/>
      <c r="BJ150" s="44"/>
      <c r="BK150" s="44"/>
      <c r="BL150" s="44"/>
      <c r="BM150" s="44"/>
      <c r="BN150" s="44"/>
      <c r="BR150" s="44">
        <v>100</v>
      </c>
      <c r="BS150" s="44"/>
      <c r="BT150" s="44"/>
      <c r="BU150" s="44"/>
      <c r="BV150" s="129"/>
      <c r="BW150" s="47"/>
      <c r="BX150" s="44"/>
      <c r="BY150" s="44">
        <v>100</v>
      </c>
      <c r="BZ150" s="44"/>
      <c r="CA150" s="44"/>
      <c r="CB150" s="44"/>
      <c r="CC150" s="44"/>
      <c r="CD150" s="43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4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7"/>
      <c r="EA150" s="47"/>
      <c r="EB150" s="47"/>
    </row>
    <row r="151" spans="3:132" s="32" customFormat="1">
      <c r="C151" s="76">
        <v>44224</v>
      </c>
      <c r="D151" s="34" t="s">
        <v>759</v>
      </c>
      <c r="E151" s="286"/>
      <c r="F151" s="36"/>
      <c r="G151" s="36"/>
      <c r="H151" s="39"/>
      <c r="I151" s="34"/>
      <c r="J151" s="39"/>
      <c r="K151" s="51" t="e">
        <f>VLOOKUP(J151,'[2]Chart of accounts'!A:H,2,FALSE)</f>
        <v>#N/A</v>
      </c>
      <c r="L151" s="39"/>
      <c r="M151" s="39"/>
      <c r="N151" s="34"/>
      <c r="O151" s="34"/>
      <c r="P151" s="34"/>
      <c r="Q151" s="40"/>
      <c r="R151" s="40"/>
      <c r="S151" s="78"/>
      <c r="T151" s="42"/>
      <c r="U151" s="42"/>
      <c r="V151" s="44"/>
      <c r="W151" s="52"/>
      <c r="X151" s="49"/>
      <c r="Y151" s="44"/>
      <c r="Z151" s="45"/>
      <c r="AA151" s="46"/>
      <c r="AB151" s="47"/>
      <c r="AC151" s="47"/>
      <c r="AD151" s="47"/>
      <c r="AE151" s="47"/>
      <c r="AF151" s="47"/>
      <c r="AG151" s="44"/>
      <c r="AH151" s="44"/>
      <c r="AI151" s="44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4"/>
      <c r="BB151" s="44"/>
      <c r="BC151" s="44"/>
      <c r="BD151" s="44"/>
      <c r="BE151" s="44"/>
      <c r="BF151" s="48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9"/>
      <c r="BS151" s="44"/>
      <c r="BT151" s="44"/>
      <c r="BU151" s="44"/>
      <c r="BV151" s="129"/>
      <c r="BW151" s="47"/>
      <c r="BX151" s="44"/>
      <c r="BY151" s="44"/>
      <c r="BZ151" s="44"/>
      <c r="CA151" s="44"/>
      <c r="CB151" s="44"/>
      <c r="CC151" s="44"/>
      <c r="CD151" s="43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7"/>
      <c r="EA151" s="47"/>
      <c r="EB151" s="47"/>
    </row>
    <row r="152" spans="3:132" s="32" customFormat="1">
      <c r="C152" s="76">
        <v>44224</v>
      </c>
      <c r="D152" s="34" t="s">
        <v>759</v>
      </c>
      <c r="E152" s="286"/>
      <c r="F152" s="36"/>
      <c r="G152" s="36"/>
      <c r="H152" s="39"/>
      <c r="I152" s="34"/>
      <c r="J152" s="39"/>
      <c r="K152" s="51" t="e">
        <f>VLOOKUP(J152,'[2]Chart of accounts'!A:H,2,FALSE)</f>
        <v>#N/A</v>
      </c>
      <c r="L152" s="39"/>
      <c r="M152" s="39"/>
      <c r="N152" s="34"/>
      <c r="O152" s="34"/>
      <c r="P152" s="34"/>
      <c r="Q152" s="40"/>
      <c r="R152" s="40"/>
      <c r="S152" s="78"/>
      <c r="T152" s="42"/>
      <c r="U152" s="42"/>
      <c r="V152" s="44"/>
      <c r="W152" s="52"/>
      <c r="X152" s="49"/>
      <c r="Y152" s="44"/>
      <c r="Z152" s="45"/>
      <c r="AA152" s="46"/>
      <c r="AB152" s="47"/>
      <c r="AC152" s="47"/>
      <c r="AD152" s="47"/>
      <c r="AE152" s="47"/>
      <c r="AF152" s="47"/>
      <c r="AG152" s="44"/>
      <c r="AH152" s="44"/>
      <c r="AI152" s="44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4"/>
      <c r="BB152" s="44"/>
      <c r="BC152" s="44"/>
      <c r="BD152" s="44"/>
      <c r="BE152" s="44"/>
      <c r="BF152" s="48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9"/>
      <c r="BS152" s="44"/>
      <c r="BT152" s="44"/>
      <c r="BU152" s="44"/>
      <c r="BV152" s="129"/>
      <c r="BW152" s="47"/>
      <c r="BX152" s="44"/>
      <c r="BY152" s="44"/>
      <c r="BZ152" s="44"/>
      <c r="CA152" s="44"/>
      <c r="CB152" s="44"/>
      <c r="CC152" s="44"/>
      <c r="CD152" s="43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4"/>
      <c r="DE152" s="44"/>
      <c r="DF152" s="44"/>
      <c r="DG152" s="4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44"/>
      <c r="DZ152" s="47"/>
      <c r="EA152" s="47"/>
      <c r="EB152" s="47"/>
    </row>
    <row r="153" spans="3:132" s="32" customFormat="1">
      <c r="C153" s="76">
        <v>44224</v>
      </c>
      <c r="D153" s="34" t="s">
        <v>759</v>
      </c>
      <c r="E153" s="286"/>
      <c r="F153" s="36"/>
      <c r="G153" s="36"/>
      <c r="H153" s="39"/>
      <c r="I153" s="34"/>
      <c r="J153" s="39"/>
      <c r="K153" s="51" t="e">
        <f>VLOOKUP(J153,'[2]Chart of accounts'!A:H,2,FALSE)</f>
        <v>#N/A</v>
      </c>
      <c r="L153" s="39"/>
      <c r="M153" s="39"/>
      <c r="N153" s="34"/>
      <c r="O153" s="34"/>
      <c r="P153" s="34"/>
      <c r="Q153" s="40"/>
      <c r="R153" s="40"/>
      <c r="S153" s="78"/>
      <c r="T153" s="42"/>
      <c r="U153" s="42"/>
      <c r="V153" s="44"/>
      <c r="W153" s="52"/>
      <c r="X153" s="49"/>
      <c r="Y153" s="44"/>
      <c r="Z153" s="45"/>
      <c r="AA153" s="46"/>
      <c r="AB153" s="47"/>
      <c r="AC153" s="47"/>
      <c r="AD153" s="47"/>
      <c r="AE153" s="47"/>
      <c r="AF153" s="47"/>
      <c r="AG153" s="44"/>
      <c r="AH153" s="44"/>
      <c r="AI153" s="44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4"/>
      <c r="BB153" s="44"/>
      <c r="BC153" s="44"/>
      <c r="BD153" s="44"/>
      <c r="BE153" s="44"/>
      <c r="BF153" s="48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9"/>
      <c r="BS153" s="44"/>
      <c r="BT153" s="44"/>
      <c r="BU153" s="44"/>
      <c r="BV153" s="129"/>
      <c r="BW153" s="47"/>
      <c r="BX153" s="44"/>
      <c r="BY153" s="44"/>
      <c r="BZ153" s="44"/>
      <c r="CA153" s="44"/>
      <c r="CB153" s="44"/>
      <c r="CC153" s="44"/>
      <c r="CD153" s="43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7"/>
      <c r="EA153" s="47"/>
      <c r="EB153" s="47"/>
    </row>
    <row r="154" spans="3:132" s="32" customFormat="1">
      <c r="C154" s="76">
        <v>44224</v>
      </c>
      <c r="D154" s="34" t="s">
        <v>759</v>
      </c>
      <c r="E154" s="286"/>
      <c r="F154" s="36"/>
      <c r="G154" s="36"/>
      <c r="H154" s="39"/>
      <c r="I154" s="34"/>
      <c r="J154" s="39"/>
      <c r="K154" s="51" t="e">
        <f>VLOOKUP(J154,'[2]Chart of accounts'!A:H,2,FALSE)</f>
        <v>#N/A</v>
      </c>
      <c r="L154" s="39"/>
      <c r="M154" s="39"/>
      <c r="N154" s="34"/>
      <c r="O154" s="34"/>
      <c r="P154" s="34"/>
      <c r="Q154" s="40"/>
      <c r="R154" s="40"/>
      <c r="S154" s="78"/>
      <c r="T154" s="42"/>
      <c r="U154" s="42"/>
      <c r="V154" s="44"/>
      <c r="W154" s="52"/>
      <c r="X154" s="49"/>
      <c r="Y154" s="44"/>
      <c r="Z154" s="45"/>
      <c r="AA154" s="46"/>
      <c r="AB154" s="47"/>
      <c r="AC154" s="47"/>
      <c r="AD154" s="47"/>
      <c r="AE154" s="47"/>
      <c r="AF154" s="47"/>
      <c r="AG154" s="44"/>
      <c r="AH154" s="44"/>
      <c r="AI154" s="44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4"/>
      <c r="BB154" s="44"/>
      <c r="BC154" s="44"/>
      <c r="BD154" s="44"/>
      <c r="BE154" s="44"/>
      <c r="BF154" s="48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9"/>
      <c r="BS154" s="44"/>
      <c r="BT154" s="44"/>
      <c r="BU154" s="44"/>
      <c r="BV154" s="129"/>
      <c r="BW154" s="47"/>
      <c r="BX154" s="44"/>
      <c r="BY154" s="44"/>
      <c r="BZ154" s="44"/>
      <c r="CA154" s="44"/>
      <c r="CB154" s="44"/>
      <c r="CC154" s="44"/>
      <c r="CD154" s="43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7"/>
      <c r="EA154" s="47"/>
      <c r="EB154" s="47"/>
    </row>
    <row r="155" spans="3:132" s="32" customFormat="1">
      <c r="C155" s="76">
        <v>44224</v>
      </c>
      <c r="D155" s="34" t="s">
        <v>759</v>
      </c>
      <c r="E155" s="286"/>
      <c r="F155" s="36"/>
      <c r="G155" s="36"/>
      <c r="H155" s="39"/>
      <c r="I155" s="34"/>
      <c r="J155" s="39"/>
      <c r="K155" s="51" t="e">
        <f>VLOOKUP(J155,'[2]Chart of accounts'!A:H,2,FALSE)</f>
        <v>#N/A</v>
      </c>
      <c r="L155" s="39"/>
      <c r="M155" s="39"/>
      <c r="N155" s="34"/>
      <c r="O155" s="34"/>
      <c r="P155" s="34"/>
      <c r="Q155" s="40"/>
      <c r="R155" s="40"/>
      <c r="S155" s="78"/>
      <c r="T155" s="42"/>
      <c r="U155" s="42"/>
      <c r="V155" s="44"/>
      <c r="W155" s="52"/>
      <c r="X155" s="49"/>
      <c r="Y155" s="44"/>
      <c r="Z155" s="45"/>
      <c r="AA155" s="46"/>
      <c r="AB155" s="47"/>
      <c r="AC155" s="47"/>
      <c r="AD155" s="47"/>
      <c r="AE155" s="47"/>
      <c r="AF155" s="47"/>
      <c r="AG155" s="44"/>
      <c r="AH155" s="44"/>
      <c r="AI155" s="44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4"/>
      <c r="BB155" s="44"/>
      <c r="BC155" s="44"/>
      <c r="BD155" s="44"/>
      <c r="BE155" s="44"/>
      <c r="BF155" s="48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9"/>
      <c r="BS155" s="44"/>
      <c r="BT155" s="44"/>
      <c r="BU155" s="44"/>
      <c r="BV155" s="49"/>
      <c r="BW155" s="47"/>
      <c r="BX155" s="44"/>
      <c r="BY155" s="44"/>
      <c r="BZ155" s="44"/>
      <c r="CA155" s="44"/>
      <c r="CB155" s="44"/>
      <c r="CC155" s="44"/>
      <c r="CD155" s="43"/>
      <c r="CE155" s="44"/>
      <c r="CF155" s="44"/>
      <c r="CG155" s="44"/>
      <c r="CH155" s="44"/>
      <c r="CI155" s="44"/>
      <c r="CJ155" s="47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7"/>
      <c r="EA155" s="47"/>
      <c r="EB155" s="47"/>
    </row>
    <row r="156" spans="3:132" s="32" customFormat="1">
      <c r="C156" s="76">
        <v>44224</v>
      </c>
      <c r="D156" s="34" t="s">
        <v>759</v>
      </c>
      <c r="E156" s="286"/>
      <c r="F156" s="36"/>
      <c r="G156" s="36"/>
      <c r="H156" s="39"/>
      <c r="I156" s="34"/>
      <c r="J156" s="39"/>
      <c r="K156" s="51" t="e">
        <f>VLOOKUP(J156,'[2]Chart of accounts'!A:H,2,FALSE)</f>
        <v>#N/A</v>
      </c>
      <c r="L156" s="39"/>
      <c r="M156" s="39"/>
      <c r="N156" s="34"/>
      <c r="O156" s="34"/>
      <c r="P156" s="34"/>
      <c r="Q156" s="40"/>
      <c r="R156" s="40"/>
      <c r="S156" s="78"/>
      <c r="T156" s="42"/>
      <c r="U156" s="42"/>
      <c r="V156" s="44"/>
      <c r="W156" s="52"/>
      <c r="X156" s="49"/>
      <c r="Y156" s="44"/>
      <c r="Z156" s="45"/>
      <c r="AA156" s="46"/>
      <c r="AB156" s="47"/>
      <c r="AC156" s="47"/>
      <c r="AD156" s="47"/>
      <c r="AE156" s="47"/>
      <c r="AF156" s="47"/>
      <c r="AG156" s="44"/>
      <c r="AH156" s="44"/>
      <c r="AI156" s="44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4"/>
      <c r="BB156" s="44"/>
      <c r="BC156" s="44"/>
      <c r="BD156" s="44"/>
      <c r="BE156" s="44"/>
      <c r="BF156" s="48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9"/>
      <c r="BS156" s="44"/>
      <c r="BT156" s="44"/>
      <c r="BU156" s="44"/>
      <c r="BV156" s="49"/>
      <c r="BW156" s="47"/>
      <c r="BX156" s="44"/>
      <c r="BY156" s="44"/>
      <c r="BZ156" s="44"/>
      <c r="CA156" s="44"/>
      <c r="CB156" s="44"/>
      <c r="CC156" s="44"/>
      <c r="CD156" s="43"/>
      <c r="CE156" s="44"/>
      <c r="CF156" s="44"/>
      <c r="CG156" s="44"/>
      <c r="CH156" s="44"/>
      <c r="CI156" s="44"/>
      <c r="CJ156" s="47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7"/>
      <c r="EA156" s="47"/>
      <c r="EB156" s="47"/>
    </row>
    <row r="157" spans="3:132" s="32" customFormat="1">
      <c r="C157" s="76">
        <v>44224</v>
      </c>
      <c r="D157" s="34" t="s">
        <v>759</v>
      </c>
      <c r="E157" s="286"/>
      <c r="F157" s="36"/>
      <c r="G157" s="36"/>
      <c r="H157" s="39"/>
      <c r="I157" s="34"/>
      <c r="J157" s="39"/>
      <c r="K157" s="51" t="e">
        <f>VLOOKUP(J157,'[2]Chart of accounts'!A:H,2,FALSE)</f>
        <v>#N/A</v>
      </c>
      <c r="L157" s="39"/>
      <c r="M157" s="39"/>
      <c r="N157" s="34"/>
      <c r="O157" s="34"/>
      <c r="P157" s="34"/>
      <c r="Q157" s="40"/>
      <c r="R157" s="40"/>
      <c r="S157" s="78"/>
      <c r="T157" s="42"/>
      <c r="U157" s="42"/>
      <c r="V157" s="44"/>
      <c r="W157" s="52"/>
      <c r="X157" s="49"/>
      <c r="Y157" s="44"/>
      <c r="Z157" s="45"/>
      <c r="AA157" s="46"/>
      <c r="AB157" s="47"/>
      <c r="AC157" s="47"/>
      <c r="AD157" s="47"/>
      <c r="AE157" s="47"/>
      <c r="AF157" s="47"/>
      <c r="AG157" s="44"/>
      <c r="AH157" s="44"/>
      <c r="AI157" s="44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4"/>
      <c r="BB157" s="44"/>
      <c r="BC157" s="44"/>
      <c r="BD157" s="44"/>
      <c r="BE157" s="44"/>
      <c r="BF157" s="48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9"/>
      <c r="BS157" s="44"/>
      <c r="BT157" s="44"/>
      <c r="BU157" s="44"/>
      <c r="BV157" s="49"/>
      <c r="BW157" s="47"/>
      <c r="BX157" s="44"/>
      <c r="BY157" s="44"/>
      <c r="BZ157" s="44"/>
      <c r="CA157" s="44"/>
      <c r="CB157" s="44"/>
      <c r="CC157" s="44"/>
      <c r="CD157" s="43"/>
      <c r="CE157" s="44"/>
      <c r="CF157" s="44"/>
      <c r="CG157" s="44"/>
      <c r="CH157" s="44"/>
      <c r="CI157" s="44"/>
      <c r="CJ157" s="47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4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7"/>
      <c r="EA157" s="47"/>
      <c r="EB157" s="47"/>
    </row>
    <row r="158" spans="3:132" s="32" customFormat="1">
      <c r="C158" s="76">
        <v>44224</v>
      </c>
      <c r="D158" s="34" t="s">
        <v>759</v>
      </c>
      <c r="E158" s="286"/>
      <c r="F158" s="36"/>
      <c r="G158" s="36"/>
      <c r="H158" s="39"/>
      <c r="I158" s="34"/>
      <c r="J158" s="39"/>
      <c r="K158" s="51" t="e">
        <f>VLOOKUP(J158,'[2]Chart of accounts'!A:H,2,FALSE)</f>
        <v>#N/A</v>
      </c>
      <c r="L158" s="39"/>
      <c r="M158" s="39"/>
      <c r="N158" s="34"/>
      <c r="O158" s="34"/>
      <c r="P158" s="34"/>
      <c r="Q158" s="40"/>
      <c r="R158" s="40"/>
      <c r="S158" s="78"/>
      <c r="T158" s="42"/>
      <c r="U158" s="42"/>
      <c r="V158" s="44"/>
      <c r="W158" s="52"/>
      <c r="X158" s="49"/>
      <c r="Y158" s="44"/>
      <c r="Z158" s="45"/>
      <c r="AA158" s="46"/>
      <c r="AB158" s="47"/>
      <c r="AC158" s="47"/>
      <c r="AD158" s="47"/>
      <c r="AE158" s="47"/>
      <c r="AF158" s="47"/>
      <c r="AG158" s="44"/>
      <c r="AH158" s="44"/>
      <c r="AI158" s="44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4"/>
      <c r="BB158" s="44"/>
      <c r="BC158" s="44"/>
      <c r="BD158" s="44"/>
      <c r="BE158" s="44"/>
      <c r="BF158" s="48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9"/>
      <c r="BS158" s="44"/>
      <c r="BT158" s="44"/>
      <c r="BU158" s="44"/>
      <c r="BV158" s="49"/>
      <c r="BW158" s="47"/>
      <c r="BX158" s="44"/>
      <c r="BY158" s="44"/>
      <c r="BZ158" s="44"/>
      <c r="CA158" s="44"/>
      <c r="CB158" s="44"/>
      <c r="CC158" s="44"/>
      <c r="CD158" s="43"/>
      <c r="CE158" s="44"/>
      <c r="CF158" s="44"/>
      <c r="CG158" s="44"/>
      <c r="CH158" s="44"/>
      <c r="CI158" s="44"/>
      <c r="CJ158" s="47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7"/>
      <c r="EA158" s="47"/>
      <c r="EB158" s="47"/>
    </row>
    <row r="159" spans="3:132" s="32" customFormat="1">
      <c r="C159" s="76">
        <v>44224</v>
      </c>
      <c r="D159" s="34" t="s">
        <v>759</v>
      </c>
      <c r="E159" s="35"/>
      <c r="F159" s="36"/>
      <c r="G159" s="36"/>
      <c r="H159" s="39"/>
      <c r="I159" s="34"/>
      <c r="J159" s="39"/>
      <c r="K159" s="51" t="e">
        <f>VLOOKUP(J159,'[2]Chart of accounts'!A:H,2,FALSE)</f>
        <v>#N/A</v>
      </c>
      <c r="L159" s="39"/>
      <c r="M159" s="39"/>
      <c r="N159" s="34"/>
      <c r="O159" s="34"/>
      <c r="P159" s="34"/>
      <c r="Q159" s="40"/>
      <c r="R159" s="40"/>
      <c r="S159" s="78"/>
      <c r="T159" s="42"/>
      <c r="U159" s="42"/>
      <c r="V159" s="44"/>
      <c r="W159" s="52"/>
      <c r="X159" s="49"/>
      <c r="Y159" s="44"/>
      <c r="Z159" s="45"/>
      <c r="AA159" s="46"/>
      <c r="AB159" s="47"/>
      <c r="AC159" s="47"/>
      <c r="AD159" s="47"/>
      <c r="AE159" s="47"/>
      <c r="AF159" s="47"/>
      <c r="AG159" s="44"/>
      <c r="AH159" s="44"/>
      <c r="AI159" s="44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4"/>
      <c r="BB159" s="44"/>
      <c r="BC159" s="44"/>
      <c r="BD159" s="44"/>
      <c r="BE159" s="44"/>
      <c r="BF159" s="48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9"/>
      <c r="BS159" s="44"/>
      <c r="BT159" s="44"/>
      <c r="BU159" s="44"/>
      <c r="BV159" s="49"/>
      <c r="BW159" s="47"/>
      <c r="BX159" s="44"/>
      <c r="BY159" s="44"/>
      <c r="BZ159" s="44"/>
      <c r="CA159" s="44"/>
      <c r="CB159" s="44"/>
      <c r="CC159" s="44"/>
      <c r="CD159" s="43"/>
      <c r="CE159" s="44"/>
      <c r="CF159" s="44"/>
      <c r="CG159" s="44"/>
      <c r="CH159" s="44"/>
      <c r="CI159" s="44"/>
      <c r="CJ159" s="47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7"/>
      <c r="EA159" s="47"/>
      <c r="EB159" s="47"/>
    </row>
    <row r="160" spans="3:132" s="32" customFormat="1">
      <c r="C160" s="76">
        <v>44224</v>
      </c>
      <c r="D160" s="34" t="s">
        <v>759</v>
      </c>
      <c r="E160" s="35"/>
      <c r="F160" s="36"/>
      <c r="G160" s="36"/>
      <c r="H160" s="39"/>
      <c r="I160" s="34"/>
      <c r="J160" s="39"/>
      <c r="K160" s="51" t="e">
        <f>VLOOKUP(J160,'[2]Chart of accounts'!A:H,2,FALSE)</f>
        <v>#N/A</v>
      </c>
      <c r="L160" s="39"/>
      <c r="M160" s="39"/>
      <c r="N160" s="34"/>
      <c r="O160" s="34"/>
      <c r="P160" s="34"/>
      <c r="Q160" s="40"/>
      <c r="R160" s="40"/>
      <c r="S160" s="78"/>
      <c r="T160" s="42"/>
      <c r="U160" s="42"/>
      <c r="V160" s="44"/>
      <c r="W160" s="52"/>
      <c r="X160" s="49"/>
      <c r="Y160" s="44"/>
      <c r="Z160" s="45"/>
      <c r="AA160" s="46"/>
      <c r="AB160" s="47"/>
      <c r="AC160" s="47"/>
      <c r="AD160" s="47"/>
      <c r="AE160" s="47"/>
      <c r="AF160" s="47"/>
      <c r="AG160" s="44"/>
      <c r="AH160" s="44"/>
      <c r="AI160" s="44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4"/>
      <c r="BB160" s="44"/>
      <c r="BC160" s="44"/>
      <c r="BD160" s="44"/>
      <c r="BE160" s="44"/>
      <c r="BF160" s="48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9"/>
      <c r="BS160" s="44"/>
      <c r="BT160" s="44"/>
      <c r="BU160" s="44"/>
      <c r="BV160" s="49"/>
      <c r="BW160" s="47"/>
      <c r="BX160" s="44"/>
      <c r="BY160" s="44"/>
      <c r="BZ160" s="44"/>
      <c r="CA160" s="44"/>
      <c r="CB160" s="44"/>
      <c r="CC160" s="44"/>
      <c r="CD160" s="43"/>
      <c r="CE160" s="44"/>
      <c r="CF160" s="44"/>
      <c r="CG160" s="44"/>
      <c r="CH160" s="44"/>
      <c r="CI160" s="44"/>
      <c r="CJ160" s="47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7"/>
      <c r="EA160" s="47"/>
      <c r="EB160" s="47"/>
    </row>
    <row r="161" spans="3:132" s="32" customFormat="1">
      <c r="C161" s="76">
        <v>44224</v>
      </c>
      <c r="D161" s="34" t="s">
        <v>759</v>
      </c>
      <c r="E161" s="35"/>
      <c r="F161" s="36"/>
      <c r="G161" s="36"/>
      <c r="H161" s="39"/>
      <c r="I161" s="34"/>
      <c r="J161" s="39"/>
      <c r="K161" s="51" t="e">
        <f>VLOOKUP(J161,'[2]Chart of accounts'!A:H,2,FALSE)</f>
        <v>#N/A</v>
      </c>
      <c r="L161" s="39"/>
      <c r="M161" s="39"/>
      <c r="N161" s="34"/>
      <c r="O161" s="34"/>
      <c r="P161" s="34"/>
      <c r="Q161" s="40"/>
      <c r="R161" s="40"/>
      <c r="S161" s="78"/>
      <c r="T161" s="42"/>
      <c r="U161" s="42"/>
      <c r="V161" s="44"/>
      <c r="W161" s="52"/>
      <c r="X161" s="49"/>
      <c r="Y161" s="44"/>
      <c r="Z161" s="45"/>
      <c r="AA161" s="46"/>
      <c r="AB161" s="47"/>
      <c r="AC161" s="47"/>
      <c r="AD161" s="47"/>
      <c r="AE161" s="47"/>
      <c r="AF161" s="47"/>
      <c r="AG161" s="44"/>
      <c r="AH161" s="44"/>
      <c r="AI161" s="44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4"/>
      <c r="BB161" s="44"/>
      <c r="BC161" s="44"/>
      <c r="BD161" s="44"/>
      <c r="BE161" s="44"/>
      <c r="BF161" s="48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9"/>
      <c r="BS161" s="44"/>
      <c r="BT161" s="44"/>
      <c r="BU161" s="44"/>
      <c r="BV161" s="49"/>
      <c r="BW161" s="47"/>
      <c r="BX161" s="44"/>
      <c r="BY161" s="44"/>
      <c r="BZ161" s="44"/>
      <c r="CA161" s="44"/>
      <c r="CB161" s="44"/>
      <c r="CC161" s="44"/>
      <c r="CD161" s="43"/>
      <c r="CE161" s="44"/>
      <c r="CF161" s="44"/>
      <c r="CG161" s="44"/>
      <c r="CH161" s="44"/>
      <c r="CI161" s="44"/>
      <c r="CJ161" s="47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7"/>
      <c r="EA161" s="47"/>
      <c r="EB161" s="47"/>
    </row>
    <row r="162" spans="3:132" s="32" customFormat="1">
      <c r="C162" s="76">
        <v>44224</v>
      </c>
      <c r="D162" s="34" t="s">
        <v>759</v>
      </c>
      <c r="E162" s="35"/>
      <c r="F162" s="36"/>
      <c r="G162" s="36"/>
      <c r="H162" s="39"/>
      <c r="I162" s="34"/>
      <c r="J162" s="39"/>
      <c r="K162" s="51" t="e">
        <f>VLOOKUP(J162,'[2]Chart of accounts'!A:H,2,FALSE)</f>
        <v>#N/A</v>
      </c>
      <c r="L162" s="39"/>
      <c r="M162" s="39"/>
      <c r="N162" s="34"/>
      <c r="O162" s="34"/>
      <c r="P162" s="34"/>
      <c r="Q162" s="40"/>
      <c r="R162" s="40"/>
      <c r="S162" s="78"/>
      <c r="T162" s="42"/>
      <c r="U162" s="42"/>
      <c r="V162" s="44"/>
      <c r="W162" s="52"/>
      <c r="X162" s="49"/>
      <c r="Y162" s="44"/>
      <c r="Z162" s="45"/>
      <c r="AA162" s="46"/>
      <c r="AB162" s="47"/>
      <c r="AC162" s="47"/>
      <c r="AD162" s="47"/>
      <c r="AE162" s="47"/>
      <c r="AF162" s="47"/>
      <c r="AG162" s="44"/>
      <c r="AH162" s="44"/>
      <c r="AI162" s="44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4"/>
      <c r="BB162" s="44"/>
      <c r="BC162" s="44"/>
      <c r="BD162" s="44"/>
      <c r="BE162" s="44"/>
      <c r="BF162" s="48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9"/>
      <c r="BS162" s="44"/>
      <c r="BT162" s="44"/>
      <c r="BU162" s="44"/>
      <c r="BV162" s="49"/>
      <c r="BW162" s="47"/>
      <c r="BX162" s="44"/>
      <c r="BY162" s="44"/>
      <c r="BZ162" s="44"/>
      <c r="CA162" s="44"/>
      <c r="CB162" s="44"/>
      <c r="CC162" s="44"/>
      <c r="CD162" s="43"/>
      <c r="CE162" s="44"/>
      <c r="CF162" s="44"/>
      <c r="CG162" s="44"/>
      <c r="CH162" s="44"/>
      <c r="CI162" s="44"/>
      <c r="CJ162" s="47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7"/>
      <c r="EA162" s="47"/>
      <c r="EB162" s="47"/>
    </row>
    <row r="163" spans="3:132" s="32" customFormat="1">
      <c r="C163" s="76">
        <v>44224</v>
      </c>
      <c r="D163" s="34" t="s">
        <v>759</v>
      </c>
      <c r="E163" s="35"/>
      <c r="F163" s="36"/>
      <c r="G163" s="36"/>
      <c r="H163" s="39"/>
      <c r="I163" s="34"/>
      <c r="J163" s="39"/>
      <c r="K163" s="51" t="e">
        <f>VLOOKUP(J163,'[2]Chart of accounts'!A:H,2,FALSE)</f>
        <v>#N/A</v>
      </c>
      <c r="L163" s="39"/>
      <c r="M163" s="39"/>
      <c r="N163" s="34"/>
      <c r="O163" s="34"/>
      <c r="P163" s="34"/>
      <c r="Q163" s="40"/>
      <c r="R163" s="40"/>
      <c r="S163" s="78"/>
      <c r="T163" s="42"/>
      <c r="U163" s="42"/>
      <c r="V163" s="44"/>
      <c r="W163" s="52"/>
      <c r="X163" s="49"/>
      <c r="Y163" s="44"/>
      <c r="Z163" s="45"/>
      <c r="AA163" s="46"/>
      <c r="AB163" s="47"/>
      <c r="AC163" s="47"/>
      <c r="AD163" s="47"/>
      <c r="AE163" s="47"/>
      <c r="AF163" s="47"/>
      <c r="AG163" s="44"/>
      <c r="AH163" s="44"/>
      <c r="AI163" s="44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4"/>
      <c r="BB163" s="44"/>
      <c r="BC163" s="44"/>
      <c r="BD163" s="44"/>
      <c r="BE163" s="44"/>
      <c r="BF163" s="48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9"/>
      <c r="BS163" s="44"/>
      <c r="BT163" s="44"/>
      <c r="BU163" s="44"/>
      <c r="BV163" s="49"/>
      <c r="BW163" s="47"/>
      <c r="BX163" s="44"/>
      <c r="BY163" s="44"/>
      <c r="BZ163" s="44"/>
      <c r="CA163" s="44"/>
      <c r="CB163" s="44"/>
      <c r="CC163" s="44"/>
      <c r="CD163" s="43"/>
      <c r="CE163" s="44"/>
      <c r="CF163" s="44"/>
      <c r="CG163" s="44"/>
      <c r="CH163" s="44"/>
      <c r="CI163" s="44"/>
      <c r="CJ163" s="47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7"/>
      <c r="EA163" s="47"/>
      <c r="EB163" s="47"/>
    </row>
    <row r="164" spans="3:132" s="32" customFormat="1">
      <c r="C164" s="76"/>
      <c r="D164" s="34"/>
      <c r="E164" s="35"/>
      <c r="F164" s="36"/>
      <c r="G164" s="36"/>
      <c r="H164" s="39"/>
      <c r="I164" s="34"/>
      <c r="J164" s="39"/>
      <c r="K164" s="51" t="e">
        <f>VLOOKUP(J164,'[2]Chart of accounts'!A:H,2,FALSE)</f>
        <v>#N/A</v>
      </c>
      <c r="L164" s="39"/>
      <c r="M164" s="39"/>
      <c r="N164" s="34"/>
      <c r="O164" s="34"/>
      <c r="P164" s="34"/>
      <c r="Q164" s="40"/>
      <c r="R164" s="40"/>
      <c r="S164" s="78"/>
      <c r="T164" s="42"/>
      <c r="U164" s="42"/>
      <c r="V164" s="44"/>
      <c r="W164" s="52"/>
      <c r="X164" s="49"/>
      <c r="Y164" s="44"/>
      <c r="Z164" s="45"/>
      <c r="AA164" s="46"/>
      <c r="AB164" s="47"/>
      <c r="AC164" s="47"/>
      <c r="AD164" s="47"/>
      <c r="AE164" s="47"/>
      <c r="AF164" s="47"/>
      <c r="AG164" s="44"/>
      <c r="AH164" s="44"/>
      <c r="AI164" s="44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4"/>
      <c r="BB164" s="44"/>
      <c r="BC164" s="44"/>
      <c r="BD164" s="44"/>
      <c r="BE164" s="44"/>
      <c r="BF164" s="48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9"/>
      <c r="BS164" s="44"/>
      <c r="BT164" s="44"/>
      <c r="BU164" s="44"/>
      <c r="BV164" s="49"/>
      <c r="BW164" s="47"/>
      <c r="BX164" s="44"/>
      <c r="BY164" s="44"/>
      <c r="BZ164" s="44"/>
      <c r="CA164" s="44"/>
      <c r="CB164" s="44"/>
      <c r="CC164" s="44"/>
      <c r="CD164" s="43"/>
      <c r="CE164" s="44"/>
      <c r="CF164" s="44"/>
      <c r="CG164" s="44"/>
      <c r="CH164" s="44"/>
      <c r="CI164" s="44"/>
      <c r="CJ164" s="47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7"/>
      <c r="EA164" s="47"/>
      <c r="EB164" s="47"/>
    </row>
    <row r="165" spans="3:132" s="32" customFormat="1">
      <c r="C165" s="76"/>
      <c r="D165" s="34"/>
      <c r="E165" s="35"/>
      <c r="F165" s="36"/>
      <c r="G165" s="36"/>
      <c r="H165" s="39"/>
      <c r="I165" s="34"/>
      <c r="J165" s="39"/>
      <c r="K165" s="51" t="e">
        <f>VLOOKUP(J165,'[2]Chart of accounts'!A:H,2,FALSE)</f>
        <v>#N/A</v>
      </c>
      <c r="L165" s="39"/>
      <c r="M165" s="39"/>
      <c r="N165" s="34"/>
      <c r="O165" s="34"/>
      <c r="P165" s="34"/>
      <c r="Q165" s="40"/>
      <c r="R165" s="40"/>
      <c r="S165" s="78"/>
      <c r="T165" s="42"/>
      <c r="U165" s="42"/>
      <c r="V165" s="44"/>
      <c r="W165" s="52"/>
      <c r="X165" s="49"/>
      <c r="Y165" s="44"/>
      <c r="Z165" s="45"/>
      <c r="AA165" s="46"/>
      <c r="AB165" s="47"/>
      <c r="AC165" s="47"/>
      <c r="AD165" s="47"/>
      <c r="AE165" s="47"/>
      <c r="AF165" s="47"/>
      <c r="AG165" s="44"/>
      <c r="AH165" s="44"/>
      <c r="AI165" s="44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4"/>
      <c r="BB165" s="44"/>
      <c r="BC165" s="44"/>
      <c r="BD165" s="44"/>
      <c r="BE165" s="44"/>
      <c r="BF165" s="48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9"/>
      <c r="BS165" s="44"/>
      <c r="BT165" s="44"/>
      <c r="BU165" s="44"/>
      <c r="BV165" s="49"/>
      <c r="BW165" s="47"/>
      <c r="BX165" s="44"/>
      <c r="BY165" s="44"/>
      <c r="BZ165" s="44"/>
      <c r="CA165" s="44"/>
      <c r="CB165" s="44"/>
      <c r="CC165" s="44"/>
      <c r="CD165" s="43"/>
      <c r="CE165" s="44"/>
      <c r="CF165" s="44"/>
      <c r="CG165" s="44"/>
      <c r="CH165" s="44"/>
      <c r="CI165" s="44"/>
      <c r="CJ165" s="47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7"/>
      <c r="EA165" s="47"/>
      <c r="EB165" s="47"/>
    </row>
    <row r="166" spans="3:132" s="32" customFormat="1">
      <c r="C166" s="76"/>
      <c r="D166" s="34"/>
      <c r="E166" s="35"/>
      <c r="F166" s="36"/>
      <c r="G166" s="36"/>
      <c r="H166" s="39"/>
      <c r="I166" s="34"/>
      <c r="J166" s="39"/>
      <c r="K166" s="51"/>
      <c r="L166" s="39"/>
      <c r="M166" s="39"/>
      <c r="N166" s="34"/>
      <c r="O166" s="34"/>
      <c r="P166" s="34"/>
      <c r="Q166" s="40"/>
      <c r="R166" s="40"/>
      <c r="S166" s="78"/>
      <c r="T166" s="42"/>
      <c r="U166" s="42"/>
      <c r="V166" s="44"/>
      <c r="W166" s="52"/>
      <c r="X166" s="49"/>
      <c r="Y166" s="44"/>
      <c r="Z166" s="45"/>
      <c r="AA166" s="46"/>
      <c r="AB166" s="47"/>
      <c r="AC166" s="47"/>
      <c r="AD166" s="47"/>
      <c r="AE166" s="47"/>
      <c r="AF166" s="47"/>
      <c r="AG166" s="44"/>
      <c r="AH166" s="44"/>
      <c r="AI166" s="44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4"/>
      <c r="BB166" s="44"/>
      <c r="BC166" s="44"/>
      <c r="BD166" s="44"/>
      <c r="BE166" s="44"/>
      <c r="BF166" s="48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9"/>
      <c r="BS166" s="44"/>
      <c r="BT166" s="44"/>
      <c r="BU166" s="44"/>
      <c r="BV166" s="49"/>
      <c r="BW166" s="47"/>
      <c r="BX166" s="44"/>
      <c r="BY166" s="44"/>
      <c r="BZ166" s="44"/>
      <c r="CA166" s="44"/>
      <c r="CB166" s="44"/>
      <c r="CC166" s="44"/>
      <c r="CD166" s="43">
        <f>SUM(CH166:EB166)-Y166</f>
        <v>0</v>
      </c>
      <c r="CE166" s="44"/>
      <c r="CF166" s="44"/>
      <c r="CG166" s="44"/>
      <c r="CH166" s="44"/>
      <c r="CI166" s="44"/>
      <c r="CJ166" s="47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7"/>
      <c r="EA166" s="47"/>
      <c r="EB166" s="47"/>
    </row>
    <row r="167" spans="3:132" s="32" customFormat="1">
      <c r="C167" s="76"/>
      <c r="D167" s="34"/>
      <c r="E167" s="35"/>
      <c r="F167" s="36"/>
      <c r="G167" s="36"/>
      <c r="H167" s="39"/>
      <c r="I167" s="34"/>
      <c r="J167" s="39"/>
      <c r="K167" s="51"/>
      <c r="L167" s="39"/>
      <c r="M167" s="39"/>
      <c r="N167" s="34"/>
      <c r="O167" s="34"/>
      <c r="P167" s="34"/>
      <c r="Q167" s="40"/>
      <c r="R167" s="40"/>
      <c r="S167" s="78"/>
      <c r="T167" s="42"/>
      <c r="U167" s="42"/>
      <c r="V167" s="44"/>
      <c r="W167" s="52"/>
      <c r="X167" s="49"/>
      <c r="Y167" s="44"/>
      <c r="Z167" s="45"/>
      <c r="AA167" s="46"/>
      <c r="AB167" s="47"/>
      <c r="AC167" s="47"/>
      <c r="AD167" s="47"/>
      <c r="AE167" s="47"/>
      <c r="AF167" s="47"/>
      <c r="AG167" s="44"/>
      <c r="AH167" s="44"/>
      <c r="AI167" s="44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4"/>
      <c r="BB167" s="44"/>
      <c r="BC167" s="44"/>
      <c r="BD167" s="44"/>
      <c r="BE167" s="44"/>
      <c r="BF167" s="48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9"/>
      <c r="BS167" s="44"/>
      <c r="BT167" s="44"/>
      <c r="BU167" s="44"/>
      <c r="BV167" s="49"/>
      <c r="BW167" s="47"/>
      <c r="BX167" s="44"/>
      <c r="BY167" s="44"/>
      <c r="BZ167" s="44"/>
      <c r="CA167" s="44"/>
      <c r="CB167" s="44"/>
      <c r="CC167" s="44"/>
      <c r="CD167" s="43">
        <f>SUM(CH167:EB167)-Y167</f>
        <v>0</v>
      </c>
      <c r="CE167" s="44"/>
      <c r="CF167" s="44"/>
      <c r="CG167" s="44"/>
      <c r="CH167" s="44"/>
      <c r="CI167" s="44"/>
      <c r="CJ167" s="47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7"/>
      <c r="EA167" s="47"/>
      <c r="EB167" s="47"/>
    </row>
    <row r="168" spans="3:132" s="32" customFormat="1">
      <c r="C168" s="76"/>
      <c r="D168" s="34"/>
      <c r="E168" s="35"/>
      <c r="F168" s="36"/>
      <c r="G168" s="36"/>
      <c r="H168" s="39"/>
      <c r="I168" s="34"/>
      <c r="J168" s="39"/>
      <c r="K168" s="51"/>
      <c r="L168" s="39"/>
      <c r="M168" s="39"/>
      <c r="N168" s="34"/>
      <c r="O168" s="34"/>
      <c r="P168" s="34"/>
      <c r="Q168" s="40"/>
      <c r="R168" s="40"/>
      <c r="S168" s="78"/>
      <c r="T168" s="42"/>
      <c r="U168" s="79" t="s">
        <v>755</v>
      </c>
      <c r="V168" s="44"/>
      <c r="W168" s="52"/>
      <c r="X168" s="80" t="s">
        <v>12</v>
      </c>
      <c r="Y168" s="80" t="s">
        <v>13</v>
      </c>
      <c r="Z168" s="81" t="s">
        <v>756</v>
      </c>
      <c r="AA168" s="82" t="s">
        <v>14</v>
      </c>
      <c r="AB168" s="47"/>
      <c r="AC168" s="47"/>
      <c r="AD168" s="47"/>
      <c r="AE168" s="47"/>
      <c r="AF168" s="47"/>
      <c r="AG168" s="44"/>
      <c r="AH168" s="44"/>
      <c r="AI168" s="44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4"/>
      <c r="BB168" s="44"/>
      <c r="BC168" s="44"/>
      <c r="BD168" s="44"/>
      <c r="BE168" s="44"/>
      <c r="BF168" s="48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9"/>
      <c r="BS168" s="44"/>
      <c r="BT168" s="44"/>
      <c r="BU168" s="44"/>
      <c r="BV168" s="49"/>
      <c r="BW168" s="47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7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4"/>
      <c r="DE168" s="44"/>
      <c r="DF168" s="44"/>
      <c r="DG168" s="4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7"/>
      <c r="EA168" s="47"/>
      <c r="EB168" s="47"/>
    </row>
    <row r="169" spans="3:132" s="32" customFormat="1">
      <c r="C169" s="33"/>
      <c r="D169" s="34"/>
      <c r="E169" s="35"/>
      <c r="F169" s="36"/>
      <c r="G169" s="36"/>
      <c r="H169" s="39"/>
      <c r="I169" s="34"/>
      <c r="J169" s="39"/>
      <c r="K169" s="51"/>
      <c r="L169" s="39"/>
      <c r="M169" s="39"/>
      <c r="N169" s="34"/>
      <c r="O169" s="34"/>
      <c r="P169" s="34"/>
      <c r="Q169" s="40"/>
      <c r="R169" s="40"/>
      <c r="S169" s="78"/>
      <c r="T169" s="42"/>
      <c r="U169" s="42" t="s">
        <v>757</v>
      </c>
      <c r="V169" s="44"/>
      <c r="W169" s="52"/>
      <c r="X169" s="44">
        <f>+X115+X116+X117+X118+X119+X120+X121+X122+X123+X124+X125+X126+X127+X128+X129+X130+X131+X132+X133+X134+X135+X136+X137+X138+X139+X140+X141+X142+X143+X144+X145+X146+X147+X148+X149+X150</f>
        <v>356871.97</v>
      </c>
      <c r="Y169" s="44"/>
      <c r="Z169" s="45">
        <v>5017266.7</v>
      </c>
      <c r="AA169" s="70">
        <f>+Z169-X169-Y169</f>
        <v>4660394.7300000004</v>
      </c>
      <c r="AB169" s="47"/>
      <c r="AC169" s="47"/>
      <c r="AD169" s="47"/>
      <c r="AE169" s="47"/>
      <c r="AF169" s="47"/>
      <c r="AG169" s="44"/>
      <c r="AH169" s="44"/>
      <c r="AI169" s="44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4"/>
      <c r="BB169" s="44"/>
      <c r="BC169" s="44"/>
      <c r="BD169" s="44"/>
      <c r="BE169" s="44"/>
      <c r="BF169" s="48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9"/>
      <c r="BS169" s="44"/>
      <c r="BT169" s="44"/>
      <c r="BU169" s="44"/>
      <c r="BV169" s="49"/>
      <c r="BW169" s="47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7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4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7"/>
      <c r="EA169" s="47"/>
      <c r="EB169" s="47"/>
    </row>
    <row r="170" spans="3:132" s="32" customFormat="1">
      <c r="C170" s="33"/>
      <c r="D170" s="34"/>
      <c r="E170" s="35"/>
      <c r="F170" s="36"/>
      <c r="G170" s="36"/>
      <c r="H170" s="39"/>
      <c r="I170" s="34"/>
      <c r="J170" s="39"/>
      <c r="K170" s="39"/>
      <c r="L170" s="39"/>
      <c r="M170" s="39"/>
      <c r="N170" s="34"/>
      <c r="O170" s="34"/>
      <c r="P170" s="34"/>
      <c r="Q170" s="40"/>
      <c r="R170" s="40"/>
      <c r="S170" s="78"/>
      <c r="T170" s="42"/>
      <c r="U170" s="42" t="s">
        <v>9</v>
      </c>
      <c r="V170" s="44"/>
      <c r="W170" s="52"/>
      <c r="X170" s="43"/>
      <c r="Y170" s="44"/>
      <c r="Z170" s="45">
        <v>1091619</v>
      </c>
      <c r="AA170" s="70">
        <f>+Z170-X170-Y170</f>
        <v>1091619</v>
      </c>
      <c r="AB170" s="47"/>
      <c r="AC170" s="47"/>
      <c r="AD170" s="47"/>
      <c r="AE170" s="47"/>
      <c r="AF170" s="47"/>
      <c r="AG170" s="44"/>
      <c r="AH170" s="44"/>
      <c r="AI170" s="44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4"/>
      <c r="BB170" s="44"/>
      <c r="BC170" s="44"/>
      <c r="BD170" s="44"/>
      <c r="BE170" s="44"/>
      <c r="BF170" s="48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9"/>
      <c r="BS170" s="44"/>
      <c r="BT170" s="44"/>
      <c r="BU170" s="44"/>
      <c r="BV170" s="49"/>
      <c r="BW170" s="47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7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4"/>
      <c r="DE170" s="44"/>
      <c r="DF170" s="44"/>
      <c r="DG170" s="4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7"/>
      <c r="EA170" s="47"/>
      <c r="EB170" s="47"/>
    </row>
    <row r="171" spans="3:132" s="32" customFormat="1">
      <c r="C171" s="33"/>
      <c r="D171" s="34"/>
      <c r="E171" s="35"/>
      <c r="F171" s="36"/>
      <c r="G171" s="36"/>
      <c r="H171" s="39"/>
      <c r="I171" s="34"/>
      <c r="J171" s="39"/>
      <c r="K171" s="39"/>
      <c r="L171" s="39"/>
      <c r="M171" s="39"/>
      <c r="N171" s="34"/>
      <c r="O171" s="34"/>
      <c r="P171" s="34"/>
      <c r="Q171" s="40"/>
      <c r="R171" s="40"/>
      <c r="S171" s="78"/>
      <c r="T171" s="42"/>
      <c r="U171" s="42" t="s">
        <v>15</v>
      </c>
      <c r="V171" s="44"/>
      <c r="W171" s="52"/>
      <c r="X171" s="4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4"/>
      <c r="Z171" s="45">
        <v>63470000</v>
      </c>
      <c r="AA171" s="70">
        <f>+Z171-X171-Y171</f>
        <v>58895957.75</v>
      </c>
      <c r="AB171" s="47"/>
      <c r="AC171" s="47"/>
      <c r="AD171" s="47"/>
      <c r="AE171" s="47"/>
      <c r="AF171" s="47"/>
      <c r="AG171" s="44"/>
      <c r="AH171" s="44"/>
      <c r="AI171" s="44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4"/>
      <c r="BB171" s="44"/>
      <c r="BC171" s="44"/>
      <c r="BD171" s="44"/>
      <c r="BE171" s="44"/>
      <c r="BF171" s="48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9"/>
      <c r="BS171" s="44"/>
      <c r="BT171" s="44"/>
      <c r="BU171" s="44"/>
      <c r="BV171" s="49"/>
      <c r="BW171" s="47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7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4"/>
      <c r="DE171" s="44"/>
      <c r="DF171" s="44"/>
      <c r="DG171" s="4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7"/>
      <c r="EA171" s="47"/>
      <c r="EB171" s="47"/>
    </row>
    <row r="172" spans="3:132" s="32" customFormat="1">
      <c r="C172" s="33"/>
      <c r="D172" s="34"/>
      <c r="E172" s="35"/>
      <c r="F172" s="36"/>
      <c r="G172" s="36"/>
      <c r="H172" s="39"/>
      <c r="I172" s="34"/>
      <c r="J172" s="39"/>
      <c r="K172" s="39"/>
      <c r="L172" s="39"/>
      <c r="M172" s="39"/>
      <c r="N172" s="34"/>
      <c r="O172" s="34"/>
      <c r="P172" s="34"/>
      <c r="Q172" s="40"/>
      <c r="R172" s="40"/>
      <c r="S172" s="78"/>
      <c r="T172" s="42"/>
      <c r="U172" s="42" t="s">
        <v>16</v>
      </c>
      <c r="V172" s="44"/>
      <c r="W172" s="52"/>
      <c r="X172" s="43"/>
      <c r="Y172" s="44"/>
      <c r="Z172" s="45"/>
      <c r="AA172" s="70">
        <f t="shared" ref="AA172:AA179" si="11">+Z172-X172-Y172</f>
        <v>0</v>
      </c>
      <c r="AB172" s="47"/>
      <c r="AC172" s="47"/>
      <c r="AD172" s="47"/>
      <c r="AE172" s="47"/>
      <c r="AF172" s="47"/>
      <c r="AG172" s="44"/>
      <c r="AH172" s="44"/>
      <c r="AI172" s="44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4"/>
      <c r="BB172" s="44"/>
      <c r="BC172" s="44"/>
      <c r="BD172" s="44"/>
      <c r="BE172" s="44"/>
      <c r="BF172" s="48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9"/>
      <c r="BS172" s="44"/>
      <c r="BT172" s="44"/>
      <c r="BU172" s="44"/>
      <c r="BV172" s="49"/>
      <c r="BW172" s="47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7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4"/>
      <c r="DE172" s="44"/>
      <c r="DF172" s="44"/>
      <c r="DG172" s="4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7"/>
      <c r="EA172" s="47"/>
      <c r="EB172" s="47"/>
    </row>
    <row r="173" spans="3:132" s="32" customFormat="1">
      <c r="C173" s="33"/>
      <c r="D173" s="34"/>
      <c r="E173" s="35"/>
      <c r="F173" s="36"/>
      <c r="G173" s="36"/>
      <c r="H173" s="39"/>
      <c r="I173" s="34"/>
      <c r="J173" s="39"/>
      <c r="K173" s="39"/>
      <c r="L173" s="39"/>
      <c r="M173" s="39"/>
      <c r="N173" s="34"/>
      <c r="O173" s="34"/>
      <c r="P173" s="34"/>
      <c r="Q173" s="40"/>
      <c r="R173" s="40"/>
      <c r="S173" s="78"/>
      <c r="T173" s="42"/>
      <c r="U173" s="42" t="s">
        <v>17</v>
      </c>
      <c r="V173" s="44"/>
      <c r="W173" s="52"/>
      <c r="X173" s="44"/>
      <c r="Y173" s="44">
        <f>+Y32+Y57+Y58+Y59+Y60+Y61+Y62+Y70+Y71+Y78+Y79+Y80+Y81+Y82+Y83+Y84+Y85+Y86+Y87+Y88+Y89+Y90+Y91+Y92+Y93+Y101+Y102+Y103+Y104+Y105+Y106+Y107+Y108+Y109+Y114+Y69</f>
        <v>305707.44000000006</v>
      </c>
      <c r="Z173" s="45">
        <v>31406000</v>
      </c>
      <c r="AA173" s="70">
        <f t="shared" si="11"/>
        <v>31100292.559999999</v>
      </c>
      <c r="AB173" s="47"/>
      <c r="AC173" s="47"/>
      <c r="AD173" s="47"/>
      <c r="AE173" s="47"/>
      <c r="AF173" s="47"/>
      <c r="AG173" s="44"/>
      <c r="AH173" s="44"/>
      <c r="AI173" s="44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4"/>
      <c r="BB173" s="44"/>
      <c r="BC173" s="44"/>
      <c r="BD173" s="44"/>
      <c r="BE173" s="44"/>
      <c r="BF173" s="48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9"/>
      <c r="BS173" s="44"/>
      <c r="BT173" s="44"/>
      <c r="BU173" s="44"/>
      <c r="BV173" s="49"/>
      <c r="BW173" s="47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7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7"/>
      <c r="EA173" s="47"/>
      <c r="EB173" s="47"/>
    </row>
    <row r="174" spans="3:132" s="32" customFormat="1">
      <c r="C174" s="33"/>
      <c r="D174" s="34"/>
      <c r="E174" s="35"/>
      <c r="F174" s="36"/>
      <c r="G174" s="36"/>
      <c r="H174" s="39"/>
      <c r="I174" s="34"/>
      <c r="J174" s="39"/>
      <c r="K174" s="39"/>
      <c r="L174" s="39"/>
      <c r="M174" s="39"/>
      <c r="N174" s="34"/>
      <c r="O174" s="34"/>
      <c r="P174" s="34"/>
      <c r="Q174" s="40"/>
      <c r="R174" s="40"/>
      <c r="S174" s="78"/>
      <c r="T174" s="42"/>
      <c r="U174" s="283" t="s">
        <v>5</v>
      </c>
      <c r="V174" s="44"/>
      <c r="W174" s="52"/>
      <c r="X174" s="44"/>
      <c r="Y174" s="44">
        <f>+Y110</f>
        <v>10000</v>
      </c>
      <c r="Z174" s="45">
        <v>4416000</v>
      </c>
      <c r="AA174" s="70">
        <f t="shared" si="11"/>
        <v>4406000</v>
      </c>
      <c r="AB174" s="47"/>
      <c r="AC174" s="47"/>
      <c r="AD174" s="47"/>
      <c r="AE174" s="47"/>
      <c r="AF174" s="47"/>
      <c r="AG174" s="44"/>
      <c r="AH174" s="44"/>
      <c r="AI174" s="44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4"/>
      <c r="BB174" s="44"/>
      <c r="BC174" s="44"/>
      <c r="BD174" s="44"/>
      <c r="BE174" s="44"/>
      <c r="BF174" s="48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9"/>
      <c r="BS174" s="44"/>
      <c r="BT174" s="44"/>
      <c r="BU174" s="44"/>
      <c r="BV174" s="49"/>
      <c r="BW174" s="47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7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7"/>
      <c r="EA174" s="47"/>
      <c r="EB174" s="47"/>
    </row>
    <row r="175" spans="3:132" s="32" customFormat="1">
      <c r="C175" s="33"/>
      <c r="D175" s="34"/>
      <c r="E175" s="35"/>
      <c r="F175" s="36"/>
      <c r="G175" s="36"/>
      <c r="H175" s="39"/>
      <c r="I175" s="34"/>
      <c r="J175" s="39"/>
      <c r="K175" s="39"/>
      <c r="L175" s="39"/>
      <c r="M175" s="39"/>
      <c r="N175" s="34"/>
      <c r="O175" s="34"/>
      <c r="P175" s="34"/>
      <c r="Q175" s="40"/>
      <c r="R175" s="40"/>
      <c r="S175" s="78"/>
      <c r="T175" s="42"/>
      <c r="U175" s="283" t="s">
        <v>753</v>
      </c>
      <c r="V175" s="44"/>
      <c r="W175" s="52"/>
      <c r="X175" s="44"/>
      <c r="Y175" s="44">
        <f>+Y94</f>
        <v>59500</v>
      </c>
      <c r="Z175" s="45">
        <v>97350000</v>
      </c>
      <c r="AA175" s="70">
        <f t="shared" si="11"/>
        <v>97290500</v>
      </c>
      <c r="AB175" s="47"/>
      <c r="AC175" s="47"/>
      <c r="AD175" s="47"/>
      <c r="AE175" s="47"/>
      <c r="AF175" s="47"/>
      <c r="AG175" s="44"/>
      <c r="AH175" s="44"/>
      <c r="AI175" s="44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4"/>
      <c r="BB175" s="44"/>
      <c r="BC175" s="44"/>
      <c r="BD175" s="44"/>
      <c r="BE175" s="44"/>
      <c r="BF175" s="48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9"/>
      <c r="BS175" s="44"/>
      <c r="BT175" s="44"/>
      <c r="BU175" s="44"/>
      <c r="BV175" s="49"/>
      <c r="BW175" s="47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7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4"/>
      <c r="DE175" s="44"/>
      <c r="DF175" s="44"/>
      <c r="DG175" s="44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44"/>
      <c r="DX175" s="44"/>
      <c r="DY175" s="44"/>
      <c r="DZ175" s="47"/>
      <c r="EA175" s="47"/>
      <c r="EB175" s="47"/>
    </row>
    <row r="176" spans="3:132" s="32" customFormat="1">
      <c r="C176" s="33"/>
      <c r="D176" s="34"/>
      <c r="E176" s="35"/>
      <c r="F176" s="36"/>
      <c r="G176" s="36"/>
      <c r="H176" s="39"/>
      <c r="I176" s="34"/>
      <c r="J176" s="39"/>
      <c r="K176" s="39"/>
      <c r="L176" s="39"/>
      <c r="M176" s="39"/>
      <c r="N176" s="34"/>
      <c r="O176" s="34"/>
      <c r="P176" s="34"/>
      <c r="Q176" s="40"/>
      <c r="R176" s="40"/>
      <c r="S176" s="78"/>
      <c r="T176" s="42"/>
      <c r="U176" s="283" t="s">
        <v>754</v>
      </c>
      <c r="V176" s="44"/>
      <c r="W176" s="52"/>
      <c r="X176" s="44"/>
      <c r="Y176" s="44"/>
      <c r="Z176" s="45"/>
      <c r="AA176" s="70">
        <f t="shared" si="11"/>
        <v>0</v>
      </c>
      <c r="AB176" s="47"/>
      <c r="AC176" s="47"/>
      <c r="AD176" s="47"/>
      <c r="AE176" s="47"/>
      <c r="AF176" s="47"/>
      <c r="AG176" s="44"/>
      <c r="AH176" s="44"/>
      <c r="AI176" s="44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4"/>
      <c r="BB176" s="44"/>
      <c r="BC176" s="44"/>
      <c r="BD176" s="44"/>
      <c r="BE176" s="44"/>
      <c r="BF176" s="48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9"/>
      <c r="BS176" s="44"/>
      <c r="BT176" s="44"/>
      <c r="BU176" s="44"/>
      <c r="BV176" s="49"/>
      <c r="BW176" s="47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7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  <c r="DG176" s="44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44"/>
      <c r="DX176" s="44"/>
      <c r="DY176" s="44"/>
      <c r="DZ176" s="47"/>
      <c r="EA176" s="47"/>
      <c r="EB176" s="47"/>
    </row>
    <row r="177" spans="3:132" s="32" customFormat="1">
      <c r="C177" s="33"/>
      <c r="D177" s="34"/>
      <c r="E177" s="35"/>
      <c r="F177" s="36"/>
      <c r="G177" s="36"/>
      <c r="H177" s="39"/>
      <c r="I177" s="34"/>
      <c r="J177" s="39"/>
      <c r="K177" s="39"/>
      <c r="L177" s="39"/>
      <c r="M177" s="39"/>
      <c r="N177" s="34"/>
      <c r="O177" s="34"/>
      <c r="P177" s="34"/>
      <c r="Q177" s="40"/>
      <c r="R177" s="40"/>
      <c r="S177" s="78"/>
      <c r="T177" s="42"/>
      <c r="U177" s="283" t="s">
        <v>18</v>
      </c>
      <c r="V177" s="44"/>
      <c r="W177" s="52"/>
      <c r="X177" s="44"/>
      <c r="Y177" s="44">
        <f>+Y113</f>
        <v>11158</v>
      </c>
      <c r="Z177" s="45">
        <v>33752000</v>
      </c>
      <c r="AA177" s="70">
        <f t="shared" si="11"/>
        <v>33740842</v>
      </c>
      <c r="AB177" s="47"/>
      <c r="AC177" s="47"/>
      <c r="AD177" s="47"/>
      <c r="AE177" s="47"/>
      <c r="AF177" s="47"/>
      <c r="AG177" s="44"/>
      <c r="AH177" s="44"/>
      <c r="AI177" s="44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4"/>
      <c r="BB177" s="44"/>
      <c r="BC177" s="44"/>
      <c r="BD177" s="44"/>
      <c r="BE177" s="44"/>
      <c r="BF177" s="48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9"/>
      <c r="BS177" s="44"/>
      <c r="BT177" s="44"/>
      <c r="BU177" s="44"/>
      <c r="BV177" s="49"/>
      <c r="BW177" s="47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7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4"/>
      <c r="DE177" s="44"/>
      <c r="DF177" s="44"/>
      <c r="DG177" s="44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44"/>
      <c r="DX177" s="44"/>
      <c r="DY177" s="44"/>
      <c r="DZ177" s="47"/>
      <c r="EA177" s="47"/>
      <c r="EB177" s="47"/>
    </row>
    <row r="178" spans="3:132" s="32" customFormat="1">
      <c r="C178" s="33"/>
      <c r="D178" s="34"/>
      <c r="E178" s="35"/>
      <c r="F178" s="36"/>
      <c r="G178" s="36"/>
      <c r="H178" s="39"/>
      <c r="I178" s="34"/>
      <c r="J178" s="39"/>
      <c r="K178" s="39"/>
      <c r="L178" s="39"/>
      <c r="M178" s="39"/>
      <c r="N178" s="34"/>
      <c r="O178" s="34"/>
      <c r="P178" s="34"/>
      <c r="Q178" s="40"/>
      <c r="R178" s="40"/>
      <c r="S178" s="78"/>
      <c r="T178" s="42"/>
      <c r="U178" s="283" t="s">
        <v>19</v>
      </c>
      <c r="V178" s="44"/>
      <c r="W178" s="52"/>
      <c r="X178" s="44"/>
      <c r="Y178" s="44">
        <f>+Y111</f>
        <v>11158</v>
      </c>
      <c r="Z178" s="45">
        <v>6894000</v>
      </c>
      <c r="AA178" s="70">
        <f t="shared" si="11"/>
        <v>6882842</v>
      </c>
      <c r="AB178" s="47"/>
      <c r="AC178" s="47"/>
      <c r="AD178" s="47"/>
      <c r="AE178" s="47"/>
      <c r="AF178" s="47"/>
      <c r="AG178" s="44"/>
      <c r="AH178" s="44"/>
      <c r="AI178" s="44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4"/>
      <c r="BB178" s="44"/>
      <c r="BC178" s="44"/>
      <c r="BD178" s="44"/>
      <c r="BE178" s="44"/>
      <c r="BF178" s="48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9"/>
      <c r="BS178" s="44"/>
      <c r="BT178" s="44"/>
      <c r="BU178" s="44"/>
      <c r="BV178" s="49"/>
      <c r="BW178" s="47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7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  <c r="DG178" s="4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7"/>
      <c r="EA178" s="47"/>
      <c r="EB178" s="47"/>
    </row>
    <row r="179" spans="3:132" s="32" customFormat="1">
      <c r="C179" s="33"/>
      <c r="D179" s="34"/>
      <c r="E179" s="35"/>
      <c r="F179" s="36"/>
      <c r="G179" s="36"/>
      <c r="H179" s="39"/>
      <c r="I179" s="34"/>
      <c r="J179" s="39"/>
      <c r="K179" s="39"/>
      <c r="L179" s="39"/>
      <c r="M179" s="39"/>
      <c r="N179" s="34"/>
      <c r="O179" s="34"/>
      <c r="P179" s="34"/>
      <c r="Q179" s="40"/>
      <c r="R179" s="40"/>
      <c r="S179" s="78"/>
      <c r="T179" s="42"/>
      <c r="U179" s="283" t="s">
        <v>7</v>
      </c>
      <c r="V179" s="44"/>
      <c r="W179" s="52"/>
      <c r="X179" s="44"/>
      <c r="Y179" s="44">
        <f>+Y112</f>
        <v>11158</v>
      </c>
      <c r="Z179" s="45">
        <v>8628000</v>
      </c>
      <c r="AA179" s="70">
        <f t="shared" si="11"/>
        <v>8616842</v>
      </c>
      <c r="AB179" s="47"/>
      <c r="AC179" s="47"/>
      <c r="AD179" s="47"/>
      <c r="AE179" s="47"/>
      <c r="AF179" s="47"/>
      <c r="AG179" s="44"/>
      <c r="AH179" s="44"/>
      <c r="AI179" s="44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4"/>
      <c r="BB179" s="44"/>
      <c r="BC179" s="44"/>
      <c r="BD179" s="44"/>
      <c r="BE179" s="44"/>
      <c r="BF179" s="48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9"/>
      <c r="BS179" s="44"/>
      <c r="BT179" s="44"/>
      <c r="BU179" s="44"/>
      <c r="BV179" s="49"/>
      <c r="BW179" s="47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7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4"/>
      <c r="DE179" s="44"/>
      <c r="DF179" s="44"/>
      <c r="DG179" s="4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7"/>
      <c r="EA179" s="47"/>
      <c r="EB179" s="47"/>
    </row>
    <row r="180" spans="3:132" s="32" customFormat="1">
      <c r="C180" s="33"/>
      <c r="D180" s="34"/>
      <c r="E180" s="35"/>
      <c r="F180" s="36"/>
      <c r="G180" s="36"/>
      <c r="H180" s="39"/>
      <c r="I180" s="34"/>
      <c r="J180" s="39"/>
      <c r="K180" s="39"/>
      <c r="L180" s="39"/>
      <c r="M180" s="39"/>
      <c r="N180" s="34"/>
      <c r="O180" s="34"/>
      <c r="P180" s="34"/>
      <c r="Q180" s="40"/>
      <c r="R180" s="40"/>
      <c r="S180" s="78"/>
      <c r="T180" s="42"/>
      <c r="U180" s="42"/>
      <c r="V180" s="84"/>
      <c r="W180" s="52"/>
      <c r="X180" s="84">
        <f>SUBTOTAL(9,X169:X179)</f>
        <v>4930914.22</v>
      </c>
      <c r="Y180" s="84">
        <f>SUBTOTAL(9,Y169:Y179)</f>
        <v>408681.44000000006</v>
      </c>
      <c r="Z180" s="84">
        <f>SUBTOTAL(9,Z169:Z179)</f>
        <v>252024885.69999999</v>
      </c>
      <c r="AA180" s="280">
        <f>SUBTOTAL(9,AA169:AA179)</f>
        <v>246685290.04000002</v>
      </c>
      <c r="AB180" s="47"/>
      <c r="AC180" s="47"/>
      <c r="AD180" s="47"/>
      <c r="AE180" s="47"/>
      <c r="AF180" s="47"/>
      <c r="AG180" s="44"/>
      <c r="AH180" s="44"/>
      <c r="AI180" s="44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4"/>
      <c r="BB180" s="44"/>
      <c r="BC180" s="44"/>
      <c r="BD180" s="44"/>
      <c r="BE180" s="44"/>
      <c r="BF180" s="48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9"/>
      <c r="BS180" s="44"/>
      <c r="BT180" s="44"/>
      <c r="BU180" s="44"/>
      <c r="BV180" s="49"/>
      <c r="BW180" s="47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7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4"/>
      <c r="DE180" s="44"/>
      <c r="DF180" s="44"/>
      <c r="DG180" s="4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7"/>
      <c r="EA180" s="47"/>
      <c r="EB180" s="47"/>
    </row>
    <row r="181" spans="3:132" s="32" customFormat="1">
      <c r="C181" s="33"/>
      <c r="D181" s="34"/>
      <c r="E181" s="35"/>
      <c r="F181" s="36"/>
      <c r="G181" s="36"/>
      <c r="H181" s="39"/>
      <c r="I181" s="34"/>
      <c r="J181" s="39"/>
      <c r="K181" s="39"/>
      <c r="L181" s="39"/>
      <c r="M181" s="39"/>
      <c r="N181" s="34"/>
      <c r="O181" s="34"/>
      <c r="P181" s="34"/>
      <c r="Q181" s="40"/>
      <c r="R181" s="40"/>
      <c r="S181" s="78"/>
      <c r="T181" s="42"/>
      <c r="U181" s="42"/>
      <c r="V181" s="44"/>
      <c r="W181" s="52"/>
      <c r="X181" s="49"/>
      <c r="Y181" s="44"/>
      <c r="Z181" s="45"/>
      <c r="AA181" s="46"/>
      <c r="AB181" s="47"/>
      <c r="AC181" s="47"/>
      <c r="AD181" s="47"/>
      <c r="AE181" s="47"/>
      <c r="AF181" s="47"/>
      <c r="AG181" s="44"/>
      <c r="AH181" s="44"/>
      <c r="AI181" s="44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4"/>
      <c r="BB181" s="44"/>
      <c r="BC181" s="44"/>
      <c r="BD181" s="44"/>
      <c r="BE181" s="44"/>
      <c r="BF181" s="48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9"/>
      <c r="BS181" s="44"/>
      <c r="BT181" s="44"/>
      <c r="BU181" s="44"/>
      <c r="BV181" s="49"/>
      <c r="BW181" s="47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7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4"/>
      <c r="DE181" s="44"/>
      <c r="DF181" s="44"/>
      <c r="DG181" s="4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7"/>
      <c r="EA181" s="47"/>
      <c r="EB181" s="47"/>
    </row>
    <row r="182" spans="3:132" s="32" customFormat="1">
      <c r="C182" s="33"/>
      <c r="D182" s="34"/>
      <c r="E182" s="35"/>
      <c r="F182" s="36"/>
      <c r="G182" s="36"/>
      <c r="H182" s="39"/>
      <c r="I182" s="34"/>
      <c r="J182" s="39"/>
      <c r="K182" s="39"/>
      <c r="L182" s="39"/>
      <c r="M182" s="39"/>
      <c r="N182" s="34"/>
      <c r="O182" s="34"/>
      <c r="P182" s="34"/>
      <c r="Q182" s="40"/>
      <c r="R182" s="40"/>
      <c r="S182" s="78"/>
      <c r="T182" s="42"/>
      <c r="U182" s="42"/>
      <c r="V182" s="85"/>
      <c r="W182" s="86"/>
      <c r="X182" s="49"/>
      <c r="Y182" s="44"/>
      <c r="Z182" s="45"/>
      <c r="AA182" s="46"/>
      <c r="AB182" s="47"/>
      <c r="AC182" s="47"/>
      <c r="AD182" s="47"/>
      <c r="AE182" s="47"/>
      <c r="AF182" s="47"/>
      <c r="AG182" s="44"/>
      <c r="AH182" s="44"/>
      <c r="AI182" s="44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4"/>
      <c r="BB182" s="44"/>
      <c r="BC182" s="44"/>
      <c r="BD182" s="44"/>
      <c r="BE182" s="44"/>
      <c r="BF182" s="48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9"/>
      <c r="BS182" s="44"/>
      <c r="BT182" s="44"/>
      <c r="BU182" s="44"/>
      <c r="BV182" s="49"/>
      <c r="BW182" s="47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7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4"/>
      <c r="DE182" s="44"/>
      <c r="DF182" s="44"/>
      <c r="DG182" s="4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7"/>
      <c r="EA182" s="47"/>
      <c r="EB182" s="47"/>
    </row>
    <row r="183" spans="3:132" s="32" customFormat="1" ht="15" thickBot="1">
      <c r="C183" s="87"/>
      <c r="D183" s="88"/>
      <c r="E183" s="89"/>
      <c r="F183" s="90"/>
      <c r="G183" s="90"/>
      <c r="H183" s="91"/>
      <c r="I183" s="88"/>
      <c r="J183" s="91"/>
      <c r="K183" s="91"/>
      <c r="L183" s="91"/>
      <c r="M183" s="91"/>
      <c r="N183" s="88"/>
      <c r="O183" s="88"/>
      <c r="P183" s="88"/>
      <c r="Q183" s="92"/>
      <c r="R183" s="92"/>
      <c r="S183" s="93"/>
      <c r="T183" s="94"/>
      <c r="U183" s="94"/>
      <c r="V183" s="83">
        <f>SUM(V8:V166)</f>
        <v>5339595.6599999983</v>
      </c>
      <c r="W183" s="95"/>
      <c r="X183" s="83">
        <f t="shared" ref="X183:BC183" si="12">SUM(X8:X166)</f>
        <v>4930914.2199999979</v>
      </c>
      <c r="Y183" s="83">
        <f t="shared" si="12"/>
        <v>408681.43999999994</v>
      </c>
      <c r="Z183" s="83">
        <f t="shared" si="12"/>
        <v>0</v>
      </c>
      <c r="AA183" s="83">
        <f t="shared" si="12"/>
        <v>0</v>
      </c>
      <c r="AB183" s="83">
        <f t="shared" si="12"/>
        <v>0</v>
      </c>
      <c r="AC183" s="83">
        <f t="shared" si="12"/>
        <v>0</v>
      </c>
      <c r="AD183" s="83">
        <f t="shared" si="12"/>
        <v>0</v>
      </c>
      <c r="AE183" s="83">
        <f t="shared" si="12"/>
        <v>0</v>
      </c>
      <c r="AF183" s="83">
        <f t="shared" si="12"/>
        <v>0</v>
      </c>
      <c r="AG183" s="83">
        <f t="shared" si="12"/>
        <v>0</v>
      </c>
      <c r="AH183" s="83">
        <f t="shared" si="12"/>
        <v>0</v>
      </c>
      <c r="AI183" s="83">
        <f t="shared" si="12"/>
        <v>0</v>
      </c>
      <c r="AJ183" s="83">
        <f t="shared" si="12"/>
        <v>0</v>
      </c>
      <c r="AK183" s="83">
        <f t="shared" si="12"/>
        <v>0</v>
      </c>
      <c r="AL183" s="83">
        <f t="shared" si="12"/>
        <v>0</v>
      </c>
      <c r="AM183" s="83">
        <f t="shared" si="12"/>
        <v>0</v>
      </c>
      <c r="AN183" s="83">
        <f t="shared" si="12"/>
        <v>0</v>
      </c>
      <c r="AO183" s="83">
        <f t="shared" si="12"/>
        <v>0</v>
      </c>
      <c r="AP183" s="83">
        <f t="shared" si="12"/>
        <v>0</v>
      </c>
      <c r="AQ183" s="83">
        <f t="shared" si="12"/>
        <v>0</v>
      </c>
      <c r="AR183" s="83">
        <f t="shared" si="12"/>
        <v>0</v>
      </c>
      <c r="AS183" s="83">
        <f t="shared" si="12"/>
        <v>0</v>
      </c>
      <c r="AT183" s="83">
        <f t="shared" si="12"/>
        <v>0</v>
      </c>
      <c r="AU183" s="83">
        <f t="shared" si="12"/>
        <v>0</v>
      </c>
      <c r="AV183" s="83">
        <f t="shared" si="12"/>
        <v>0</v>
      </c>
      <c r="AW183" s="83">
        <f t="shared" si="12"/>
        <v>0</v>
      </c>
      <c r="AX183" s="83">
        <f t="shared" si="12"/>
        <v>0</v>
      </c>
      <c r="AY183" s="83">
        <f t="shared" si="12"/>
        <v>0</v>
      </c>
      <c r="AZ183" s="83">
        <f t="shared" si="12"/>
        <v>0</v>
      </c>
      <c r="BA183" s="83">
        <f t="shared" si="12"/>
        <v>0</v>
      </c>
      <c r="BB183" s="83">
        <f t="shared" si="12"/>
        <v>0</v>
      </c>
      <c r="BC183" s="83">
        <f t="shared" si="12"/>
        <v>0</v>
      </c>
      <c r="BD183" s="83">
        <f t="shared" ref="BD183:CI183" si="13">SUM(BD8:BD166)</f>
        <v>0</v>
      </c>
      <c r="BE183" s="83">
        <f t="shared" si="13"/>
        <v>3729453.73</v>
      </c>
      <c r="BF183" s="83">
        <f t="shared" si="13"/>
        <v>298918</v>
      </c>
      <c r="BG183" s="83">
        <f t="shared" si="13"/>
        <v>195818.18</v>
      </c>
      <c r="BH183" s="83">
        <f t="shared" si="13"/>
        <v>75000</v>
      </c>
      <c r="BI183" s="83">
        <f t="shared" si="13"/>
        <v>75000</v>
      </c>
      <c r="BJ183" s="83">
        <f t="shared" si="13"/>
        <v>0</v>
      </c>
      <c r="BK183" s="83">
        <f t="shared" si="13"/>
        <v>0</v>
      </c>
      <c r="BL183" s="83">
        <f t="shared" si="13"/>
        <v>0</v>
      </c>
      <c r="BM183" s="83">
        <f t="shared" si="13"/>
        <v>0</v>
      </c>
      <c r="BN183" s="83">
        <f t="shared" si="13"/>
        <v>0</v>
      </c>
      <c r="BO183" s="83">
        <f t="shared" si="13"/>
        <v>483393.67999999993</v>
      </c>
      <c r="BP183" s="83">
        <f t="shared" si="13"/>
        <v>9800</v>
      </c>
      <c r="BQ183" s="83">
        <f t="shared" si="13"/>
        <v>53730.629999999983</v>
      </c>
      <c r="BR183" s="83">
        <f t="shared" si="13"/>
        <v>9800</v>
      </c>
      <c r="BS183" s="83">
        <f t="shared" si="13"/>
        <v>0</v>
      </c>
      <c r="BT183" s="83">
        <f t="shared" si="13"/>
        <v>0</v>
      </c>
      <c r="BU183" s="83">
        <f t="shared" si="13"/>
        <v>0</v>
      </c>
      <c r="BV183" s="83">
        <f t="shared" si="13"/>
        <v>4850735.3800000008</v>
      </c>
      <c r="BW183" s="83">
        <f t="shared" si="13"/>
        <v>6006.93</v>
      </c>
      <c r="BX183" s="83">
        <f t="shared" si="13"/>
        <v>1558.07</v>
      </c>
      <c r="BY183" s="83">
        <f t="shared" si="13"/>
        <v>480535.59999999992</v>
      </c>
      <c r="BZ183" s="83">
        <f t="shared" si="13"/>
        <v>759.68</v>
      </c>
      <c r="CA183" s="83">
        <f t="shared" si="13"/>
        <v>0</v>
      </c>
      <c r="CB183" s="83">
        <f t="shared" si="13"/>
        <v>0</v>
      </c>
      <c r="CC183" s="83">
        <f t="shared" si="13"/>
        <v>0</v>
      </c>
      <c r="CD183" s="83">
        <f t="shared" si="13"/>
        <v>0</v>
      </c>
      <c r="CE183" s="83">
        <f t="shared" si="13"/>
        <v>0</v>
      </c>
      <c r="CF183" s="83">
        <f t="shared" si="13"/>
        <v>0</v>
      </c>
      <c r="CG183" s="83">
        <f t="shared" si="13"/>
        <v>0</v>
      </c>
      <c r="CH183" s="83">
        <f t="shared" si="13"/>
        <v>0</v>
      </c>
      <c r="CI183" s="83">
        <f t="shared" si="13"/>
        <v>0</v>
      </c>
      <c r="CJ183" s="83">
        <f t="shared" ref="CJ183:DO183" si="14">SUM(CJ8:CJ166)</f>
        <v>2834.25</v>
      </c>
      <c r="CK183" s="83">
        <f t="shared" si="14"/>
        <v>0</v>
      </c>
      <c r="CL183" s="83">
        <f t="shared" si="14"/>
        <v>22550.49</v>
      </c>
      <c r="CM183" s="83">
        <f t="shared" si="14"/>
        <v>600</v>
      </c>
      <c r="CN183" s="83">
        <f t="shared" si="14"/>
        <v>14570.41</v>
      </c>
      <c r="CO183" s="83">
        <f t="shared" si="14"/>
        <v>0</v>
      </c>
      <c r="CP183" s="83">
        <f t="shared" si="14"/>
        <v>0</v>
      </c>
      <c r="CQ183" s="83">
        <f t="shared" si="14"/>
        <v>0</v>
      </c>
      <c r="CR183" s="83">
        <f t="shared" si="14"/>
        <v>2500</v>
      </c>
      <c r="CS183" s="83">
        <f t="shared" si="14"/>
        <v>0</v>
      </c>
      <c r="CT183" s="83">
        <f t="shared" si="14"/>
        <v>0</v>
      </c>
      <c r="CU183" s="83">
        <f t="shared" si="14"/>
        <v>0</v>
      </c>
      <c r="CV183" s="83">
        <f t="shared" si="14"/>
        <v>0</v>
      </c>
      <c r="CW183" s="83">
        <f t="shared" si="14"/>
        <v>300</v>
      </c>
      <c r="CX183" s="83">
        <f t="shared" si="14"/>
        <v>170501.47</v>
      </c>
      <c r="CY183" s="83">
        <f t="shared" si="14"/>
        <v>0</v>
      </c>
      <c r="CZ183" s="83">
        <f t="shared" si="14"/>
        <v>39000</v>
      </c>
      <c r="DA183" s="83">
        <f t="shared" si="14"/>
        <v>0</v>
      </c>
      <c r="DB183" s="83">
        <f t="shared" si="14"/>
        <v>0</v>
      </c>
      <c r="DC183" s="83">
        <f t="shared" si="14"/>
        <v>0</v>
      </c>
      <c r="DD183" s="83">
        <f t="shared" si="14"/>
        <v>0</v>
      </c>
      <c r="DE183" s="83">
        <f t="shared" si="14"/>
        <v>5753</v>
      </c>
      <c r="DF183" s="83">
        <f t="shared" si="14"/>
        <v>0</v>
      </c>
      <c r="DG183" s="83">
        <f t="shared" si="14"/>
        <v>10467.82</v>
      </c>
      <c r="DH183" s="83">
        <f t="shared" si="14"/>
        <v>7600</v>
      </c>
      <c r="DI183" s="83">
        <f t="shared" si="14"/>
        <v>0</v>
      </c>
      <c r="DJ183" s="83">
        <f t="shared" si="14"/>
        <v>48774</v>
      </c>
      <c r="DK183" s="83">
        <f t="shared" si="14"/>
        <v>0</v>
      </c>
      <c r="DL183" s="83">
        <f t="shared" si="14"/>
        <v>0</v>
      </c>
      <c r="DM183" s="83">
        <f t="shared" si="14"/>
        <v>0</v>
      </c>
      <c r="DN183" s="83">
        <f t="shared" si="14"/>
        <v>0</v>
      </c>
      <c r="DO183" s="83">
        <f t="shared" si="14"/>
        <v>0</v>
      </c>
      <c r="DP183" s="83">
        <f t="shared" ref="DP183:EB183" si="15">SUM(DP8:DP166)</f>
        <v>0</v>
      </c>
      <c r="DQ183" s="83">
        <f t="shared" si="15"/>
        <v>10000</v>
      </c>
      <c r="DR183" s="83">
        <f t="shared" si="15"/>
        <v>0</v>
      </c>
      <c r="DS183" s="83">
        <f t="shared" si="15"/>
        <v>0</v>
      </c>
      <c r="DT183" s="83">
        <f t="shared" si="15"/>
        <v>0</v>
      </c>
      <c r="DU183" s="83">
        <f t="shared" si="15"/>
        <v>0</v>
      </c>
      <c r="DV183" s="83">
        <f t="shared" si="15"/>
        <v>11250</v>
      </c>
      <c r="DW183" s="83">
        <f t="shared" si="15"/>
        <v>0</v>
      </c>
      <c r="DX183" s="83">
        <f t="shared" si="15"/>
        <v>0</v>
      </c>
      <c r="DY183" s="83">
        <f t="shared" si="15"/>
        <v>2480</v>
      </c>
      <c r="DZ183" s="83">
        <f t="shared" si="15"/>
        <v>0</v>
      </c>
      <c r="EA183" s="83">
        <f t="shared" si="15"/>
        <v>59500</v>
      </c>
      <c r="EB183" s="83">
        <f t="shared" si="15"/>
        <v>0</v>
      </c>
    </row>
    <row r="184" spans="3:132" s="32" customFormat="1" ht="15" thickTop="1">
      <c r="C184" s="33"/>
      <c r="D184" s="34"/>
      <c r="E184" s="35"/>
      <c r="F184" s="36"/>
      <c r="G184" s="36"/>
      <c r="H184" s="39"/>
      <c r="I184" s="34"/>
      <c r="J184" s="39"/>
      <c r="K184" s="39"/>
      <c r="L184" s="39"/>
      <c r="M184" s="39"/>
      <c r="N184" s="34"/>
      <c r="O184" s="34"/>
      <c r="P184" s="34"/>
      <c r="Q184" s="40"/>
      <c r="R184" s="40"/>
      <c r="S184" s="78"/>
      <c r="T184" s="42"/>
      <c r="U184" s="42"/>
      <c r="V184" s="96">
        <f>+V183-'PS 101'!T79</f>
        <v>0</v>
      </c>
      <c r="W184" s="97"/>
      <c r="X184" s="98">
        <f>+X183-BE183-BF183-BG183-BH183-BI183-BJ183-BL183-BK183-BM183-BN183-BO183-BP183-BQ183-BR183-BS183-BT183-----BU183</f>
        <v>-1.9572325982153416E-9</v>
      </c>
      <c r="Y184" s="9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5"/>
      <c r="AA184" s="46"/>
      <c r="AB184" s="47"/>
      <c r="AC184" s="47"/>
      <c r="AD184" s="47"/>
      <c r="AE184" s="47"/>
      <c r="AF184" s="47"/>
      <c r="AG184" s="44"/>
      <c r="AH184" s="44"/>
      <c r="AI184" s="44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4"/>
      <c r="BB184" s="44"/>
      <c r="BC184" s="44"/>
      <c r="BD184" s="44"/>
      <c r="BE184" s="84">
        <f>SUM(BE183:BU183)</f>
        <v>4930914.22</v>
      </c>
      <c r="BF184" s="48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9"/>
      <c r="BS184" s="44"/>
      <c r="BT184" s="44"/>
      <c r="BU184" s="44"/>
      <c r="BV184" s="49"/>
      <c r="BW184" s="47"/>
      <c r="BX184" s="44"/>
      <c r="BY184" s="44"/>
      <c r="BZ184" s="44"/>
      <c r="CA184" s="44"/>
      <c r="CB184" s="44"/>
      <c r="CC184" s="44"/>
      <c r="CD184" s="44"/>
      <c r="CE184" s="44"/>
      <c r="CF184" s="84">
        <f>SUM(CF183:EB183)</f>
        <v>408681.44</v>
      </c>
      <c r="CG184" s="44"/>
      <c r="CH184" s="44"/>
      <c r="CI184" s="44"/>
      <c r="CJ184" s="47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4"/>
      <c r="DE184" s="44"/>
      <c r="DF184" s="44"/>
      <c r="DG184" s="4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7"/>
      <c r="EA184" s="47"/>
      <c r="EB184" s="47"/>
    </row>
    <row r="185" spans="3:132" s="32" customFormat="1">
      <c r="C185" s="99"/>
      <c r="D185" s="100"/>
      <c r="E185" s="101"/>
      <c r="F185" s="102"/>
      <c r="G185" s="102"/>
      <c r="H185" s="103"/>
      <c r="I185" s="100"/>
      <c r="J185" s="103"/>
      <c r="K185" s="103"/>
      <c r="L185" s="103"/>
      <c r="M185" s="103"/>
      <c r="N185" s="100"/>
      <c r="O185" s="100"/>
      <c r="P185" s="100"/>
      <c r="Q185" s="104"/>
      <c r="R185" s="104"/>
      <c r="S185" s="105"/>
      <c r="T185" s="106"/>
      <c r="U185" s="106"/>
      <c r="V185" s="107"/>
      <c r="W185" s="86"/>
      <c r="X185" s="85">
        <f>+X180-X183</f>
        <v>0</v>
      </c>
      <c r="Y185" s="85">
        <f>+Y180-Y183</f>
        <v>0</v>
      </c>
      <c r="Z185" s="108"/>
      <c r="AA185" s="109"/>
      <c r="AB185" s="110"/>
      <c r="AC185" s="110"/>
      <c r="AD185" s="110"/>
      <c r="AE185" s="110"/>
      <c r="AF185" s="110"/>
      <c r="AG185" s="85"/>
      <c r="AH185" s="85"/>
      <c r="AI185" s="85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85"/>
      <c r="BB185" s="85"/>
      <c r="BC185" s="85"/>
      <c r="BD185" s="85"/>
      <c r="BE185" s="85"/>
      <c r="BF185" s="111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107"/>
      <c r="BS185" s="85"/>
      <c r="BT185" s="85"/>
      <c r="BU185" s="85"/>
      <c r="BV185" s="107"/>
      <c r="BW185" s="110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110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85"/>
      <c r="DG185" s="85"/>
      <c r="DH185" s="85"/>
      <c r="DI185" s="85"/>
      <c r="DJ185" s="85"/>
      <c r="DK185" s="85"/>
      <c r="DL185" s="85"/>
      <c r="DM185" s="85"/>
      <c r="DN185" s="85"/>
      <c r="DO185" s="85"/>
      <c r="DP185" s="85"/>
      <c r="DQ185" s="85"/>
      <c r="DR185" s="85"/>
      <c r="DS185" s="85"/>
      <c r="DT185" s="85"/>
      <c r="DU185" s="85"/>
      <c r="DV185" s="85"/>
      <c r="DW185" s="85"/>
      <c r="DX185" s="85"/>
      <c r="DY185" s="85"/>
      <c r="DZ185" s="110"/>
      <c r="EA185" s="110"/>
      <c r="EB185" s="110"/>
    </row>
    <row r="186" spans="3:132" s="32" customFormat="1">
      <c r="C186" s="112"/>
      <c r="D186" s="113"/>
      <c r="E186" s="114"/>
      <c r="F186" s="115"/>
      <c r="G186" s="115"/>
      <c r="H186" s="116"/>
      <c r="I186" s="113"/>
      <c r="J186" s="116"/>
      <c r="K186" s="116"/>
      <c r="L186" s="116"/>
      <c r="M186" s="116"/>
      <c r="N186" s="113"/>
      <c r="O186" s="113"/>
      <c r="P186" s="113"/>
      <c r="Q186" s="117"/>
      <c r="R186" s="117"/>
      <c r="S186" s="118"/>
      <c r="T186" s="119"/>
      <c r="U186" s="119"/>
      <c r="V186" s="64"/>
      <c r="W186" s="120"/>
      <c r="X186" s="64"/>
      <c r="Y186" s="64"/>
      <c r="Z186" s="121"/>
      <c r="AA186" s="120"/>
      <c r="AB186" s="122"/>
      <c r="AC186" s="122"/>
      <c r="AD186" s="122"/>
      <c r="AE186" s="122"/>
      <c r="AF186" s="122"/>
      <c r="AG186" s="49"/>
      <c r="AH186" s="49"/>
      <c r="AI186" s="49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122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122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122"/>
      <c r="EA186" s="122"/>
      <c r="EB186" s="122"/>
    </row>
    <row r="187" spans="3:132">
      <c r="V187" s="276"/>
      <c r="X187" s="279"/>
      <c r="Y187" s="279"/>
      <c r="Z187" s="276"/>
    </row>
    <row r="188" spans="3:132">
      <c r="V188" s="276"/>
      <c r="X188" s="285"/>
      <c r="Y188" s="276"/>
      <c r="Z188" s="276"/>
      <c r="AA188" s="285"/>
    </row>
    <row r="189" spans="3:132">
      <c r="V189" s="415"/>
      <c r="X189" s="279"/>
      <c r="Y189" s="282"/>
      <c r="Z189" s="276"/>
    </row>
    <row r="190" spans="3:132">
      <c r="U190" s="275"/>
      <c r="V190" s="275"/>
      <c r="W190" s="275"/>
      <c r="X190" s="275"/>
      <c r="Y190" s="275"/>
      <c r="Z190" s="275"/>
      <c r="AA190" s="275"/>
    </row>
    <row r="191" spans="3:132">
      <c r="Y191" s="276"/>
      <c r="Z191" s="276"/>
    </row>
    <row r="192" spans="3:132">
      <c r="X192" s="415"/>
      <c r="Y192" s="276"/>
    </row>
    <row r="193" spans="24:25">
      <c r="X193" s="276"/>
      <c r="Y193" s="276"/>
    </row>
    <row r="194" spans="24:25">
      <c r="X194" s="276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6.75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287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32" customFormat="1">
      <c r="A4" s="123" t="s">
        <v>758</v>
      </c>
      <c r="B4" s="12"/>
      <c r="C4" s="124"/>
      <c r="D4" s="14"/>
      <c r="E4" s="14"/>
      <c r="F4" s="125"/>
      <c r="G4" s="126"/>
      <c r="H4" s="17"/>
      <c r="I4" s="18"/>
      <c r="J4" s="17"/>
      <c r="K4" s="17"/>
      <c r="L4" s="12"/>
      <c r="M4" s="12"/>
      <c r="N4" s="12"/>
      <c r="O4" s="20"/>
      <c r="P4" s="20"/>
      <c r="Q4" s="21"/>
      <c r="R4" s="127"/>
      <c r="S4" s="127"/>
      <c r="T4" s="29"/>
      <c r="U4" s="128"/>
      <c r="V4" s="29"/>
      <c r="W4" s="23"/>
      <c r="X4" s="26"/>
      <c r="Y4" s="27"/>
      <c r="Z4" s="28"/>
      <c r="AA4" s="28"/>
      <c r="AB4" s="28"/>
      <c r="AC4" s="28"/>
      <c r="AD4" s="28"/>
      <c r="AE4" s="29"/>
      <c r="AF4" s="29"/>
      <c r="AG4" s="29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9"/>
      <c r="AZ4" s="29"/>
      <c r="BA4" s="29"/>
      <c r="BB4" s="29"/>
      <c r="BC4" s="29"/>
      <c r="BD4" s="30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31"/>
      <c r="BQ4" s="29"/>
      <c r="BR4" s="29"/>
      <c r="BS4" s="29"/>
      <c r="BT4" s="31"/>
      <c r="BU4" s="28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8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8"/>
      <c r="DY4" s="28"/>
      <c r="DZ4" s="28"/>
      <c r="EA4" s="44"/>
    </row>
    <row r="5" spans="1:131" s="32" customFormat="1">
      <c r="A5" s="33">
        <v>44209</v>
      </c>
      <c r="B5" s="34" t="s">
        <v>759</v>
      </c>
      <c r="C5" s="286" t="s">
        <v>11</v>
      </c>
      <c r="D5" s="36">
        <v>0.48749999999999999</v>
      </c>
      <c r="E5" s="36">
        <v>0.49236111111111108</v>
      </c>
      <c r="F5" s="37" t="s">
        <v>0</v>
      </c>
      <c r="G5" s="38">
        <v>1</v>
      </c>
      <c r="H5" s="39">
        <v>713</v>
      </c>
      <c r="I5" s="51" t="str">
        <f>VLOOKUP(H5,'[2]Chart of accounts'!A:H,2,FALSE)</f>
        <v>50102020 00</v>
      </c>
      <c r="J5" s="39"/>
      <c r="K5" s="39"/>
      <c r="L5" s="34"/>
      <c r="M5" s="34"/>
      <c r="N5" s="34"/>
      <c r="O5" s="53" t="s">
        <v>1</v>
      </c>
      <c r="P5" s="53" t="s">
        <v>1</v>
      </c>
      <c r="Q5" s="57" t="s">
        <v>2</v>
      </c>
      <c r="R5" s="42" t="s">
        <v>6</v>
      </c>
      <c r="S5" s="42" t="s">
        <v>760</v>
      </c>
      <c r="T5" s="43">
        <v>9000</v>
      </c>
      <c r="U5" s="52"/>
      <c r="V5" s="43">
        <v>9000</v>
      </c>
      <c r="W5" s="44"/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>
        <v>9000</v>
      </c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9000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>
      <c r="A6" s="33">
        <v>44209</v>
      </c>
      <c r="B6" s="34" t="s">
        <v>759</v>
      </c>
      <c r="C6" s="286" t="s">
        <v>11</v>
      </c>
      <c r="D6" s="36">
        <v>0.48749999999999999</v>
      </c>
      <c r="E6" s="36">
        <v>0.49236111111111108</v>
      </c>
      <c r="F6" s="37" t="s">
        <v>0</v>
      </c>
      <c r="G6" s="38">
        <v>1</v>
      </c>
      <c r="H6" s="39">
        <v>714</v>
      </c>
      <c r="I6" s="51" t="str">
        <f>VLOOKUP(H6,'[2]Chart of accounts'!A:H,2,FALSE)</f>
        <v>50102030 01</v>
      </c>
      <c r="J6" s="39"/>
      <c r="K6" s="39"/>
      <c r="L6" s="34"/>
      <c r="M6" s="34"/>
      <c r="N6" s="34"/>
      <c r="O6" s="53" t="s">
        <v>1</v>
      </c>
      <c r="P6" s="53" t="s">
        <v>1</v>
      </c>
      <c r="Q6" s="57" t="s">
        <v>2</v>
      </c>
      <c r="R6" s="42" t="s">
        <v>6</v>
      </c>
      <c r="S6" s="42" t="s">
        <v>760</v>
      </c>
      <c r="T6" s="43">
        <v>9000</v>
      </c>
      <c r="U6" s="52"/>
      <c r="V6" s="43">
        <v>9000</v>
      </c>
      <c r="W6" s="44"/>
      <c r="X6" s="59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G6" s="43">
        <v>9000</v>
      </c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3">
        <v>9000</v>
      </c>
      <c r="BU6" s="47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7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>
      <c r="A7" s="33">
        <v>44209</v>
      </c>
      <c r="B7" s="34" t="s">
        <v>759</v>
      </c>
      <c r="C7" s="286" t="s">
        <v>11</v>
      </c>
      <c r="D7" s="36">
        <v>0.48749999999999999</v>
      </c>
      <c r="E7" s="36">
        <v>0.49236111111111108</v>
      </c>
      <c r="F7" s="37" t="s">
        <v>0</v>
      </c>
      <c r="G7" s="38">
        <v>1</v>
      </c>
      <c r="H7" s="39">
        <v>713</v>
      </c>
      <c r="I7" s="51" t="str">
        <f>VLOOKUP(H7,'[2]Chart of accounts'!A:H,2,FALSE)</f>
        <v>50102020 00</v>
      </c>
      <c r="J7" s="39"/>
      <c r="K7" s="39"/>
      <c r="L7" s="34"/>
      <c r="M7" s="34"/>
      <c r="N7" s="34"/>
      <c r="O7" s="53" t="s">
        <v>1</v>
      </c>
      <c r="P7" s="53" t="s">
        <v>1</v>
      </c>
      <c r="Q7" s="57" t="s">
        <v>2</v>
      </c>
      <c r="R7" s="42" t="s">
        <v>796</v>
      </c>
      <c r="S7" s="42" t="s">
        <v>760</v>
      </c>
      <c r="T7" s="43">
        <v>8500</v>
      </c>
      <c r="U7" s="52"/>
      <c r="V7" s="43">
        <v>8500</v>
      </c>
      <c r="W7" s="44"/>
      <c r="X7" s="59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3">
        <v>8500</v>
      </c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3">
        <v>8500</v>
      </c>
      <c r="BU7" s="47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7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>
      <c r="A8" s="33">
        <v>44209</v>
      </c>
      <c r="B8" s="34" t="s">
        <v>759</v>
      </c>
      <c r="C8" s="286" t="s">
        <v>11</v>
      </c>
      <c r="D8" s="36">
        <v>0.48749999999999999</v>
      </c>
      <c r="E8" s="36">
        <v>0.49236111111111108</v>
      </c>
      <c r="F8" s="37" t="s">
        <v>0</v>
      </c>
      <c r="G8" s="38">
        <v>1</v>
      </c>
      <c r="H8" s="39">
        <v>714</v>
      </c>
      <c r="I8" s="51" t="str">
        <f>VLOOKUP(H8,'[2]Chart of accounts'!A:H,2,FALSE)</f>
        <v>50102030 01</v>
      </c>
      <c r="J8" s="39"/>
      <c r="K8" s="39"/>
      <c r="L8" s="34"/>
      <c r="M8" s="34"/>
      <c r="N8" s="34"/>
      <c r="O8" s="53" t="s">
        <v>1</v>
      </c>
      <c r="P8" s="53" t="s">
        <v>1</v>
      </c>
      <c r="Q8" s="57" t="s">
        <v>2</v>
      </c>
      <c r="R8" s="42" t="s">
        <v>796</v>
      </c>
      <c r="S8" s="42" t="s">
        <v>760</v>
      </c>
      <c r="T8" s="43">
        <v>8500</v>
      </c>
      <c r="U8" s="52"/>
      <c r="V8" s="43">
        <v>8500</v>
      </c>
      <c r="W8" s="44"/>
      <c r="X8" s="59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G8" s="43">
        <v>8500</v>
      </c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3">
        <v>8500</v>
      </c>
      <c r="BU8" s="47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7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>
      <c r="A9" s="33">
        <v>44209</v>
      </c>
      <c r="B9" s="34" t="s">
        <v>759</v>
      </c>
      <c r="C9" s="286" t="s">
        <v>11</v>
      </c>
      <c r="D9" s="36">
        <v>0.48749999999999999</v>
      </c>
      <c r="E9" s="36">
        <v>0.49236111111111108</v>
      </c>
      <c r="F9" s="37" t="s">
        <v>0</v>
      </c>
      <c r="G9" s="38">
        <v>1</v>
      </c>
      <c r="H9" s="39">
        <v>713</v>
      </c>
      <c r="I9" s="51" t="str">
        <f>VLOOKUP(H9,'[2]Chart of accounts'!A:H,2,FALSE)</f>
        <v>50102020 00</v>
      </c>
      <c r="J9" s="39"/>
      <c r="K9" s="39"/>
      <c r="L9" s="34"/>
      <c r="M9" s="34"/>
      <c r="N9" s="34"/>
      <c r="O9" s="53" t="s">
        <v>1</v>
      </c>
      <c r="P9" s="53" t="s">
        <v>1</v>
      </c>
      <c r="Q9" s="57" t="s">
        <v>2</v>
      </c>
      <c r="R9" s="42" t="s">
        <v>797</v>
      </c>
      <c r="S9" s="42" t="s">
        <v>760</v>
      </c>
      <c r="T9" s="43">
        <v>5000</v>
      </c>
      <c r="U9" s="52"/>
      <c r="V9" s="43">
        <v>5000</v>
      </c>
      <c r="W9" s="44"/>
      <c r="X9" s="59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3">
        <v>5000</v>
      </c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3">
        <v>5000</v>
      </c>
      <c r="BU9" s="47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7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>
      <c r="A10" s="33">
        <v>44209</v>
      </c>
      <c r="B10" s="34" t="s">
        <v>759</v>
      </c>
      <c r="C10" s="286" t="s">
        <v>11</v>
      </c>
      <c r="D10" s="36">
        <v>0.48749999999999999</v>
      </c>
      <c r="E10" s="36">
        <v>0.49236111111111108</v>
      </c>
      <c r="F10" s="37" t="s">
        <v>0</v>
      </c>
      <c r="G10" s="38">
        <v>1</v>
      </c>
      <c r="H10" s="39">
        <v>714</v>
      </c>
      <c r="I10" s="51" t="str">
        <f>VLOOKUP(H10,'[2]Chart of accounts'!A:H,2,FALSE)</f>
        <v>50102030 01</v>
      </c>
      <c r="J10" s="39"/>
      <c r="K10" s="39"/>
      <c r="L10" s="34"/>
      <c r="M10" s="34"/>
      <c r="N10" s="34"/>
      <c r="O10" s="53" t="s">
        <v>1</v>
      </c>
      <c r="P10" s="53" t="s">
        <v>1</v>
      </c>
      <c r="Q10" s="57" t="s">
        <v>2</v>
      </c>
      <c r="R10" s="42" t="s">
        <v>797</v>
      </c>
      <c r="S10" s="42" t="s">
        <v>760</v>
      </c>
      <c r="T10" s="43">
        <v>5000</v>
      </c>
      <c r="U10" s="52"/>
      <c r="V10" s="43">
        <v>5000</v>
      </c>
      <c r="W10" s="44"/>
      <c r="X10" s="59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G10" s="43">
        <v>5000</v>
      </c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3">
        <v>5000</v>
      </c>
      <c r="BU10" s="47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7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>
      <c r="A11" s="33">
        <v>44209</v>
      </c>
      <c r="B11" s="34" t="s">
        <v>759</v>
      </c>
      <c r="C11" s="286" t="s">
        <v>11</v>
      </c>
      <c r="D11" s="36">
        <v>0.48749999999999999</v>
      </c>
      <c r="E11" s="36">
        <v>0.49236111111111108</v>
      </c>
      <c r="F11" s="37" t="s">
        <v>0</v>
      </c>
      <c r="G11" s="38">
        <v>1</v>
      </c>
      <c r="H11" s="39">
        <v>713</v>
      </c>
      <c r="I11" s="51" t="str">
        <f>VLOOKUP(H11,'[2]Chart of accounts'!A:H,2,FALSE)</f>
        <v>50102020 00</v>
      </c>
      <c r="J11" s="39"/>
      <c r="K11" s="39"/>
      <c r="L11" s="34"/>
      <c r="M11" s="34"/>
      <c r="N11" s="34"/>
      <c r="O11" s="53" t="s">
        <v>1</v>
      </c>
      <c r="P11" s="53" t="s">
        <v>1</v>
      </c>
      <c r="Q11" s="57" t="s">
        <v>2</v>
      </c>
      <c r="R11" s="42" t="s">
        <v>798</v>
      </c>
      <c r="S11" s="42" t="s">
        <v>760</v>
      </c>
      <c r="T11" s="43">
        <v>5000</v>
      </c>
      <c r="U11" s="52"/>
      <c r="V11" s="43">
        <v>5000</v>
      </c>
      <c r="W11" s="44"/>
      <c r="X11" s="59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3">
        <v>5000</v>
      </c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3">
        <v>5000</v>
      </c>
      <c r="BU11" s="47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7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>
      <c r="A12" s="33">
        <v>44209</v>
      </c>
      <c r="B12" s="34" t="s">
        <v>759</v>
      </c>
      <c r="C12" s="286" t="s">
        <v>11</v>
      </c>
      <c r="D12" s="36">
        <v>0.48749999999999999</v>
      </c>
      <c r="E12" s="36">
        <v>0.49236111111111108</v>
      </c>
      <c r="F12" s="37" t="s">
        <v>0</v>
      </c>
      <c r="G12" s="38">
        <v>1</v>
      </c>
      <c r="H12" s="39">
        <v>714</v>
      </c>
      <c r="I12" s="51" t="str">
        <f>VLOOKUP(H12,'[2]Chart of accounts'!A:H,2,FALSE)</f>
        <v>50102030 01</v>
      </c>
      <c r="J12" s="39"/>
      <c r="K12" s="39"/>
      <c r="L12" s="34"/>
      <c r="M12" s="34"/>
      <c r="N12" s="34"/>
      <c r="O12" s="53" t="s">
        <v>1</v>
      </c>
      <c r="P12" s="53" t="s">
        <v>1</v>
      </c>
      <c r="Q12" s="57" t="s">
        <v>2</v>
      </c>
      <c r="R12" s="42" t="s">
        <v>798</v>
      </c>
      <c r="S12" s="42" t="s">
        <v>760</v>
      </c>
      <c r="T12" s="43">
        <v>5000</v>
      </c>
      <c r="U12" s="52"/>
      <c r="V12" s="43">
        <v>5000</v>
      </c>
      <c r="W12" s="44"/>
      <c r="X12" s="59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D12" s="48"/>
      <c r="BE12" s="44"/>
      <c r="BG12" s="43">
        <v>5000</v>
      </c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43">
        <v>5000</v>
      </c>
      <c r="BU12" s="47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7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>
      <c r="A13" s="33">
        <v>44209</v>
      </c>
      <c r="B13" s="34" t="s">
        <v>759</v>
      </c>
      <c r="C13" s="286" t="s">
        <v>11</v>
      </c>
      <c r="D13" s="36">
        <v>0.48749999999999999</v>
      </c>
      <c r="E13" s="36">
        <v>0.49236111111111108</v>
      </c>
      <c r="F13" s="37" t="s">
        <v>0</v>
      </c>
      <c r="G13" s="38">
        <v>1</v>
      </c>
      <c r="H13" s="39">
        <v>713</v>
      </c>
      <c r="I13" s="51" t="str">
        <f>VLOOKUP(H13,'[2]Chart of accounts'!A:H,2,FALSE)</f>
        <v>50102020 00</v>
      </c>
      <c r="J13" s="39"/>
      <c r="K13" s="39"/>
      <c r="L13" s="34"/>
      <c r="M13" s="34"/>
      <c r="N13" s="34"/>
      <c r="O13" s="53" t="s">
        <v>1</v>
      </c>
      <c r="P13" s="53" t="s">
        <v>1</v>
      </c>
      <c r="Q13" s="57" t="s">
        <v>2</v>
      </c>
      <c r="R13" s="42" t="s">
        <v>799</v>
      </c>
      <c r="S13" s="42" t="s">
        <v>760</v>
      </c>
      <c r="T13" s="43">
        <v>5000</v>
      </c>
      <c r="U13" s="52"/>
      <c r="V13" s="43">
        <v>5000</v>
      </c>
      <c r="W13" s="44"/>
      <c r="X13" s="59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3">
        <v>5000</v>
      </c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3">
        <v>5000</v>
      </c>
      <c r="BU13" s="47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>
      <c r="A14" s="33">
        <v>44209</v>
      </c>
      <c r="B14" s="34" t="s">
        <v>759</v>
      </c>
      <c r="C14" s="286" t="s">
        <v>11</v>
      </c>
      <c r="D14" s="36">
        <v>0.48749999999999999</v>
      </c>
      <c r="E14" s="36">
        <v>0.49236111111111108</v>
      </c>
      <c r="F14" s="37" t="s">
        <v>0</v>
      </c>
      <c r="G14" s="38">
        <v>1</v>
      </c>
      <c r="H14" s="39">
        <v>714</v>
      </c>
      <c r="I14" s="51" t="str">
        <f>VLOOKUP(H14,'[2]Chart of accounts'!A:H,2,FALSE)</f>
        <v>50102030 01</v>
      </c>
      <c r="J14" s="39"/>
      <c r="K14" s="39"/>
      <c r="L14" s="34"/>
      <c r="M14" s="34"/>
      <c r="N14" s="34"/>
      <c r="O14" s="53" t="s">
        <v>1</v>
      </c>
      <c r="P14" s="53" t="s">
        <v>1</v>
      </c>
      <c r="Q14" s="57" t="s">
        <v>2</v>
      </c>
      <c r="R14" s="42" t="s">
        <v>799</v>
      </c>
      <c r="S14" s="42" t="s">
        <v>760</v>
      </c>
      <c r="T14" s="43">
        <v>5000</v>
      </c>
      <c r="U14" s="52"/>
      <c r="V14" s="43">
        <v>5000</v>
      </c>
      <c r="W14" s="44"/>
      <c r="X14" s="59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G14" s="43">
        <v>5000</v>
      </c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3">
        <v>5000</v>
      </c>
      <c r="BU14" s="47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7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>
      <c r="A15" s="33">
        <v>44209</v>
      </c>
      <c r="B15" s="34" t="s">
        <v>759</v>
      </c>
      <c r="C15" s="286" t="s">
        <v>11</v>
      </c>
      <c r="D15" s="36">
        <v>0.48749999999999999</v>
      </c>
      <c r="E15" s="36">
        <v>0.49236111111111108</v>
      </c>
      <c r="F15" s="37" t="s">
        <v>0</v>
      </c>
      <c r="G15" s="38">
        <v>1</v>
      </c>
      <c r="H15" s="39">
        <v>713</v>
      </c>
      <c r="I15" s="51" t="str">
        <f>VLOOKUP(H15,'[2]Chart of accounts'!A:H,2,FALSE)</f>
        <v>50102020 00</v>
      </c>
      <c r="J15" s="39"/>
      <c r="K15" s="39"/>
      <c r="L15" s="34"/>
      <c r="M15" s="34"/>
      <c r="N15" s="34"/>
      <c r="O15" s="53" t="s">
        <v>1</v>
      </c>
      <c r="P15" s="53" t="s">
        <v>1</v>
      </c>
      <c r="Q15" s="57" t="s">
        <v>2</v>
      </c>
      <c r="R15" s="42" t="s">
        <v>800</v>
      </c>
      <c r="S15" s="42" t="s">
        <v>760</v>
      </c>
      <c r="T15" s="43">
        <v>5000</v>
      </c>
      <c r="U15" s="52"/>
      <c r="V15" s="43">
        <v>5000</v>
      </c>
      <c r="W15" s="44"/>
      <c r="X15" s="59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3">
        <v>5000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3">
        <v>5000</v>
      </c>
      <c r="BU15" s="47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7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>
      <c r="A16" s="33">
        <v>44209</v>
      </c>
      <c r="B16" s="34" t="s">
        <v>759</v>
      </c>
      <c r="C16" s="286" t="s">
        <v>11</v>
      </c>
      <c r="D16" s="36">
        <v>0.48749999999999999</v>
      </c>
      <c r="E16" s="36">
        <v>0.49236111111111108</v>
      </c>
      <c r="F16" s="37" t="s">
        <v>0</v>
      </c>
      <c r="G16" s="38">
        <v>1</v>
      </c>
      <c r="H16" s="39">
        <v>714</v>
      </c>
      <c r="I16" s="51" t="str">
        <f>VLOOKUP(H16,'[2]Chart of accounts'!A:H,2,FALSE)</f>
        <v>50102030 01</v>
      </c>
      <c r="J16" s="39"/>
      <c r="K16" s="39"/>
      <c r="L16" s="34"/>
      <c r="M16" s="34"/>
      <c r="N16" s="34"/>
      <c r="O16" s="53" t="s">
        <v>1</v>
      </c>
      <c r="P16" s="53" t="s">
        <v>1</v>
      </c>
      <c r="Q16" s="57" t="s">
        <v>2</v>
      </c>
      <c r="R16" s="42" t="s">
        <v>800</v>
      </c>
      <c r="S16" s="42" t="s">
        <v>760</v>
      </c>
      <c r="T16" s="43">
        <v>5000</v>
      </c>
      <c r="U16" s="52"/>
      <c r="V16" s="43">
        <v>5000</v>
      </c>
      <c r="W16" s="44"/>
      <c r="X16" s="59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G16" s="43">
        <v>5000</v>
      </c>
      <c r="BH16" s="44"/>
      <c r="BI16" s="44"/>
      <c r="BJ16" s="44"/>
      <c r="BK16" s="44"/>
      <c r="BL16" s="44"/>
      <c r="BM16" s="44"/>
      <c r="BN16" s="44"/>
      <c r="BO16" s="44"/>
      <c r="BP16" s="49"/>
      <c r="BQ16" s="44"/>
      <c r="BR16" s="44"/>
      <c r="BS16" s="44"/>
      <c r="BT16" s="43">
        <v>5000</v>
      </c>
      <c r="BU16" s="47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7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>
      <c r="A17" s="33">
        <v>44209</v>
      </c>
      <c r="B17" s="34" t="s">
        <v>759</v>
      </c>
      <c r="C17" s="286" t="s">
        <v>11</v>
      </c>
      <c r="D17" s="36">
        <v>0.48749999999999999</v>
      </c>
      <c r="E17" s="36">
        <v>0.49236111111111108</v>
      </c>
      <c r="F17" s="37" t="s">
        <v>0</v>
      </c>
      <c r="G17" s="38">
        <v>1</v>
      </c>
      <c r="H17" s="39">
        <v>713</v>
      </c>
      <c r="I17" s="51" t="str">
        <f>VLOOKUP(H17,'[2]Chart of accounts'!A:H,2,FALSE)</f>
        <v>50102020 00</v>
      </c>
      <c r="J17" s="39"/>
      <c r="K17" s="39"/>
      <c r="L17" s="34"/>
      <c r="M17" s="34"/>
      <c r="N17" s="34"/>
      <c r="O17" s="53" t="s">
        <v>1</v>
      </c>
      <c r="P17" s="53" t="s">
        <v>1</v>
      </c>
      <c r="Q17" s="57" t="s">
        <v>2</v>
      </c>
      <c r="R17" s="42" t="s">
        <v>801</v>
      </c>
      <c r="S17" s="42" t="s">
        <v>760</v>
      </c>
      <c r="T17" s="43">
        <v>7500</v>
      </c>
      <c r="U17" s="52"/>
      <c r="V17" s="43">
        <v>7500</v>
      </c>
      <c r="W17" s="44"/>
      <c r="X17" s="59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3">
        <v>7500</v>
      </c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3">
        <v>7500</v>
      </c>
      <c r="BU17" s="47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7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>
      <c r="A18" s="33">
        <v>44209</v>
      </c>
      <c r="B18" s="34" t="s">
        <v>759</v>
      </c>
      <c r="C18" s="286" t="s">
        <v>11</v>
      </c>
      <c r="D18" s="36">
        <v>0.48749999999999999</v>
      </c>
      <c r="E18" s="36">
        <v>0.49236111111111108</v>
      </c>
      <c r="F18" s="37" t="s">
        <v>0</v>
      </c>
      <c r="G18" s="38">
        <v>1</v>
      </c>
      <c r="H18" s="39">
        <v>714</v>
      </c>
      <c r="I18" s="51" t="str">
        <f>VLOOKUP(H18,'[2]Chart of accounts'!A:H,2,FALSE)</f>
        <v>50102030 01</v>
      </c>
      <c r="J18" s="39"/>
      <c r="K18" s="39"/>
      <c r="L18" s="34"/>
      <c r="M18" s="34"/>
      <c r="N18" s="34"/>
      <c r="O18" s="53" t="s">
        <v>1</v>
      </c>
      <c r="P18" s="53" t="s">
        <v>1</v>
      </c>
      <c r="Q18" s="57" t="s">
        <v>2</v>
      </c>
      <c r="R18" s="42" t="s">
        <v>801</v>
      </c>
      <c r="S18" s="42" t="s">
        <v>760</v>
      </c>
      <c r="T18" s="43">
        <v>7500</v>
      </c>
      <c r="U18" s="52"/>
      <c r="V18" s="43">
        <v>7500</v>
      </c>
      <c r="W18" s="44"/>
      <c r="X18" s="59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G18" s="43">
        <v>7500</v>
      </c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3">
        <v>7500</v>
      </c>
      <c r="BU18" s="47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7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>
      <c r="A19" s="33">
        <v>44209</v>
      </c>
      <c r="B19" s="34" t="s">
        <v>759</v>
      </c>
      <c r="C19" s="286" t="s">
        <v>11</v>
      </c>
      <c r="D19" s="36">
        <v>0.48749999999999999</v>
      </c>
      <c r="E19" s="36">
        <v>0.49236111111111108</v>
      </c>
      <c r="F19" s="37" t="s">
        <v>0</v>
      </c>
      <c r="G19" s="38">
        <v>1</v>
      </c>
      <c r="H19" s="39">
        <v>713</v>
      </c>
      <c r="I19" s="51" t="str">
        <f>VLOOKUP(H19,'[2]Chart of accounts'!A:H,2,FALSE)</f>
        <v>50102020 00</v>
      </c>
      <c r="J19" s="39"/>
      <c r="K19" s="39"/>
      <c r="L19" s="34"/>
      <c r="M19" s="34"/>
      <c r="N19" s="34"/>
      <c r="O19" s="53" t="s">
        <v>1</v>
      </c>
      <c r="P19" s="53" t="s">
        <v>1</v>
      </c>
      <c r="Q19" s="57" t="s">
        <v>2</v>
      </c>
      <c r="R19" s="42" t="s">
        <v>802</v>
      </c>
      <c r="S19" s="42" t="s">
        <v>760</v>
      </c>
      <c r="T19" s="43">
        <v>5000</v>
      </c>
      <c r="U19" s="52"/>
      <c r="V19" s="43">
        <v>5000</v>
      </c>
      <c r="W19" s="44"/>
      <c r="X19" s="59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3">
        <v>5000</v>
      </c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3">
        <v>5000</v>
      </c>
      <c r="BU19" s="47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7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>
      <c r="A20" s="33">
        <v>44209</v>
      </c>
      <c r="B20" s="34" t="s">
        <v>759</v>
      </c>
      <c r="C20" s="286" t="s">
        <v>11</v>
      </c>
      <c r="D20" s="36">
        <v>0.48749999999999999</v>
      </c>
      <c r="E20" s="36">
        <v>0.49236111111111108</v>
      </c>
      <c r="F20" s="37" t="s">
        <v>0</v>
      </c>
      <c r="G20" s="38">
        <v>1</v>
      </c>
      <c r="H20" s="39">
        <v>714</v>
      </c>
      <c r="I20" s="51" t="str">
        <f>VLOOKUP(H20,'[2]Chart of accounts'!A:H,2,FALSE)</f>
        <v>50102030 01</v>
      </c>
      <c r="J20" s="39"/>
      <c r="K20" s="39"/>
      <c r="L20" s="34"/>
      <c r="M20" s="34"/>
      <c r="N20" s="34"/>
      <c r="O20" s="53" t="s">
        <v>1</v>
      </c>
      <c r="P20" s="53" t="s">
        <v>1</v>
      </c>
      <c r="Q20" s="57" t="s">
        <v>2</v>
      </c>
      <c r="R20" s="42" t="s">
        <v>802</v>
      </c>
      <c r="S20" s="42" t="s">
        <v>760</v>
      </c>
      <c r="T20" s="43">
        <v>5000</v>
      </c>
      <c r="U20" s="52"/>
      <c r="V20" s="43">
        <v>5000</v>
      </c>
      <c r="W20" s="44"/>
      <c r="X20" s="59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G20" s="43">
        <v>5000</v>
      </c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3">
        <v>5000</v>
      </c>
      <c r="BU20" s="47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7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>
      <c r="A21" s="33">
        <v>44209</v>
      </c>
      <c r="B21" s="34" t="s">
        <v>759</v>
      </c>
      <c r="C21" s="286" t="s">
        <v>11</v>
      </c>
      <c r="D21" s="36">
        <v>0.48749999999999999</v>
      </c>
      <c r="E21" s="36">
        <v>0.49236111111111108</v>
      </c>
      <c r="F21" s="37" t="s">
        <v>0</v>
      </c>
      <c r="G21" s="38">
        <v>1</v>
      </c>
      <c r="H21" s="39">
        <v>713</v>
      </c>
      <c r="I21" s="51" t="str">
        <f>VLOOKUP(H21,'[2]Chart of accounts'!A:H,2,FALSE)</f>
        <v>50102020 00</v>
      </c>
      <c r="J21" s="39"/>
      <c r="K21" s="39"/>
      <c r="L21" s="34"/>
      <c r="M21" s="34"/>
      <c r="N21" s="34"/>
      <c r="O21" s="53" t="s">
        <v>1</v>
      </c>
      <c r="P21" s="53" t="s">
        <v>1</v>
      </c>
      <c r="Q21" s="57" t="s">
        <v>2</v>
      </c>
      <c r="R21" s="42" t="s">
        <v>803</v>
      </c>
      <c r="S21" s="42" t="s">
        <v>760</v>
      </c>
      <c r="T21" s="43">
        <v>5000</v>
      </c>
      <c r="U21" s="52"/>
      <c r="V21" s="43">
        <v>5000</v>
      </c>
      <c r="W21" s="44"/>
      <c r="X21" s="59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3">
        <v>5000</v>
      </c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3">
        <v>5000</v>
      </c>
      <c r="BU21" s="47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7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>
      <c r="A22" s="33">
        <v>44209</v>
      </c>
      <c r="B22" s="34" t="s">
        <v>759</v>
      </c>
      <c r="C22" s="286" t="s">
        <v>11</v>
      </c>
      <c r="D22" s="36">
        <v>0.48749999999999999</v>
      </c>
      <c r="E22" s="36">
        <v>0.49236111111111108</v>
      </c>
      <c r="F22" s="37" t="s">
        <v>0</v>
      </c>
      <c r="G22" s="38">
        <v>1</v>
      </c>
      <c r="H22" s="39">
        <v>714</v>
      </c>
      <c r="I22" s="51" t="str">
        <f>VLOOKUP(H22,'[2]Chart of accounts'!A:H,2,FALSE)</f>
        <v>50102030 01</v>
      </c>
      <c r="J22" s="39"/>
      <c r="K22" s="39"/>
      <c r="L22" s="34"/>
      <c r="M22" s="34"/>
      <c r="N22" s="34"/>
      <c r="O22" s="53" t="s">
        <v>1</v>
      </c>
      <c r="P22" s="53" t="s">
        <v>1</v>
      </c>
      <c r="Q22" s="57" t="s">
        <v>2</v>
      </c>
      <c r="R22" s="42" t="s">
        <v>803</v>
      </c>
      <c r="S22" s="42" t="s">
        <v>760</v>
      </c>
      <c r="T22" s="43">
        <v>5000</v>
      </c>
      <c r="U22" s="52"/>
      <c r="V22" s="43">
        <v>5000</v>
      </c>
      <c r="W22" s="44"/>
      <c r="X22" s="59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G22" s="43">
        <v>5000</v>
      </c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3">
        <v>5000</v>
      </c>
      <c r="BU22" s="47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7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>
      <c r="A23" s="33">
        <v>44209</v>
      </c>
      <c r="B23" s="34" t="s">
        <v>759</v>
      </c>
      <c r="C23" s="286" t="s">
        <v>11</v>
      </c>
      <c r="D23" s="36">
        <v>0.48749999999999999</v>
      </c>
      <c r="E23" s="36">
        <v>0.49236111111111108</v>
      </c>
      <c r="F23" s="37" t="s">
        <v>0</v>
      </c>
      <c r="G23" s="38">
        <v>1</v>
      </c>
      <c r="H23" s="39">
        <v>713</v>
      </c>
      <c r="I23" s="51" t="str">
        <f>VLOOKUP(H23,'[2]Chart of accounts'!A:H,2,FALSE)</f>
        <v>50102020 00</v>
      </c>
      <c r="J23" s="39"/>
      <c r="K23" s="39"/>
      <c r="L23" s="34"/>
      <c r="M23" s="34"/>
      <c r="N23" s="34"/>
      <c r="O23" s="53" t="s">
        <v>1</v>
      </c>
      <c r="P23" s="53" t="s">
        <v>1</v>
      </c>
      <c r="Q23" s="57" t="s">
        <v>2</v>
      </c>
      <c r="R23" s="42" t="s">
        <v>804</v>
      </c>
      <c r="S23" s="42" t="s">
        <v>760</v>
      </c>
      <c r="T23" s="43">
        <v>7500</v>
      </c>
      <c r="U23" s="52"/>
      <c r="V23" s="43">
        <v>7500</v>
      </c>
      <c r="W23" s="44"/>
      <c r="X23" s="59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3">
        <v>7500</v>
      </c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3">
        <v>7500</v>
      </c>
      <c r="BU23" s="47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7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>
      <c r="A24" s="33">
        <v>44209</v>
      </c>
      <c r="B24" s="34" t="s">
        <v>759</v>
      </c>
      <c r="C24" s="286" t="s">
        <v>11</v>
      </c>
      <c r="D24" s="36">
        <v>0.48749999999999999</v>
      </c>
      <c r="E24" s="36">
        <v>0.49236111111111108</v>
      </c>
      <c r="F24" s="37" t="s">
        <v>0</v>
      </c>
      <c r="G24" s="38">
        <v>1</v>
      </c>
      <c r="H24" s="39">
        <v>714</v>
      </c>
      <c r="I24" s="51" t="str">
        <f>VLOOKUP(H24,'[2]Chart of accounts'!A:H,2,FALSE)</f>
        <v>50102030 01</v>
      </c>
      <c r="J24" s="39"/>
      <c r="K24" s="39"/>
      <c r="L24" s="34"/>
      <c r="M24" s="34"/>
      <c r="N24" s="34"/>
      <c r="O24" s="53" t="s">
        <v>1</v>
      </c>
      <c r="P24" s="53" t="s">
        <v>1</v>
      </c>
      <c r="Q24" s="57" t="s">
        <v>2</v>
      </c>
      <c r="R24" s="42" t="s">
        <v>804</v>
      </c>
      <c r="S24" s="42" t="s">
        <v>760</v>
      </c>
      <c r="T24" s="43">
        <v>7500</v>
      </c>
      <c r="U24" s="52"/>
      <c r="V24" s="43">
        <v>7500</v>
      </c>
      <c r="W24" s="44"/>
      <c r="X24" s="59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G24" s="43">
        <v>7500</v>
      </c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3">
        <v>7500</v>
      </c>
      <c r="BU24" s="47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7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>
      <c r="A25" s="33">
        <v>44209</v>
      </c>
      <c r="B25" s="34" t="s">
        <v>759</v>
      </c>
      <c r="C25" s="286" t="s">
        <v>11</v>
      </c>
      <c r="D25" s="36">
        <v>0.48749999999999999</v>
      </c>
      <c r="E25" s="36">
        <v>0.49236111111111108</v>
      </c>
      <c r="F25" s="37" t="s">
        <v>0</v>
      </c>
      <c r="G25" s="38">
        <v>1</v>
      </c>
      <c r="H25" s="39">
        <v>713</v>
      </c>
      <c r="I25" s="51" t="str">
        <f>VLOOKUP(H25,'[2]Chart of accounts'!A:H,2,FALSE)</f>
        <v>50102020 00</v>
      </c>
      <c r="J25" s="39"/>
      <c r="K25" s="39"/>
      <c r="L25" s="34"/>
      <c r="M25" s="34"/>
      <c r="N25" s="34"/>
      <c r="O25" s="53" t="s">
        <v>1</v>
      </c>
      <c r="P25" s="53" t="s">
        <v>1</v>
      </c>
      <c r="Q25" s="57" t="s">
        <v>2</v>
      </c>
      <c r="R25" s="42" t="s">
        <v>805</v>
      </c>
      <c r="S25" s="42" t="s">
        <v>760</v>
      </c>
      <c r="T25" s="43">
        <v>5000</v>
      </c>
      <c r="U25" s="52"/>
      <c r="V25" s="43">
        <v>5000</v>
      </c>
      <c r="W25" s="44"/>
      <c r="X25" s="59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3">
        <v>5000</v>
      </c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3">
        <v>5000</v>
      </c>
      <c r="BU25" s="47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7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>
      <c r="A26" s="33">
        <v>44209</v>
      </c>
      <c r="B26" s="34" t="s">
        <v>759</v>
      </c>
      <c r="C26" s="286" t="s">
        <v>11</v>
      </c>
      <c r="D26" s="36">
        <v>0.48749999999999999</v>
      </c>
      <c r="E26" s="36">
        <v>0.49236111111111108</v>
      </c>
      <c r="F26" s="37" t="s">
        <v>0</v>
      </c>
      <c r="G26" s="38">
        <v>1</v>
      </c>
      <c r="H26" s="39">
        <v>714</v>
      </c>
      <c r="I26" s="51" t="str">
        <f>VLOOKUP(H26,'[2]Chart of accounts'!A:H,2,FALSE)</f>
        <v>50102030 01</v>
      </c>
      <c r="J26" s="39"/>
      <c r="K26" s="39"/>
      <c r="L26" s="34"/>
      <c r="M26" s="34"/>
      <c r="N26" s="34"/>
      <c r="O26" s="53" t="s">
        <v>1</v>
      </c>
      <c r="P26" s="53" t="s">
        <v>1</v>
      </c>
      <c r="Q26" s="57" t="s">
        <v>2</v>
      </c>
      <c r="R26" s="42" t="s">
        <v>805</v>
      </c>
      <c r="S26" s="42" t="s">
        <v>760</v>
      </c>
      <c r="T26" s="43">
        <v>5000</v>
      </c>
      <c r="U26" s="52"/>
      <c r="V26" s="43">
        <v>5000</v>
      </c>
      <c r="W26" s="44"/>
      <c r="X26" s="59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G26" s="43">
        <v>5000</v>
      </c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3">
        <v>5000</v>
      </c>
      <c r="BU26" s="47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7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>
      <c r="A27" s="33">
        <v>44209</v>
      </c>
      <c r="B27" s="34" t="s">
        <v>759</v>
      </c>
      <c r="C27" s="286" t="s">
        <v>11</v>
      </c>
      <c r="D27" s="36">
        <v>0.48749999999999999</v>
      </c>
      <c r="E27" s="36">
        <v>0.49236111111111108</v>
      </c>
      <c r="F27" s="37" t="s">
        <v>0</v>
      </c>
      <c r="G27" s="38">
        <v>1</v>
      </c>
      <c r="H27" s="39">
        <v>713</v>
      </c>
      <c r="I27" s="51" t="str">
        <f>VLOOKUP(H27,'[2]Chart of accounts'!A:H,2,FALSE)</f>
        <v>50102020 00</v>
      </c>
      <c r="J27" s="39"/>
      <c r="K27" s="39"/>
      <c r="L27" s="34"/>
      <c r="M27" s="34"/>
      <c r="N27" s="34"/>
      <c r="O27" s="53" t="s">
        <v>1</v>
      </c>
      <c r="P27" s="53" t="s">
        <v>1</v>
      </c>
      <c r="Q27" s="57" t="s">
        <v>2</v>
      </c>
      <c r="R27" s="42" t="s">
        <v>806</v>
      </c>
      <c r="S27" s="42" t="s">
        <v>760</v>
      </c>
      <c r="T27" s="43">
        <v>7500</v>
      </c>
      <c r="U27" s="52"/>
      <c r="V27" s="43">
        <v>7500</v>
      </c>
      <c r="W27" s="44"/>
      <c r="X27" s="59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3">
        <v>7500</v>
      </c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3">
        <v>7500</v>
      </c>
      <c r="BU27" s="47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7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>
      <c r="A28" s="33">
        <v>44209</v>
      </c>
      <c r="B28" s="34" t="s">
        <v>759</v>
      </c>
      <c r="C28" s="286" t="s">
        <v>11</v>
      </c>
      <c r="D28" s="36">
        <v>0.48749999999999999</v>
      </c>
      <c r="E28" s="36">
        <v>0.49236111111111108</v>
      </c>
      <c r="F28" s="37" t="s">
        <v>0</v>
      </c>
      <c r="G28" s="38">
        <v>1</v>
      </c>
      <c r="H28" s="39">
        <v>714</v>
      </c>
      <c r="I28" s="51" t="str">
        <f>VLOOKUP(H28,'[2]Chart of accounts'!A:H,2,FALSE)</f>
        <v>50102030 01</v>
      </c>
      <c r="J28" s="39"/>
      <c r="K28" s="39"/>
      <c r="L28" s="34"/>
      <c r="M28" s="34"/>
      <c r="N28" s="34"/>
      <c r="O28" s="53" t="s">
        <v>1</v>
      </c>
      <c r="P28" s="53" t="s">
        <v>1</v>
      </c>
      <c r="Q28" s="57" t="s">
        <v>2</v>
      </c>
      <c r="R28" s="42" t="s">
        <v>806</v>
      </c>
      <c r="S28" s="42" t="s">
        <v>760</v>
      </c>
      <c r="T28" s="43">
        <v>7500</v>
      </c>
      <c r="U28" s="52"/>
      <c r="V28" s="43">
        <v>7500</v>
      </c>
      <c r="W28" s="44"/>
      <c r="X28" s="59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G28" s="43">
        <v>7500</v>
      </c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3">
        <v>7500</v>
      </c>
      <c r="BU28" s="47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7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33">
        <v>44210</v>
      </c>
      <c r="B29" s="34" t="s">
        <v>759</v>
      </c>
      <c r="C29" s="286" t="s">
        <v>4</v>
      </c>
      <c r="D29" s="36">
        <v>0.57777777777777783</v>
      </c>
      <c r="E29" s="36">
        <v>0.58680555555555558</v>
      </c>
      <c r="F29" s="37" t="s">
        <v>0</v>
      </c>
      <c r="G29" s="38">
        <v>1</v>
      </c>
      <c r="H29" s="39">
        <v>701</v>
      </c>
      <c r="I29" s="51" t="s">
        <v>25</v>
      </c>
      <c r="J29" s="39"/>
      <c r="K29" s="39"/>
      <c r="L29" s="34"/>
      <c r="M29" s="34"/>
      <c r="N29" s="34"/>
      <c r="O29" s="53" t="s">
        <v>1</v>
      </c>
      <c r="P29" s="53" t="s">
        <v>1</v>
      </c>
      <c r="Q29" s="54" t="s">
        <v>2</v>
      </c>
      <c r="R29" s="42" t="s">
        <v>10</v>
      </c>
      <c r="S29" s="42" t="s">
        <v>762</v>
      </c>
      <c r="T29" s="43">
        <v>1634515</v>
      </c>
      <c r="U29" s="52"/>
      <c r="V29" s="43">
        <v>1634515</v>
      </c>
      <c r="W29" s="44">
        <v>0</v>
      </c>
      <c r="X29" s="59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3">
        <v>1634515</v>
      </c>
      <c r="BD29" s="48"/>
      <c r="BE29" s="44"/>
      <c r="BG29" s="43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3">
        <v>1634515</v>
      </c>
      <c r="BU29" s="47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7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33">
        <v>44210</v>
      </c>
      <c r="B30" s="34" t="s">
        <v>759</v>
      </c>
      <c r="C30" s="286" t="s">
        <v>4</v>
      </c>
      <c r="D30" s="36">
        <v>0.57777777777777783</v>
      </c>
      <c r="E30" s="36">
        <v>0.58680555555555558</v>
      </c>
      <c r="F30" s="37" t="s">
        <v>0</v>
      </c>
      <c r="G30" s="38">
        <v>1</v>
      </c>
      <c r="H30" s="39">
        <v>711</v>
      </c>
      <c r="I30" s="51" t="s">
        <v>503</v>
      </c>
      <c r="J30" s="39"/>
      <c r="K30" s="39"/>
      <c r="L30" s="34"/>
      <c r="M30" s="34"/>
      <c r="N30" s="34"/>
      <c r="O30" s="53" t="s">
        <v>1</v>
      </c>
      <c r="P30" s="53" t="s">
        <v>1</v>
      </c>
      <c r="Q30" s="54" t="s">
        <v>2</v>
      </c>
      <c r="R30" s="42" t="s">
        <v>10</v>
      </c>
      <c r="S30" s="42" t="s">
        <v>762</v>
      </c>
      <c r="T30" s="43">
        <v>76000</v>
      </c>
      <c r="U30" s="52"/>
      <c r="V30" s="43">
        <v>76000</v>
      </c>
      <c r="W30" s="44">
        <v>0</v>
      </c>
      <c r="X30" s="59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D30" s="48"/>
      <c r="BE30" s="43">
        <v>76000</v>
      </c>
      <c r="BF30" s="43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3">
        <v>76000</v>
      </c>
      <c r="BU30" s="47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7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27.6">
      <c r="A31" s="33">
        <v>44210</v>
      </c>
      <c r="B31" s="34" t="s">
        <v>759</v>
      </c>
      <c r="C31" s="286" t="s">
        <v>4</v>
      </c>
      <c r="D31" s="36">
        <v>0.57777777777777783</v>
      </c>
      <c r="E31" s="36">
        <v>0.58680555555555558</v>
      </c>
      <c r="F31" s="37" t="s">
        <v>0</v>
      </c>
      <c r="G31" s="38">
        <v>1</v>
      </c>
      <c r="H31" s="39">
        <v>731</v>
      </c>
      <c r="I31" s="51" t="s">
        <v>527</v>
      </c>
      <c r="J31" s="39"/>
      <c r="K31" s="39"/>
      <c r="L31" s="34"/>
      <c r="M31" s="34"/>
      <c r="N31" s="34"/>
      <c r="O31" s="53" t="s">
        <v>1</v>
      </c>
      <c r="P31" s="53" t="s">
        <v>1</v>
      </c>
      <c r="Q31" s="54" t="s">
        <v>2</v>
      </c>
      <c r="R31" s="42" t="s">
        <v>10</v>
      </c>
      <c r="S31" s="42" t="s">
        <v>762</v>
      </c>
      <c r="T31" s="43">
        <v>196141.8</v>
      </c>
      <c r="U31" s="52"/>
      <c r="V31" s="43">
        <v>196141.8</v>
      </c>
      <c r="W31" s="44">
        <v>0</v>
      </c>
      <c r="X31" s="59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D31" s="73"/>
      <c r="BE31" s="43"/>
      <c r="BG31" s="43"/>
      <c r="BH31" s="44"/>
      <c r="BI31" s="44"/>
      <c r="BJ31" s="44"/>
      <c r="BK31" s="44"/>
      <c r="BL31" s="44"/>
      <c r="BM31" s="43">
        <v>196141.8</v>
      </c>
      <c r="BN31" s="44"/>
      <c r="BO31" s="44"/>
      <c r="BP31" s="49"/>
      <c r="BQ31" s="44"/>
      <c r="BR31" s="44"/>
      <c r="BS31" s="44"/>
      <c r="BT31" s="43">
        <v>196141.8</v>
      </c>
      <c r="BU31" s="47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7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75" customFormat="1" ht="27.6">
      <c r="A32" s="33">
        <v>44210</v>
      </c>
      <c r="B32" s="34" t="s">
        <v>759</v>
      </c>
      <c r="C32" s="286" t="s">
        <v>4</v>
      </c>
      <c r="D32" s="36">
        <v>0.57777777777777783</v>
      </c>
      <c r="E32" s="36">
        <v>0.58680555555555558</v>
      </c>
      <c r="F32" s="37" t="s">
        <v>0</v>
      </c>
      <c r="G32" s="38">
        <v>1</v>
      </c>
      <c r="H32" s="39">
        <v>732</v>
      </c>
      <c r="I32" s="51" t="s">
        <v>22</v>
      </c>
      <c r="J32" s="55"/>
      <c r="K32" s="55"/>
      <c r="L32" s="56"/>
      <c r="M32" s="56"/>
      <c r="N32" s="56"/>
      <c r="O32" s="53" t="s">
        <v>1</v>
      </c>
      <c r="P32" s="53" t="s">
        <v>1</v>
      </c>
      <c r="Q32" s="54" t="s">
        <v>2</v>
      </c>
      <c r="R32" s="42" t="s">
        <v>10</v>
      </c>
      <c r="S32" s="42" t="s">
        <v>762</v>
      </c>
      <c r="T32" s="58">
        <v>3800</v>
      </c>
      <c r="U32" s="67"/>
      <c r="V32" s="58">
        <v>3800</v>
      </c>
      <c r="W32" s="44">
        <v>0</v>
      </c>
      <c r="X32" s="69"/>
      <c r="Y32" s="70"/>
      <c r="Z32" s="71"/>
      <c r="AA32" s="71"/>
      <c r="AB32" s="71"/>
      <c r="AC32" s="71"/>
      <c r="AD32" s="71"/>
      <c r="AE32" s="43"/>
      <c r="AF32" s="43"/>
      <c r="AG32" s="43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43"/>
      <c r="AZ32" s="43"/>
      <c r="BA32" s="43"/>
      <c r="BB32" s="43"/>
      <c r="BD32" s="73"/>
      <c r="BE32" s="43"/>
      <c r="BF32" s="43"/>
      <c r="BG32" s="43"/>
      <c r="BH32" s="43"/>
      <c r="BI32" s="43"/>
      <c r="BJ32" s="43"/>
      <c r="BK32" s="43"/>
      <c r="BL32" s="43"/>
      <c r="BN32" s="58">
        <v>3800</v>
      </c>
      <c r="BO32" s="43"/>
      <c r="BP32" s="74"/>
      <c r="BQ32" s="43"/>
      <c r="BR32" s="43"/>
      <c r="BS32" s="43"/>
      <c r="BT32" s="58">
        <v>3800</v>
      </c>
      <c r="BU32" s="71"/>
      <c r="BV32" s="43"/>
      <c r="BW32" s="43"/>
      <c r="BX32" s="43"/>
      <c r="BY32" s="43"/>
      <c r="BZ32" s="43"/>
      <c r="CA32" s="43"/>
      <c r="CB32" s="43">
        <v>0</v>
      </c>
      <c r="CC32" s="43"/>
      <c r="CD32" s="58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71"/>
      <c r="DY32" s="71"/>
      <c r="DZ32" s="71"/>
    </row>
    <row r="33" spans="1:130" s="75" customFormat="1" ht="27.6">
      <c r="A33" s="33">
        <v>44210</v>
      </c>
      <c r="B33" s="34" t="s">
        <v>759</v>
      </c>
      <c r="C33" s="286" t="s">
        <v>4</v>
      </c>
      <c r="D33" s="36">
        <v>0.57777777777777783</v>
      </c>
      <c r="E33" s="36">
        <v>0.58680555555555558</v>
      </c>
      <c r="F33" s="37" t="s">
        <v>0</v>
      </c>
      <c r="G33" s="38">
        <v>1</v>
      </c>
      <c r="H33" s="55">
        <v>733</v>
      </c>
      <c r="I33" s="51" t="s">
        <v>23</v>
      </c>
      <c r="J33" s="55"/>
      <c r="K33" s="55"/>
      <c r="L33" s="56"/>
      <c r="M33" s="56"/>
      <c r="N33" s="56"/>
      <c r="O33" s="53" t="s">
        <v>1</v>
      </c>
      <c r="P33" s="53" t="s">
        <v>1</v>
      </c>
      <c r="Q33" s="54" t="s">
        <v>2</v>
      </c>
      <c r="R33" s="42" t="s">
        <v>10</v>
      </c>
      <c r="S33" s="42" t="s">
        <v>762</v>
      </c>
      <c r="T33" s="43">
        <v>21044.43</v>
      </c>
      <c r="U33" s="67"/>
      <c r="V33" s="43">
        <v>21044.43</v>
      </c>
      <c r="W33" s="44">
        <v>0</v>
      </c>
      <c r="X33" s="69"/>
      <c r="Y33" s="70"/>
      <c r="Z33" s="71"/>
      <c r="AA33" s="71"/>
      <c r="AB33" s="71"/>
      <c r="AC33" s="71"/>
      <c r="AD33" s="71"/>
      <c r="AE33" s="43"/>
      <c r="AF33" s="43"/>
      <c r="AG33" s="43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43"/>
      <c r="AZ33" s="43"/>
      <c r="BA33" s="43"/>
      <c r="BB33" s="43"/>
      <c r="BD33" s="73"/>
      <c r="BE33" s="43"/>
      <c r="BF33" s="43"/>
      <c r="BG33" s="43"/>
      <c r="BH33" s="43"/>
      <c r="BI33" s="43"/>
      <c r="BJ33" s="43"/>
      <c r="BK33" s="43"/>
      <c r="BL33" s="43"/>
      <c r="BM33" s="72"/>
      <c r="BN33" s="72"/>
      <c r="BO33" s="43">
        <v>21044.43</v>
      </c>
      <c r="BP33" s="43"/>
      <c r="BQ33" s="43"/>
      <c r="BR33" s="43"/>
      <c r="BS33" s="43"/>
      <c r="BT33" s="43">
        <v>21044.43</v>
      </c>
      <c r="BU33" s="71"/>
      <c r="BV33" s="43"/>
      <c r="BW33" s="43"/>
      <c r="BX33" s="43"/>
      <c r="BY33" s="43"/>
      <c r="BZ33" s="43"/>
      <c r="CA33" s="43"/>
      <c r="CB33" s="43">
        <v>0</v>
      </c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71"/>
      <c r="DY33" s="71"/>
      <c r="DZ33" s="71"/>
    </row>
    <row r="34" spans="1:130" s="75" customFormat="1" ht="27.6">
      <c r="A34" s="33">
        <v>44210</v>
      </c>
      <c r="B34" s="34" t="s">
        <v>759</v>
      </c>
      <c r="C34" s="286" t="s">
        <v>4</v>
      </c>
      <c r="D34" s="36">
        <v>0.57777777777777783</v>
      </c>
      <c r="E34" s="36">
        <v>0.58680555555555558</v>
      </c>
      <c r="F34" s="37" t="s">
        <v>0</v>
      </c>
      <c r="G34" s="38">
        <v>1</v>
      </c>
      <c r="H34" s="55">
        <v>734</v>
      </c>
      <c r="I34" s="51" t="s">
        <v>24</v>
      </c>
      <c r="J34" s="55"/>
      <c r="K34" s="55"/>
      <c r="L34" s="56"/>
      <c r="M34" s="56"/>
      <c r="N34" s="56"/>
      <c r="O34" s="53" t="s">
        <v>1</v>
      </c>
      <c r="P34" s="53" t="s">
        <v>1</v>
      </c>
      <c r="Q34" s="54" t="s">
        <v>2</v>
      </c>
      <c r="R34" s="42" t="s">
        <v>10</v>
      </c>
      <c r="S34" s="42" t="s">
        <v>762</v>
      </c>
      <c r="T34" s="43">
        <v>3800</v>
      </c>
      <c r="U34" s="67"/>
      <c r="V34" s="43">
        <v>3800</v>
      </c>
      <c r="W34" s="44">
        <v>0</v>
      </c>
      <c r="X34" s="69"/>
      <c r="Y34" s="70"/>
      <c r="Z34" s="71"/>
      <c r="AA34" s="71"/>
      <c r="AB34" s="71"/>
      <c r="AC34" s="71"/>
      <c r="AD34" s="71"/>
      <c r="AE34" s="43"/>
      <c r="AF34" s="43"/>
      <c r="AG34" s="43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43"/>
      <c r="AZ34" s="43"/>
      <c r="BA34" s="43"/>
      <c r="BB34" s="43"/>
      <c r="BD34" s="73"/>
      <c r="BE34" s="43"/>
      <c r="BF34" s="43"/>
      <c r="BG34" s="43"/>
      <c r="BH34" s="43"/>
      <c r="BI34" s="43"/>
      <c r="BJ34" s="43"/>
      <c r="BK34" s="43"/>
      <c r="BL34" s="43"/>
      <c r="BM34" s="72"/>
      <c r="BN34" s="72"/>
      <c r="BO34" s="72"/>
      <c r="BP34" s="43">
        <v>3800</v>
      </c>
      <c r="BQ34" s="43"/>
      <c r="BR34" s="43"/>
      <c r="BS34" s="43"/>
      <c r="BT34" s="43">
        <v>3800</v>
      </c>
      <c r="BU34" s="71"/>
      <c r="BV34" s="43"/>
      <c r="BW34" s="43"/>
      <c r="BX34" s="43"/>
      <c r="BY34" s="43"/>
      <c r="BZ34" s="43"/>
      <c r="CA34" s="43"/>
      <c r="CB34" s="43">
        <v>0</v>
      </c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71"/>
      <c r="DY34" s="71"/>
      <c r="DZ34" s="71"/>
    </row>
    <row r="35" spans="1:130" s="75" customFormat="1" ht="27.6">
      <c r="A35" s="76">
        <v>44211</v>
      </c>
      <c r="B35" s="34" t="s">
        <v>759</v>
      </c>
      <c r="C35" s="286" t="s">
        <v>763</v>
      </c>
      <c r="D35" s="61">
        <v>0.59097222222222223</v>
      </c>
      <c r="E35" s="61">
        <v>0.59513888888888888</v>
      </c>
      <c r="F35" s="55" t="s">
        <v>0</v>
      </c>
      <c r="G35" s="38">
        <v>1</v>
      </c>
      <c r="H35" s="39">
        <v>701</v>
      </c>
      <c r="I35" s="51" t="str">
        <f>VLOOKUP(H35,'[2]Chart of accounts'!A:H,2,FALSE)</f>
        <v>50101010 01</v>
      </c>
      <c r="J35" s="39"/>
      <c r="K35" s="39"/>
      <c r="L35" s="34"/>
      <c r="M35" s="34"/>
      <c r="N35" s="34"/>
      <c r="O35" s="53" t="s">
        <v>1</v>
      </c>
      <c r="P35" s="53" t="s">
        <v>1</v>
      </c>
      <c r="Q35" s="66" t="s">
        <v>769</v>
      </c>
      <c r="R35" s="58" t="s">
        <v>764</v>
      </c>
      <c r="S35" s="42" t="s">
        <v>762</v>
      </c>
      <c r="T35" s="43">
        <v>377575</v>
      </c>
      <c r="U35" s="67"/>
      <c r="V35" s="68">
        <v>377575</v>
      </c>
      <c r="W35" s="44">
        <f t="shared" ref="W35:W70" si="0">+T35-V35</f>
        <v>0</v>
      </c>
      <c r="X35" s="69"/>
      <c r="Y35" s="70"/>
      <c r="Z35" s="71"/>
      <c r="AA35" s="71"/>
      <c r="AB35" s="71"/>
      <c r="AC35" s="71"/>
      <c r="AD35" s="71"/>
      <c r="AE35" s="43"/>
      <c r="AF35" s="43"/>
      <c r="AG35" s="4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43"/>
      <c r="AZ35" s="43"/>
      <c r="BA35" s="43"/>
      <c r="BB35" s="43"/>
      <c r="BC35" s="43">
        <v>377575</v>
      </c>
      <c r="BD35" s="7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74"/>
      <c r="BQ35" s="43"/>
      <c r="BR35" s="43"/>
      <c r="BS35" s="43"/>
      <c r="BT35" s="43">
        <v>377575</v>
      </c>
      <c r="BU35" s="71"/>
      <c r="BV35" s="43"/>
      <c r="BW35" s="43"/>
      <c r="BX35" s="43"/>
      <c r="BY35" s="43"/>
      <c r="BZ35" s="43"/>
      <c r="CA35" s="43"/>
      <c r="CB35" s="43">
        <f t="shared" ref="CB35:CB64" si="1">SUM(CD35:DZ35)-W35</f>
        <v>0</v>
      </c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71"/>
      <c r="DY35" s="71"/>
      <c r="DZ35" s="71"/>
    </row>
    <row r="36" spans="1:130" s="32" customFormat="1" ht="27.6">
      <c r="A36" s="76">
        <v>44211</v>
      </c>
      <c r="B36" s="34" t="s">
        <v>759</v>
      </c>
      <c r="C36" s="286" t="s">
        <v>763</v>
      </c>
      <c r="D36" s="61">
        <v>0.59097222222222223</v>
      </c>
      <c r="E36" s="61">
        <v>0.59513888888888888</v>
      </c>
      <c r="F36" s="55" t="s">
        <v>0</v>
      </c>
      <c r="G36" s="38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1</v>
      </c>
      <c r="P36" s="53" t="s">
        <v>1</v>
      </c>
      <c r="Q36" s="66" t="s">
        <v>769</v>
      </c>
      <c r="R36" s="58" t="s">
        <v>764</v>
      </c>
      <c r="S36" s="42" t="s">
        <v>762</v>
      </c>
      <c r="T36" s="43">
        <v>22000</v>
      </c>
      <c r="U36" s="52"/>
      <c r="V36" s="49">
        <v>22000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3"/>
      <c r="BD36" s="48"/>
      <c r="BE36" s="43">
        <v>22000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3">
        <v>22000</v>
      </c>
      <c r="BU36" s="47"/>
      <c r="BV36" s="44"/>
      <c r="BW36" s="44"/>
      <c r="BX36" s="44"/>
      <c r="BY36" s="44"/>
      <c r="BZ36" s="44"/>
      <c r="CA36" s="44"/>
      <c r="CB36" s="43">
        <f t="shared" si="1"/>
        <v>0</v>
      </c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3"/>
      <c r="DD36" s="44"/>
      <c r="DF36" s="44"/>
      <c r="DG36" s="44"/>
      <c r="DH36" s="62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27.6">
      <c r="A37" s="76">
        <v>44211</v>
      </c>
      <c r="B37" s="34" t="s">
        <v>759</v>
      </c>
      <c r="C37" s="286" t="s">
        <v>763</v>
      </c>
      <c r="D37" s="61">
        <v>0.59097222222222223</v>
      </c>
      <c r="E37" s="61">
        <v>0.59513888888888888</v>
      </c>
      <c r="F37" s="55" t="s">
        <v>0</v>
      </c>
      <c r="G37" s="38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1</v>
      </c>
      <c r="P37" s="53" t="s">
        <v>1</v>
      </c>
      <c r="Q37" s="66" t="s">
        <v>769</v>
      </c>
      <c r="R37" s="58" t="s">
        <v>764</v>
      </c>
      <c r="S37" s="42" t="s">
        <v>762</v>
      </c>
      <c r="T37" s="43">
        <v>45309</v>
      </c>
      <c r="U37" s="52"/>
      <c r="V37" s="49">
        <v>45309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3"/>
      <c r="BD37" s="48"/>
      <c r="BF37" s="44"/>
      <c r="BG37" s="44"/>
      <c r="BH37" s="44"/>
      <c r="BI37" s="44"/>
      <c r="BJ37" s="44"/>
      <c r="BK37" s="44"/>
      <c r="BL37" s="44"/>
      <c r="BM37" s="43">
        <v>45309</v>
      </c>
      <c r="BN37" s="44"/>
      <c r="BO37" s="44"/>
      <c r="BP37" s="49"/>
      <c r="BQ37" s="44"/>
      <c r="BR37" s="44"/>
      <c r="BS37" s="44"/>
      <c r="BT37" s="43">
        <v>45309</v>
      </c>
      <c r="BU37" s="47"/>
      <c r="BV37" s="44"/>
      <c r="BW37" s="43"/>
      <c r="BX37" s="44"/>
      <c r="BY37" s="44"/>
      <c r="BZ37" s="44"/>
      <c r="CA37" s="44"/>
      <c r="CB37" s="43">
        <f t="shared" si="1"/>
        <v>0</v>
      </c>
      <c r="CC37" s="44"/>
      <c r="CD37" s="44"/>
      <c r="CE37" s="44"/>
      <c r="CF37" s="44"/>
      <c r="CG37" s="44"/>
      <c r="CH37" s="47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D37" s="44"/>
      <c r="DE37" s="43"/>
      <c r="DF37" s="62"/>
      <c r="DG37" s="44"/>
      <c r="DH37" s="62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27.6">
      <c r="A38" s="76">
        <v>44211</v>
      </c>
      <c r="B38" s="34" t="s">
        <v>759</v>
      </c>
      <c r="C38" s="286" t="s">
        <v>763</v>
      </c>
      <c r="D38" s="61">
        <v>0.59097222222222223</v>
      </c>
      <c r="E38" s="61">
        <v>0.59513888888888888</v>
      </c>
      <c r="F38" s="55" t="s">
        <v>0</v>
      </c>
      <c r="G38" s="38">
        <v>1</v>
      </c>
      <c r="H38" s="39">
        <v>732</v>
      </c>
      <c r="I38" s="51" t="str">
        <f>VLOOKUP(H38,'[2]Chart of accounts'!A:H,2,FALSE)</f>
        <v>50103020 01</v>
      </c>
      <c r="J38" s="55"/>
      <c r="K38" s="55"/>
      <c r="L38" s="56"/>
      <c r="M38" s="56"/>
      <c r="N38" s="56"/>
      <c r="O38" s="53" t="s">
        <v>1</v>
      </c>
      <c r="P38" s="53" t="s">
        <v>1</v>
      </c>
      <c r="Q38" s="66" t="s">
        <v>769</v>
      </c>
      <c r="R38" s="58" t="s">
        <v>764</v>
      </c>
      <c r="S38" s="42" t="s">
        <v>762</v>
      </c>
      <c r="T38" s="43">
        <v>1100</v>
      </c>
      <c r="U38" s="52"/>
      <c r="V38" s="49">
        <v>1100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3"/>
      <c r="BD38" s="48"/>
      <c r="BF38" s="44"/>
      <c r="BG38" s="44"/>
      <c r="BH38" s="44"/>
      <c r="BI38" s="44"/>
      <c r="BJ38" s="44"/>
      <c r="BK38" s="44"/>
      <c r="BL38" s="44"/>
      <c r="BN38" s="43">
        <v>1100</v>
      </c>
      <c r="BO38" s="44"/>
      <c r="BP38" s="49"/>
      <c r="BQ38" s="44"/>
      <c r="BR38" s="44"/>
      <c r="BS38" s="44"/>
      <c r="BT38" s="43">
        <v>1100</v>
      </c>
      <c r="BU38" s="47"/>
      <c r="BV38" s="44"/>
      <c r="BW38" s="43"/>
      <c r="BX38" s="44"/>
      <c r="BY38" s="44"/>
      <c r="BZ38" s="44"/>
      <c r="CA38" s="44"/>
      <c r="CB38" s="43">
        <f t="shared" si="1"/>
        <v>0</v>
      </c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D38" s="44"/>
      <c r="DF38" s="62"/>
      <c r="DG38" s="44"/>
      <c r="DH38" s="43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44211</v>
      </c>
      <c r="B39" s="34" t="s">
        <v>759</v>
      </c>
      <c r="C39" s="286" t="s">
        <v>763</v>
      </c>
      <c r="D39" s="61">
        <v>0.59097222222222223</v>
      </c>
      <c r="E39" s="61">
        <v>0.59513888888888888</v>
      </c>
      <c r="F39" s="55" t="s">
        <v>0</v>
      </c>
      <c r="G39" s="38">
        <v>1</v>
      </c>
      <c r="H39" s="55">
        <v>733</v>
      </c>
      <c r="I39" s="51" t="str">
        <f>VLOOKUP(H39,'[2]Chart of accounts'!A:H,2,FALSE)</f>
        <v>50103030 01</v>
      </c>
      <c r="J39" s="55"/>
      <c r="K39" s="55"/>
      <c r="L39" s="56"/>
      <c r="M39" s="56"/>
      <c r="N39" s="56"/>
      <c r="O39" s="53" t="s">
        <v>1</v>
      </c>
      <c r="P39" s="53" t="s">
        <v>1</v>
      </c>
      <c r="Q39" s="66" t="s">
        <v>769</v>
      </c>
      <c r="R39" s="58" t="s">
        <v>764</v>
      </c>
      <c r="S39" s="42" t="s">
        <v>762</v>
      </c>
      <c r="T39" s="43">
        <v>5560.64</v>
      </c>
      <c r="U39" s="52"/>
      <c r="V39" s="43">
        <v>5560.64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3"/>
      <c r="BD39" s="48"/>
      <c r="BF39" s="44"/>
      <c r="BG39" s="44"/>
      <c r="BH39" s="44"/>
      <c r="BI39" s="44"/>
      <c r="BJ39" s="44"/>
      <c r="BK39" s="44"/>
      <c r="BL39" s="44"/>
      <c r="BO39" s="43">
        <v>5560.64</v>
      </c>
      <c r="BP39" s="49"/>
      <c r="BQ39" s="44"/>
      <c r="BR39" s="44"/>
      <c r="BS39" s="44"/>
      <c r="BT39" s="43">
        <v>5560.64</v>
      </c>
      <c r="BU39" s="47"/>
      <c r="BV39" s="44"/>
      <c r="BW39" s="50"/>
      <c r="BX39" s="44"/>
      <c r="BY39" s="44"/>
      <c r="BZ39" s="44"/>
      <c r="CA39" s="44"/>
      <c r="CB39" s="43">
        <f t="shared" si="1"/>
        <v>0</v>
      </c>
      <c r="CC39" s="44"/>
      <c r="CD39" s="65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50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27.6">
      <c r="A40" s="76">
        <v>44211</v>
      </c>
      <c r="B40" s="34" t="s">
        <v>759</v>
      </c>
      <c r="C40" s="286" t="s">
        <v>763</v>
      </c>
      <c r="D40" s="61">
        <v>0.59097222222222223</v>
      </c>
      <c r="E40" s="61">
        <v>0.59513888888888888</v>
      </c>
      <c r="F40" s="55" t="s">
        <v>0</v>
      </c>
      <c r="G40" s="38">
        <v>1</v>
      </c>
      <c r="H40" s="55">
        <v>734</v>
      </c>
      <c r="I40" s="51" t="str">
        <f>VLOOKUP(H40,'[2]Chart of accounts'!A:H,2,FALSE)</f>
        <v>50103040 01</v>
      </c>
      <c r="J40" s="55"/>
      <c r="K40" s="55"/>
      <c r="L40" s="56"/>
      <c r="M40" s="56"/>
      <c r="N40" s="56"/>
      <c r="O40" s="53" t="s">
        <v>1</v>
      </c>
      <c r="P40" s="53" t="s">
        <v>1</v>
      </c>
      <c r="Q40" s="66" t="s">
        <v>769</v>
      </c>
      <c r="R40" s="58" t="s">
        <v>764</v>
      </c>
      <c r="S40" s="42" t="s">
        <v>762</v>
      </c>
      <c r="T40" s="43">
        <v>1100</v>
      </c>
      <c r="U40" s="52"/>
      <c r="V40" s="43">
        <v>1100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3"/>
      <c r="BD40" s="48"/>
      <c r="BF40" s="44"/>
      <c r="BG40" s="44"/>
      <c r="BH40" s="44"/>
      <c r="BI40" s="44"/>
      <c r="BJ40" s="44"/>
      <c r="BK40" s="44"/>
      <c r="BL40" s="44"/>
      <c r="BP40" s="43">
        <v>1100</v>
      </c>
      <c r="BQ40" s="44"/>
      <c r="BR40" s="44"/>
      <c r="BS40" s="44"/>
      <c r="BT40" s="43">
        <v>1100</v>
      </c>
      <c r="BU40" s="47"/>
      <c r="BV40" s="44"/>
      <c r="BW40" s="50"/>
      <c r="BX40" s="44"/>
      <c r="BY40" s="44"/>
      <c r="BZ40" s="44"/>
      <c r="CA40" s="44"/>
      <c r="CB40" s="43">
        <f t="shared" si="1"/>
        <v>0</v>
      </c>
      <c r="CC40" s="44"/>
      <c r="CD40" s="65"/>
      <c r="CE40" s="44"/>
      <c r="CF40" s="44"/>
      <c r="CG40" s="44"/>
      <c r="CH40" s="47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50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32" customFormat="1" ht="27.6">
      <c r="A41" s="76">
        <v>44211</v>
      </c>
      <c r="B41" s="34" t="s">
        <v>759</v>
      </c>
      <c r="C41" s="286" t="s">
        <v>766</v>
      </c>
      <c r="D41" s="61">
        <v>0.59861111111111109</v>
      </c>
      <c r="E41" s="61">
        <v>0.6</v>
      </c>
      <c r="F41" s="55" t="s">
        <v>0</v>
      </c>
      <c r="G41" s="38">
        <v>1</v>
      </c>
      <c r="H41" s="39">
        <v>701</v>
      </c>
      <c r="I41" s="51" t="str">
        <f>VLOOKUP(H41,'[2]Chart of accounts'!A:H,2,FALSE)</f>
        <v>50101010 01</v>
      </c>
      <c r="J41" s="39"/>
      <c r="K41" s="39"/>
      <c r="L41" s="34"/>
      <c r="M41" s="34"/>
      <c r="N41" s="34"/>
      <c r="O41" s="53" t="s">
        <v>1</v>
      </c>
      <c r="P41" s="53" t="s">
        <v>1</v>
      </c>
      <c r="Q41" s="41" t="s">
        <v>770</v>
      </c>
      <c r="R41" s="42" t="s">
        <v>765</v>
      </c>
      <c r="S41" s="42" t="s">
        <v>762</v>
      </c>
      <c r="T41" s="43">
        <v>273461</v>
      </c>
      <c r="U41" s="52"/>
      <c r="V41" s="49">
        <v>273461</v>
      </c>
      <c r="W41" s="44">
        <f t="shared" si="0"/>
        <v>0</v>
      </c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3">
        <v>273461</v>
      </c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3">
        <v>273461</v>
      </c>
      <c r="BU41" s="47"/>
      <c r="BV41" s="44"/>
      <c r="BW41" s="50"/>
      <c r="BX41" s="44"/>
      <c r="BY41" s="44"/>
      <c r="BZ41" s="44"/>
      <c r="CA41" s="44"/>
      <c r="CB41" s="43">
        <f t="shared" si="1"/>
        <v>0</v>
      </c>
      <c r="CC41" s="44"/>
      <c r="CD41" s="65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50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 ht="27.6">
      <c r="A42" s="76">
        <v>44211</v>
      </c>
      <c r="B42" s="34" t="s">
        <v>759</v>
      </c>
      <c r="C42" s="286" t="s">
        <v>766</v>
      </c>
      <c r="D42" s="61">
        <v>0.59861111111111109</v>
      </c>
      <c r="E42" s="61">
        <v>0.6</v>
      </c>
      <c r="F42" s="55" t="s">
        <v>0</v>
      </c>
      <c r="G42" s="38">
        <v>1</v>
      </c>
      <c r="H42" s="39">
        <v>711</v>
      </c>
      <c r="I42" s="51" t="str">
        <f>VLOOKUP(H42,'[2]Chart of accounts'!A:H,2,FALSE)</f>
        <v>50102010 01</v>
      </c>
      <c r="J42" s="39"/>
      <c r="K42" s="39"/>
      <c r="L42" s="34"/>
      <c r="M42" s="34"/>
      <c r="N42" s="34"/>
      <c r="O42" s="53" t="s">
        <v>1</v>
      </c>
      <c r="P42" s="53" t="s">
        <v>1</v>
      </c>
      <c r="Q42" s="41" t="s">
        <v>770</v>
      </c>
      <c r="R42" s="42" t="s">
        <v>765</v>
      </c>
      <c r="S42" s="42" t="s">
        <v>762</v>
      </c>
      <c r="T42" s="43">
        <v>14000</v>
      </c>
      <c r="U42" s="52"/>
      <c r="V42" s="49">
        <v>14000</v>
      </c>
      <c r="W42" s="44">
        <f t="shared" si="0"/>
        <v>0</v>
      </c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D42" s="48"/>
      <c r="BE42" s="43">
        <v>14000</v>
      </c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3">
        <v>14000</v>
      </c>
      <c r="BU42" s="47"/>
      <c r="BV42" s="44"/>
      <c r="BW42" s="50"/>
      <c r="BX42" s="44"/>
      <c r="BY42" s="44"/>
      <c r="BZ42" s="44"/>
      <c r="CA42" s="44"/>
      <c r="CB42" s="43">
        <f t="shared" si="1"/>
        <v>0</v>
      </c>
      <c r="CC42" s="44"/>
      <c r="CD42" s="65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50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 ht="27.6">
      <c r="A43" s="76">
        <v>44211</v>
      </c>
      <c r="B43" s="34" t="s">
        <v>759</v>
      </c>
      <c r="C43" s="286" t="s">
        <v>766</v>
      </c>
      <c r="D43" s="61">
        <v>0.59861111111111109</v>
      </c>
      <c r="E43" s="61">
        <v>0.6</v>
      </c>
      <c r="F43" s="55" t="s">
        <v>0</v>
      </c>
      <c r="G43" s="38">
        <v>1</v>
      </c>
      <c r="H43" s="39">
        <v>731</v>
      </c>
      <c r="I43" s="51" t="str">
        <f>VLOOKUP(H43,'[2]Chart of accounts'!A:H,2,FALSE)</f>
        <v>50103010 00</v>
      </c>
      <c r="J43" s="39"/>
      <c r="K43" s="39"/>
      <c r="L43" s="34"/>
      <c r="M43" s="34"/>
      <c r="N43" s="34"/>
      <c r="O43" s="53" t="s">
        <v>1</v>
      </c>
      <c r="P43" s="53" t="s">
        <v>1</v>
      </c>
      <c r="Q43" s="41" t="s">
        <v>770</v>
      </c>
      <c r="R43" s="42" t="s">
        <v>765</v>
      </c>
      <c r="S43" s="42" t="s">
        <v>762</v>
      </c>
      <c r="T43" s="43">
        <v>32815.32</v>
      </c>
      <c r="U43" s="52"/>
      <c r="V43" s="49">
        <v>32815.32</v>
      </c>
      <c r="W43" s="44">
        <f t="shared" si="0"/>
        <v>0</v>
      </c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D43" s="48"/>
      <c r="BF43" s="44"/>
      <c r="BG43" s="44"/>
      <c r="BH43" s="44"/>
      <c r="BI43" s="44"/>
      <c r="BJ43" s="44"/>
      <c r="BK43" s="44"/>
      <c r="BL43" s="44"/>
      <c r="BM43" s="43">
        <v>32815.32</v>
      </c>
      <c r="BN43" s="44"/>
      <c r="BO43" s="44"/>
      <c r="BP43" s="49"/>
      <c r="BQ43" s="44"/>
      <c r="BR43" s="44"/>
      <c r="BS43" s="44"/>
      <c r="BT43" s="43">
        <v>32815.32</v>
      </c>
      <c r="BU43" s="47"/>
      <c r="BV43" s="44"/>
      <c r="BW43" s="50"/>
      <c r="BX43" s="44"/>
      <c r="BY43" s="44"/>
      <c r="BZ43" s="44"/>
      <c r="CA43" s="44"/>
      <c r="CB43" s="43">
        <f t="shared" si="1"/>
        <v>0</v>
      </c>
      <c r="CC43" s="44"/>
      <c r="CD43" s="65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50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 ht="27.6">
      <c r="A44" s="76">
        <v>44211</v>
      </c>
      <c r="B44" s="34" t="s">
        <v>759</v>
      </c>
      <c r="C44" s="286" t="s">
        <v>766</v>
      </c>
      <c r="D44" s="61">
        <v>0.59861111111111109</v>
      </c>
      <c r="E44" s="61">
        <v>0.6</v>
      </c>
      <c r="F44" s="55" t="s">
        <v>0</v>
      </c>
      <c r="G44" s="38">
        <v>1</v>
      </c>
      <c r="H44" s="39">
        <v>732</v>
      </c>
      <c r="I44" s="51" t="str">
        <f>VLOOKUP(H44,'[2]Chart of accounts'!A:H,2,FALSE)</f>
        <v>50103020 01</v>
      </c>
      <c r="J44" s="55"/>
      <c r="K44" s="55"/>
      <c r="L44" s="56"/>
      <c r="M44" s="56"/>
      <c r="N44" s="56"/>
      <c r="O44" s="53" t="s">
        <v>1</v>
      </c>
      <c r="P44" s="53" t="s">
        <v>1</v>
      </c>
      <c r="Q44" s="41" t="s">
        <v>770</v>
      </c>
      <c r="R44" s="42" t="s">
        <v>765</v>
      </c>
      <c r="S44" s="42" t="s">
        <v>762</v>
      </c>
      <c r="T44" s="43">
        <v>700</v>
      </c>
      <c r="U44" s="52"/>
      <c r="V44" s="49">
        <v>700</v>
      </c>
      <c r="W44" s="44">
        <f t="shared" si="0"/>
        <v>0</v>
      </c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D44" s="48"/>
      <c r="BF44" s="44"/>
      <c r="BG44" s="44"/>
      <c r="BH44" s="44"/>
      <c r="BI44" s="44"/>
      <c r="BJ44" s="44"/>
      <c r="BK44" s="44"/>
      <c r="BL44" s="44"/>
      <c r="BN44" s="43">
        <v>700</v>
      </c>
      <c r="BO44" s="44"/>
      <c r="BP44" s="49"/>
      <c r="BQ44" s="44"/>
      <c r="BR44" s="44"/>
      <c r="BS44" s="44"/>
      <c r="BT44" s="43">
        <v>700</v>
      </c>
      <c r="BU44" s="47"/>
      <c r="BV44" s="44"/>
      <c r="BW44" s="50"/>
      <c r="BX44" s="44"/>
      <c r="BY44" s="44"/>
      <c r="BZ44" s="44"/>
      <c r="CA44" s="44"/>
      <c r="CB44" s="43">
        <f t="shared" si="1"/>
        <v>0</v>
      </c>
      <c r="CC44" s="44"/>
      <c r="CD44" s="65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50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32" customFormat="1" ht="27.6">
      <c r="A45" s="76">
        <v>44211</v>
      </c>
      <c r="B45" s="34" t="s">
        <v>759</v>
      </c>
      <c r="C45" s="286" t="s">
        <v>766</v>
      </c>
      <c r="D45" s="61">
        <v>0.59861111111111109</v>
      </c>
      <c r="E45" s="61">
        <v>0.6</v>
      </c>
      <c r="F45" s="55" t="s">
        <v>0</v>
      </c>
      <c r="G45" s="38">
        <v>1</v>
      </c>
      <c r="H45" s="55">
        <v>733</v>
      </c>
      <c r="I45" s="51" t="str">
        <f>VLOOKUP(H45,'[2]Chart of accounts'!A:H,2,FALSE)</f>
        <v>50103030 01</v>
      </c>
      <c r="J45" s="55"/>
      <c r="K45" s="55"/>
      <c r="L45" s="56"/>
      <c r="M45" s="56"/>
      <c r="N45" s="56"/>
      <c r="O45" s="53" t="s">
        <v>1</v>
      </c>
      <c r="P45" s="53" t="s">
        <v>1</v>
      </c>
      <c r="Q45" s="41" t="s">
        <v>770</v>
      </c>
      <c r="R45" s="42" t="s">
        <v>765</v>
      </c>
      <c r="S45" s="42" t="s">
        <v>762</v>
      </c>
      <c r="T45" s="43">
        <v>3358.03</v>
      </c>
      <c r="U45" s="52"/>
      <c r="V45" s="49">
        <v>3358.03</v>
      </c>
      <c r="W45" s="44">
        <f t="shared" si="0"/>
        <v>0</v>
      </c>
      <c r="X45" s="45"/>
      <c r="Y45" s="46"/>
      <c r="Z45" s="47"/>
      <c r="AA45" s="47"/>
      <c r="AB45" s="47"/>
      <c r="AC45" s="47"/>
      <c r="AD45" s="47"/>
      <c r="AE45" s="44"/>
      <c r="AF45" s="44"/>
      <c r="AG45" s="44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4"/>
      <c r="AZ45" s="44"/>
      <c r="BA45" s="44"/>
      <c r="BB45" s="44"/>
      <c r="BD45" s="48"/>
      <c r="BF45" s="44"/>
      <c r="BG45" s="44"/>
      <c r="BH45" s="44"/>
      <c r="BI45" s="44"/>
      <c r="BJ45" s="44"/>
      <c r="BK45" s="44"/>
      <c r="BL45" s="44"/>
      <c r="BO45" s="43">
        <v>3358.03</v>
      </c>
      <c r="BP45" s="49"/>
      <c r="BQ45" s="44"/>
      <c r="BR45" s="44"/>
      <c r="BS45" s="44"/>
      <c r="BT45" s="43">
        <v>3358.03</v>
      </c>
      <c r="BU45" s="47"/>
      <c r="BV45" s="44"/>
      <c r="BW45" s="50"/>
      <c r="BX45" s="44"/>
      <c r="BY45" s="44"/>
      <c r="BZ45" s="44"/>
      <c r="CA45" s="44"/>
      <c r="CB45" s="43">
        <f t="shared" si="1"/>
        <v>0</v>
      </c>
      <c r="CC45" s="44"/>
      <c r="CD45" s="65"/>
      <c r="CE45" s="44"/>
      <c r="CF45" s="44"/>
      <c r="CG45" s="44"/>
      <c r="CH45" s="47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50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7"/>
      <c r="DY45" s="47"/>
      <c r="DZ45" s="47"/>
    </row>
    <row r="46" spans="1:130" s="32" customFormat="1" ht="27.6">
      <c r="A46" s="76">
        <v>44211</v>
      </c>
      <c r="B46" s="34" t="s">
        <v>759</v>
      </c>
      <c r="C46" s="286" t="s">
        <v>766</v>
      </c>
      <c r="D46" s="61">
        <v>0.59861111111111109</v>
      </c>
      <c r="E46" s="61">
        <v>0.6</v>
      </c>
      <c r="F46" s="55" t="s">
        <v>0</v>
      </c>
      <c r="G46" s="38">
        <v>1</v>
      </c>
      <c r="H46" s="55">
        <v>734</v>
      </c>
      <c r="I46" s="51" t="str">
        <f>VLOOKUP(H46,'[2]Chart of accounts'!A:H,2,FALSE)</f>
        <v>50103040 01</v>
      </c>
      <c r="J46" s="55"/>
      <c r="K46" s="55"/>
      <c r="L46" s="56"/>
      <c r="M46" s="56"/>
      <c r="N46" s="56"/>
      <c r="O46" s="53" t="s">
        <v>1</v>
      </c>
      <c r="P46" s="53" t="s">
        <v>1</v>
      </c>
      <c r="Q46" s="41" t="s">
        <v>770</v>
      </c>
      <c r="R46" s="42" t="s">
        <v>765</v>
      </c>
      <c r="S46" s="42" t="s">
        <v>762</v>
      </c>
      <c r="T46" s="43">
        <v>700</v>
      </c>
      <c r="U46" s="52"/>
      <c r="V46" s="49">
        <v>700</v>
      </c>
      <c r="W46" s="44">
        <f t="shared" si="0"/>
        <v>0</v>
      </c>
      <c r="X46" s="45"/>
      <c r="Y46" s="46"/>
      <c r="Z46" s="47"/>
      <c r="AA46" s="47"/>
      <c r="AB46" s="47"/>
      <c r="AC46" s="47"/>
      <c r="AD46" s="47"/>
      <c r="AE46" s="44"/>
      <c r="AF46" s="44"/>
      <c r="AG46" s="44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4"/>
      <c r="AZ46" s="44"/>
      <c r="BA46" s="44"/>
      <c r="BB46" s="44"/>
      <c r="BD46" s="48"/>
      <c r="BF46" s="44"/>
      <c r="BG46" s="44"/>
      <c r="BH46" s="44"/>
      <c r="BI46" s="44"/>
      <c r="BJ46" s="44"/>
      <c r="BK46" s="44"/>
      <c r="BL46" s="44"/>
      <c r="BP46" s="43">
        <v>700</v>
      </c>
      <c r="BQ46" s="44"/>
      <c r="BR46" s="44"/>
      <c r="BS46" s="44"/>
      <c r="BT46" s="43">
        <v>700</v>
      </c>
      <c r="BU46" s="47"/>
      <c r="BV46" s="44"/>
      <c r="BW46" s="50"/>
      <c r="BX46" s="44"/>
      <c r="BY46" s="44"/>
      <c r="BZ46" s="44"/>
      <c r="CA46" s="44"/>
      <c r="CB46" s="43">
        <f t="shared" si="1"/>
        <v>0</v>
      </c>
      <c r="CC46" s="44"/>
      <c r="CD46" s="65"/>
      <c r="CE46" s="44"/>
      <c r="CF46" s="44"/>
      <c r="CG46" s="44"/>
      <c r="CH46" s="47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50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7"/>
      <c r="DY46" s="47"/>
      <c r="DZ46" s="47"/>
    </row>
    <row r="47" spans="1:130" s="32" customFormat="1" ht="27.6">
      <c r="A47" s="76">
        <v>44211</v>
      </c>
      <c r="B47" s="34" t="s">
        <v>759</v>
      </c>
      <c r="C47" s="286" t="s">
        <v>767</v>
      </c>
      <c r="D47" s="61">
        <v>0.60069444444444442</v>
      </c>
      <c r="E47" s="61">
        <v>0.6069444444444444</v>
      </c>
      <c r="F47" s="55" t="s">
        <v>0</v>
      </c>
      <c r="G47" s="38">
        <v>1</v>
      </c>
      <c r="H47" s="39">
        <v>701</v>
      </c>
      <c r="I47" s="51" t="str">
        <f>VLOOKUP(H47,'[2]Chart of accounts'!A:H,2,FALSE)</f>
        <v>50101010 01</v>
      </c>
      <c r="J47" s="39"/>
      <c r="K47" s="39"/>
      <c r="L47" s="34"/>
      <c r="M47" s="34"/>
      <c r="N47" s="34"/>
      <c r="O47" s="53" t="s">
        <v>1</v>
      </c>
      <c r="P47" s="53" t="s">
        <v>1</v>
      </c>
      <c r="Q47" s="41" t="s">
        <v>771</v>
      </c>
      <c r="R47" s="42" t="s">
        <v>768</v>
      </c>
      <c r="S47" s="42" t="s">
        <v>762</v>
      </c>
      <c r="T47" s="43">
        <v>565193</v>
      </c>
      <c r="U47" s="52"/>
      <c r="V47" s="49">
        <v>565193</v>
      </c>
      <c r="W47" s="44">
        <f t="shared" si="0"/>
        <v>0</v>
      </c>
      <c r="X47" s="45"/>
      <c r="Y47" s="46"/>
      <c r="Z47" s="47"/>
      <c r="AA47" s="47"/>
      <c r="AB47" s="47"/>
      <c r="AC47" s="47"/>
      <c r="AD47" s="47"/>
      <c r="AE47" s="44"/>
      <c r="AF47" s="44"/>
      <c r="AG47" s="44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4"/>
      <c r="AZ47" s="44"/>
      <c r="BA47" s="44"/>
      <c r="BB47" s="44"/>
      <c r="BC47" s="43">
        <v>565193</v>
      </c>
      <c r="BD47" s="48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9"/>
      <c r="BQ47" s="44"/>
      <c r="BR47" s="44"/>
      <c r="BS47" s="44"/>
      <c r="BT47" s="43">
        <v>565193</v>
      </c>
      <c r="BU47" s="47"/>
      <c r="BV47" s="44"/>
      <c r="BW47" s="50"/>
      <c r="BX47" s="44"/>
      <c r="BY47" s="44"/>
      <c r="BZ47" s="44"/>
      <c r="CA47" s="44"/>
      <c r="CB47" s="43">
        <f t="shared" si="1"/>
        <v>0</v>
      </c>
      <c r="CC47" s="44"/>
      <c r="CD47" s="65"/>
      <c r="CE47" s="44"/>
      <c r="CF47" s="44"/>
      <c r="CG47" s="44"/>
      <c r="CH47" s="47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50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7"/>
      <c r="DY47" s="47"/>
      <c r="DZ47" s="47"/>
    </row>
    <row r="48" spans="1:130" s="32" customFormat="1" ht="27.6">
      <c r="A48" s="76">
        <v>44211</v>
      </c>
      <c r="B48" s="34" t="s">
        <v>759</v>
      </c>
      <c r="C48" s="286" t="s">
        <v>767</v>
      </c>
      <c r="D48" s="61">
        <v>0.60069444444444442</v>
      </c>
      <c r="E48" s="61">
        <v>0.6069444444444444</v>
      </c>
      <c r="F48" s="55" t="s">
        <v>0</v>
      </c>
      <c r="G48" s="38">
        <v>1</v>
      </c>
      <c r="H48" s="39">
        <v>711</v>
      </c>
      <c r="I48" s="51" t="str">
        <f>VLOOKUP(H48,'[2]Chart of accounts'!A:H,2,FALSE)</f>
        <v>50102010 01</v>
      </c>
      <c r="J48" s="39"/>
      <c r="K48" s="39"/>
      <c r="L48" s="34"/>
      <c r="M48" s="34"/>
      <c r="N48" s="34"/>
      <c r="O48" s="53" t="s">
        <v>1</v>
      </c>
      <c r="P48" s="53" t="s">
        <v>1</v>
      </c>
      <c r="Q48" s="41" t="s">
        <v>771</v>
      </c>
      <c r="R48" s="42" t="s">
        <v>768</v>
      </c>
      <c r="S48" s="42" t="s">
        <v>762</v>
      </c>
      <c r="T48" s="43">
        <v>24000</v>
      </c>
      <c r="U48" s="52"/>
      <c r="V48" s="49">
        <v>24000</v>
      </c>
      <c r="W48" s="44">
        <f t="shared" si="0"/>
        <v>0</v>
      </c>
      <c r="X48" s="45"/>
      <c r="Y48" s="46"/>
      <c r="Z48" s="47"/>
      <c r="AA48" s="47"/>
      <c r="AB48" s="47"/>
      <c r="AC48" s="47"/>
      <c r="AD48" s="47"/>
      <c r="AE48" s="44"/>
      <c r="AF48" s="44"/>
      <c r="AG48" s="44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4"/>
      <c r="AZ48" s="44"/>
      <c r="BA48" s="44"/>
      <c r="BB48" s="44"/>
      <c r="BD48" s="48"/>
      <c r="BE48" s="43">
        <v>24000</v>
      </c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9"/>
      <c r="BQ48" s="44"/>
      <c r="BR48" s="44"/>
      <c r="BS48" s="44"/>
      <c r="BT48" s="43">
        <v>24000</v>
      </c>
      <c r="BU48" s="47"/>
      <c r="BV48" s="44"/>
      <c r="BW48" s="50"/>
      <c r="BX48" s="44"/>
      <c r="BY48" s="44"/>
      <c r="BZ48" s="44"/>
      <c r="CA48" s="44"/>
      <c r="CB48" s="43">
        <f t="shared" si="1"/>
        <v>0</v>
      </c>
      <c r="CC48" s="44"/>
      <c r="CD48" s="65"/>
      <c r="CE48" s="44"/>
      <c r="CF48" s="44"/>
      <c r="CG48" s="44"/>
      <c r="CH48" s="47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50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7"/>
      <c r="DY48" s="47"/>
      <c r="DZ48" s="47"/>
    </row>
    <row r="49" spans="1:130" s="32" customFormat="1" ht="27.6">
      <c r="A49" s="76">
        <v>44211</v>
      </c>
      <c r="B49" s="34" t="s">
        <v>759</v>
      </c>
      <c r="C49" s="286" t="s">
        <v>767</v>
      </c>
      <c r="D49" s="61">
        <v>0.60069444444444442</v>
      </c>
      <c r="E49" s="61">
        <v>0.6069444444444444</v>
      </c>
      <c r="F49" s="55" t="s">
        <v>0</v>
      </c>
      <c r="G49" s="38">
        <v>1</v>
      </c>
      <c r="H49" s="39">
        <v>731</v>
      </c>
      <c r="I49" s="51" t="str">
        <f>VLOOKUP(H49,'[2]Chart of accounts'!A:H,2,FALSE)</f>
        <v>50103010 00</v>
      </c>
      <c r="J49" s="39"/>
      <c r="K49" s="39"/>
      <c r="L49" s="34"/>
      <c r="M49" s="34"/>
      <c r="N49" s="34"/>
      <c r="O49" s="53" t="s">
        <v>1</v>
      </c>
      <c r="P49" s="53" t="s">
        <v>1</v>
      </c>
      <c r="Q49" s="41" t="s">
        <v>771</v>
      </c>
      <c r="R49" s="42" t="s">
        <v>768</v>
      </c>
      <c r="S49" s="42" t="s">
        <v>762</v>
      </c>
      <c r="T49" s="43">
        <v>67823.16</v>
      </c>
      <c r="U49" s="52"/>
      <c r="V49" s="49">
        <v>67823.16</v>
      </c>
      <c r="W49" s="44">
        <f t="shared" si="0"/>
        <v>0</v>
      </c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D49" s="48"/>
      <c r="BF49" s="44"/>
      <c r="BG49" s="44"/>
      <c r="BH49" s="44"/>
      <c r="BI49" s="44"/>
      <c r="BJ49" s="44"/>
      <c r="BK49" s="44"/>
      <c r="BL49" s="44"/>
      <c r="BM49" s="43">
        <v>67823.16</v>
      </c>
      <c r="BN49" s="44"/>
      <c r="BO49" s="44"/>
      <c r="BP49" s="49"/>
      <c r="BQ49" s="44"/>
      <c r="BR49" s="44"/>
      <c r="BS49" s="44"/>
      <c r="BT49" s="43">
        <v>67823.16</v>
      </c>
      <c r="BU49" s="47"/>
      <c r="BV49" s="44"/>
      <c r="BW49" s="50"/>
      <c r="BX49" s="44"/>
      <c r="BY49" s="44"/>
      <c r="BZ49" s="44"/>
      <c r="CA49" s="44"/>
      <c r="CB49" s="43">
        <f t="shared" si="1"/>
        <v>0</v>
      </c>
      <c r="CC49" s="44"/>
      <c r="CD49" s="65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50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</row>
    <row r="50" spans="1:130" s="32" customFormat="1" ht="27.6">
      <c r="A50" s="76">
        <v>44211</v>
      </c>
      <c r="B50" s="34" t="s">
        <v>759</v>
      </c>
      <c r="C50" s="286" t="s">
        <v>767</v>
      </c>
      <c r="D50" s="61">
        <v>0.60069444444444442</v>
      </c>
      <c r="E50" s="61">
        <v>0.6069444444444444</v>
      </c>
      <c r="F50" s="55" t="s">
        <v>0</v>
      </c>
      <c r="G50" s="38">
        <v>1</v>
      </c>
      <c r="H50" s="39">
        <v>732</v>
      </c>
      <c r="I50" s="51" t="str">
        <f>VLOOKUP(H50,'[2]Chart of accounts'!A:H,2,FALSE)</f>
        <v>50103020 01</v>
      </c>
      <c r="J50" s="55"/>
      <c r="K50" s="55"/>
      <c r="L50" s="56"/>
      <c r="M50" s="56"/>
      <c r="N50" s="56"/>
      <c r="O50" s="53" t="s">
        <v>1</v>
      </c>
      <c r="P50" s="53" t="s">
        <v>1</v>
      </c>
      <c r="Q50" s="41" t="s">
        <v>771</v>
      </c>
      <c r="R50" s="42" t="s">
        <v>768</v>
      </c>
      <c r="S50" s="42" t="s">
        <v>762</v>
      </c>
      <c r="T50" s="43">
        <v>1200</v>
      </c>
      <c r="U50" s="52"/>
      <c r="V50" s="49">
        <v>1200</v>
      </c>
      <c r="W50" s="44">
        <f t="shared" si="0"/>
        <v>0</v>
      </c>
      <c r="X50" s="45"/>
      <c r="Y50" s="46"/>
      <c r="Z50" s="47"/>
      <c r="AA50" s="47"/>
      <c r="AB50" s="47"/>
      <c r="AC50" s="47"/>
      <c r="AD50" s="47"/>
      <c r="AE50" s="44"/>
      <c r="AF50" s="44"/>
      <c r="AG50" s="44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4"/>
      <c r="AZ50" s="44"/>
      <c r="BA50" s="44"/>
      <c r="BB50" s="44"/>
      <c r="BD50" s="48"/>
      <c r="BF50" s="44"/>
      <c r="BG50" s="44"/>
      <c r="BH50" s="44"/>
      <c r="BI50" s="44"/>
      <c r="BJ50" s="44"/>
      <c r="BK50" s="44"/>
      <c r="BL50" s="44"/>
      <c r="BN50" s="43">
        <v>1200</v>
      </c>
      <c r="BO50" s="44"/>
      <c r="BP50" s="49"/>
      <c r="BQ50" s="44"/>
      <c r="BR50" s="44"/>
      <c r="BS50" s="44"/>
      <c r="BT50" s="43">
        <v>1200</v>
      </c>
      <c r="BU50" s="47"/>
      <c r="BV50" s="44"/>
      <c r="BW50" s="50"/>
      <c r="BX50" s="44"/>
      <c r="BY50" s="44"/>
      <c r="BZ50" s="44"/>
      <c r="CA50" s="44"/>
      <c r="CB50" s="43">
        <f t="shared" si="1"/>
        <v>0</v>
      </c>
      <c r="CC50" s="44"/>
      <c r="CD50" s="65"/>
      <c r="CE50" s="44"/>
      <c r="CF50" s="44"/>
      <c r="CG50" s="44"/>
      <c r="CH50" s="47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50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7"/>
      <c r="DY50" s="47"/>
      <c r="DZ50" s="47"/>
    </row>
    <row r="51" spans="1:130" s="32" customFormat="1" ht="27.6">
      <c r="A51" s="76">
        <v>44211</v>
      </c>
      <c r="B51" s="34" t="s">
        <v>759</v>
      </c>
      <c r="C51" s="286" t="s">
        <v>767</v>
      </c>
      <c r="D51" s="61">
        <v>0.60069444444444442</v>
      </c>
      <c r="E51" s="61">
        <v>0.6069444444444444</v>
      </c>
      <c r="F51" s="55" t="s">
        <v>0</v>
      </c>
      <c r="G51" s="38">
        <v>1</v>
      </c>
      <c r="H51" s="55">
        <v>733</v>
      </c>
      <c r="I51" s="51" t="str">
        <f>VLOOKUP(H51,'[2]Chart of accounts'!A:H,2,FALSE)</f>
        <v>50103030 01</v>
      </c>
      <c r="J51" s="55"/>
      <c r="K51" s="55"/>
      <c r="L51" s="56"/>
      <c r="M51" s="56"/>
      <c r="N51" s="56"/>
      <c r="O51" s="53" t="s">
        <v>1</v>
      </c>
      <c r="P51" s="53" t="s">
        <v>1</v>
      </c>
      <c r="Q51" s="41" t="s">
        <v>771</v>
      </c>
      <c r="R51" s="42" t="s">
        <v>768</v>
      </c>
      <c r="S51" s="42" t="s">
        <v>762</v>
      </c>
      <c r="T51" s="43">
        <v>7357.93</v>
      </c>
      <c r="U51" s="52"/>
      <c r="V51" s="49">
        <v>7357.93</v>
      </c>
      <c r="W51" s="44">
        <f t="shared" si="0"/>
        <v>0</v>
      </c>
      <c r="X51" s="45"/>
      <c r="Y51" s="46"/>
      <c r="Z51" s="47"/>
      <c r="AA51" s="47"/>
      <c r="AB51" s="47"/>
      <c r="AC51" s="47"/>
      <c r="AD51" s="47"/>
      <c r="AE51" s="44"/>
      <c r="AF51" s="44"/>
      <c r="AG51" s="44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4"/>
      <c r="AZ51" s="44"/>
      <c r="BA51" s="44"/>
      <c r="BB51" s="44"/>
      <c r="BD51" s="48"/>
      <c r="BF51" s="44"/>
      <c r="BG51" s="44"/>
      <c r="BH51" s="44"/>
      <c r="BI51" s="44"/>
      <c r="BJ51" s="44"/>
      <c r="BK51" s="44"/>
      <c r="BL51" s="44"/>
      <c r="BO51" s="43">
        <v>7357.93</v>
      </c>
      <c r="BQ51" s="44"/>
      <c r="BR51" s="44"/>
      <c r="BS51" s="44"/>
      <c r="BT51" s="43">
        <v>7357.93</v>
      </c>
      <c r="BU51" s="47"/>
      <c r="BV51" s="44"/>
      <c r="BW51" s="50"/>
      <c r="BX51" s="44"/>
      <c r="BY51" s="44"/>
      <c r="BZ51" s="44"/>
      <c r="CA51" s="44"/>
      <c r="CB51" s="43">
        <f t="shared" si="1"/>
        <v>0</v>
      </c>
      <c r="CC51" s="44"/>
      <c r="CD51" s="65"/>
      <c r="CE51" s="44"/>
      <c r="CF51" s="44"/>
      <c r="CG51" s="44"/>
      <c r="CH51" s="47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50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7"/>
      <c r="DY51" s="47"/>
      <c r="DZ51" s="47"/>
    </row>
    <row r="52" spans="1:130" s="32" customFormat="1" ht="27.6">
      <c r="A52" s="76">
        <v>44211</v>
      </c>
      <c r="B52" s="34" t="s">
        <v>759</v>
      </c>
      <c r="C52" s="286" t="s">
        <v>767</v>
      </c>
      <c r="D52" s="61">
        <v>0.60069444444444442</v>
      </c>
      <c r="E52" s="61">
        <v>0.6069444444444444</v>
      </c>
      <c r="F52" s="55" t="s">
        <v>0</v>
      </c>
      <c r="G52" s="38">
        <v>1</v>
      </c>
      <c r="H52" s="55">
        <v>734</v>
      </c>
      <c r="I52" s="51" t="str">
        <f>VLOOKUP(H52,'[2]Chart of accounts'!A:H,2,FALSE)</f>
        <v>50103040 01</v>
      </c>
      <c r="J52" s="55"/>
      <c r="K52" s="55"/>
      <c r="L52" s="56"/>
      <c r="M52" s="56"/>
      <c r="N52" s="56"/>
      <c r="O52" s="53" t="s">
        <v>1</v>
      </c>
      <c r="P52" s="53" t="s">
        <v>1</v>
      </c>
      <c r="Q52" s="41" t="s">
        <v>771</v>
      </c>
      <c r="R52" s="42" t="s">
        <v>768</v>
      </c>
      <c r="S52" s="42" t="s">
        <v>762</v>
      </c>
      <c r="T52" s="43">
        <v>1200</v>
      </c>
      <c r="U52" s="52"/>
      <c r="V52" s="49">
        <v>1200</v>
      </c>
      <c r="W52" s="44">
        <f t="shared" si="0"/>
        <v>0</v>
      </c>
      <c r="X52" s="45"/>
      <c r="Y52" s="46"/>
      <c r="Z52" s="47"/>
      <c r="AA52" s="47"/>
      <c r="AB52" s="47"/>
      <c r="AC52" s="47"/>
      <c r="AD52" s="47"/>
      <c r="AE52" s="44"/>
      <c r="AF52" s="44"/>
      <c r="AG52" s="44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4"/>
      <c r="AZ52" s="44"/>
      <c r="BA52" s="44"/>
      <c r="BB52" s="44"/>
      <c r="BD52" s="48"/>
      <c r="BF52" s="44"/>
      <c r="BG52" s="44"/>
      <c r="BH52" s="44"/>
      <c r="BI52" s="44"/>
      <c r="BJ52" s="44"/>
      <c r="BK52" s="44"/>
      <c r="BL52" s="44"/>
      <c r="BP52" s="43">
        <v>1200</v>
      </c>
      <c r="BQ52" s="44"/>
      <c r="BR52" s="44"/>
      <c r="BS52" s="44"/>
      <c r="BT52" s="43">
        <v>1200</v>
      </c>
      <c r="BU52" s="47"/>
      <c r="BV52" s="44"/>
      <c r="BW52" s="50"/>
      <c r="BX52" s="44"/>
      <c r="BY52" s="44"/>
      <c r="BZ52" s="44"/>
      <c r="CA52" s="44"/>
      <c r="CB52" s="43">
        <f t="shared" si="1"/>
        <v>0</v>
      </c>
      <c r="CC52" s="44"/>
      <c r="CD52" s="65"/>
      <c r="CE52" s="44"/>
      <c r="CF52" s="44"/>
      <c r="CG52" s="44"/>
      <c r="CH52" s="47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50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7"/>
      <c r="DY52" s="47"/>
      <c r="DZ52" s="47"/>
    </row>
    <row r="53" spans="1:130" s="32" customFormat="1" ht="27.6">
      <c r="A53" s="76">
        <v>44214</v>
      </c>
      <c r="B53" s="34" t="s">
        <v>759</v>
      </c>
      <c r="C53" s="286" t="s">
        <v>775</v>
      </c>
      <c r="D53" s="61">
        <v>0.72083333333333333</v>
      </c>
      <c r="E53" s="61">
        <v>0.72152777777777777</v>
      </c>
      <c r="F53" s="55" t="s">
        <v>0</v>
      </c>
      <c r="G53" s="38">
        <v>1</v>
      </c>
      <c r="H53" s="39">
        <v>701</v>
      </c>
      <c r="I53" s="51" t="str">
        <f>VLOOKUP(H53,'[2]Chart of accounts'!A:H,2,FALSE)</f>
        <v>50101010 01</v>
      </c>
      <c r="J53" s="39"/>
      <c r="K53" s="39"/>
      <c r="L53" s="34"/>
      <c r="M53" s="34"/>
      <c r="N53" s="34"/>
      <c r="O53" s="53" t="s">
        <v>1</v>
      </c>
      <c r="P53" s="53" t="s">
        <v>1</v>
      </c>
      <c r="Q53" s="41" t="s">
        <v>776</v>
      </c>
      <c r="R53" s="42" t="s">
        <v>777</v>
      </c>
      <c r="S53" s="42" t="s">
        <v>762</v>
      </c>
      <c r="T53" s="43">
        <v>377147</v>
      </c>
      <c r="U53" s="52"/>
      <c r="V53" s="49">
        <v>377147</v>
      </c>
      <c r="W53" s="44">
        <f t="shared" si="0"/>
        <v>0</v>
      </c>
      <c r="X53" s="45"/>
      <c r="Y53" s="46"/>
      <c r="Z53" s="47"/>
      <c r="AA53" s="47"/>
      <c r="AB53" s="47"/>
      <c r="AC53" s="47"/>
      <c r="AD53" s="47"/>
      <c r="AE53" s="44"/>
      <c r="AF53" s="44"/>
      <c r="AG53" s="44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4"/>
      <c r="AZ53" s="44"/>
      <c r="BA53" s="44"/>
      <c r="BB53" s="44"/>
      <c r="BC53" s="43">
        <v>377147</v>
      </c>
      <c r="BD53" s="48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9"/>
      <c r="BQ53" s="44"/>
      <c r="BR53" s="44"/>
      <c r="BS53" s="44"/>
      <c r="BT53" s="43">
        <v>377147</v>
      </c>
      <c r="BU53" s="47"/>
      <c r="BV53" s="44"/>
      <c r="BW53" s="50"/>
      <c r="BX53" s="44"/>
      <c r="BY53" s="44"/>
      <c r="BZ53" s="44"/>
      <c r="CA53" s="44"/>
      <c r="CB53" s="43">
        <f t="shared" si="1"/>
        <v>0</v>
      </c>
      <c r="CC53" s="44"/>
      <c r="CD53" s="65"/>
      <c r="CE53" s="44"/>
      <c r="CF53" s="44"/>
      <c r="CG53" s="44"/>
      <c r="CH53" s="47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50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7"/>
      <c r="DY53" s="47"/>
      <c r="DZ53" s="47"/>
    </row>
    <row r="54" spans="1:130" s="32" customFormat="1" ht="27.6">
      <c r="A54" s="76">
        <v>44214</v>
      </c>
      <c r="B54" s="34" t="s">
        <v>759</v>
      </c>
      <c r="C54" s="286" t="s">
        <v>775</v>
      </c>
      <c r="D54" s="61">
        <v>0.72083333333333333</v>
      </c>
      <c r="E54" s="61">
        <v>0.72152777777777777</v>
      </c>
      <c r="F54" s="55" t="s">
        <v>0</v>
      </c>
      <c r="G54" s="38">
        <v>1</v>
      </c>
      <c r="H54" s="39">
        <v>711</v>
      </c>
      <c r="I54" s="51" t="str">
        <f>VLOOKUP(H54,'[2]Chart of accounts'!A:H,2,FALSE)</f>
        <v>50102010 01</v>
      </c>
      <c r="J54" s="39"/>
      <c r="K54" s="39"/>
      <c r="L54" s="34"/>
      <c r="M54" s="34"/>
      <c r="N54" s="34"/>
      <c r="O54" s="53" t="s">
        <v>1</v>
      </c>
      <c r="P54" s="53" t="s">
        <v>1</v>
      </c>
      <c r="Q54" s="41" t="s">
        <v>776</v>
      </c>
      <c r="R54" s="42" t="s">
        <v>777</v>
      </c>
      <c r="S54" s="42" t="s">
        <v>762</v>
      </c>
      <c r="T54" s="43">
        <v>22000</v>
      </c>
      <c r="U54" s="52"/>
      <c r="V54" s="49">
        <v>22000</v>
      </c>
      <c r="W54" s="44">
        <f t="shared" si="0"/>
        <v>0</v>
      </c>
      <c r="X54" s="45"/>
      <c r="Y54" s="46"/>
      <c r="Z54" s="47"/>
      <c r="AA54" s="47"/>
      <c r="AB54" s="47"/>
      <c r="AC54" s="47"/>
      <c r="AD54" s="47"/>
      <c r="AE54" s="44"/>
      <c r="AF54" s="44"/>
      <c r="AG54" s="44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4"/>
      <c r="AZ54" s="44"/>
      <c r="BA54" s="44"/>
      <c r="BB54" s="44"/>
      <c r="BD54" s="48"/>
      <c r="BE54" s="43">
        <v>22000</v>
      </c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9"/>
      <c r="BQ54" s="44"/>
      <c r="BR54" s="44"/>
      <c r="BS54" s="44"/>
      <c r="BT54" s="43">
        <v>22000</v>
      </c>
      <c r="BU54" s="47"/>
      <c r="BV54" s="44"/>
      <c r="BW54" s="50"/>
      <c r="BX54" s="44"/>
      <c r="BY54" s="44"/>
      <c r="BZ54" s="44"/>
      <c r="CA54" s="44"/>
      <c r="CB54" s="43">
        <f t="shared" si="1"/>
        <v>0</v>
      </c>
      <c r="CC54" s="44"/>
      <c r="CD54" s="65"/>
      <c r="CE54" s="44"/>
      <c r="CF54" s="44"/>
      <c r="CG54" s="44"/>
      <c r="CH54" s="47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50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7"/>
      <c r="DY54" s="47"/>
      <c r="DZ54" s="47"/>
    </row>
    <row r="55" spans="1:130" s="32" customFormat="1" ht="27.6">
      <c r="A55" s="76">
        <v>44214</v>
      </c>
      <c r="B55" s="34" t="s">
        <v>759</v>
      </c>
      <c r="C55" s="286" t="s">
        <v>775</v>
      </c>
      <c r="D55" s="61">
        <v>0.72083333333333333</v>
      </c>
      <c r="E55" s="61">
        <v>0.72152777777777777</v>
      </c>
      <c r="F55" s="55" t="s">
        <v>0</v>
      </c>
      <c r="G55" s="38">
        <v>1</v>
      </c>
      <c r="H55" s="39">
        <v>731</v>
      </c>
      <c r="I55" s="51" t="str">
        <f>VLOOKUP(H55,'[2]Chart of accounts'!A:H,2,FALSE)</f>
        <v>50103010 00</v>
      </c>
      <c r="J55" s="39"/>
      <c r="K55" s="39"/>
      <c r="L55" s="34"/>
      <c r="M55" s="34"/>
      <c r="N55" s="34"/>
      <c r="O55" s="53" t="s">
        <v>1</v>
      </c>
      <c r="P55" s="53" t="s">
        <v>1</v>
      </c>
      <c r="Q55" s="41" t="s">
        <v>776</v>
      </c>
      <c r="R55" s="42" t="s">
        <v>777</v>
      </c>
      <c r="S55" s="42" t="s">
        <v>762</v>
      </c>
      <c r="T55" s="43">
        <v>45257.64</v>
      </c>
      <c r="U55" s="52"/>
      <c r="V55" s="49">
        <v>45257.64</v>
      </c>
      <c r="W55" s="44">
        <f t="shared" si="0"/>
        <v>0</v>
      </c>
      <c r="X55" s="45"/>
      <c r="Y55" s="46"/>
      <c r="Z55" s="47"/>
      <c r="AA55" s="47"/>
      <c r="AB55" s="47"/>
      <c r="AC55" s="47"/>
      <c r="AD55" s="47"/>
      <c r="AE55" s="44"/>
      <c r="AF55" s="44"/>
      <c r="AG55" s="44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4"/>
      <c r="AZ55" s="44"/>
      <c r="BA55" s="44"/>
      <c r="BB55" s="44"/>
      <c r="BD55" s="48"/>
      <c r="BE55" s="44"/>
      <c r="BF55" s="44"/>
      <c r="BG55" s="44"/>
      <c r="BH55" s="44"/>
      <c r="BI55" s="44"/>
      <c r="BJ55" s="44"/>
      <c r="BK55" s="44"/>
      <c r="BL55" s="44"/>
      <c r="BM55" s="43">
        <v>45257.64</v>
      </c>
      <c r="BN55" s="44"/>
      <c r="BO55" s="44"/>
      <c r="BP55" s="49"/>
      <c r="BQ55" s="44"/>
      <c r="BR55" s="44"/>
      <c r="BS55" s="44"/>
      <c r="BT55" s="43">
        <v>45257.64</v>
      </c>
      <c r="BU55" s="47"/>
      <c r="BV55" s="44"/>
      <c r="BW55" s="50"/>
      <c r="BX55" s="44"/>
      <c r="BY55" s="44"/>
      <c r="BZ55" s="44"/>
      <c r="CA55" s="44"/>
      <c r="CB55" s="43">
        <f t="shared" si="1"/>
        <v>0</v>
      </c>
      <c r="CC55" s="44"/>
      <c r="CD55" s="65"/>
      <c r="CE55" s="44"/>
      <c r="CF55" s="44"/>
      <c r="CG55" s="44"/>
      <c r="CH55" s="47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50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7"/>
      <c r="DY55" s="47"/>
      <c r="DZ55" s="47"/>
    </row>
    <row r="56" spans="1:130" s="32" customFormat="1" ht="27.6">
      <c r="A56" s="76">
        <v>44214</v>
      </c>
      <c r="B56" s="34" t="s">
        <v>759</v>
      </c>
      <c r="C56" s="286" t="s">
        <v>775</v>
      </c>
      <c r="D56" s="61">
        <v>0.72083333333333333</v>
      </c>
      <c r="E56" s="61">
        <v>0.72152777777777777</v>
      </c>
      <c r="F56" s="55" t="s">
        <v>0</v>
      </c>
      <c r="G56" s="38">
        <v>1</v>
      </c>
      <c r="H56" s="39">
        <v>732</v>
      </c>
      <c r="I56" s="51" t="str">
        <f>VLOOKUP(H56,'[2]Chart of accounts'!A:H,2,FALSE)</f>
        <v>50103020 01</v>
      </c>
      <c r="J56" s="55"/>
      <c r="K56" s="55"/>
      <c r="L56" s="56"/>
      <c r="M56" s="56"/>
      <c r="N56" s="56"/>
      <c r="O56" s="53" t="s">
        <v>1</v>
      </c>
      <c r="P56" s="53" t="s">
        <v>1</v>
      </c>
      <c r="Q56" s="41" t="s">
        <v>776</v>
      </c>
      <c r="R56" s="42" t="s">
        <v>777</v>
      </c>
      <c r="S56" s="42" t="s">
        <v>762</v>
      </c>
      <c r="T56" s="43">
        <v>1100</v>
      </c>
      <c r="U56" s="52"/>
      <c r="V56" s="49">
        <v>1100</v>
      </c>
      <c r="W56" s="44">
        <f t="shared" si="0"/>
        <v>0</v>
      </c>
      <c r="X56" s="45"/>
      <c r="Y56" s="46"/>
      <c r="Z56" s="47"/>
      <c r="AA56" s="47"/>
      <c r="AB56" s="47"/>
      <c r="AC56" s="47"/>
      <c r="AD56" s="47"/>
      <c r="AE56" s="44"/>
      <c r="AF56" s="44"/>
      <c r="AG56" s="44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4"/>
      <c r="AZ56" s="44"/>
      <c r="BA56" s="44"/>
      <c r="BB56" s="44"/>
      <c r="BD56" s="48"/>
      <c r="BE56" s="44"/>
      <c r="BF56" s="44"/>
      <c r="BG56" s="44"/>
      <c r="BH56" s="44"/>
      <c r="BI56" s="44"/>
      <c r="BJ56" s="44"/>
      <c r="BK56" s="44"/>
      <c r="BL56" s="44"/>
      <c r="BN56" s="43">
        <v>1100</v>
      </c>
      <c r="BO56" s="44"/>
      <c r="BP56" s="49"/>
      <c r="BQ56" s="44"/>
      <c r="BR56" s="44"/>
      <c r="BS56" s="44"/>
      <c r="BT56" s="43">
        <v>1100</v>
      </c>
      <c r="BU56" s="47"/>
      <c r="BV56" s="44"/>
      <c r="BW56" s="50"/>
      <c r="BX56" s="44"/>
      <c r="BY56" s="44"/>
      <c r="BZ56" s="44"/>
      <c r="CA56" s="44"/>
      <c r="CB56" s="43">
        <f t="shared" si="1"/>
        <v>0</v>
      </c>
      <c r="CC56" s="44"/>
      <c r="CD56" s="65"/>
      <c r="CE56" s="44"/>
      <c r="CF56" s="44"/>
      <c r="CG56" s="44"/>
      <c r="CH56" s="47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50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7"/>
      <c r="DY56" s="47"/>
      <c r="DZ56" s="47"/>
    </row>
    <row r="57" spans="1:130" s="32" customFormat="1" ht="27.6">
      <c r="A57" s="76">
        <v>44214</v>
      </c>
      <c r="B57" s="34" t="s">
        <v>759</v>
      </c>
      <c r="C57" s="286" t="s">
        <v>775</v>
      </c>
      <c r="D57" s="61">
        <v>0.72083333333333333</v>
      </c>
      <c r="E57" s="61">
        <v>0.72152777777777777</v>
      </c>
      <c r="F57" s="55" t="s">
        <v>0</v>
      </c>
      <c r="G57" s="38">
        <v>1</v>
      </c>
      <c r="H57" s="55">
        <v>733</v>
      </c>
      <c r="I57" s="51" t="str">
        <f>VLOOKUP(H57,'[2]Chart of accounts'!A:H,2,FALSE)</f>
        <v>50103030 01</v>
      </c>
      <c r="J57" s="55"/>
      <c r="K57" s="55"/>
      <c r="L57" s="56"/>
      <c r="M57" s="56"/>
      <c r="N57" s="56"/>
      <c r="O57" s="53" t="s">
        <v>1</v>
      </c>
      <c r="P57" s="53" t="s">
        <v>1</v>
      </c>
      <c r="Q57" s="41" t="s">
        <v>776</v>
      </c>
      <c r="R57" s="42" t="s">
        <v>777</v>
      </c>
      <c r="S57" s="42" t="s">
        <v>762</v>
      </c>
      <c r="T57" s="43">
        <v>5521.98</v>
      </c>
      <c r="U57" s="52"/>
      <c r="V57" s="49">
        <v>5521.98</v>
      </c>
      <c r="W57" s="44">
        <f t="shared" si="0"/>
        <v>0</v>
      </c>
      <c r="X57" s="45"/>
      <c r="Y57" s="46"/>
      <c r="Z57" s="47"/>
      <c r="AA57" s="47"/>
      <c r="AB57" s="47"/>
      <c r="AC57" s="47"/>
      <c r="AD57" s="47"/>
      <c r="AE57" s="44"/>
      <c r="AF57" s="44"/>
      <c r="AG57" s="44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4"/>
      <c r="AZ57" s="44"/>
      <c r="BA57" s="44"/>
      <c r="BB57" s="44"/>
      <c r="BD57" s="48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3">
        <v>5521.98</v>
      </c>
      <c r="BP57" s="49"/>
      <c r="BQ57" s="44"/>
      <c r="BR57" s="44"/>
      <c r="BS57" s="44"/>
      <c r="BT57" s="43">
        <v>5521.98</v>
      </c>
      <c r="BU57" s="47"/>
      <c r="BV57" s="44"/>
      <c r="BW57" s="50"/>
      <c r="BX57" s="44"/>
      <c r="BY57" s="44"/>
      <c r="BZ57" s="44"/>
      <c r="CA57" s="44"/>
      <c r="CB57" s="43">
        <f t="shared" si="1"/>
        <v>0</v>
      </c>
      <c r="CC57" s="44"/>
      <c r="CD57" s="65"/>
      <c r="CE57" s="44"/>
      <c r="CF57" s="44"/>
      <c r="CG57" s="44"/>
      <c r="CH57" s="47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50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7"/>
      <c r="DY57" s="47"/>
      <c r="DZ57" s="47"/>
    </row>
    <row r="58" spans="1:130" s="32" customFormat="1" ht="27.6">
      <c r="A58" s="76">
        <v>44214</v>
      </c>
      <c r="B58" s="34" t="s">
        <v>759</v>
      </c>
      <c r="C58" s="286" t="s">
        <v>775</v>
      </c>
      <c r="D58" s="61">
        <v>0.72083333333333333</v>
      </c>
      <c r="E58" s="61">
        <v>0.72152777777777777</v>
      </c>
      <c r="F58" s="55" t="s">
        <v>0</v>
      </c>
      <c r="G58" s="38">
        <v>1</v>
      </c>
      <c r="H58" s="55">
        <v>734</v>
      </c>
      <c r="I58" s="51" t="str">
        <f>VLOOKUP(H58,'[2]Chart of accounts'!A:H,2,FALSE)</f>
        <v>50103040 01</v>
      </c>
      <c r="J58" s="55"/>
      <c r="K58" s="55"/>
      <c r="L58" s="56"/>
      <c r="M58" s="56"/>
      <c r="N58" s="56"/>
      <c r="O58" s="53" t="s">
        <v>1</v>
      </c>
      <c r="P58" s="53" t="s">
        <v>1</v>
      </c>
      <c r="Q58" s="41" t="s">
        <v>776</v>
      </c>
      <c r="R58" s="42" t="s">
        <v>777</v>
      </c>
      <c r="S58" s="42" t="s">
        <v>762</v>
      </c>
      <c r="T58" s="43">
        <v>1100</v>
      </c>
      <c r="U58" s="52"/>
      <c r="V58" s="49">
        <v>1100</v>
      </c>
      <c r="W58" s="44">
        <f t="shared" si="0"/>
        <v>0</v>
      </c>
      <c r="X58" s="45"/>
      <c r="Y58" s="46"/>
      <c r="Z58" s="47"/>
      <c r="AA58" s="47"/>
      <c r="AB58" s="47"/>
      <c r="AC58" s="47"/>
      <c r="AD58" s="47"/>
      <c r="AE58" s="44"/>
      <c r="AF58" s="44"/>
      <c r="AG58" s="44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4"/>
      <c r="AZ58" s="44"/>
      <c r="BA58" s="44"/>
      <c r="BB58" s="44"/>
      <c r="BD58" s="48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P58" s="43">
        <v>1100</v>
      </c>
      <c r="BQ58" s="44"/>
      <c r="BR58" s="44"/>
      <c r="BS58" s="44"/>
      <c r="BT58" s="43">
        <v>1100</v>
      </c>
      <c r="BU58" s="47"/>
      <c r="BV58" s="44"/>
      <c r="BW58" s="50"/>
      <c r="BX58" s="44"/>
      <c r="BY58" s="44"/>
      <c r="BZ58" s="44"/>
      <c r="CA58" s="44"/>
      <c r="CB58" s="43">
        <f t="shared" si="1"/>
        <v>0</v>
      </c>
      <c r="CC58" s="44"/>
      <c r="CD58" s="65"/>
      <c r="CE58" s="44"/>
      <c r="CF58" s="44"/>
      <c r="CG58" s="44"/>
      <c r="CH58" s="47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50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7"/>
      <c r="DY58" s="47"/>
      <c r="DZ58" s="47"/>
    </row>
    <row r="59" spans="1:130" s="32" customFormat="1" ht="27.6">
      <c r="A59" s="76">
        <v>44215</v>
      </c>
      <c r="B59" s="34" t="s">
        <v>759</v>
      </c>
      <c r="C59" s="286" t="s">
        <v>787</v>
      </c>
      <c r="D59" s="61">
        <v>0.56527777777777777</v>
      </c>
      <c r="E59" s="61">
        <v>0.56597222222222221</v>
      </c>
      <c r="F59" s="55" t="s">
        <v>0</v>
      </c>
      <c r="G59" s="38">
        <v>1</v>
      </c>
      <c r="H59" s="39">
        <v>701</v>
      </c>
      <c r="I59" s="51" t="str">
        <f>VLOOKUP(H59,'[2]Chart of accounts'!A:H,2,FALSE)</f>
        <v>50101010 01</v>
      </c>
      <c r="J59" s="39"/>
      <c r="K59" s="39"/>
      <c r="L59" s="34"/>
      <c r="M59" s="34"/>
      <c r="N59" s="34"/>
      <c r="O59" s="53" t="s">
        <v>1</v>
      </c>
      <c r="P59" s="53" t="s">
        <v>1</v>
      </c>
      <c r="Q59" s="41" t="s">
        <v>788</v>
      </c>
      <c r="R59" s="42" t="s">
        <v>789</v>
      </c>
      <c r="S59" s="42" t="s">
        <v>762</v>
      </c>
      <c r="T59" s="43">
        <v>487450</v>
      </c>
      <c r="U59" s="52"/>
      <c r="V59" s="43">
        <v>487450</v>
      </c>
      <c r="W59" s="44">
        <f t="shared" si="0"/>
        <v>0</v>
      </c>
      <c r="X59" s="45"/>
      <c r="Y59" s="46"/>
      <c r="Z59" s="47"/>
      <c r="AA59" s="47"/>
      <c r="AB59" s="47"/>
      <c r="AC59" s="47"/>
      <c r="AD59" s="47"/>
      <c r="AE59" s="44"/>
      <c r="AF59" s="44"/>
      <c r="AG59" s="44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4"/>
      <c r="AZ59" s="44"/>
      <c r="BA59" s="44"/>
      <c r="BB59" s="44"/>
      <c r="BC59" s="43">
        <v>487450</v>
      </c>
      <c r="BD59" s="48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9"/>
      <c r="BQ59" s="44"/>
      <c r="BR59" s="44"/>
      <c r="BS59" s="44"/>
      <c r="BT59" s="43">
        <v>487450</v>
      </c>
      <c r="BU59" s="47"/>
      <c r="BV59" s="44"/>
      <c r="BW59" s="50"/>
      <c r="BX59" s="44"/>
      <c r="BY59" s="44"/>
      <c r="BZ59" s="44"/>
      <c r="CA59" s="44"/>
      <c r="CB59" s="43">
        <f t="shared" si="1"/>
        <v>0</v>
      </c>
      <c r="CC59" s="44"/>
      <c r="CD59" s="65"/>
      <c r="CE59" s="44"/>
      <c r="CF59" s="44"/>
      <c r="CG59" s="44"/>
      <c r="CH59" s="47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50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7"/>
      <c r="DY59" s="47"/>
      <c r="DZ59" s="47"/>
    </row>
    <row r="60" spans="1:130" s="32" customFormat="1" ht="27.6">
      <c r="A60" s="76">
        <v>44215</v>
      </c>
      <c r="B60" s="34" t="s">
        <v>759</v>
      </c>
      <c r="C60" s="286" t="s">
        <v>787</v>
      </c>
      <c r="D60" s="61">
        <v>0.56527777777777777</v>
      </c>
      <c r="E60" s="61">
        <v>0.56597222222222221</v>
      </c>
      <c r="F60" s="55" t="s">
        <v>0</v>
      </c>
      <c r="G60" s="38">
        <v>1</v>
      </c>
      <c r="H60" s="39">
        <v>711</v>
      </c>
      <c r="I60" s="51" t="str">
        <f>VLOOKUP(H60,'[2]Chart of accounts'!A:H,2,FALSE)</f>
        <v>50102010 01</v>
      </c>
      <c r="J60" s="39"/>
      <c r="K60" s="39"/>
      <c r="L60" s="34"/>
      <c r="M60" s="34"/>
      <c r="N60" s="34"/>
      <c r="O60" s="53" t="s">
        <v>1</v>
      </c>
      <c r="P60" s="53" t="s">
        <v>1</v>
      </c>
      <c r="Q60" s="41" t="s">
        <v>788</v>
      </c>
      <c r="R60" s="42" t="s">
        <v>789</v>
      </c>
      <c r="S60" s="42" t="s">
        <v>762</v>
      </c>
      <c r="T60" s="43">
        <v>20000</v>
      </c>
      <c r="U60" s="52"/>
      <c r="V60" s="43">
        <v>20000</v>
      </c>
      <c r="W60" s="44">
        <f t="shared" si="0"/>
        <v>0</v>
      </c>
      <c r="X60" s="45"/>
      <c r="Y60" s="46"/>
      <c r="Z60" s="47"/>
      <c r="AA60" s="47"/>
      <c r="AB60" s="47"/>
      <c r="AC60" s="47"/>
      <c r="AD60" s="47"/>
      <c r="AE60" s="44"/>
      <c r="AF60" s="44"/>
      <c r="AG60" s="44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4"/>
      <c r="AZ60" s="44"/>
      <c r="BA60" s="44"/>
      <c r="BB60" s="44"/>
      <c r="BD60" s="48"/>
      <c r="BE60" s="43">
        <v>20000</v>
      </c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9"/>
      <c r="BQ60" s="44"/>
      <c r="BR60" s="44"/>
      <c r="BS60" s="44"/>
      <c r="BT60" s="43">
        <v>20000</v>
      </c>
      <c r="BU60" s="47"/>
      <c r="BV60" s="44"/>
      <c r="BW60" s="50"/>
      <c r="BX60" s="44"/>
      <c r="BY60" s="44"/>
      <c r="BZ60" s="44"/>
      <c r="CA60" s="44"/>
      <c r="CB60" s="43">
        <f t="shared" si="1"/>
        <v>0</v>
      </c>
      <c r="CC60" s="44"/>
      <c r="CD60" s="65"/>
      <c r="CE60" s="44"/>
      <c r="CF60" s="44"/>
      <c r="CG60" s="44"/>
      <c r="CH60" s="47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50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7"/>
      <c r="DY60" s="47"/>
      <c r="DZ60" s="47"/>
    </row>
    <row r="61" spans="1:130" s="32" customFormat="1" ht="27.6">
      <c r="A61" s="76">
        <v>44215</v>
      </c>
      <c r="B61" s="34" t="s">
        <v>759</v>
      </c>
      <c r="C61" s="286" t="s">
        <v>787</v>
      </c>
      <c r="D61" s="61">
        <v>0.56527777777777777</v>
      </c>
      <c r="E61" s="61">
        <v>0.56597222222222221</v>
      </c>
      <c r="F61" s="55" t="s">
        <v>0</v>
      </c>
      <c r="G61" s="38">
        <v>1</v>
      </c>
      <c r="H61" s="39">
        <v>731</v>
      </c>
      <c r="I61" s="51" t="str">
        <f>VLOOKUP(H61,'[2]Chart of accounts'!A:H,2,FALSE)</f>
        <v>50103010 00</v>
      </c>
      <c r="J61" s="39"/>
      <c r="K61" s="39"/>
      <c r="L61" s="34"/>
      <c r="M61" s="34"/>
      <c r="N61" s="34"/>
      <c r="O61" s="53" t="s">
        <v>1</v>
      </c>
      <c r="P61" s="53" t="s">
        <v>1</v>
      </c>
      <c r="Q61" s="41" t="s">
        <v>788</v>
      </c>
      <c r="R61" s="42" t="s">
        <v>789</v>
      </c>
      <c r="S61" s="42" t="s">
        <v>762</v>
      </c>
      <c r="T61" s="43">
        <v>58494</v>
      </c>
      <c r="U61" s="52"/>
      <c r="V61" s="43">
        <v>58494</v>
      </c>
      <c r="W61" s="44">
        <f t="shared" si="0"/>
        <v>0</v>
      </c>
      <c r="X61" s="45"/>
      <c r="Y61" s="46"/>
      <c r="Z61" s="47"/>
      <c r="AA61" s="47"/>
      <c r="AB61" s="47"/>
      <c r="AC61" s="47"/>
      <c r="AD61" s="47"/>
      <c r="AE61" s="44"/>
      <c r="AF61" s="44"/>
      <c r="AG61" s="44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4"/>
      <c r="AZ61" s="44"/>
      <c r="BA61" s="44"/>
      <c r="BB61" s="44"/>
      <c r="BD61" s="48"/>
      <c r="BE61" s="44"/>
      <c r="BF61" s="44"/>
      <c r="BG61" s="44"/>
      <c r="BH61" s="44"/>
      <c r="BI61" s="44"/>
      <c r="BJ61" s="44"/>
      <c r="BK61" s="44"/>
      <c r="BL61" s="44"/>
      <c r="BM61" s="43">
        <v>58494</v>
      </c>
      <c r="BN61" s="44"/>
      <c r="BO61" s="44"/>
      <c r="BP61" s="49"/>
      <c r="BQ61" s="44"/>
      <c r="BR61" s="44"/>
      <c r="BS61" s="44"/>
      <c r="BT61" s="43">
        <v>58494</v>
      </c>
      <c r="BU61" s="47"/>
      <c r="BV61" s="44"/>
      <c r="BW61" s="50"/>
      <c r="BX61" s="44"/>
      <c r="BY61" s="44"/>
      <c r="BZ61" s="44"/>
      <c r="CA61" s="44"/>
      <c r="CB61" s="43">
        <f t="shared" si="1"/>
        <v>0</v>
      </c>
      <c r="CC61" s="44"/>
      <c r="CD61" s="65"/>
      <c r="CE61" s="44"/>
      <c r="CF61" s="44"/>
      <c r="CG61" s="44"/>
      <c r="CH61" s="47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50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7"/>
      <c r="DY61" s="47"/>
      <c r="DZ61" s="47"/>
    </row>
    <row r="62" spans="1:130" s="32" customFormat="1" ht="27.6">
      <c r="A62" s="76">
        <v>44215</v>
      </c>
      <c r="B62" s="34" t="s">
        <v>759</v>
      </c>
      <c r="C62" s="286" t="s">
        <v>787</v>
      </c>
      <c r="D62" s="61">
        <v>0.56527777777777777</v>
      </c>
      <c r="E62" s="61">
        <v>0.56597222222222221</v>
      </c>
      <c r="F62" s="55" t="s">
        <v>0</v>
      </c>
      <c r="G62" s="38">
        <v>1</v>
      </c>
      <c r="H62" s="39">
        <v>732</v>
      </c>
      <c r="I62" s="51" t="str">
        <f>VLOOKUP(H62,'[2]Chart of accounts'!A:H,2,FALSE)</f>
        <v>50103020 01</v>
      </c>
      <c r="J62" s="55"/>
      <c r="K62" s="55"/>
      <c r="L62" s="56"/>
      <c r="M62" s="56"/>
      <c r="N62" s="56"/>
      <c r="O62" s="53" t="s">
        <v>1</v>
      </c>
      <c r="P62" s="53" t="s">
        <v>1</v>
      </c>
      <c r="Q62" s="41" t="s">
        <v>788</v>
      </c>
      <c r="R62" s="42" t="s">
        <v>789</v>
      </c>
      <c r="S62" s="42" t="s">
        <v>762</v>
      </c>
      <c r="T62" s="43">
        <v>1000</v>
      </c>
      <c r="U62" s="52"/>
      <c r="V62" s="43">
        <v>1000</v>
      </c>
      <c r="W62" s="44">
        <f t="shared" si="0"/>
        <v>0</v>
      </c>
      <c r="X62" s="45"/>
      <c r="Y62" s="46"/>
      <c r="Z62" s="47"/>
      <c r="AA62" s="47"/>
      <c r="AB62" s="47"/>
      <c r="AC62" s="47"/>
      <c r="AD62" s="47"/>
      <c r="AE62" s="44"/>
      <c r="AF62" s="44"/>
      <c r="AG62" s="44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4"/>
      <c r="AZ62" s="44"/>
      <c r="BA62" s="44"/>
      <c r="BB62" s="44"/>
      <c r="BD62" s="48"/>
      <c r="BE62" s="44"/>
      <c r="BF62" s="44"/>
      <c r="BG62" s="44"/>
      <c r="BH62" s="44"/>
      <c r="BI62" s="44"/>
      <c r="BJ62" s="44"/>
      <c r="BK62" s="44"/>
      <c r="BL62" s="44"/>
      <c r="BN62" s="43">
        <v>1000</v>
      </c>
      <c r="BO62" s="44"/>
      <c r="BP62" s="49"/>
      <c r="BQ62" s="44"/>
      <c r="BR62" s="44"/>
      <c r="BS62" s="44"/>
      <c r="BT62" s="43">
        <v>1000</v>
      </c>
      <c r="BU62" s="47"/>
      <c r="BV62" s="44"/>
      <c r="BW62" s="50"/>
      <c r="BX62" s="44"/>
      <c r="BY62" s="44"/>
      <c r="BZ62" s="44"/>
      <c r="CA62" s="44"/>
      <c r="CB62" s="43">
        <f t="shared" si="1"/>
        <v>0</v>
      </c>
      <c r="CC62" s="44"/>
      <c r="CD62" s="65"/>
      <c r="CE62" s="44"/>
      <c r="CF62" s="44"/>
      <c r="CG62" s="44"/>
      <c r="CH62" s="47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50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7"/>
      <c r="DY62" s="47"/>
      <c r="DZ62" s="47"/>
    </row>
    <row r="63" spans="1:130" s="32" customFormat="1" ht="27.6">
      <c r="A63" s="76">
        <v>44215</v>
      </c>
      <c r="B63" s="34" t="s">
        <v>759</v>
      </c>
      <c r="C63" s="286" t="s">
        <v>787</v>
      </c>
      <c r="D63" s="61">
        <v>0.56527777777777777</v>
      </c>
      <c r="E63" s="61">
        <v>0.56597222222222221</v>
      </c>
      <c r="F63" s="55" t="s">
        <v>0</v>
      </c>
      <c r="G63" s="38">
        <v>1</v>
      </c>
      <c r="H63" s="55">
        <v>733</v>
      </c>
      <c r="I63" s="51" t="str">
        <f>VLOOKUP(H63,'[2]Chart of accounts'!A:H,2,FALSE)</f>
        <v>50103030 01</v>
      </c>
      <c r="J63" s="55"/>
      <c r="K63" s="55"/>
      <c r="L63" s="56"/>
      <c r="M63" s="56"/>
      <c r="N63" s="56"/>
      <c r="O63" s="53" t="s">
        <v>1</v>
      </c>
      <c r="P63" s="53" t="s">
        <v>1</v>
      </c>
      <c r="Q63" s="41" t="s">
        <v>788</v>
      </c>
      <c r="R63" s="42" t="s">
        <v>789</v>
      </c>
      <c r="S63" s="42" t="s">
        <v>762</v>
      </c>
      <c r="T63" s="43">
        <v>6170.95</v>
      </c>
      <c r="U63" s="52"/>
      <c r="V63" s="43">
        <v>6170.95</v>
      </c>
      <c r="W63" s="44">
        <f t="shared" si="0"/>
        <v>0</v>
      </c>
      <c r="X63" s="45"/>
      <c r="Y63" s="46"/>
      <c r="Z63" s="47"/>
      <c r="AA63" s="47"/>
      <c r="AB63" s="47"/>
      <c r="AC63" s="47"/>
      <c r="AD63" s="47"/>
      <c r="AE63" s="44"/>
      <c r="AF63" s="44"/>
      <c r="AG63" s="44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4"/>
      <c r="AZ63" s="44"/>
      <c r="BA63" s="44"/>
      <c r="BB63" s="44"/>
      <c r="BD63" s="48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3">
        <v>6170.95</v>
      </c>
      <c r="BQ63" s="44"/>
      <c r="BR63" s="44"/>
      <c r="BS63" s="44"/>
      <c r="BT63" s="43">
        <v>6170.95</v>
      </c>
      <c r="BU63" s="47"/>
      <c r="BV63" s="44"/>
      <c r="BW63" s="50"/>
      <c r="BX63" s="44"/>
      <c r="BY63" s="44"/>
      <c r="BZ63" s="44"/>
      <c r="CA63" s="44"/>
      <c r="CB63" s="43">
        <f t="shared" si="1"/>
        <v>0</v>
      </c>
      <c r="CC63" s="44"/>
      <c r="CD63" s="65"/>
      <c r="CE63" s="44"/>
      <c r="CF63" s="44"/>
      <c r="CG63" s="44"/>
      <c r="CH63" s="47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50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7"/>
      <c r="DY63" s="47"/>
      <c r="DZ63" s="47"/>
    </row>
    <row r="64" spans="1:130" s="32" customFormat="1" ht="27.6">
      <c r="A64" s="76">
        <v>44215</v>
      </c>
      <c r="B64" s="34" t="s">
        <v>759</v>
      </c>
      <c r="C64" s="286" t="s">
        <v>787</v>
      </c>
      <c r="D64" s="61">
        <v>0.56527777777777777</v>
      </c>
      <c r="E64" s="61">
        <v>0.56597222222222221</v>
      </c>
      <c r="F64" s="55" t="s">
        <v>0</v>
      </c>
      <c r="G64" s="38">
        <v>1</v>
      </c>
      <c r="H64" s="55">
        <v>734</v>
      </c>
      <c r="I64" s="51" t="str">
        <f>VLOOKUP(H64,'[2]Chart of accounts'!A:H,2,FALSE)</f>
        <v>50103040 01</v>
      </c>
      <c r="J64" s="55"/>
      <c r="K64" s="55"/>
      <c r="L64" s="56"/>
      <c r="M64" s="56"/>
      <c r="N64" s="56"/>
      <c r="O64" s="53" t="s">
        <v>1</v>
      </c>
      <c r="P64" s="53" t="s">
        <v>1</v>
      </c>
      <c r="Q64" s="41" t="s">
        <v>788</v>
      </c>
      <c r="R64" s="42" t="s">
        <v>789</v>
      </c>
      <c r="S64" s="42" t="s">
        <v>762</v>
      </c>
      <c r="T64" s="43">
        <v>1000</v>
      </c>
      <c r="U64" s="52"/>
      <c r="V64" s="43">
        <v>1000</v>
      </c>
      <c r="W64" s="44">
        <f t="shared" si="0"/>
        <v>0</v>
      </c>
      <c r="X64" s="45"/>
      <c r="Y64" s="46"/>
      <c r="Z64" s="47"/>
      <c r="AA64" s="47"/>
      <c r="AB64" s="47"/>
      <c r="AC64" s="47"/>
      <c r="AD64" s="47"/>
      <c r="AE64" s="44"/>
      <c r="AF64" s="44"/>
      <c r="AG64" s="44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4"/>
      <c r="AZ64" s="44"/>
      <c r="BA64" s="44"/>
      <c r="BB64" s="44"/>
      <c r="BD64" s="48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P64" s="43">
        <v>1000</v>
      </c>
      <c r="BQ64" s="44"/>
      <c r="BR64" s="44"/>
      <c r="BS64" s="44"/>
      <c r="BT64" s="43">
        <v>1000</v>
      </c>
      <c r="BU64" s="47"/>
      <c r="BV64" s="44"/>
      <c r="BW64" s="50"/>
      <c r="BX64" s="44"/>
      <c r="BY64" s="44"/>
      <c r="BZ64" s="44"/>
      <c r="CA64" s="44"/>
      <c r="CB64" s="43">
        <f t="shared" si="1"/>
        <v>0</v>
      </c>
      <c r="CC64" s="44"/>
      <c r="CD64" s="65"/>
      <c r="CE64" s="44"/>
      <c r="CF64" s="44"/>
      <c r="CG64" s="44"/>
      <c r="CH64" s="47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50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7"/>
      <c r="DY64" s="47"/>
      <c r="DZ64" s="47"/>
    </row>
    <row r="65" spans="1:131" s="32" customFormat="1" ht="27.6">
      <c r="A65" s="76">
        <v>44222</v>
      </c>
      <c r="B65" s="34" t="s">
        <v>759</v>
      </c>
      <c r="C65" s="286" t="s">
        <v>832</v>
      </c>
      <c r="D65" s="36">
        <v>0.6430555555555556</v>
      </c>
      <c r="E65" s="36">
        <v>0.64444444444444449</v>
      </c>
      <c r="F65" s="55" t="s">
        <v>0</v>
      </c>
      <c r="G65" s="38">
        <v>1</v>
      </c>
      <c r="H65" s="39">
        <v>701</v>
      </c>
      <c r="I65" s="51" t="str">
        <f>VLOOKUP(H65,'[2]Chart of accounts'!A:H,2,FALSE)</f>
        <v>50101010 01</v>
      </c>
      <c r="J65" s="39"/>
      <c r="K65" s="39"/>
      <c r="L65" s="34"/>
      <c r="M65" s="34"/>
      <c r="N65" s="34"/>
      <c r="O65" s="53" t="s">
        <v>1</v>
      </c>
      <c r="P65" s="53" t="s">
        <v>1</v>
      </c>
      <c r="Q65" s="41" t="s">
        <v>2</v>
      </c>
      <c r="R65" s="42" t="s">
        <v>833</v>
      </c>
      <c r="S65" s="42" t="s">
        <v>834</v>
      </c>
      <c r="T65" s="44">
        <v>14112.73</v>
      </c>
      <c r="U65" s="52"/>
      <c r="V65" s="44">
        <v>14112.73</v>
      </c>
      <c r="W65" s="44">
        <f t="shared" si="0"/>
        <v>0</v>
      </c>
      <c r="X65" s="45"/>
      <c r="Y65" s="46"/>
      <c r="Z65" s="47"/>
      <c r="AA65" s="47"/>
      <c r="AB65" s="47"/>
      <c r="AC65" s="47"/>
      <c r="AD65" s="47"/>
      <c r="AE65" s="44"/>
      <c r="AF65" s="44"/>
      <c r="AG65" s="44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4"/>
      <c r="AZ65" s="44"/>
      <c r="BA65" s="44"/>
      <c r="BB65" s="44"/>
      <c r="BC65" s="44">
        <v>14112.73</v>
      </c>
      <c r="BD65" s="48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9"/>
      <c r="BQ65" s="44"/>
      <c r="BR65" s="44"/>
      <c r="BS65" s="44"/>
      <c r="BT65" s="44">
        <v>14112.73</v>
      </c>
      <c r="BU65" s="47"/>
      <c r="BV65" s="44"/>
      <c r="BW65" s="50"/>
      <c r="BX65" s="44"/>
      <c r="BY65" s="44"/>
      <c r="BZ65" s="44"/>
      <c r="CA65" s="44"/>
      <c r="CB65" s="43"/>
      <c r="CC65" s="44"/>
      <c r="CD65" s="65"/>
      <c r="CE65" s="44"/>
      <c r="CF65" s="44"/>
      <c r="CG65" s="44"/>
      <c r="CI65" s="44"/>
      <c r="CJ65" s="44"/>
      <c r="CL65" s="44"/>
      <c r="CM65" s="44"/>
      <c r="CN65" s="44"/>
      <c r="CO65" s="44"/>
      <c r="CP65" s="44"/>
      <c r="CQ65" s="44"/>
      <c r="CR65" s="44"/>
      <c r="CS65" s="44"/>
      <c r="CT65" s="44"/>
      <c r="CV65" s="44"/>
      <c r="CW65" s="44"/>
      <c r="CX65" s="50"/>
      <c r="CY65" s="44"/>
      <c r="CZ65" s="44"/>
      <c r="DA65" s="44"/>
      <c r="DB65" s="44"/>
      <c r="DD65" s="44"/>
      <c r="DF65" s="44"/>
      <c r="DG65" s="44"/>
      <c r="DH65" s="129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7"/>
      <c r="DY65" s="47"/>
      <c r="DZ65" s="47"/>
    </row>
    <row r="66" spans="1:131" s="32" customFormat="1" ht="27.6">
      <c r="A66" s="76">
        <v>44222</v>
      </c>
      <c r="B66" s="34" t="s">
        <v>759</v>
      </c>
      <c r="C66" s="286" t="s">
        <v>832</v>
      </c>
      <c r="D66" s="36">
        <v>0.6430555555555556</v>
      </c>
      <c r="E66" s="36">
        <v>0.64444444444444449</v>
      </c>
      <c r="F66" s="55" t="s">
        <v>0</v>
      </c>
      <c r="G66" s="38">
        <v>1</v>
      </c>
      <c r="H66" s="39">
        <v>711</v>
      </c>
      <c r="I66" s="51" t="str">
        <f>VLOOKUP(H66,'[2]Chart of accounts'!A:H,2,FALSE)</f>
        <v>50102010 01</v>
      </c>
      <c r="J66" s="39"/>
      <c r="K66" s="39"/>
      <c r="L66" s="34"/>
      <c r="M66" s="34"/>
      <c r="N66" s="34"/>
      <c r="O66" s="53" t="s">
        <v>1</v>
      </c>
      <c r="P66" s="53" t="s">
        <v>1</v>
      </c>
      <c r="Q66" s="41" t="s">
        <v>2</v>
      </c>
      <c r="R66" s="42" t="s">
        <v>833</v>
      </c>
      <c r="S66" s="42" t="s">
        <v>834</v>
      </c>
      <c r="T66" s="44">
        <v>1818.18</v>
      </c>
      <c r="U66" s="52"/>
      <c r="V66" s="44">
        <v>1818.18</v>
      </c>
      <c r="W66" s="44">
        <f t="shared" si="0"/>
        <v>0</v>
      </c>
      <c r="X66" s="45"/>
      <c r="Y66" s="46"/>
      <c r="Z66" s="47"/>
      <c r="AA66" s="47"/>
      <c r="AB66" s="47"/>
      <c r="AC66" s="47"/>
      <c r="AD66" s="47"/>
      <c r="AE66" s="44"/>
      <c r="AF66" s="44"/>
      <c r="AG66" s="44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4"/>
      <c r="AZ66" s="44"/>
      <c r="BA66" s="44"/>
      <c r="BB66" s="44"/>
      <c r="BD66" s="48"/>
      <c r="BE66" s="44">
        <v>1818.18</v>
      </c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9"/>
      <c r="BQ66" s="44"/>
      <c r="BR66" s="44"/>
      <c r="BS66" s="44"/>
      <c r="BT66" s="44">
        <v>1818.18</v>
      </c>
      <c r="BU66" s="47"/>
      <c r="BV66" s="44"/>
      <c r="BW66" s="50"/>
      <c r="BX66" s="44"/>
      <c r="BY66" s="44"/>
      <c r="BZ66" s="44"/>
      <c r="CA66" s="44"/>
      <c r="CB66" s="43"/>
      <c r="CC66" s="44"/>
      <c r="CD66" s="65"/>
      <c r="CE66" s="44"/>
      <c r="CF66" s="44"/>
      <c r="CG66" s="44"/>
      <c r="CI66" s="44"/>
      <c r="CJ66" s="44"/>
      <c r="CL66" s="44"/>
      <c r="CM66" s="44"/>
      <c r="CN66" s="44"/>
      <c r="CO66" s="44"/>
      <c r="CP66" s="44"/>
      <c r="CQ66" s="44"/>
      <c r="CR66" s="44"/>
      <c r="CS66" s="44"/>
      <c r="CT66" s="44"/>
      <c r="CV66" s="44"/>
      <c r="CW66" s="44"/>
      <c r="CX66" s="50"/>
      <c r="CY66" s="44"/>
      <c r="CZ66" s="44"/>
      <c r="DA66" s="44"/>
      <c r="DB66" s="44"/>
      <c r="DC66" s="44"/>
      <c r="DD66" s="44"/>
      <c r="DF66" s="44"/>
      <c r="DG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7"/>
      <c r="DY66" s="47"/>
      <c r="DZ66" s="47"/>
    </row>
    <row r="67" spans="1:131" s="32" customFormat="1" ht="27.6">
      <c r="A67" s="76">
        <v>44222</v>
      </c>
      <c r="B67" s="34" t="s">
        <v>759</v>
      </c>
      <c r="C67" s="286" t="s">
        <v>832</v>
      </c>
      <c r="D67" s="36">
        <v>0.6430555555555556</v>
      </c>
      <c r="E67" s="36">
        <v>0.64444444444444449</v>
      </c>
      <c r="F67" s="55" t="s">
        <v>0</v>
      </c>
      <c r="G67" s="38">
        <v>1</v>
      </c>
      <c r="H67" s="39">
        <v>731</v>
      </c>
      <c r="I67" s="51" t="str">
        <f>VLOOKUP(H67,'[2]Chart of accounts'!A:H,2,FALSE)</f>
        <v>50103010 00</v>
      </c>
      <c r="J67" s="39"/>
      <c r="K67" s="39"/>
      <c r="L67" s="34"/>
      <c r="M67" s="34"/>
      <c r="N67" s="34"/>
      <c r="O67" s="53" t="s">
        <v>1</v>
      </c>
      <c r="P67" s="53" t="s">
        <v>1</v>
      </c>
      <c r="Q67" s="41" t="s">
        <v>2</v>
      </c>
      <c r="R67" s="42" t="s">
        <v>833</v>
      </c>
      <c r="S67" s="42" t="s">
        <v>834</v>
      </c>
      <c r="T67" s="50">
        <v>1682.6</v>
      </c>
      <c r="U67" s="52"/>
      <c r="V67" s="50">
        <v>1682.6</v>
      </c>
      <c r="W67" s="44">
        <f t="shared" si="0"/>
        <v>0</v>
      </c>
      <c r="X67" s="45"/>
      <c r="Y67" s="46"/>
      <c r="Z67" s="47"/>
      <c r="AA67" s="47"/>
      <c r="AB67" s="47"/>
      <c r="AC67" s="47"/>
      <c r="AD67" s="47"/>
      <c r="AE67" s="44"/>
      <c r="AF67" s="44"/>
      <c r="AG67" s="44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4"/>
      <c r="AZ67" s="44"/>
      <c r="BA67" s="44"/>
      <c r="BB67" s="44"/>
      <c r="BD67" s="48"/>
      <c r="BE67" s="44"/>
      <c r="BF67" s="44"/>
      <c r="BG67" s="44"/>
      <c r="BH67" s="44"/>
      <c r="BI67" s="44"/>
      <c r="BJ67" s="44"/>
      <c r="BK67" s="44"/>
      <c r="BL67" s="44"/>
      <c r="BM67" s="50">
        <v>1682.6</v>
      </c>
      <c r="BN67" s="44"/>
      <c r="BO67" s="44"/>
      <c r="BP67" s="49"/>
      <c r="BQ67" s="44"/>
      <c r="BR67" s="44"/>
      <c r="BS67" s="44"/>
      <c r="BT67" s="50">
        <v>1682.6</v>
      </c>
      <c r="BU67" s="47"/>
      <c r="BV67" s="44"/>
      <c r="BW67" s="50"/>
      <c r="BX67" s="44"/>
      <c r="BY67" s="44"/>
      <c r="BZ67" s="44"/>
      <c r="CA67" s="44"/>
      <c r="CB67" s="43">
        <f>SUM(CD67:DZ67)-W67</f>
        <v>0</v>
      </c>
      <c r="CC67" s="44"/>
      <c r="CD67" s="65"/>
      <c r="CE67" s="44"/>
      <c r="CF67" s="44"/>
      <c r="CG67" s="44"/>
      <c r="CH67" s="47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50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7"/>
      <c r="DY67" s="47"/>
      <c r="DZ67" s="47"/>
    </row>
    <row r="68" spans="1:131" s="32" customFormat="1" ht="27.6">
      <c r="A68" s="76">
        <v>44222</v>
      </c>
      <c r="B68" s="34" t="s">
        <v>759</v>
      </c>
      <c r="C68" s="286" t="s">
        <v>832</v>
      </c>
      <c r="D68" s="36">
        <v>0.6430555555555556</v>
      </c>
      <c r="E68" s="36">
        <v>0.64444444444444449</v>
      </c>
      <c r="F68" s="55" t="s">
        <v>0</v>
      </c>
      <c r="G68" s="38">
        <v>1</v>
      </c>
      <c r="H68" s="39">
        <v>732</v>
      </c>
      <c r="I68" s="51" t="str">
        <f>VLOOKUP(H68,'[2]Chart of accounts'!A:H,2,FALSE)</f>
        <v>50103020 01</v>
      </c>
      <c r="J68" s="55"/>
      <c r="K68" s="55"/>
      <c r="L68" s="56"/>
      <c r="M68" s="56"/>
      <c r="N68" s="56"/>
      <c r="O68" s="53" t="s">
        <v>1</v>
      </c>
      <c r="P68" s="53" t="s">
        <v>1</v>
      </c>
      <c r="Q68" s="41" t="s">
        <v>2</v>
      </c>
      <c r="R68" s="42" t="s">
        <v>833</v>
      </c>
      <c r="S68" s="42" t="s">
        <v>834</v>
      </c>
      <c r="T68" s="50">
        <v>100</v>
      </c>
      <c r="U68" s="52"/>
      <c r="V68" s="50">
        <v>100</v>
      </c>
      <c r="W68" s="44">
        <f t="shared" si="0"/>
        <v>0</v>
      </c>
      <c r="X68" s="45"/>
      <c r="Y68" s="46"/>
      <c r="Z68" s="47"/>
      <c r="AA68" s="47"/>
      <c r="AB68" s="47"/>
      <c r="AC68" s="47"/>
      <c r="AD68" s="47"/>
      <c r="AE68" s="44"/>
      <c r="AF68" s="44"/>
      <c r="AG68" s="44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4"/>
      <c r="AZ68" s="44"/>
      <c r="BA68" s="44"/>
      <c r="BB68" s="44"/>
      <c r="BD68" s="48"/>
      <c r="BE68" s="44"/>
      <c r="BF68" s="44"/>
      <c r="BG68" s="44"/>
      <c r="BH68" s="44"/>
      <c r="BI68" s="44"/>
      <c r="BJ68" s="44"/>
      <c r="BK68" s="44"/>
      <c r="BL68" s="44"/>
      <c r="BN68" s="50">
        <v>100</v>
      </c>
      <c r="BO68" s="44"/>
      <c r="BP68" s="49"/>
      <c r="BQ68" s="44"/>
      <c r="BR68" s="44"/>
      <c r="BS68" s="44"/>
      <c r="BT68" s="50">
        <v>100</v>
      </c>
      <c r="BU68" s="47"/>
      <c r="BV68" s="44"/>
      <c r="BW68" s="50"/>
      <c r="BX68" s="44"/>
      <c r="BY68" s="44"/>
      <c r="BZ68" s="44"/>
      <c r="CA68" s="44"/>
      <c r="CB68" s="43">
        <f>SUM(CD68:DZ68)-W68</f>
        <v>0</v>
      </c>
      <c r="CC68" s="44"/>
      <c r="CD68" s="65"/>
      <c r="CE68" s="44"/>
      <c r="CF68" s="44"/>
      <c r="CG68" s="44"/>
      <c r="CH68" s="47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50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7"/>
      <c r="DY68" s="47"/>
      <c r="DZ68" s="47"/>
    </row>
    <row r="69" spans="1:131" s="32" customFormat="1" ht="27.6">
      <c r="A69" s="76">
        <v>44222</v>
      </c>
      <c r="B69" s="34" t="s">
        <v>759</v>
      </c>
      <c r="C69" s="286" t="s">
        <v>832</v>
      </c>
      <c r="D69" s="36">
        <v>0.6430555555555556</v>
      </c>
      <c r="E69" s="36">
        <v>0.64444444444444449</v>
      </c>
      <c r="F69" s="55" t="s">
        <v>0</v>
      </c>
      <c r="G69" s="38">
        <v>1</v>
      </c>
      <c r="H69" s="55">
        <v>733</v>
      </c>
      <c r="I69" s="51" t="str">
        <f>VLOOKUP(H69,'[2]Chart of accounts'!A:H,2,FALSE)</f>
        <v>50103030 01</v>
      </c>
      <c r="J69" s="55"/>
      <c r="K69" s="55"/>
      <c r="L69" s="56"/>
      <c r="M69" s="56"/>
      <c r="N69" s="56"/>
      <c r="O69" s="53" t="s">
        <v>1</v>
      </c>
      <c r="P69" s="53" t="s">
        <v>1</v>
      </c>
      <c r="Q69" s="41" t="s">
        <v>2</v>
      </c>
      <c r="R69" s="42" t="s">
        <v>833</v>
      </c>
      <c r="S69" s="42" t="s">
        <v>834</v>
      </c>
      <c r="T69" s="50">
        <v>232.86</v>
      </c>
      <c r="U69" s="52"/>
      <c r="V69" s="50">
        <v>232.86</v>
      </c>
      <c r="W69" s="44">
        <f t="shared" si="0"/>
        <v>0</v>
      </c>
      <c r="X69" s="45"/>
      <c r="Y69" s="46"/>
      <c r="Z69" s="47"/>
      <c r="AA69" s="47"/>
      <c r="AB69" s="47"/>
      <c r="AC69" s="47"/>
      <c r="AD69" s="47"/>
      <c r="AE69" s="44"/>
      <c r="AF69" s="44"/>
      <c r="AG69" s="44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4"/>
      <c r="AZ69" s="44"/>
      <c r="BA69" s="44"/>
      <c r="BB69" s="44"/>
      <c r="BD69" s="48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50">
        <v>232.86</v>
      </c>
      <c r="BP69" s="49"/>
      <c r="BQ69" s="44"/>
      <c r="BR69" s="44"/>
      <c r="BS69" s="44"/>
      <c r="BT69" s="50">
        <v>232.86</v>
      </c>
      <c r="BU69" s="47"/>
      <c r="BV69" s="44"/>
      <c r="BW69" s="50"/>
      <c r="BX69" s="44"/>
      <c r="BY69" s="44"/>
      <c r="BZ69" s="44"/>
      <c r="CA69" s="44"/>
      <c r="CB69" s="43">
        <f>SUM(CD69:DZ69)-W69</f>
        <v>0</v>
      </c>
      <c r="CC69" s="44"/>
      <c r="CD69" s="65"/>
      <c r="CE69" s="44"/>
      <c r="CF69" s="44"/>
      <c r="CG69" s="44"/>
      <c r="CH69" s="47"/>
      <c r="CI69" s="44"/>
      <c r="CJ69" s="44"/>
      <c r="CK69" s="44"/>
      <c r="CL69" s="44"/>
      <c r="CM69" s="44"/>
      <c r="CN69" s="44"/>
      <c r="CO69" s="44"/>
      <c r="CP69" s="50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7"/>
      <c r="DY69" s="47"/>
      <c r="DZ69" s="47"/>
    </row>
    <row r="70" spans="1:131" s="32" customFormat="1" ht="27.6">
      <c r="A70" s="76">
        <v>44222</v>
      </c>
      <c r="B70" s="34" t="s">
        <v>759</v>
      </c>
      <c r="C70" s="286" t="s">
        <v>832</v>
      </c>
      <c r="D70" s="36">
        <v>0.6430555555555556</v>
      </c>
      <c r="E70" s="36">
        <v>0.64444444444444449</v>
      </c>
      <c r="F70" s="55" t="s">
        <v>0</v>
      </c>
      <c r="G70" s="38">
        <v>1</v>
      </c>
      <c r="H70" s="55">
        <v>734</v>
      </c>
      <c r="I70" s="51" t="str">
        <f>VLOOKUP(H70,'[2]Chart of accounts'!A:H,2,FALSE)</f>
        <v>50103040 01</v>
      </c>
      <c r="J70" s="55"/>
      <c r="K70" s="55"/>
      <c r="L70" s="56"/>
      <c r="M70" s="56"/>
      <c r="N70" s="56"/>
      <c r="O70" s="53" t="s">
        <v>1</v>
      </c>
      <c r="P70" s="53" t="s">
        <v>1</v>
      </c>
      <c r="Q70" s="41" t="s">
        <v>2</v>
      </c>
      <c r="R70" s="42" t="s">
        <v>833</v>
      </c>
      <c r="S70" s="42" t="s">
        <v>834</v>
      </c>
      <c r="T70" s="50">
        <v>100</v>
      </c>
      <c r="U70" s="52"/>
      <c r="V70" s="50">
        <v>100</v>
      </c>
      <c r="W70" s="44">
        <f t="shared" si="0"/>
        <v>0</v>
      </c>
      <c r="X70" s="45"/>
      <c r="Y70" s="46"/>
      <c r="Z70" s="47"/>
      <c r="AA70" s="47"/>
      <c r="AB70" s="47"/>
      <c r="AC70" s="47"/>
      <c r="AD70" s="47"/>
      <c r="AE70" s="44"/>
      <c r="AF70" s="44"/>
      <c r="AG70" s="44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4"/>
      <c r="AZ70" s="44"/>
      <c r="BA70" s="44"/>
      <c r="BB70" s="44"/>
      <c r="BD70" s="48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P70" s="50">
        <v>100</v>
      </c>
      <c r="BQ70" s="44"/>
      <c r="BR70" s="44"/>
      <c r="BS70" s="44"/>
      <c r="BT70" s="50">
        <v>100</v>
      </c>
      <c r="BU70" s="47"/>
      <c r="BV70" s="44"/>
      <c r="BW70" s="44"/>
      <c r="BX70" s="44"/>
      <c r="BY70" s="44"/>
      <c r="BZ70" s="44"/>
      <c r="CA70" s="44"/>
      <c r="CB70" s="43">
        <f>SUM(CD70:DZ70)-W70</f>
        <v>0</v>
      </c>
      <c r="CC70" s="44"/>
      <c r="CD70" s="44"/>
      <c r="CE70" s="44"/>
      <c r="CF70" s="44"/>
      <c r="CG70" s="44"/>
      <c r="CH70" s="47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7"/>
      <c r="DY70" s="47"/>
      <c r="DZ70" s="47"/>
    </row>
    <row r="71" spans="1:131" s="32" customFormat="1">
      <c r="A71" s="76"/>
      <c r="B71" s="34"/>
      <c r="C71" s="286"/>
      <c r="D71" s="36"/>
      <c r="E71" s="36"/>
      <c r="F71" s="55"/>
      <c r="G71" s="38"/>
      <c r="H71" s="55"/>
      <c r="I71" s="51"/>
      <c r="J71" s="55"/>
      <c r="K71" s="55"/>
      <c r="L71" s="56"/>
      <c r="M71" s="56"/>
      <c r="N71" s="56"/>
      <c r="O71" s="53"/>
      <c r="P71" s="53"/>
      <c r="Q71" s="41"/>
      <c r="R71" s="42"/>
      <c r="S71" s="42"/>
      <c r="T71" s="50"/>
      <c r="U71" s="52"/>
      <c r="V71" s="292"/>
      <c r="W71" s="44"/>
      <c r="X71" s="45"/>
      <c r="Y71" s="46"/>
      <c r="Z71" s="47"/>
      <c r="AA71" s="47"/>
      <c r="AB71" s="47"/>
      <c r="AC71" s="47"/>
      <c r="AD71" s="47"/>
      <c r="AE71" s="44"/>
      <c r="AF71" s="44"/>
      <c r="AG71" s="44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4"/>
      <c r="AZ71" s="44"/>
      <c r="BA71" s="44"/>
      <c r="BB71" s="44"/>
      <c r="BD71" s="48"/>
      <c r="BE71" s="44"/>
      <c r="BF71" s="44"/>
      <c r="BG71" s="44"/>
      <c r="BH71" s="44"/>
      <c r="BI71" s="44"/>
      <c r="BJ71" s="129"/>
      <c r="BK71" s="129"/>
      <c r="BL71" s="44"/>
      <c r="BM71" s="44"/>
      <c r="BN71" s="44"/>
      <c r="BP71" s="292"/>
      <c r="BQ71" s="44"/>
      <c r="BR71" s="44"/>
      <c r="BS71" s="44"/>
      <c r="BT71" s="292"/>
      <c r="BU71" s="47"/>
      <c r="BV71" s="44"/>
      <c r="BW71" s="44"/>
      <c r="BX71" s="44"/>
      <c r="BY71" s="44"/>
      <c r="BZ71" s="44"/>
      <c r="CA71" s="44"/>
      <c r="CB71" s="43"/>
      <c r="CC71" s="44"/>
      <c r="CD71" s="44"/>
      <c r="CE71" s="44"/>
      <c r="CF71" s="44"/>
      <c r="CG71" s="44"/>
      <c r="CH71" s="47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7"/>
      <c r="DY71" s="47"/>
      <c r="DZ71" s="47"/>
    </row>
    <row r="72" spans="1:131" s="32" customFormat="1">
      <c r="A72" s="76"/>
      <c r="B72" s="34"/>
      <c r="C72" s="286"/>
      <c r="D72" s="36"/>
      <c r="E72" s="36"/>
      <c r="F72" s="55"/>
      <c r="G72" s="38"/>
      <c r="H72" s="55"/>
      <c r="I72" s="51"/>
      <c r="J72" s="55"/>
      <c r="K72" s="55"/>
      <c r="L72" s="56"/>
      <c r="M72" s="56"/>
      <c r="N72" s="56"/>
      <c r="O72" s="53"/>
      <c r="P72" s="53"/>
      <c r="Q72" s="41"/>
      <c r="R72" s="42"/>
      <c r="S72" s="42"/>
      <c r="T72" s="50"/>
      <c r="U72" s="52"/>
      <c r="V72" s="292"/>
      <c r="W72" s="44"/>
      <c r="X72" s="45"/>
      <c r="Y72" s="46"/>
      <c r="Z72" s="47"/>
      <c r="AA72" s="47"/>
      <c r="AB72" s="47"/>
      <c r="AC72" s="47"/>
      <c r="AD72" s="47"/>
      <c r="AE72" s="44"/>
      <c r="AF72" s="44"/>
      <c r="AG72" s="44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4"/>
      <c r="AZ72" s="44"/>
      <c r="BA72" s="44"/>
      <c r="BB72" s="44"/>
      <c r="BD72" s="48"/>
      <c r="BE72" s="44"/>
      <c r="BF72" s="44"/>
      <c r="BG72" s="44"/>
      <c r="BH72" s="44"/>
      <c r="BI72" s="44"/>
      <c r="BJ72" s="129"/>
      <c r="BK72" s="129"/>
      <c r="BL72" s="44"/>
      <c r="BM72" s="44"/>
      <c r="BN72" s="44"/>
      <c r="BP72" s="292"/>
      <c r="BQ72" s="44"/>
      <c r="BR72" s="44"/>
      <c r="BS72" s="44"/>
      <c r="BT72" s="292"/>
      <c r="BU72" s="47"/>
      <c r="BV72" s="44"/>
      <c r="BW72" s="44"/>
      <c r="BX72" s="44"/>
      <c r="BY72" s="44"/>
      <c r="BZ72" s="44"/>
      <c r="CA72" s="44"/>
      <c r="CB72" s="43"/>
      <c r="CC72" s="44"/>
      <c r="CD72" s="44"/>
      <c r="CE72" s="44"/>
      <c r="CF72" s="44"/>
      <c r="CG72" s="44"/>
      <c r="CH72" s="47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7"/>
      <c r="DY72" s="47"/>
      <c r="DZ72" s="47"/>
    </row>
    <row r="73" spans="1:131" s="32" customFormat="1">
      <c r="A73" s="33"/>
      <c r="B73" s="34"/>
      <c r="C73" s="35"/>
      <c r="D73" s="36"/>
      <c r="E73" s="36"/>
      <c r="F73" s="37"/>
      <c r="G73" s="38"/>
      <c r="H73" s="39"/>
      <c r="I73" s="51"/>
      <c r="J73" s="39"/>
      <c r="K73" s="39"/>
      <c r="L73" s="34"/>
      <c r="M73" s="34"/>
      <c r="N73" s="34"/>
      <c r="O73" s="53"/>
      <c r="P73" s="53"/>
      <c r="Q73" s="54"/>
      <c r="R73" s="42"/>
      <c r="S73" s="42"/>
      <c r="T73" s="43"/>
      <c r="U73" s="52"/>
      <c r="V73" s="68"/>
      <c r="W73" s="44"/>
      <c r="X73" s="45"/>
      <c r="Y73" s="46"/>
      <c r="Z73" s="47"/>
      <c r="AA73" s="47"/>
      <c r="AB73" s="47"/>
      <c r="AC73" s="47"/>
      <c r="AD73" s="47"/>
      <c r="AE73" s="44"/>
      <c r="AF73" s="44"/>
      <c r="AG73" s="44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4"/>
      <c r="AZ73" s="44"/>
      <c r="BA73" s="44"/>
      <c r="BB73" s="44"/>
      <c r="BC73" s="43"/>
      <c r="BD73" s="48"/>
      <c r="BE73" s="44"/>
      <c r="BF73" s="44"/>
      <c r="BG73" s="44"/>
      <c r="BH73" s="44"/>
      <c r="BI73" s="44"/>
      <c r="BL73" s="43"/>
      <c r="BM73" s="44"/>
      <c r="BN73" s="44"/>
      <c r="BO73" s="44"/>
      <c r="BP73" s="49"/>
      <c r="BQ73" s="44"/>
      <c r="BR73" s="44"/>
      <c r="BS73" s="44"/>
      <c r="BT73" s="68"/>
      <c r="BU73" s="47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7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7"/>
      <c r="DY73" s="47"/>
      <c r="DZ73" s="47"/>
      <c r="EA73" s="129"/>
    </row>
    <row r="74" spans="1:131" s="32" customFormat="1">
      <c r="A74" s="33"/>
      <c r="B74" s="34"/>
      <c r="C74" s="35"/>
      <c r="D74" s="36"/>
      <c r="E74" s="36"/>
      <c r="F74" s="37"/>
      <c r="G74" s="38"/>
      <c r="H74" s="39"/>
      <c r="I74" s="51"/>
      <c r="J74" s="39"/>
      <c r="K74" s="39"/>
      <c r="L74" s="34"/>
      <c r="M74" s="34"/>
      <c r="N74" s="34"/>
      <c r="O74" s="53"/>
      <c r="P74" s="53"/>
      <c r="Q74" s="54"/>
      <c r="R74" s="42"/>
      <c r="S74" s="42"/>
      <c r="T74" s="43"/>
      <c r="U74" s="52"/>
      <c r="V74" s="68"/>
      <c r="W74" s="44"/>
      <c r="X74" s="45"/>
      <c r="Y74" s="46"/>
      <c r="Z74" s="47"/>
      <c r="AA74" s="47"/>
      <c r="AB74" s="47"/>
      <c r="AC74" s="47"/>
      <c r="AD74" s="47"/>
      <c r="AE74" s="44"/>
      <c r="AF74" s="44"/>
      <c r="AG74" s="44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4"/>
      <c r="AZ74" s="44"/>
      <c r="BA74" s="44"/>
      <c r="BB74" s="44"/>
      <c r="BC74" s="43"/>
      <c r="BD74" s="48"/>
      <c r="BE74" s="44"/>
      <c r="BF74" s="44"/>
      <c r="BG74" s="44"/>
      <c r="BH74" s="44"/>
      <c r="BI74" s="44"/>
      <c r="BL74" s="43"/>
      <c r="BM74" s="44"/>
      <c r="BN74" s="44"/>
      <c r="BO74" s="44"/>
      <c r="BP74" s="49"/>
      <c r="BQ74" s="44"/>
      <c r="BR74" s="44"/>
      <c r="BS74" s="44"/>
      <c r="BT74" s="68"/>
      <c r="BU74" s="47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7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7"/>
      <c r="DY74" s="47"/>
      <c r="DZ74" s="47"/>
      <c r="EA74" s="129"/>
    </row>
    <row r="75" spans="1:131" s="32" customFormat="1">
      <c r="A75" s="33"/>
      <c r="B75" s="34"/>
      <c r="C75" s="35"/>
      <c r="D75" s="36"/>
      <c r="E75" s="36"/>
      <c r="F75" s="37"/>
      <c r="G75" s="38"/>
      <c r="H75" s="39"/>
      <c r="I75" s="51"/>
      <c r="J75" s="39"/>
      <c r="K75" s="39"/>
      <c r="L75" s="34"/>
      <c r="M75" s="34"/>
      <c r="N75" s="34"/>
      <c r="O75" s="53"/>
      <c r="P75" s="53"/>
      <c r="Q75" s="54"/>
      <c r="R75" s="42"/>
      <c r="S75" s="42"/>
      <c r="T75" s="43"/>
      <c r="U75" s="52"/>
      <c r="V75" s="68"/>
      <c r="W75" s="44"/>
      <c r="X75" s="45"/>
      <c r="Y75" s="46"/>
      <c r="Z75" s="47"/>
      <c r="AA75" s="47"/>
      <c r="AB75" s="47"/>
      <c r="AC75" s="47"/>
      <c r="AD75" s="47"/>
      <c r="AE75" s="44"/>
      <c r="AF75" s="44"/>
      <c r="AG75" s="44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4"/>
      <c r="AZ75" s="44"/>
      <c r="BA75" s="44"/>
      <c r="BB75" s="44"/>
      <c r="BC75" s="43"/>
      <c r="BD75" s="48"/>
      <c r="BE75" s="44"/>
      <c r="BF75" s="44"/>
      <c r="BG75" s="44"/>
      <c r="BH75" s="44"/>
      <c r="BI75" s="44"/>
      <c r="BL75" s="43"/>
      <c r="BM75" s="44"/>
      <c r="BN75" s="44"/>
      <c r="BO75" s="44"/>
      <c r="BP75" s="49"/>
      <c r="BQ75" s="44"/>
      <c r="BR75" s="44"/>
      <c r="BS75" s="44"/>
      <c r="BT75" s="68"/>
      <c r="BU75" s="47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7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7"/>
      <c r="DY75" s="47"/>
      <c r="DZ75" s="47"/>
      <c r="EA75" s="129"/>
    </row>
    <row r="76" spans="1:131" s="32" customFormat="1">
      <c r="A76" s="33"/>
      <c r="B76" s="34"/>
      <c r="C76" s="35"/>
      <c r="D76" s="36"/>
      <c r="E76" s="36"/>
      <c r="F76" s="37"/>
      <c r="G76" s="38"/>
      <c r="H76" s="39"/>
      <c r="I76" s="51"/>
      <c r="J76" s="39"/>
      <c r="K76" s="39"/>
      <c r="L76" s="34"/>
      <c r="M76" s="34"/>
      <c r="N76" s="34"/>
      <c r="O76" s="53"/>
      <c r="P76" s="53"/>
      <c r="Q76" s="54"/>
      <c r="R76" s="42"/>
      <c r="S76" s="42"/>
      <c r="T76" s="43"/>
      <c r="U76" s="52"/>
      <c r="V76" s="68"/>
      <c r="W76" s="44"/>
      <c r="X76" s="45"/>
      <c r="Y76" s="46"/>
      <c r="Z76" s="47"/>
      <c r="AA76" s="47"/>
      <c r="AB76" s="47"/>
      <c r="AC76" s="47"/>
      <c r="AD76" s="47"/>
      <c r="AE76" s="44"/>
      <c r="AF76" s="44"/>
      <c r="AG76" s="44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4"/>
      <c r="AZ76" s="44"/>
      <c r="BA76" s="44"/>
      <c r="BB76" s="44"/>
      <c r="BC76" s="43"/>
      <c r="BD76" s="48"/>
      <c r="BE76" s="44"/>
      <c r="BF76" s="44"/>
      <c r="BG76" s="44"/>
      <c r="BH76" s="44"/>
      <c r="BI76" s="44"/>
      <c r="BL76" s="43"/>
      <c r="BM76" s="44"/>
      <c r="BN76" s="44"/>
      <c r="BO76" s="44"/>
      <c r="BP76" s="49"/>
      <c r="BQ76" s="44"/>
      <c r="BR76" s="44"/>
      <c r="BS76" s="44"/>
      <c r="BT76" s="68"/>
      <c r="BU76" s="47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7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7"/>
      <c r="DY76" s="47"/>
      <c r="DZ76" s="47"/>
      <c r="EA76" s="129"/>
    </row>
    <row r="77" spans="1:131" s="136" customFormat="1" ht="13.8">
      <c r="A77" s="130"/>
      <c r="B77" s="56"/>
      <c r="C77" s="60"/>
      <c r="D77" s="61"/>
      <c r="E77" s="61"/>
      <c r="F77" s="55"/>
      <c r="G77" s="56"/>
      <c r="H77" s="55"/>
      <c r="I77" s="55"/>
      <c r="J77" s="55"/>
      <c r="K77" s="55"/>
      <c r="L77" s="56"/>
      <c r="M77" s="56"/>
      <c r="N77" s="56"/>
      <c r="O77" s="131"/>
      <c r="P77" s="131"/>
      <c r="Q77" s="132"/>
      <c r="R77" s="58"/>
      <c r="S77" s="58"/>
      <c r="T77" s="133"/>
      <c r="U77" s="134"/>
      <c r="V77" s="74"/>
      <c r="W77" s="43"/>
      <c r="X77" s="69"/>
      <c r="Y77" s="70"/>
      <c r="Z77" s="71"/>
      <c r="AA77" s="71"/>
      <c r="AB77" s="71"/>
      <c r="AC77" s="71"/>
      <c r="AD77" s="71"/>
      <c r="AE77" s="43"/>
      <c r="AF77" s="43"/>
      <c r="AG77" s="43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43"/>
      <c r="AZ77" s="43"/>
      <c r="BA77" s="43"/>
      <c r="BB77" s="43"/>
      <c r="BC77" s="43"/>
      <c r="BD77" s="135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74"/>
      <c r="BQ77" s="43"/>
      <c r="BR77" s="43"/>
      <c r="BS77" s="43"/>
      <c r="BT77" s="74"/>
      <c r="BU77" s="71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71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71"/>
      <c r="DY77" s="71"/>
      <c r="DZ77" s="43"/>
    </row>
    <row r="78" spans="1:131" s="136" customFormat="1" thickBot="1">
      <c r="A78" s="137"/>
      <c r="B78" s="138"/>
      <c r="C78" s="139"/>
      <c r="D78" s="140"/>
      <c r="E78" s="140"/>
      <c r="F78" s="141"/>
      <c r="G78" s="138"/>
      <c r="H78" s="141"/>
      <c r="I78" s="141"/>
      <c r="J78" s="141"/>
      <c r="K78" s="141"/>
      <c r="L78" s="138"/>
      <c r="M78" s="138"/>
      <c r="N78" s="138"/>
      <c r="O78" s="142"/>
      <c r="P78" s="142"/>
      <c r="Q78" s="143"/>
      <c r="R78" s="144"/>
      <c r="S78" s="144"/>
      <c r="T78" s="145">
        <f>SUM(T5:T77)</f>
        <v>4574042.25</v>
      </c>
      <c r="U78" s="146"/>
      <c r="V78" s="147">
        <f t="shared" ref="V78:BA78" si="2">SUM(V5:V77)</f>
        <v>4574042.25</v>
      </c>
      <c r="W78" s="147">
        <f t="shared" si="2"/>
        <v>0</v>
      </c>
      <c r="X78" s="147">
        <f t="shared" si="2"/>
        <v>0</v>
      </c>
      <c r="Y78" s="147">
        <f t="shared" si="2"/>
        <v>0</v>
      </c>
      <c r="Z78" s="147">
        <f t="shared" si="2"/>
        <v>0</v>
      </c>
      <c r="AA78" s="147">
        <f t="shared" si="2"/>
        <v>0</v>
      </c>
      <c r="AB78" s="147">
        <f t="shared" si="2"/>
        <v>0</v>
      </c>
      <c r="AC78" s="147">
        <f t="shared" si="2"/>
        <v>0</v>
      </c>
      <c r="AD78" s="147">
        <f t="shared" si="2"/>
        <v>0</v>
      </c>
      <c r="AE78" s="147">
        <f t="shared" si="2"/>
        <v>0</v>
      </c>
      <c r="AF78" s="147">
        <f t="shared" si="2"/>
        <v>0</v>
      </c>
      <c r="AG78" s="147">
        <f t="shared" si="2"/>
        <v>0</v>
      </c>
      <c r="AH78" s="147">
        <f t="shared" si="2"/>
        <v>0</v>
      </c>
      <c r="AI78" s="147">
        <f t="shared" si="2"/>
        <v>0</v>
      </c>
      <c r="AJ78" s="147">
        <f t="shared" si="2"/>
        <v>0</v>
      </c>
      <c r="AK78" s="147">
        <f t="shared" si="2"/>
        <v>0</v>
      </c>
      <c r="AL78" s="147">
        <f t="shared" si="2"/>
        <v>0</v>
      </c>
      <c r="AM78" s="147">
        <f t="shared" si="2"/>
        <v>0</v>
      </c>
      <c r="AN78" s="147">
        <f t="shared" si="2"/>
        <v>0</v>
      </c>
      <c r="AO78" s="147">
        <f t="shared" si="2"/>
        <v>0</v>
      </c>
      <c r="AP78" s="147">
        <f t="shared" si="2"/>
        <v>0</v>
      </c>
      <c r="AQ78" s="147">
        <f t="shared" si="2"/>
        <v>0</v>
      </c>
      <c r="AR78" s="147">
        <f t="shared" si="2"/>
        <v>0</v>
      </c>
      <c r="AS78" s="147">
        <f t="shared" si="2"/>
        <v>0</v>
      </c>
      <c r="AT78" s="147">
        <f t="shared" si="2"/>
        <v>0</v>
      </c>
      <c r="AU78" s="147">
        <f t="shared" si="2"/>
        <v>0</v>
      </c>
      <c r="AV78" s="147">
        <f t="shared" si="2"/>
        <v>0</v>
      </c>
      <c r="AW78" s="147">
        <f t="shared" si="2"/>
        <v>0</v>
      </c>
      <c r="AX78" s="147">
        <f t="shared" si="2"/>
        <v>0</v>
      </c>
      <c r="AY78" s="147">
        <f t="shared" si="2"/>
        <v>0</v>
      </c>
      <c r="AZ78" s="147">
        <f t="shared" si="2"/>
        <v>0</v>
      </c>
      <c r="BA78" s="147">
        <f t="shared" si="2"/>
        <v>0</v>
      </c>
      <c r="BB78" s="147">
        <f t="shared" ref="BB78:CG78" si="3">SUM(BB5:BB77)</f>
        <v>0</v>
      </c>
      <c r="BC78" s="147">
        <f t="shared" si="3"/>
        <v>3729453.73</v>
      </c>
      <c r="BD78" s="147">
        <f t="shared" si="3"/>
        <v>0</v>
      </c>
      <c r="BE78" s="147">
        <f t="shared" si="3"/>
        <v>179818.18</v>
      </c>
      <c r="BF78" s="147">
        <f t="shared" si="3"/>
        <v>75000</v>
      </c>
      <c r="BG78" s="147">
        <f t="shared" si="3"/>
        <v>75000</v>
      </c>
      <c r="BH78" s="147">
        <f t="shared" si="3"/>
        <v>0</v>
      </c>
      <c r="BI78" s="147">
        <f t="shared" si="3"/>
        <v>0</v>
      </c>
      <c r="BJ78" s="147">
        <f t="shared" si="3"/>
        <v>0</v>
      </c>
      <c r="BK78" s="147">
        <f t="shared" si="3"/>
        <v>0</v>
      </c>
      <c r="BL78" s="147">
        <f t="shared" si="3"/>
        <v>0</v>
      </c>
      <c r="BM78" s="147">
        <f t="shared" si="3"/>
        <v>447523.52</v>
      </c>
      <c r="BN78" s="147">
        <f t="shared" si="3"/>
        <v>9000</v>
      </c>
      <c r="BO78" s="147">
        <f t="shared" si="3"/>
        <v>49246.819999999992</v>
      </c>
      <c r="BP78" s="147">
        <f t="shared" si="3"/>
        <v>9000</v>
      </c>
      <c r="BQ78" s="147">
        <f t="shared" si="3"/>
        <v>0</v>
      </c>
      <c r="BR78" s="147">
        <f t="shared" si="3"/>
        <v>0</v>
      </c>
      <c r="BS78" s="147">
        <f t="shared" si="3"/>
        <v>0</v>
      </c>
      <c r="BT78" s="147">
        <f t="shared" si="3"/>
        <v>4574042.25</v>
      </c>
      <c r="BU78" s="147">
        <f t="shared" si="3"/>
        <v>0</v>
      </c>
      <c r="BV78" s="147">
        <f t="shared" si="3"/>
        <v>0</v>
      </c>
      <c r="BW78" s="147">
        <f t="shared" si="3"/>
        <v>0</v>
      </c>
      <c r="BX78" s="147">
        <f t="shared" si="3"/>
        <v>0</v>
      </c>
      <c r="BY78" s="147">
        <f t="shared" si="3"/>
        <v>0</v>
      </c>
      <c r="BZ78" s="147">
        <f t="shared" si="3"/>
        <v>0</v>
      </c>
      <c r="CA78" s="147">
        <f t="shared" si="3"/>
        <v>0</v>
      </c>
      <c r="CB78" s="147">
        <f t="shared" si="3"/>
        <v>0</v>
      </c>
      <c r="CC78" s="147">
        <f t="shared" si="3"/>
        <v>0</v>
      </c>
      <c r="CD78" s="147">
        <f t="shared" si="3"/>
        <v>0</v>
      </c>
      <c r="CE78" s="147">
        <f t="shared" si="3"/>
        <v>0</v>
      </c>
      <c r="CF78" s="147">
        <f t="shared" si="3"/>
        <v>0</v>
      </c>
      <c r="CG78" s="147">
        <f t="shared" si="3"/>
        <v>0</v>
      </c>
      <c r="CH78" s="147">
        <f t="shared" ref="CH78:DM78" si="4">SUM(CH5:CH77)</f>
        <v>0</v>
      </c>
      <c r="CI78" s="147">
        <f t="shared" si="4"/>
        <v>0</v>
      </c>
      <c r="CJ78" s="147">
        <f t="shared" si="4"/>
        <v>0</v>
      </c>
      <c r="CK78" s="147">
        <f t="shared" si="4"/>
        <v>0</v>
      </c>
      <c r="CL78" s="147">
        <f t="shared" si="4"/>
        <v>0</v>
      </c>
      <c r="CM78" s="147">
        <f t="shared" si="4"/>
        <v>0</v>
      </c>
      <c r="CN78" s="147">
        <f t="shared" si="4"/>
        <v>0</v>
      </c>
      <c r="CO78" s="147">
        <f t="shared" si="4"/>
        <v>0</v>
      </c>
      <c r="CP78" s="147">
        <f t="shared" si="4"/>
        <v>0</v>
      </c>
      <c r="CQ78" s="147">
        <f t="shared" si="4"/>
        <v>0</v>
      </c>
      <c r="CR78" s="147">
        <f t="shared" si="4"/>
        <v>0</v>
      </c>
      <c r="CS78" s="147">
        <f t="shared" si="4"/>
        <v>0</v>
      </c>
      <c r="CT78" s="147">
        <f t="shared" si="4"/>
        <v>0</v>
      </c>
      <c r="CU78" s="147">
        <f t="shared" si="4"/>
        <v>0</v>
      </c>
      <c r="CV78" s="147">
        <f t="shared" si="4"/>
        <v>0</v>
      </c>
      <c r="CW78" s="147">
        <f t="shared" si="4"/>
        <v>0</v>
      </c>
      <c r="CX78" s="147">
        <f t="shared" si="4"/>
        <v>0</v>
      </c>
      <c r="CY78" s="147">
        <f t="shared" si="4"/>
        <v>0</v>
      </c>
      <c r="CZ78" s="147">
        <f t="shared" si="4"/>
        <v>0</v>
      </c>
      <c r="DA78" s="147">
        <f t="shared" si="4"/>
        <v>0</v>
      </c>
      <c r="DB78" s="147">
        <f t="shared" si="4"/>
        <v>0</v>
      </c>
      <c r="DC78" s="147">
        <f t="shared" si="4"/>
        <v>0</v>
      </c>
      <c r="DD78" s="147">
        <f t="shared" si="4"/>
        <v>0</v>
      </c>
      <c r="DE78" s="147">
        <f t="shared" si="4"/>
        <v>0</v>
      </c>
      <c r="DF78" s="147">
        <f t="shared" si="4"/>
        <v>0</v>
      </c>
      <c r="DG78" s="147">
        <f t="shared" si="4"/>
        <v>0</v>
      </c>
      <c r="DH78" s="147">
        <f t="shared" si="4"/>
        <v>0</v>
      </c>
      <c r="DI78" s="147">
        <f t="shared" si="4"/>
        <v>0</v>
      </c>
      <c r="DJ78" s="147">
        <f t="shared" si="4"/>
        <v>0</v>
      </c>
      <c r="DK78" s="147">
        <f t="shared" si="4"/>
        <v>0</v>
      </c>
      <c r="DL78" s="147">
        <f t="shared" si="4"/>
        <v>0</v>
      </c>
      <c r="DM78" s="147">
        <f t="shared" si="4"/>
        <v>0</v>
      </c>
      <c r="DN78" s="147">
        <f t="shared" ref="DN78:DZ78" si="5">SUM(DN5:DN77)</f>
        <v>0</v>
      </c>
      <c r="DO78" s="147">
        <f t="shared" si="5"/>
        <v>0</v>
      </c>
      <c r="DP78" s="147">
        <f t="shared" si="5"/>
        <v>0</v>
      </c>
      <c r="DQ78" s="147">
        <f t="shared" si="5"/>
        <v>0</v>
      </c>
      <c r="DR78" s="147">
        <f t="shared" si="5"/>
        <v>0</v>
      </c>
      <c r="DS78" s="147">
        <f t="shared" si="5"/>
        <v>0</v>
      </c>
      <c r="DT78" s="147">
        <f t="shared" si="5"/>
        <v>0</v>
      </c>
      <c r="DU78" s="147">
        <f t="shared" si="5"/>
        <v>0</v>
      </c>
      <c r="DV78" s="147">
        <f t="shared" si="5"/>
        <v>0</v>
      </c>
      <c r="DW78" s="147">
        <f t="shared" si="5"/>
        <v>0</v>
      </c>
      <c r="DX78" s="147">
        <f t="shared" si="5"/>
        <v>0</v>
      </c>
      <c r="DY78" s="147">
        <f t="shared" si="5"/>
        <v>0</v>
      </c>
      <c r="DZ78" s="147">
        <f t="shared" si="5"/>
        <v>0</v>
      </c>
    </row>
    <row r="79" spans="1:131" s="136" customFormat="1" thickTop="1">
      <c r="A79" s="148"/>
      <c r="B79" s="149"/>
      <c r="C79" s="150"/>
      <c r="D79" s="151"/>
      <c r="E79" s="151"/>
      <c r="F79" s="152"/>
      <c r="G79" s="149"/>
      <c r="H79" s="152"/>
      <c r="I79" s="152"/>
      <c r="J79" s="152"/>
      <c r="K79" s="152"/>
      <c r="L79" s="149"/>
      <c r="M79" s="149"/>
      <c r="N79" s="149"/>
      <c r="O79" s="153"/>
      <c r="P79" s="153"/>
      <c r="Q79" s="154"/>
      <c r="R79" s="155"/>
      <c r="S79" s="155"/>
      <c r="T79" s="156">
        <f>+T78+'PS CARP'!T59+'CARP MOOE'!T23+'MOOE OTHERS'!T47+OTOP!T23+NC!T23+SSF!T23+'SSF CO'!T23+'LSP NSB'!T23+'RAPID LP'!T23+'RAPID GOP'!T23+'INTERNET SAA'!T23+RCC!T23+PPG!T23</f>
        <v>5339595.66</v>
      </c>
      <c r="U79" s="157"/>
      <c r="V79" s="158"/>
      <c r="W79" s="159"/>
      <c r="X79" s="158"/>
      <c r="Y79" s="160"/>
      <c r="Z79" s="154"/>
      <c r="AA79" s="154"/>
      <c r="AB79" s="154"/>
      <c r="AC79" s="154"/>
      <c r="AD79" s="154"/>
      <c r="AE79" s="161"/>
      <c r="AF79" s="161"/>
      <c r="AG79" s="161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61"/>
      <c r="AZ79" s="161"/>
      <c r="BA79" s="161"/>
      <c r="BB79" s="161"/>
      <c r="BC79" s="74">
        <f>SUM(BC78:BS78)</f>
        <v>4574042.25</v>
      </c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S79" s="161"/>
      <c r="BT79" s="161"/>
      <c r="BU79" s="161"/>
      <c r="BV79" s="161"/>
      <c r="BW79" s="161"/>
      <c r="BX79" s="161"/>
      <c r="BY79" s="161"/>
      <c r="BZ79" s="161"/>
      <c r="CA79" s="74"/>
      <c r="CB79" s="74"/>
      <c r="CC79" s="74"/>
      <c r="CD79" s="74">
        <f>SUM(CD78:DZ78)</f>
        <v>0</v>
      </c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  <c r="CO79" s="161"/>
      <c r="CP79" s="161"/>
      <c r="CQ79" s="161"/>
      <c r="CR79" s="161"/>
      <c r="CS79" s="161"/>
      <c r="CT79" s="161"/>
      <c r="CU79" s="161"/>
      <c r="CV79" s="161"/>
      <c r="CW79" s="161"/>
      <c r="CX79" s="161"/>
      <c r="CY79" s="161"/>
      <c r="CZ79" s="161"/>
      <c r="DA79" s="161"/>
      <c r="DB79" s="161"/>
      <c r="DC79" s="161"/>
      <c r="DD79" s="161"/>
      <c r="DE79" s="74"/>
      <c r="DF79" s="161"/>
      <c r="DG79" s="161"/>
      <c r="DH79" s="161"/>
      <c r="DI79" s="161"/>
      <c r="DJ79" s="161"/>
      <c r="DK79" s="161"/>
      <c r="DL79" s="161"/>
      <c r="DM79" s="161"/>
      <c r="DN79" s="161"/>
      <c r="DO79" s="161"/>
      <c r="DP79" s="161"/>
      <c r="DQ79" s="161"/>
      <c r="DR79" s="161"/>
      <c r="DS79" s="161"/>
      <c r="DT79" s="161"/>
      <c r="DU79" s="161"/>
      <c r="DV79" s="161"/>
      <c r="DW79" s="161"/>
      <c r="DX79" s="161"/>
      <c r="DY79" s="161"/>
      <c r="DZ79" s="161"/>
    </row>
    <row r="80" spans="1:131" s="136" customFormat="1" ht="13.8">
      <c r="BC80" s="162" t="s">
        <v>27</v>
      </c>
      <c r="BD80" s="162" t="s">
        <v>28</v>
      </c>
      <c r="BE80" s="163" t="s">
        <v>29</v>
      </c>
      <c r="BF80" s="164" t="s">
        <v>30</v>
      </c>
      <c r="BG80" s="164" t="s">
        <v>31</v>
      </c>
      <c r="BH80" s="165" t="s">
        <v>32</v>
      </c>
      <c r="BI80" s="165" t="s">
        <v>33</v>
      </c>
      <c r="BJ80" s="163" t="s">
        <v>34</v>
      </c>
      <c r="BK80" s="163" t="s">
        <v>35</v>
      </c>
      <c r="BL80" s="163" t="s">
        <v>36</v>
      </c>
      <c r="BM80" s="163" t="s">
        <v>37</v>
      </c>
      <c r="BN80" s="165" t="s">
        <v>38</v>
      </c>
      <c r="BO80" s="163" t="s">
        <v>39</v>
      </c>
      <c r="BP80" s="163" t="s">
        <v>40</v>
      </c>
      <c r="BQ80" s="163" t="s">
        <v>41</v>
      </c>
      <c r="BR80" s="163" t="s">
        <v>42</v>
      </c>
      <c r="BS80" s="166"/>
      <c r="BT80" s="166"/>
      <c r="BU80" s="166"/>
      <c r="BV80" s="166"/>
      <c r="BW80" s="166"/>
      <c r="BX80" s="166"/>
      <c r="BY80" s="166"/>
      <c r="BZ80" s="166"/>
      <c r="CA80" s="166"/>
      <c r="CB80" s="166"/>
      <c r="CC80" s="166"/>
      <c r="CD80" s="167" t="s">
        <v>43</v>
      </c>
      <c r="CE80" s="168" t="s">
        <v>44</v>
      </c>
      <c r="CF80" s="168">
        <v>752</v>
      </c>
      <c r="CG80" s="168" t="s">
        <v>45</v>
      </c>
      <c r="CH80" s="168" t="s">
        <v>46</v>
      </c>
      <c r="CI80" s="168" t="s">
        <v>47</v>
      </c>
      <c r="CJ80" s="168">
        <v>761</v>
      </c>
      <c r="CK80" s="168" t="s">
        <v>48</v>
      </c>
      <c r="CL80" s="168" t="s">
        <v>49</v>
      </c>
      <c r="CM80" s="168">
        <v>767</v>
      </c>
      <c r="CN80" s="168" t="s">
        <v>50</v>
      </c>
      <c r="CO80" s="168" t="s">
        <v>51</v>
      </c>
      <c r="CP80" s="168" t="s">
        <v>52</v>
      </c>
      <c r="CQ80" s="168" t="s">
        <v>53</v>
      </c>
      <c r="CR80" s="168" t="s">
        <v>54</v>
      </c>
      <c r="CS80" s="168" t="s">
        <v>55</v>
      </c>
      <c r="CT80" s="168" t="s">
        <v>56</v>
      </c>
      <c r="CU80" s="168" t="s">
        <v>57</v>
      </c>
      <c r="CV80" s="168" t="s">
        <v>58</v>
      </c>
      <c r="CW80" s="168" t="s">
        <v>58</v>
      </c>
      <c r="CX80" s="168" t="s">
        <v>59</v>
      </c>
      <c r="CY80" s="168" t="s">
        <v>60</v>
      </c>
      <c r="CZ80" s="168" t="s">
        <v>61</v>
      </c>
      <c r="DA80" s="168" t="s">
        <v>62</v>
      </c>
      <c r="DB80" s="168" t="s">
        <v>63</v>
      </c>
      <c r="DC80" s="168" t="s">
        <v>64</v>
      </c>
      <c r="DD80" s="168">
        <v>793</v>
      </c>
      <c r="DE80" s="168">
        <v>795</v>
      </c>
      <c r="DF80" s="168">
        <v>796</v>
      </c>
      <c r="DG80" s="168">
        <v>797</v>
      </c>
      <c r="DH80" s="168" t="s">
        <v>65</v>
      </c>
      <c r="DI80" s="168" t="s">
        <v>66</v>
      </c>
      <c r="DJ80" s="168" t="s">
        <v>67</v>
      </c>
      <c r="DK80" s="168" t="s">
        <v>68</v>
      </c>
      <c r="DL80" s="168" t="s">
        <v>69</v>
      </c>
      <c r="DM80" s="168" t="s">
        <v>70</v>
      </c>
      <c r="DN80" s="168" t="s">
        <v>71</v>
      </c>
      <c r="DO80" s="168" t="s">
        <v>72</v>
      </c>
      <c r="DP80" s="168" t="s">
        <v>73</v>
      </c>
      <c r="DQ80" s="168" t="s">
        <v>74</v>
      </c>
      <c r="DR80" s="168">
        <v>879</v>
      </c>
      <c r="DS80" s="168" t="s">
        <v>75</v>
      </c>
      <c r="DT80" s="168" t="s">
        <v>76</v>
      </c>
      <c r="DU80" s="168" t="s">
        <v>77</v>
      </c>
      <c r="DV80" s="168" t="s">
        <v>78</v>
      </c>
      <c r="DW80" s="168" t="s">
        <v>79</v>
      </c>
      <c r="DX80" s="168">
        <v>226</v>
      </c>
      <c r="DY80" s="168">
        <v>241</v>
      </c>
      <c r="DZ80" s="168">
        <v>222</v>
      </c>
    </row>
    <row r="81" spans="20:70" s="169" customFormat="1" ht="13.8">
      <c r="T81" s="170">
        <v>4576742.25</v>
      </c>
      <c r="BD81" s="171"/>
    </row>
    <row r="82" spans="20:70" s="169" customFormat="1" ht="13.8">
      <c r="T82" s="170">
        <f>+T78-T81</f>
        <v>-2700</v>
      </c>
      <c r="BC82" s="170"/>
    </row>
    <row r="85" spans="20:70">
      <c r="BR85" s="284"/>
    </row>
    <row r="86" spans="20:70">
      <c r="BR86" s="284"/>
    </row>
    <row r="87" spans="20:70">
      <c r="BR87" s="284"/>
    </row>
    <row r="88" spans="20:70">
      <c r="BR88" s="284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55" width="9.88671875" style="274" bestFit="1" customWidth="1"/>
    <col min="56" max="56" width="15.44140625" style="274" bestFit="1" customWidth="1"/>
    <col min="57" max="57" width="9.109375" style="274"/>
    <col min="58" max="59" width="11.33203125" style="274" bestFit="1" customWidth="1"/>
    <col min="60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44224</v>
      </c>
      <c r="B5" s="34" t="s">
        <v>759</v>
      </c>
      <c r="C5" s="286" t="s">
        <v>861</v>
      </c>
      <c r="D5" s="36">
        <v>0.65416666666666667</v>
      </c>
      <c r="E5" s="36">
        <v>0.6645833333333333</v>
      </c>
      <c r="F5" s="39" t="s">
        <v>0</v>
      </c>
      <c r="G5" s="34">
        <v>1</v>
      </c>
      <c r="H5" s="39">
        <v>706</v>
      </c>
      <c r="I5" s="51" t="str">
        <f>VLOOKUP(H5,'[2]Chart of accounts'!A:H,2,FALSE)</f>
        <v>50101020 00</v>
      </c>
      <c r="J5" s="39"/>
      <c r="K5" s="39"/>
      <c r="L5" s="34"/>
      <c r="M5" s="34"/>
      <c r="N5" s="34"/>
      <c r="O5" s="53" t="s">
        <v>4</v>
      </c>
      <c r="P5" s="40" t="s">
        <v>862</v>
      </c>
      <c r="Q5" s="78" t="s">
        <v>2</v>
      </c>
      <c r="R5" s="42" t="s">
        <v>863</v>
      </c>
      <c r="S5" s="42" t="s">
        <v>864</v>
      </c>
      <c r="T5" s="44">
        <v>43681</v>
      </c>
      <c r="U5" s="52"/>
      <c r="V5" s="44">
        <v>43681</v>
      </c>
      <c r="W5" s="44">
        <f t="shared" ref="W5:W40" si="0">+T5-V5</f>
        <v>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4">
        <v>43681</v>
      </c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129"/>
      <c r="BU5" s="47"/>
      <c r="BV5" s="44"/>
      <c r="BW5" s="44">
        <v>43681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41.4">
      <c r="A6" s="76">
        <v>44224</v>
      </c>
      <c r="B6" s="34" t="s">
        <v>759</v>
      </c>
      <c r="C6" s="286" t="s">
        <v>861</v>
      </c>
      <c r="D6" s="36">
        <v>0.65416666666666667</v>
      </c>
      <c r="E6" s="36">
        <v>0.6645833333333333</v>
      </c>
      <c r="F6" s="39" t="s">
        <v>0</v>
      </c>
      <c r="G6" s="34">
        <v>1</v>
      </c>
      <c r="H6" s="39">
        <v>711</v>
      </c>
      <c r="I6" s="51" t="str">
        <f>VLOOKUP(H6,'[2]Chart of accounts'!A:H,2,FALSE)</f>
        <v>50102010 01</v>
      </c>
      <c r="J6" s="39"/>
      <c r="K6" s="39"/>
      <c r="L6" s="34"/>
      <c r="M6" s="34"/>
      <c r="N6" s="34"/>
      <c r="O6" s="53" t="s">
        <v>4</v>
      </c>
      <c r="P6" s="40" t="s">
        <v>862</v>
      </c>
      <c r="Q6" s="78" t="s">
        <v>2</v>
      </c>
      <c r="R6" s="42" t="s">
        <v>863</v>
      </c>
      <c r="S6" s="42" t="s">
        <v>864</v>
      </c>
      <c r="T6" s="44">
        <v>2000</v>
      </c>
      <c r="U6" s="52"/>
      <c r="V6" s="44">
        <v>2000</v>
      </c>
      <c r="W6" s="44">
        <f t="shared" si="0"/>
        <v>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E6" s="44">
        <v>2000</v>
      </c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129"/>
      <c r="BU6" s="47"/>
      <c r="BV6" s="44"/>
      <c r="BW6" s="44">
        <v>2000</v>
      </c>
      <c r="BX6" s="44"/>
      <c r="BY6" s="44"/>
      <c r="BZ6" s="44"/>
      <c r="CA6" s="44"/>
      <c r="CB6" s="43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41.4">
      <c r="A7" s="76">
        <v>44224</v>
      </c>
      <c r="B7" s="34" t="s">
        <v>759</v>
      </c>
      <c r="C7" s="286" t="s">
        <v>861</v>
      </c>
      <c r="D7" s="36">
        <v>0.65416666666666667</v>
      </c>
      <c r="E7" s="36">
        <v>0.6645833333333333</v>
      </c>
      <c r="F7" s="39" t="s">
        <v>0</v>
      </c>
      <c r="G7" s="34">
        <v>1</v>
      </c>
      <c r="H7" s="39">
        <v>731</v>
      </c>
      <c r="I7" s="51" t="str">
        <f>VLOOKUP(H7,'[2]Chart of accounts'!A:H,2,FALSE)</f>
        <v>50103010 00</v>
      </c>
      <c r="J7" s="39"/>
      <c r="K7" s="39"/>
      <c r="L7" s="34"/>
      <c r="M7" s="34"/>
      <c r="N7" s="34"/>
      <c r="O7" s="53" t="s">
        <v>4</v>
      </c>
      <c r="P7" s="40" t="s">
        <v>862</v>
      </c>
      <c r="Q7" s="78" t="s">
        <v>2</v>
      </c>
      <c r="R7" s="42" t="s">
        <v>863</v>
      </c>
      <c r="S7" s="42" t="s">
        <v>864</v>
      </c>
      <c r="T7" s="44">
        <v>5241.72</v>
      </c>
      <c r="U7" s="52"/>
      <c r="V7" s="44">
        <v>5241.72</v>
      </c>
      <c r="W7" s="44">
        <f t="shared" si="0"/>
        <v>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>
        <v>5241.72</v>
      </c>
      <c r="BN7" s="44"/>
      <c r="BO7" s="44"/>
      <c r="BP7" s="49"/>
      <c r="BQ7" s="44"/>
      <c r="BR7" s="44"/>
      <c r="BS7" s="44"/>
      <c r="BT7" s="129"/>
      <c r="BU7" s="47"/>
      <c r="BV7" s="44"/>
      <c r="BW7" s="44">
        <v>5241.72</v>
      </c>
      <c r="BX7" s="44"/>
      <c r="BY7" s="44"/>
      <c r="BZ7" s="44"/>
      <c r="CA7" s="44"/>
      <c r="CB7" s="43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41.4">
      <c r="A8" s="76">
        <v>44224</v>
      </c>
      <c r="B8" s="34" t="s">
        <v>759</v>
      </c>
      <c r="C8" s="286" t="s">
        <v>861</v>
      </c>
      <c r="D8" s="36">
        <v>0.65416666666666667</v>
      </c>
      <c r="E8" s="36">
        <v>0.6645833333333333</v>
      </c>
      <c r="F8" s="39" t="s">
        <v>0</v>
      </c>
      <c r="G8" s="34">
        <v>1</v>
      </c>
      <c r="H8" s="39">
        <v>732</v>
      </c>
      <c r="I8" s="51" t="str">
        <f>VLOOKUP(H8,'[2]Chart of accounts'!A:H,2,FALSE)</f>
        <v>50103020 01</v>
      </c>
      <c r="J8" s="39"/>
      <c r="K8" s="39"/>
      <c r="L8" s="34"/>
      <c r="M8" s="34"/>
      <c r="N8" s="34"/>
      <c r="O8" s="53" t="s">
        <v>4</v>
      </c>
      <c r="P8" s="40" t="s">
        <v>862</v>
      </c>
      <c r="Q8" s="78" t="s">
        <v>2</v>
      </c>
      <c r="R8" s="42" t="s">
        <v>863</v>
      </c>
      <c r="S8" s="42" t="s">
        <v>864</v>
      </c>
      <c r="T8" s="44">
        <v>100</v>
      </c>
      <c r="U8" s="52"/>
      <c r="V8" s="44">
        <v>100</v>
      </c>
      <c r="W8" s="44">
        <f t="shared" si="0"/>
        <v>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N8" s="44">
        <v>100</v>
      </c>
      <c r="BO8" s="44"/>
      <c r="BP8" s="49"/>
      <c r="BQ8" s="44"/>
      <c r="BR8" s="44"/>
      <c r="BS8" s="44"/>
      <c r="BT8" s="129"/>
      <c r="BU8" s="47"/>
      <c r="BV8" s="44"/>
      <c r="BW8" s="44">
        <v>100</v>
      </c>
      <c r="BX8" s="44"/>
      <c r="BY8" s="44"/>
      <c r="BZ8" s="44"/>
      <c r="CA8" s="44"/>
      <c r="CB8" s="43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41.4">
      <c r="A9" s="76">
        <v>44224</v>
      </c>
      <c r="B9" s="34" t="s">
        <v>759</v>
      </c>
      <c r="C9" s="286" t="s">
        <v>861</v>
      </c>
      <c r="D9" s="36">
        <v>0.65416666666666667</v>
      </c>
      <c r="E9" s="36">
        <v>0.6645833333333333</v>
      </c>
      <c r="F9" s="39" t="s">
        <v>0</v>
      </c>
      <c r="G9" s="34">
        <v>1</v>
      </c>
      <c r="H9" s="39">
        <v>733</v>
      </c>
      <c r="I9" s="51" t="str">
        <f>VLOOKUP(H9,'[2]Chart of accounts'!A:H,2,FALSE)</f>
        <v>50103030 01</v>
      </c>
      <c r="J9" s="39"/>
      <c r="K9" s="39"/>
      <c r="L9" s="34"/>
      <c r="M9" s="34"/>
      <c r="N9" s="34"/>
      <c r="O9" s="53" t="s">
        <v>4</v>
      </c>
      <c r="P9" s="40" t="s">
        <v>862</v>
      </c>
      <c r="Q9" s="78" t="s">
        <v>2</v>
      </c>
      <c r="R9" s="42" t="s">
        <v>863</v>
      </c>
      <c r="S9" s="42" t="s">
        <v>864</v>
      </c>
      <c r="T9" s="44">
        <v>655.22</v>
      </c>
      <c r="U9" s="52"/>
      <c r="V9" s="44">
        <v>655.22</v>
      </c>
      <c r="W9" s="44">
        <f t="shared" si="0"/>
        <v>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>
        <v>655.22</v>
      </c>
      <c r="BP9" s="49"/>
      <c r="BQ9" s="44"/>
      <c r="BR9" s="44"/>
      <c r="BS9" s="44"/>
      <c r="BT9" s="129"/>
      <c r="BU9" s="47"/>
      <c r="BV9" s="44"/>
      <c r="BW9" s="44">
        <v>655.22</v>
      </c>
      <c r="BX9" s="44"/>
      <c r="BY9" s="44"/>
      <c r="BZ9" s="44"/>
      <c r="CA9" s="44"/>
      <c r="CB9" s="43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41.4">
      <c r="A10" s="76">
        <v>44224</v>
      </c>
      <c r="B10" s="34" t="s">
        <v>759</v>
      </c>
      <c r="C10" s="286" t="s">
        <v>861</v>
      </c>
      <c r="D10" s="36">
        <v>0.65416666666666667</v>
      </c>
      <c r="E10" s="36">
        <v>0.6645833333333333</v>
      </c>
      <c r="F10" s="39" t="s">
        <v>0</v>
      </c>
      <c r="G10" s="34">
        <v>1</v>
      </c>
      <c r="H10" s="39">
        <v>734</v>
      </c>
      <c r="I10" s="51" t="str">
        <f>VLOOKUP(H10,'[2]Chart of accounts'!A:H,2,FALSE)</f>
        <v>50103040 01</v>
      </c>
      <c r="J10" s="39"/>
      <c r="K10" s="39"/>
      <c r="L10" s="34"/>
      <c r="M10" s="34"/>
      <c r="N10" s="34"/>
      <c r="O10" s="53" t="s">
        <v>4</v>
      </c>
      <c r="P10" s="40" t="s">
        <v>862</v>
      </c>
      <c r="Q10" s="78" t="s">
        <v>2</v>
      </c>
      <c r="R10" s="42" t="s">
        <v>863</v>
      </c>
      <c r="S10" s="42" t="s">
        <v>864</v>
      </c>
      <c r="T10" s="44">
        <v>100</v>
      </c>
      <c r="U10" s="52"/>
      <c r="V10" s="44">
        <v>100</v>
      </c>
      <c r="W10" s="44">
        <f t="shared" si="0"/>
        <v>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P10" s="44">
        <v>100</v>
      </c>
      <c r="BQ10" s="44"/>
      <c r="BR10" s="44"/>
      <c r="BS10" s="44"/>
      <c r="BT10" s="129"/>
      <c r="BU10" s="47"/>
      <c r="BV10" s="44"/>
      <c r="BW10" s="44">
        <v>100</v>
      </c>
      <c r="BX10" s="44"/>
      <c r="BY10" s="44"/>
      <c r="BZ10" s="44"/>
      <c r="CA10" s="44"/>
      <c r="CB10" s="43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41.4">
      <c r="A11" s="76">
        <v>44224</v>
      </c>
      <c r="B11" s="34" t="s">
        <v>759</v>
      </c>
      <c r="C11" s="286" t="s">
        <v>865</v>
      </c>
      <c r="D11" s="36">
        <v>0.6645833333333333</v>
      </c>
      <c r="E11" s="36">
        <v>0.66666666666666663</v>
      </c>
      <c r="F11" s="39" t="s">
        <v>0</v>
      </c>
      <c r="G11" s="34">
        <v>1</v>
      </c>
      <c r="H11" s="39">
        <v>706</v>
      </c>
      <c r="I11" s="51" t="str">
        <f>VLOOKUP(H11,'[2]Chart of accounts'!A:H,2,FALSE)</f>
        <v>50101020 00</v>
      </c>
      <c r="J11" s="39"/>
      <c r="K11" s="39"/>
      <c r="L11" s="34"/>
      <c r="M11" s="34"/>
      <c r="N11" s="34"/>
      <c r="O11" s="53" t="s">
        <v>4</v>
      </c>
      <c r="P11" s="40" t="s">
        <v>862</v>
      </c>
      <c r="Q11" s="41" t="s">
        <v>788</v>
      </c>
      <c r="R11" s="42" t="s">
        <v>789</v>
      </c>
      <c r="S11" s="42" t="s">
        <v>864</v>
      </c>
      <c r="T11" s="44">
        <v>77256</v>
      </c>
      <c r="U11" s="52"/>
      <c r="V11" s="44">
        <v>77256</v>
      </c>
      <c r="W11" s="44">
        <f t="shared" si="0"/>
        <v>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4">
        <v>77256</v>
      </c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129"/>
      <c r="BU11" s="47"/>
      <c r="BV11" s="44"/>
      <c r="BW11" s="44">
        <v>77256</v>
      </c>
      <c r="BX11" s="44"/>
      <c r="BY11" s="44"/>
      <c r="BZ11" s="44"/>
      <c r="CA11" s="44"/>
      <c r="CB11" s="43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 ht="41.4">
      <c r="A12" s="76">
        <v>44224</v>
      </c>
      <c r="B12" s="34" t="s">
        <v>759</v>
      </c>
      <c r="C12" s="286" t="s">
        <v>865</v>
      </c>
      <c r="D12" s="36">
        <v>0.6645833333333333</v>
      </c>
      <c r="E12" s="36">
        <v>0.66666666666666663</v>
      </c>
      <c r="F12" s="39" t="s">
        <v>0</v>
      </c>
      <c r="G12" s="34">
        <v>1</v>
      </c>
      <c r="H12" s="39">
        <v>711</v>
      </c>
      <c r="I12" s="51" t="str">
        <f>VLOOKUP(H12,'[2]Chart of accounts'!A:H,2,FALSE)</f>
        <v>50102010 01</v>
      </c>
      <c r="J12" s="39"/>
      <c r="K12" s="39"/>
      <c r="L12" s="34"/>
      <c r="M12" s="34"/>
      <c r="N12" s="34"/>
      <c r="O12" s="53" t="s">
        <v>4</v>
      </c>
      <c r="P12" s="40" t="s">
        <v>862</v>
      </c>
      <c r="Q12" s="41" t="s">
        <v>788</v>
      </c>
      <c r="R12" s="42" t="s">
        <v>789</v>
      </c>
      <c r="S12" s="42" t="s">
        <v>864</v>
      </c>
      <c r="T12" s="44">
        <v>4000</v>
      </c>
      <c r="U12" s="52"/>
      <c r="V12" s="44">
        <v>4000</v>
      </c>
      <c r="W12" s="44">
        <f t="shared" si="0"/>
        <v>0</v>
      </c>
      <c r="X12" s="45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E12" s="44">
        <v>4000</v>
      </c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129"/>
      <c r="BU12" s="47"/>
      <c r="BV12" s="44"/>
      <c r="BW12" s="44">
        <v>4000</v>
      </c>
      <c r="BX12" s="44"/>
      <c r="BY12" s="44"/>
      <c r="BZ12" s="44"/>
      <c r="CA12" s="44"/>
      <c r="CB12" s="43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 ht="41.4">
      <c r="A13" s="76">
        <v>44224</v>
      </c>
      <c r="B13" s="34" t="s">
        <v>759</v>
      </c>
      <c r="C13" s="286" t="s">
        <v>865</v>
      </c>
      <c r="D13" s="36">
        <v>0.6645833333333333</v>
      </c>
      <c r="E13" s="36">
        <v>0.66666666666666663</v>
      </c>
      <c r="F13" s="39" t="s">
        <v>0</v>
      </c>
      <c r="G13" s="34">
        <v>1</v>
      </c>
      <c r="H13" s="39">
        <v>731</v>
      </c>
      <c r="I13" s="51" t="str">
        <f>VLOOKUP(H13,'[2]Chart of accounts'!A:H,2,FALSE)</f>
        <v>50103010 00</v>
      </c>
      <c r="J13" s="39"/>
      <c r="K13" s="39"/>
      <c r="L13" s="34"/>
      <c r="M13" s="34"/>
      <c r="N13" s="34"/>
      <c r="O13" s="53" t="s">
        <v>4</v>
      </c>
      <c r="P13" s="40" t="s">
        <v>862</v>
      </c>
      <c r="Q13" s="41" t="s">
        <v>788</v>
      </c>
      <c r="R13" s="42" t="s">
        <v>789</v>
      </c>
      <c r="S13" s="42" t="s">
        <v>864</v>
      </c>
      <c r="T13" s="44">
        <v>9270.7199999999993</v>
      </c>
      <c r="U13" s="52"/>
      <c r="V13" s="44">
        <v>9270.7199999999993</v>
      </c>
      <c r="W13" s="44">
        <f t="shared" si="0"/>
        <v>0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>
        <v>9270.7199999999993</v>
      </c>
      <c r="BN13" s="44"/>
      <c r="BO13" s="44"/>
      <c r="BP13" s="49"/>
      <c r="BQ13" s="44"/>
      <c r="BR13" s="44"/>
      <c r="BS13" s="44"/>
      <c r="BT13" s="129"/>
      <c r="BU13" s="47"/>
      <c r="BV13" s="44"/>
      <c r="BW13" s="44">
        <v>9270.7199999999993</v>
      </c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44224</v>
      </c>
      <c r="B14" s="34" t="s">
        <v>759</v>
      </c>
      <c r="C14" s="286" t="s">
        <v>865</v>
      </c>
      <c r="D14" s="36">
        <v>0.6645833333333333</v>
      </c>
      <c r="E14" s="36">
        <v>0.66666666666666663</v>
      </c>
      <c r="F14" s="39" t="s">
        <v>0</v>
      </c>
      <c r="G14" s="34">
        <v>1</v>
      </c>
      <c r="H14" s="39">
        <v>732</v>
      </c>
      <c r="I14" s="51" t="str">
        <f>VLOOKUP(H14,'[2]Chart of accounts'!A:H,2,FALSE)</f>
        <v>50103020 01</v>
      </c>
      <c r="J14" s="39"/>
      <c r="K14" s="39"/>
      <c r="L14" s="34"/>
      <c r="M14" s="34"/>
      <c r="N14" s="34"/>
      <c r="O14" s="53" t="s">
        <v>4</v>
      </c>
      <c r="P14" s="40" t="s">
        <v>862</v>
      </c>
      <c r="Q14" s="41" t="s">
        <v>788</v>
      </c>
      <c r="R14" s="42" t="s">
        <v>789</v>
      </c>
      <c r="S14" s="42" t="s">
        <v>864</v>
      </c>
      <c r="T14" s="44">
        <v>200</v>
      </c>
      <c r="U14" s="52"/>
      <c r="V14" s="44">
        <v>200</v>
      </c>
      <c r="W14" s="44">
        <f t="shared" si="0"/>
        <v>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N14" s="44">
        <v>200</v>
      </c>
      <c r="BO14" s="44"/>
      <c r="BP14" s="49"/>
      <c r="BQ14" s="44"/>
      <c r="BR14" s="44"/>
      <c r="BS14" s="44"/>
      <c r="BT14" s="129"/>
      <c r="BU14" s="47"/>
      <c r="BV14" s="44"/>
      <c r="BW14" s="44">
        <v>200</v>
      </c>
      <c r="BX14" s="44"/>
      <c r="BY14" s="44"/>
      <c r="BZ14" s="44"/>
      <c r="CA14" s="44"/>
      <c r="CB14" s="43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 ht="41.4">
      <c r="A15" s="76">
        <v>44224</v>
      </c>
      <c r="B15" s="34" t="s">
        <v>759</v>
      </c>
      <c r="C15" s="286" t="s">
        <v>865</v>
      </c>
      <c r="D15" s="36">
        <v>0.6645833333333333</v>
      </c>
      <c r="E15" s="36">
        <v>0.66666666666666663</v>
      </c>
      <c r="F15" s="39" t="s">
        <v>0</v>
      </c>
      <c r="G15" s="34">
        <v>1</v>
      </c>
      <c r="H15" s="39">
        <v>733</v>
      </c>
      <c r="I15" s="51" t="str">
        <f>VLOOKUP(H15,'[2]Chart of accounts'!A:H,2,FALSE)</f>
        <v>50103030 01</v>
      </c>
      <c r="J15" s="39"/>
      <c r="K15" s="39"/>
      <c r="L15" s="34"/>
      <c r="M15" s="34"/>
      <c r="N15" s="34"/>
      <c r="O15" s="53" t="s">
        <v>4</v>
      </c>
      <c r="P15" s="40" t="s">
        <v>862</v>
      </c>
      <c r="Q15" s="41" t="s">
        <v>788</v>
      </c>
      <c r="R15" s="42" t="s">
        <v>789</v>
      </c>
      <c r="S15" s="42" t="s">
        <v>864</v>
      </c>
      <c r="T15" s="44">
        <v>1158.8499999999999</v>
      </c>
      <c r="U15" s="52"/>
      <c r="V15" s="44">
        <v>1158.8499999999999</v>
      </c>
      <c r="W15" s="44">
        <f t="shared" si="0"/>
        <v>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>
        <v>1158.8499999999999</v>
      </c>
      <c r="BP15" s="49"/>
      <c r="BQ15" s="44"/>
      <c r="BR15" s="44"/>
      <c r="BS15" s="44"/>
      <c r="BT15" s="129"/>
      <c r="BU15" s="47"/>
      <c r="BV15" s="44"/>
      <c r="BW15" s="44">
        <v>1158.8499999999999</v>
      </c>
      <c r="BX15" s="44"/>
      <c r="BY15" s="44"/>
      <c r="BZ15" s="44"/>
      <c r="CA15" s="44"/>
      <c r="CB15" s="43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 ht="41.4">
      <c r="A16" s="76">
        <v>44224</v>
      </c>
      <c r="B16" s="34" t="s">
        <v>759</v>
      </c>
      <c r="C16" s="286" t="s">
        <v>865</v>
      </c>
      <c r="D16" s="36">
        <v>0.6645833333333333</v>
      </c>
      <c r="E16" s="36">
        <v>0.66666666666666663</v>
      </c>
      <c r="F16" s="39" t="s">
        <v>0</v>
      </c>
      <c r="G16" s="34">
        <v>1</v>
      </c>
      <c r="H16" s="39">
        <v>734</v>
      </c>
      <c r="I16" s="51" t="str">
        <f>VLOOKUP(H16,'[2]Chart of accounts'!A:H,2,FALSE)</f>
        <v>50103040 01</v>
      </c>
      <c r="J16" s="39"/>
      <c r="K16" s="39"/>
      <c r="L16" s="34"/>
      <c r="M16" s="34"/>
      <c r="N16" s="34"/>
      <c r="O16" s="53" t="s">
        <v>4</v>
      </c>
      <c r="P16" s="40" t="s">
        <v>862</v>
      </c>
      <c r="Q16" s="41" t="s">
        <v>788</v>
      </c>
      <c r="R16" s="42" t="s">
        <v>789</v>
      </c>
      <c r="S16" s="42" t="s">
        <v>864</v>
      </c>
      <c r="T16" s="44">
        <v>200</v>
      </c>
      <c r="U16" s="52"/>
      <c r="V16" s="44">
        <v>200</v>
      </c>
      <c r="W16" s="44">
        <f t="shared" si="0"/>
        <v>0</v>
      </c>
      <c r="X16" s="45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P16" s="44">
        <v>200</v>
      </c>
      <c r="BQ16" s="44"/>
      <c r="BR16" s="44"/>
      <c r="BS16" s="44"/>
      <c r="BT16" s="129"/>
      <c r="BU16" s="47"/>
      <c r="BV16" s="44"/>
      <c r="BW16" s="44">
        <v>200</v>
      </c>
      <c r="BX16" s="44"/>
      <c r="BY16" s="44"/>
      <c r="BZ16" s="44"/>
      <c r="CA16" s="44"/>
      <c r="CB16" s="43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 ht="41.4">
      <c r="A17" s="76">
        <v>44224</v>
      </c>
      <c r="B17" s="34" t="s">
        <v>759</v>
      </c>
      <c r="C17" s="286" t="s">
        <v>866</v>
      </c>
      <c r="D17" s="36">
        <v>0.66666666666666663</v>
      </c>
      <c r="E17" s="36">
        <v>0.6694444444444444</v>
      </c>
      <c r="F17" s="39" t="s">
        <v>0</v>
      </c>
      <c r="G17" s="34">
        <v>1</v>
      </c>
      <c r="H17" s="39">
        <v>706</v>
      </c>
      <c r="I17" s="51" t="str">
        <f>VLOOKUP(H17,'[2]Chart of accounts'!A:H,2,FALSE)</f>
        <v>50101020 00</v>
      </c>
      <c r="J17" s="39"/>
      <c r="K17" s="39"/>
      <c r="L17" s="34"/>
      <c r="M17" s="34"/>
      <c r="N17" s="34"/>
      <c r="O17" s="53" t="s">
        <v>4</v>
      </c>
      <c r="P17" s="40" t="s">
        <v>862</v>
      </c>
      <c r="Q17" s="41" t="s">
        <v>776</v>
      </c>
      <c r="R17" s="42" t="s">
        <v>867</v>
      </c>
      <c r="S17" s="42" t="s">
        <v>864</v>
      </c>
      <c r="T17" s="44">
        <v>33575</v>
      </c>
      <c r="U17" s="52"/>
      <c r="V17" s="44">
        <v>33575</v>
      </c>
      <c r="W17" s="44">
        <f t="shared" si="0"/>
        <v>0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4">
        <v>33575</v>
      </c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129"/>
      <c r="BU17" s="47"/>
      <c r="BV17" s="44"/>
      <c r="BW17" s="44">
        <v>33575</v>
      </c>
      <c r="BX17" s="44"/>
      <c r="BY17" s="44"/>
      <c r="BZ17" s="44"/>
      <c r="CA17" s="44"/>
      <c r="CB17" s="43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41.4">
      <c r="A18" s="76">
        <v>44224</v>
      </c>
      <c r="B18" s="34" t="s">
        <v>759</v>
      </c>
      <c r="C18" s="286" t="s">
        <v>866</v>
      </c>
      <c r="D18" s="36">
        <v>0.66666666666666663</v>
      </c>
      <c r="E18" s="36">
        <v>0.6694444444444444</v>
      </c>
      <c r="F18" s="39" t="s">
        <v>0</v>
      </c>
      <c r="G18" s="34">
        <v>1</v>
      </c>
      <c r="H18" s="39">
        <v>711</v>
      </c>
      <c r="I18" s="51" t="str">
        <f>VLOOKUP(H18,'[2]Chart of accounts'!A:H,2,FALSE)</f>
        <v>50102010 01</v>
      </c>
      <c r="J18" s="39"/>
      <c r="K18" s="39"/>
      <c r="L18" s="34"/>
      <c r="M18" s="34"/>
      <c r="N18" s="34"/>
      <c r="O18" s="53" t="s">
        <v>4</v>
      </c>
      <c r="P18" s="40" t="s">
        <v>862</v>
      </c>
      <c r="Q18" s="41" t="s">
        <v>776</v>
      </c>
      <c r="R18" s="42" t="s">
        <v>867</v>
      </c>
      <c r="S18" s="42" t="s">
        <v>864</v>
      </c>
      <c r="T18" s="44">
        <v>2000</v>
      </c>
      <c r="U18" s="52"/>
      <c r="V18" s="44">
        <v>2000</v>
      </c>
      <c r="W18" s="44">
        <f t="shared" si="0"/>
        <v>0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E18" s="44">
        <v>2000</v>
      </c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129"/>
      <c r="BU18" s="47"/>
      <c r="BV18" s="44"/>
      <c r="BW18" s="44">
        <v>2000</v>
      </c>
      <c r="BX18" s="44"/>
      <c r="BY18" s="44"/>
      <c r="BZ18" s="44"/>
      <c r="CA18" s="44"/>
      <c r="CB18" s="43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41.4">
      <c r="A19" s="76">
        <v>44224</v>
      </c>
      <c r="B19" s="34" t="s">
        <v>759</v>
      </c>
      <c r="C19" s="286" t="s">
        <v>866</v>
      </c>
      <c r="D19" s="36">
        <v>0.66666666666666663</v>
      </c>
      <c r="E19" s="36">
        <v>0.6694444444444444</v>
      </c>
      <c r="F19" s="39" t="s">
        <v>0</v>
      </c>
      <c r="G19" s="34">
        <v>1</v>
      </c>
      <c r="H19" s="39">
        <v>731</v>
      </c>
      <c r="I19" s="51" t="str">
        <f>VLOOKUP(H19,'[2]Chart of accounts'!A:H,2,FALSE)</f>
        <v>50103010 00</v>
      </c>
      <c r="J19" s="39"/>
      <c r="K19" s="39"/>
      <c r="L19" s="34"/>
      <c r="M19" s="34"/>
      <c r="N19" s="34"/>
      <c r="O19" s="53" t="s">
        <v>4</v>
      </c>
      <c r="P19" s="40" t="s">
        <v>862</v>
      </c>
      <c r="Q19" s="41" t="s">
        <v>776</v>
      </c>
      <c r="R19" s="42" t="s">
        <v>867</v>
      </c>
      <c r="S19" s="42" t="s">
        <v>864</v>
      </c>
      <c r="T19" s="44">
        <v>4029</v>
      </c>
      <c r="U19" s="52"/>
      <c r="V19" s="44">
        <v>4029</v>
      </c>
      <c r="W19" s="44">
        <f t="shared" si="0"/>
        <v>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F19" s="44"/>
      <c r="BG19" s="44"/>
      <c r="BH19" s="44"/>
      <c r="BI19" s="44"/>
      <c r="BJ19" s="44"/>
      <c r="BK19" s="44"/>
      <c r="BL19" s="44"/>
      <c r="BM19" s="44">
        <v>4029</v>
      </c>
      <c r="BN19" s="44"/>
      <c r="BO19" s="44"/>
      <c r="BP19" s="49"/>
      <c r="BQ19" s="44"/>
      <c r="BR19" s="44"/>
      <c r="BS19" s="44"/>
      <c r="BT19" s="129"/>
      <c r="BU19" s="47"/>
      <c r="BV19" s="44"/>
      <c r="BW19" s="44">
        <v>4029</v>
      </c>
      <c r="BX19" s="44"/>
      <c r="BY19" s="44"/>
      <c r="BZ19" s="44"/>
      <c r="CA19" s="44"/>
      <c r="CB19" s="43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41.4">
      <c r="A20" s="76">
        <v>44224</v>
      </c>
      <c r="B20" s="34" t="s">
        <v>759</v>
      </c>
      <c r="C20" s="286" t="s">
        <v>866</v>
      </c>
      <c r="D20" s="36">
        <v>0.66666666666666663</v>
      </c>
      <c r="E20" s="36">
        <v>0.6694444444444444</v>
      </c>
      <c r="F20" s="39" t="s">
        <v>0</v>
      </c>
      <c r="G20" s="34">
        <v>1</v>
      </c>
      <c r="H20" s="39">
        <v>732</v>
      </c>
      <c r="I20" s="51" t="str">
        <f>VLOOKUP(H20,'[2]Chart of accounts'!A:H,2,FALSE)</f>
        <v>50103020 01</v>
      </c>
      <c r="J20" s="39"/>
      <c r="K20" s="39"/>
      <c r="L20" s="34"/>
      <c r="M20" s="34"/>
      <c r="N20" s="34"/>
      <c r="O20" s="53" t="s">
        <v>4</v>
      </c>
      <c r="P20" s="40" t="s">
        <v>862</v>
      </c>
      <c r="Q20" s="41" t="s">
        <v>776</v>
      </c>
      <c r="R20" s="42" t="s">
        <v>867</v>
      </c>
      <c r="S20" s="42" t="s">
        <v>864</v>
      </c>
      <c r="T20" s="44">
        <v>100</v>
      </c>
      <c r="U20" s="52"/>
      <c r="V20" s="44">
        <v>100</v>
      </c>
      <c r="W20" s="44">
        <f t="shared" si="0"/>
        <v>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F20" s="44"/>
      <c r="BG20" s="44"/>
      <c r="BH20" s="44"/>
      <c r="BI20" s="44"/>
      <c r="BJ20" s="44"/>
      <c r="BK20" s="44"/>
      <c r="BL20" s="44"/>
      <c r="BN20" s="44">
        <v>100</v>
      </c>
      <c r="BO20" s="44"/>
      <c r="BP20" s="49"/>
      <c r="BQ20" s="44"/>
      <c r="BR20" s="44"/>
      <c r="BS20" s="44"/>
      <c r="BT20" s="129"/>
      <c r="BU20" s="47"/>
      <c r="BV20" s="44"/>
      <c r="BW20" s="44">
        <v>100</v>
      </c>
      <c r="BX20" s="44"/>
      <c r="BY20" s="44"/>
      <c r="BZ20" s="44"/>
      <c r="CA20" s="44"/>
      <c r="CB20" s="43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41.4">
      <c r="A21" s="76">
        <v>44224</v>
      </c>
      <c r="B21" s="34" t="s">
        <v>759</v>
      </c>
      <c r="C21" s="286" t="s">
        <v>866</v>
      </c>
      <c r="D21" s="36">
        <v>0.66666666666666663</v>
      </c>
      <c r="E21" s="36">
        <v>0.6694444444444444</v>
      </c>
      <c r="F21" s="39" t="s">
        <v>0</v>
      </c>
      <c r="G21" s="34">
        <v>1</v>
      </c>
      <c r="H21" s="39">
        <v>733</v>
      </c>
      <c r="I21" s="51" t="str">
        <f>VLOOKUP(H21,'[2]Chart of accounts'!A:H,2,FALSE)</f>
        <v>50103030 01</v>
      </c>
      <c r="J21" s="39"/>
      <c r="K21" s="39"/>
      <c r="L21" s="34"/>
      <c r="M21" s="34"/>
      <c r="N21" s="34"/>
      <c r="O21" s="53" t="s">
        <v>4</v>
      </c>
      <c r="P21" s="40" t="s">
        <v>862</v>
      </c>
      <c r="Q21" s="41" t="s">
        <v>776</v>
      </c>
      <c r="R21" s="42" t="s">
        <v>867</v>
      </c>
      <c r="S21" s="42" t="s">
        <v>864</v>
      </c>
      <c r="T21" s="44">
        <v>503.63</v>
      </c>
      <c r="U21" s="52"/>
      <c r="V21" s="44">
        <v>503.63</v>
      </c>
      <c r="W21" s="44">
        <f t="shared" si="0"/>
        <v>0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F21" s="44"/>
      <c r="BG21" s="44"/>
      <c r="BH21" s="44"/>
      <c r="BI21" s="44"/>
      <c r="BJ21" s="44"/>
      <c r="BK21" s="44"/>
      <c r="BL21" s="44"/>
      <c r="BO21" s="44">
        <v>503.63</v>
      </c>
      <c r="BP21" s="49"/>
      <c r="BQ21" s="44"/>
      <c r="BR21" s="44"/>
      <c r="BS21" s="44"/>
      <c r="BT21" s="129"/>
      <c r="BU21" s="47"/>
      <c r="BV21" s="44"/>
      <c r="BW21" s="44">
        <v>503.63</v>
      </c>
      <c r="BX21" s="44"/>
      <c r="BY21" s="44"/>
      <c r="BZ21" s="44"/>
      <c r="CA21" s="44"/>
      <c r="CB21" s="43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41.4">
      <c r="A22" s="76">
        <v>44224</v>
      </c>
      <c r="B22" s="34" t="s">
        <v>759</v>
      </c>
      <c r="C22" s="286" t="s">
        <v>866</v>
      </c>
      <c r="D22" s="36">
        <v>0.66666666666666663</v>
      </c>
      <c r="E22" s="36">
        <v>0.6694444444444444</v>
      </c>
      <c r="F22" s="39" t="s">
        <v>0</v>
      </c>
      <c r="G22" s="34">
        <v>1</v>
      </c>
      <c r="H22" s="39">
        <v>734</v>
      </c>
      <c r="I22" s="51" t="str">
        <f>VLOOKUP(H22,'[2]Chart of accounts'!A:H,2,FALSE)</f>
        <v>50103040 01</v>
      </c>
      <c r="J22" s="39"/>
      <c r="K22" s="39"/>
      <c r="L22" s="34"/>
      <c r="M22" s="34"/>
      <c r="N22" s="34"/>
      <c r="O22" s="53" t="s">
        <v>4</v>
      </c>
      <c r="P22" s="40" t="s">
        <v>862</v>
      </c>
      <c r="Q22" s="41" t="s">
        <v>776</v>
      </c>
      <c r="R22" s="42" t="s">
        <v>867</v>
      </c>
      <c r="S22" s="42" t="s">
        <v>864</v>
      </c>
      <c r="T22" s="44">
        <v>100</v>
      </c>
      <c r="U22" s="52"/>
      <c r="V22" s="44">
        <v>100</v>
      </c>
      <c r="W22" s="44">
        <f t="shared" si="0"/>
        <v>0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F22" s="44"/>
      <c r="BG22" s="44"/>
      <c r="BH22" s="44"/>
      <c r="BI22" s="44"/>
      <c r="BJ22" s="44"/>
      <c r="BK22" s="44"/>
      <c r="BL22" s="44"/>
      <c r="BP22" s="44">
        <v>100</v>
      </c>
      <c r="BQ22" s="44"/>
      <c r="BR22" s="44"/>
      <c r="BS22" s="44"/>
      <c r="BT22" s="129"/>
      <c r="BU22" s="47"/>
      <c r="BV22" s="44"/>
      <c r="BW22" s="44">
        <v>100</v>
      </c>
      <c r="BX22" s="44"/>
      <c r="BY22" s="44"/>
      <c r="BZ22" s="44"/>
      <c r="CA22" s="44"/>
      <c r="CB22" s="43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41.4">
      <c r="A23" s="76">
        <v>44224</v>
      </c>
      <c r="B23" s="34" t="s">
        <v>759</v>
      </c>
      <c r="C23" s="286" t="s">
        <v>868</v>
      </c>
      <c r="D23" s="36">
        <v>0.6694444444444444</v>
      </c>
      <c r="E23" s="36">
        <v>0.67152777777777783</v>
      </c>
      <c r="F23" s="39" t="s">
        <v>0</v>
      </c>
      <c r="G23" s="34">
        <v>1</v>
      </c>
      <c r="H23" s="39">
        <v>706</v>
      </c>
      <c r="I23" s="51" t="str">
        <f>VLOOKUP(H23,'[2]Chart of accounts'!A:H,2,FALSE)</f>
        <v>50101020 00</v>
      </c>
      <c r="J23" s="39"/>
      <c r="K23" s="39"/>
      <c r="L23" s="34"/>
      <c r="M23" s="34"/>
      <c r="N23" s="34"/>
      <c r="O23" s="53" t="s">
        <v>4</v>
      </c>
      <c r="P23" s="40" t="s">
        <v>862</v>
      </c>
      <c r="Q23" s="41" t="s">
        <v>769</v>
      </c>
      <c r="R23" s="42" t="s">
        <v>869</v>
      </c>
      <c r="S23" s="42" t="s">
        <v>864</v>
      </c>
      <c r="T23" s="44">
        <v>33575</v>
      </c>
      <c r="U23" s="52"/>
      <c r="V23" s="44">
        <v>33575</v>
      </c>
      <c r="W23" s="44">
        <f t="shared" si="0"/>
        <v>0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4">
        <v>33575</v>
      </c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129"/>
      <c r="BU23" s="47"/>
      <c r="BV23" s="44"/>
      <c r="BW23" s="44">
        <v>33575</v>
      </c>
      <c r="BX23" s="44"/>
      <c r="BY23" s="44"/>
      <c r="BZ23" s="44"/>
      <c r="CA23" s="44"/>
      <c r="CB23" s="43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41.4">
      <c r="A24" s="76">
        <v>44224</v>
      </c>
      <c r="B24" s="34" t="s">
        <v>759</v>
      </c>
      <c r="C24" s="286" t="s">
        <v>868</v>
      </c>
      <c r="D24" s="36">
        <v>0.6694444444444444</v>
      </c>
      <c r="E24" s="36">
        <v>0.67152777777777783</v>
      </c>
      <c r="F24" s="39" t="s">
        <v>0</v>
      </c>
      <c r="G24" s="34">
        <v>1</v>
      </c>
      <c r="H24" s="39">
        <v>711</v>
      </c>
      <c r="I24" s="51" t="str">
        <f>VLOOKUP(H24,'[2]Chart of accounts'!A:H,2,FALSE)</f>
        <v>50102010 01</v>
      </c>
      <c r="J24" s="39"/>
      <c r="K24" s="39"/>
      <c r="L24" s="34"/>
      <c r="M24" s="34"/>
      <c r="N24" s="34"/>
      <c r="O24" s="53" t="s">
        <v>4</v>
      </c>
      <c r="P24" s="40" t="s">
        <v>862</v>
      </c>
      <c r="Q24" s="41" t="s">
        <v>769</v>
      </c>
      <c r="R24" s="42" t="s">
        <v>869</v>
      </c>
      <c r="S24" s="42" t="s">
        <v>864</v>
      </c>
      <c r="T24" s="44">
        <v>2000</v>
      </c>
      <c r="U24" s="52"/>
      <c r="V24" s="44">
        <v>2000</v>
      </c>
      <c r="W24" s="44">
        <f t="shared" si="0"/>
        <v>0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E24" s="44">
        <v>2000</v>
      </c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129"/>
      <c r="BU24" s="47"/>
      <c r="BV24" s="44"/>
      <c r="BW24" s="44">
        <v>2000</v>
      </c>
      <c r="BX24" s="44"/>
      <c r="BY24" s="44"/>
      <c r="BZ24" s="44"/>
      <c r="CA24" s="44"/>
      <c r="CB24" s="43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41.4">
      <c r="A25" s="76">
        <v>44224</v>
      </c>
      <c r="B25" s="34" t="s">
        <v>759</v>
      </c>
      <c r="C25" s="286" t="s">
        <v>868</v>
      </c>
      <c r="D25" s="36">
        <v>0.6694444444444444</v>
      </c>
      <c r="E25" s="36">
        <v>0.67152777777777783</v>
      </c>
      <c r="F25" s="39" t="s">
        <v>0</v>
      </c>
      <c r="G25" s="34">
        <v>1</v>
      </c>
      <c r="H25" s="39">
        <v>731</v>
      </c>
      <c r="I25" s="51" t="str">
        <f>VLOOKUP(H25,'[2]Chart of accounts'!A:H,2,FALSE)</f>
        <v>50103010 00</v>
      </c>
      <c r="J25" s="39"/>
      <c r="K25" s="39"/>
      <c r="L25" s="34"/>
      <c r="M25" s="34"/>
      <c r="N25" s="34"/>
      <c r="O25" s="53" t="s">
        <v>4</v>
      </c>
      <c r="P25" s="40" t="s">
        <v>862</v>
      </c>
      <c r="Q25" s="41" t="s">
        <v>769</v>
      </c>
      <c r="R25" s="42" t="s">
        <v>869</v>
      </c>
      <c r="S25" s="42" t="s">
        <v>864</v>
      </c>
      <c r="T25" s="44">
        <v>4029</v>
      </c>
      <c r="U25" s="52"/>
      <c r="V25" s="44">
        <v>4029</v>
      </c>
      <c r="W25" s="44">
        <f t="shared" si="0"/>
        <v>0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F25" s="44"/>
      <c r="BG25" s="44"/>
      <c r="BH25" s="44"/>
      <c r="BI25" s="44"/>
      <c r="BJ25" s="44"/>
      <c r="BK25" s="44"/>
      <c r="BL25" s="44"/>
      <c r="BM25" s="44">
        <v>4029</v>
      </c>
      <c r="BN25" s="44"/>
      <c r="BO25" s="44"/>
      <c r="BP25" s="49"/>
      <c r="BQ25" s="44"/>
      <c r="BR25" s="44"/>
      <c r="BS25" s="44"/>
      <c r="BT25" s="129"/>
      <c r="BU25" s="47"/>
      <c r="BV25" s="44"/>
      <c r="BW25" s="44">
        <v>4029</v>
      </c>
      <c r="BX25" s="44"/>
      <c r="BY25" s="44"/>
      <c r="BZ25" s="44"/>
      <c r="CA25" s="44"/>
      <c r="CB25" s="43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41.4">
      <c r="A26" s="76">
        <v>44224</v>
      </c>
      <c r="B26" s="34" t="s">
        <v>759</v>
      </c>
      <c r="C26" s="286" t="s">
        <v>868</v>
      </c>
      <c r="D26" s="36">
        <v>0.6694444444444444</v>
      </c>
      <c r="E26" s="36">
        <v>0.67152777777777783</v>
      </c>
      <c r="F26" s="39" t="s">
        <v>0</v>
      </c>
      <c r="G26" s="34">
        <v>1</v>
      </c>
      <c r="H26" s="39">
        <v>732</v>
      </c>
      <c r="I26" s="51" t="str">
        <f>VLOOKUP(H26,'[2]Chart of accounts'!A:H,2,FALSE)</f>
        <v>50103020 01</v>
      </c>
      <c r="J26" s="39"/>
      <c r="K26" s="39"/>
      <c r="L26" s="34"/>
      <c r="M26" s="34"/>
      <c r="N26" s="34"/>
      <c r="O26" s="53" t="s">
        <v>4</v>
      </c>
      <c r="P26" s="40" t="s">
        <v>862</v>
      </c>
      <c r="Q26" s="41" t="s">
        <v>769</v>
      </c>
      <c r="R26" s="42" t="s">
        <v>869</v>
      </c>
      <c r="S26" s="42" t="s">
        <v>864</v>
      </c>
      <c r="T26" s="44">
        <v>100</v>
      </c>
      <c r="U26" s="52"/>
      <c r="V26" s="44">
        <v>100</v>
      </c>
      <c r="W26" s="44">
        <f t="shared" si="0"/>
        <v>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F26" s="44"/>
      <c r="BG26" s="44"/>
      <c r="BH26" s="44"/>
      <c r="BI26" s="44"/>
      <c r="BJ26" s="44"/>
      <c r="BK26" s="44"/>
      <c r="BL26" s="44"/>
      <c r="BN26" s="44">
        <v>100</v>
      </c>
      <c r="BO26" s="44"/>
      <c r="BP26" s="49"/>
      <c r="BQ26" s="44"/>
      <c r="BR26" s="44"/>
      <c r="BS26" s="44"/>
      <c r="BT26" s="129"/>
      <c r="BU26" s="47"/>
      <c r="BV26" s="44"/>
      <c r="BW26" s="44">
        <v>100</v>
      </c>
      <c r="BX26" s="44"/>
      <c r="BY26" s="44"/>
      <c r="BZ26" s="44"/>
      <c r="CA26" s="44"/>
      <c r="CB26" s="43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41.4">
      <c r="A27" s="76">
        <v>44224</v>
      </c>
      <c r="B27" s="34" t="s">
        <v>759</v>
      </c>
      <c r="C27" s="286" t="s">
        <v>868</v>
      </c>
      <c r="D27" s="36">
        <v>0.6694444444444444</v>
      </c>
      <c r="E27" s="36">
        <v>0.67152777777777783</v>
      </c>
      <c r="F27" s="39" t="s">
        <v>0</v>
      </c>
      <c r="G27" s="34">
        <v>1</v>
      </c>
      <c r="H27" s="39">
        <v>733</v>
      </c>
      <c r="I27" s="51" t="str">
        <f>VLOOKUP(H27,'[2]Chart of accounts'!A:H,2,FALSE)</f>
        <v>50103030 01</v>
      </c>
      <c r="J27" s="39"/>
      <c r="K27" s="39"/>
      <c r="L27" s="34"/>
      <c r="M27" s="34"/>
      <c r="N27" s="34"/>
      <c r="O27" s="53" t="s">
        <v>4</v>
      </c>
      <c r="P27" s="40" t="s">
        <v>862</v>
      </c>
      <c r="Q27" s="41" t="s">
        <v>769</v>
      </c>
      <c r="R27" s="42" t="s">
        <v>869</v>
      </c>
      <c r="S27" s="42" t="s">
        <v>864</v>
      </c>
      <c r="T27" s="44">
        <v>503.63</v>
      </c>
      <c r="U27" s="52"/>
      <c r="V27" s="44">
        <v>503.63</v>
      </c>
      <c r="W27" s="44">
        <f t="shared" si="0"/>
        <v>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F27" s="44"/>
      <c r="BG27" s="44"/>
      <c r="BH27" s="44"/>
      <c r="BI27" s="44"/>
      <c r="BJ27" s="44"/>
      <c r="BK27" s="44"/>
      <c r="BL27" s="44"/>
      <c r="BO27" s="44">
        <v>503.63</v>
      </c>
      <c r="BP27" s="49"/>
      <c r="BQ27" s="44"/>
      <c r="BR27" s="44"/>
      <c r="BS27" s="44"/>
      <c r="BT27" s="129"/>
      <c r="BU27" s="47"/>
      <c r="BV27" s="44"/>
      <c r="BW27" s="44">
        <v>503.63</v>
      </c>
      <c r="BX27" s="44"/>
      <c r="BY27" s="44"/>
      <c r="BZ27" s="44"/>
      <c r="CA27" s="44"/>
      <c r="CB27" s="43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41.4">
      <c r="A28" s="76">
        <v>44224</v>
      </c>
      <c r="B28" s="34" t="s">
        <v>759</v>
      </c>
      <c r="C28" s="286" t="s">
        <v>868</v>
      </c>
      <c r="D28" s="36">
        <v>0.6694444444444444</v>
      </c>
      <c r="E28" s="36">
        <v>0.67152777777777783</v>
      </c>
      <c r="F28" s="39" t="s">
        <v>0</v>
      </c>
      <c r="G28" s="34">
        <v>1</v>
      </c>
      <c r="H28" s="39">
        <v>734</v>
      </c>
      <c r="I28" s="51" t="str">
        <f>VLOOKUP(H28,'[2]Chart of accounts'!A:H,2,FALSE)</f>
        <v>50103040 01</v>
      </c>
      <c r="J28" s="39"/>
      <c r="K28" s="39"/>
      <c r="L28" s="34"/>
      <c r="M28" s="34"/>
      <c r="N28" s="34"/>
      <c r="O28" s="53" t="s">
        <v>4</v>
      </c>
      <c r="P28" s="40" t="s">
        <v>862</v>
      </c>
      <c r="Q28" s="41" t="s">
        <v>769</v>
      </c>
      <c r="R28" s="42" t="s">
        <v>869</v>
      </c>
      <c r="S28" s="42" t="s">
        <v>864</v>
      </c>
      <c r="T28" s="44">
        <v>100</v>
      </c>
      <c r="U28" s="52"/>
      <c r="V28" s="44">
        <v>100</v>
      </c>
      <c r="W28" s="44">
        <f t="shared" si="0"/>
        <v>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F28" s="44"/>
      <c r="BG28" s="44"/>
      <c r="BH28" s="44"/>
      <c r="BI28" s="44"/>
      <c r="BJ28" s="44"/>
      <c r="BK28" s="44"/>
      <c r="BL28" s="44"/>
      <c r="BP28" s="44">
        <v>100</v>
      </c>
      <c r="BQ28" s="44"/>
      <c r="BR28" s="44"/>
      <c r="BS28" s="44"/>
      <c r="BT28" s="129"/>
      <c r="BU28" s="47"/>
      <c r="BV28" s="44"/>
      <c r="BW28" s="44">
        <v>100</v>
      </c>
      <c r="BX28" s="44"/>
      <c r="BY28" s="44"/>
      <c r="BZ28" s="44"/>
      <c r="CA28" s="44"/>
      <c r="CB28" s="43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41.4">
      <c r="A29" s="76">
        <v>44224</v>
      </c>
      <c r="B29" s="34" t="s">
        <v>759</v>
      </c>
      <c r="C29" s="286" t="s">
        <v>870</v>
      </c>
      <c r="D29" s="36">
        <v>0.67152777777777783</v>
      </c>
      <c r="E29" s="36">
        <v>0.6743055555555556</v>
      </c>
      <c r="F29" s="39" t="s">
        <v>0</v>
      </c>
      <c r="G29" s="34">
        <v>1</v>
      </c>
      <c r="H29" s="39">
        <v>706</v>
      </c>
      <c r="I29" s="51" t="str">
        <f>VLOOKUP(H29,'[2]Chart of accounts'!A:H,2,FALSE)</f>
        <v>50101020 00</v>
      </c>
      <c r="J29" s="39"/>
      <c r="K29" s="39"/>
      <c r="L29" s="34"/>
      <c r="M29" s="34"/>
      <c r="N29" s="34"/>
      <c r="O29" s="53" t="s">
        <v>4</v>
      </c>
      <c r="P29" s="40" t="s">
        <v>862</v>
      </c>
      <c r="Q29" s="41" t="s">
        <v>771</v>
      </c>
      <c r="R29" s="42" t="s">
        <v>768</v>
      </c>
      <c r="S29" s="42" t="s">
        <v>864</v>
      </c>
      <c r="T29" s="44">
        <v>77256</v>
      </c>
      <c r="U29" s="52"/>
      <c r="V29" s="44">
        <v>77256</v>
      </c>
      <c r="W29" s="44">
        <f t="shared" si="0"/>
        <v>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4">
        <v>77256</v>
      </c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129"/>
      <c r="BU29" s="47"/>
      <c r="BV29" s="44"/>
      <c r="BW29" s="44">
        <v>77256</v>
      </c>
      <c r="BX29" s="44"/>
      <c r="BY29" s="44"/>
      <c r="BZ29" s="44"/>
      <c r="CA29" s="44"/>
      <c r="CB29" s="43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41.4">
      <c r="A30" s="76">
        <v>44224</v>
      </c>
      <c r="B30" s="34" t="s">
        <v>759</v>
      </c>
      <c r="C30" s="286" t="s">
        <v>870</v>
      </c>
      <c r="D30" s="36">
        <v>0.67152777777777783</v>
      </c>
      <c r="E30" s="36">
        <v>0.6743055555555556</v>
      </c>
      <c r="F30" s="39" t="s">
        <v>0</v>
      </c>
      <c r="G30" s="34">
        <v>1</v>
      </c>
      <c r="H30" s="39">
        <v>711</v>
      </c>
      <c r="I30" s="51" t="str">
        <f>VLOOKUP(H30,'[2]Chart of accounts'!A:H,2,FALSE)</f>
        <v>50102010 01</v>
      </c>
      <c r="J30" s="39"/>
      <c r="K30" s="39"/>
      <c r="L30" s="34"/>
      <c r="M30" s="34"/>
      <c r="N30" s="34"/>
      <c r="O30" s="53" t="s">
        <v>4</v>
      </c>
      <c r="P30" s="40" t="s">
        <v>862</v>
      </c>
      <c r="Q30" s="41" t="s">
        <v>771</v>
      </c>
      <c r="R30" s="42" t="s">
        <v>768</v>
      </c>
      <c r="S30" s="42" t="s">
        <v>864</v>
      </c>
      <c r="T30" s="44">
        <v>4000</v>
      </c>
      <c r="U30" s="52"/>
      <c r="V30" s="44">
        <v>4000</v>
      </c>
      <c r="W30" s="44">
        <f t="shared" si="0"/>
        <v>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E30" s="44">
        <v>4000</v>
      </c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129"/>
      <c r="BU30" s="47"/>
      <c r="BV30" s="44"/>
      <c r="BW30" s="44">
        <v>4000</v>
      </c>
      <c r="BX30" s="44"/>
      <c r="BY30" s="44"/>
      <c r="BZ30" s="44"/>
      <c r="CA30" s="44"/>
      <c r="CB30" s="43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44224</v>
      </c>
      <c r="B31" s="34" t="s">
        <v>759</v>
      </c>
      <c r="C31" s="286" t="s">
        <v>870</v>
      </c>
      <c r="D31" s="36">
        <v>0.67152777777777783</v>
      </c>
      <c r="E31" s="36">
        <v>0.6743055555555556</v>
      </c>
      <c r="F31" s="39" t="s">
        <v>0</v>
      </c>
      <c r="G31" s="34">
        <v>1</v>
      </c>
      <c r="H31" s="39">
        <v>731</v>
      </c>
      <c r="I31" s="51" t="str">
        <f>VLOOKUP(H31,'[2]Chart of accounts'!A:H,2,FALSE)</f>
        <v>50103010 00</v>
      </c>
      <c r="J31" s="39"/>
      <c r="K31" s="39"/>
      <c r="L31" s="34"/>
      <c r="M31" s="34"/>
      <c r="N31" s="34"/>
      <c r="O31" s="53" t="s">
        <v>4</v>
      </c>
      <c r="P31" s="40" t="s">
        <v>862</v>
      </c>
      <c r="Q31" s="41" t="s">
        <v>771</v>
      </c>
      <c r="R31" s="42" t="s">
        <v>768</v>
      </c>
      <c r="S31" s="42" t="s">
        <v>864</v>
      </c>
      <c r="T31" s="44">
        <v>9270.7199999999993</v>
      </c>
      <c r="U31" s="52"/>
      <c r="V31" s="44">
        <v>9270.7199999999993</v>
      </c>
      <c r="W31" s="44">
        <f t="shared" si="0"/>
        <v>0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>
        <v>9270.7199999999993</v>
      </c>
      <c r="BN31" s="44"/>
      <c r="BO31" s="44"/>
      <c r="BP31" s="49"/>
      <c r="BQ31" s="44"/>
      <c r="BR31" s="44"/>
      <c r="BS31" s="44"/>
      <c r="BT31" s="129"/>
      <c r="BU31" s="47"/>
      <c r="BV31" s="44"/>
      <c r="BW31" s="44">
        <v>9270.7199999999993</v>
      </c>
      <c r="BX31" s="44"/>
      <c r="BY31" s="44"/>
      <c r="BZ31" s="44"/>
      <c r="CA31" s="44"/>
      <c r="CB31" s="43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44224</v>
      </c>
      <c r="B32" s="34" t="s">
        <v>759</v>
      </c>
      <c r="C32" s="286" t="s">
        <v>870</v>
      </c>
      <c r="D32" s="36">
        <v>0.67152777777777783</v>
      </c>
      <c r="E32" s="36">
        <v>0.6743055555555556</v>
      </c>
      <c r="F32" s="39" t="s">
        <v>0</v>
      </c>
      <c r="G32" s="34">
        <v>1</v>
      </c>
      <c r="H32" s="39">
        <v>732</v>
      </c>
      <c r="I32" s="51" t="str">
        <f>VLOOKUP(H32,'[2]Chart of accounts'!A:H,2,FALSE)</f>
        <v>50103020 01</v>
      </c>
      <c r="J32" s="39"/>
      <c r="K32" s="39"/>
      <c r="L32" s="34"/>
      <c r="M32" s="34"/>
      <c r="N32" s="34"/>
      <c r="O32" s="53" t="s">
        <v>4</v>
      </c>
      <c r="P32" s="40" t="s">
        <v>862</v>
      </c>
      <c r="Q32" s="41" t="s">
        <v>771</v>
      </c>
      <c r="R32" s="42" t="s">
        <v>768</v>
      </c>
      <c r="S32" s="42" t="s">
        <v>864</v>
      </c>
      <c r="T32" s="44">
        <v>200</v>
      </c>
      <c r="U32" s="52"/>
      <c r="V32" s="44">
        <v>200</v>
      </c>
      <c r="W32" s="44">
        <f t="shared" si="0"/>
        <v>0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N32" s="44">
        <v>200</v>
      </c>
      <c r="BO32" s="44"/>
      <c r="BP32" s="49"/>
      <c r="BQ32" s="44"/>
      <c r="BR32" s="44"/>
      <c r="BS32" s="44"/>
      <c r="BT32" s="129"/>
      <c r="BU32" s="47"/>
      <c r="BV32" s="44"/>
      <c r="BW32" s="44">
        <v>200</v>
      </c>
      <c r="BX32" s="44"/>
      <c r="BY32" s="44"/>
      <c r="BZ32" s="44"/>
      <c r="CA32" s="44"/>
      <c r="CB32" s="43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41.4">
      <c r="A33" s="76">
        <v>44224</v>
      </c>
      <c r="B33" s="34" t="s">
        <v>759</v>
      </c>
      <c r="C33" s="286" t="s">
        <v>870</v>
      </c>
      <c r="D33" s="36">
        <v>0.67152777777777783</v>
      </c>
      <c r="E33" s="36">
        <v>0.6743055555555556</v>
      </c>
      <c r="F33" s="39" t="s">
        <v>0</v>
      </c>
      <c r="G33" s="34">
        <v>1</v>
      </c>
      <c r="H33" s="39">
        <v>733</v>
      </c>
      <c r="I33" s="51" t="str">
        <f>VLOOKUP(H33,'[2]Chart of accounts'!A:H,2,FALSE)</f>
        <v>50103030 01</v>
      </c>
      <c r="J33" s="39"/>
      <c r="K33" s="39"/>
      <c r="L33" s="34"/>
      <c r="M33" s="34"/>
      <c r="N33" s="34"/>
      <c r="O33" s="53" t="s">
        <v>4</v>
      </c>
      <c r="P33" s="40" t="s">
        <v>862</v>
      </c>
      <c r="Q33" s="41" t="s">
        <v>771</v>
      </c>
      <c r="R33" s="42" t="s">
        <v>768</v>
      </c>
      <c r="S33" s="42" t="s">
        <v>864</v>
      </c>
      <c r="T33" s="44">
        <v>1158.8499999999999</v>
      </c>
      <c r="U33" s="52"/>
      <c r="V33" s="44">
        <v>1158.8499999999999</v>
      </c>
      <c r="W33" s="44">
        <f t="shared" si="0"/>
        <v>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>
        <v>1158.8499999999999</v>
      </c>
      <c r="BP33" s="49"/>
      <c r="BQ33" s="44"/>
      <c r="BR33" s="44"/>
      <c r="BS33" s="44"/>
      <c r="BT33" s="129"/>
      <c r="BU33" s="47"/>
      <c r="BV33" s="44"/>
      <c r="BW33" s="44">
        <v>1158.8499999999999</v>
      </c>
      <c r="BX33" s="44"/>
      <c r="BY33" s="44"/>
      <c r="BZ33" s="44"/>
      <c r="CA33" s="44"/>
      <c r="CB33" s="43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41.4">
      <c r="A34" s="76">
        <v>44224</v>
      </c>
      <c r="B34" s="34" t="s">
        <v>759</v>
      </c>
      <c r="C34" s="286" t="s">
        <v>870</v>
      </c>
      <c r="D34" s="36">
        <v>0.67152777777777783</v>
      </c>
      <c r="E34" s="36">
        <v>0.6743055555555556</v>
      </c>
      <c r="F34" s="39" t="s">
        <v>0</v>
      </c>
      <c r="G34" s="34">
        <v>1</v>
      </c>
      <c r="H34" s="39">
        <v>734</v>
      </c>
      <c r="I34" s="51" t="str">
        <f>VLOOKUP(H34,'[2]Chart of accounts'!A:H,2,FALSE)</f>
        <v>50103040 01</v>
      </c>
      <c r="J34" s="39"/>
      <c r="K34" s="39"/>
      <c r="L34" s="34"/>
      <c r="M34" s="34"/>
      <c r="N34" s="34"/>
      <c r="O34" s="53" t="s">
        <v>4</v>
      </c>
      <c r="P34" s="40" t="s">
        <v>862</v>
      </c>
      <c r="Q34" s="41" t="s">
        <v>771</v>
      </c>
      <c r="R34" s="42" t="s">
        <v>768</v>
      </c>
      <c r="S34" s="42" t="s">
        <v>864</v>
      </c>
      <c r="T34" s="44">
        <v>200</v>
      </c>
      <c r="U34" s="52"/>
      <c r="V34" s="44">
        <v>200</v>
      </c>
      <c r="W34" s="44">
        <f t="shared" si="0"/>
        <v>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P34" s="44">
        <v>200</v>
      </c>
      <c r="BQ34" s="44"/>
      <c r="BR34" s="44"/>
      <c r="BS34" s="44"/>
      <c r="BT34" s="129"/>
      <c r="BU34" s="47"/>
      <c r="BV34" s="44"/>
      <c r="BW34" s="44">
        <v>200</v>
      </c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41.4">
      <c r="A35" s="76">
        <v>44224</v>
      </c>
      <c r="B35" s="34" t="s">
        <v>759</v>
      </c>
      <c r="C35" s="286" t="s">
        <v>871</v>
      </c>
      <c r="D35" s="36">
        <v>0.6743055555555556</v>
      </c>
      <c r="E35" s="36">
        <v>0.67499999999999993</v>
      </c>
      <c r="F35" s="39" t="s">
        <v>0</v>
      </c>
      <c r="G35" s="34">
        <v>1</v>
      </c>
      <c r="H35" s="39">
        <v>706</v>
      </c>
      <c r="I35" s="51" t="str">
        <f>VLOOKUP(H35,'[2]Chart of accounts'!A:H,2,FALSE)</f>
        <v>50101020 00</v>
      </c>
      <c r="J35" s="39"/>
      <c r="K35" s="39"/>
      <c r="L35" s="34"/>
      <c r="M35" s="34"/>
      <c r="N35" s="34"/>
      <c r="O35" s="53" t="s">
        <v>4</v>
      </c>
      <c r="P35" s="40" t="s">
        <v>862</v>
      </c>
      <c r="Q35" s="41" t="s">
        <v>770</v>
      </c>
      <c r="R35" s="42" t="s">
        <v>872</v>
      </c>
      <c r="S35" s="42" t="s">
        <v>864</v>
      </c>
      <c r="T35" s="44">
        <v>33575</v>
      </c>
      <c r="U35" s="52"/>
      <c r="V35" s="44">
        <v>33575</v>
      </c>
      <c r="W35" s="44">
        <f t="shared" si="0"/>
        <v>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4">
        <v>33575</v>
      </c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T35" s="129"/>
      <c r="BU35" s="47"/>
      <c r="BV35" s="44"/>
      <c r="BW35" s="44">
        <v>33575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41.4">
      <c r="A36" s="76">
        <v>44224</v>
      </c>
      <c r="B36" s="34" t="s">
        <v>759</v>
      </c>
      <c r="C36" s="286" t="s">
        <v>871</v>
      </c>
      <c r="D36" s="36">
        <v>0.6743055555555556</v>
      </c>
      <c r="E36" s="36">
        <v>0.67499999999999993</v>
      </c>
      <c r="F36" s="39" t="s">
        <v>0</v>
      </c>
      <c r="G36" s="34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4</v>
      </c>
      <c r="P36" s="40" t="s">
        <v>862</v>
      </c>
      <c r="Q36" s="41" t="s">
        <v>769</v>
      </c>
      <c r="R36" s="42" t="s">
        <v>872</v>
      </c>
      <c r="S36" s="42" t="s">
        <v>864</v>
      </c>
      <c r="T36" s="44">
        <v>2000</v>
      </c>
      <c r="U36" s="52"/>
      <c r="V36" s="44">
        <v>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E36" s="44">
        <v>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129"/>
      <c r="BU36" s="47"/>
      <c r="BV36" s="44"/>
      <c r="BW36" s="44">
        <v>2000</v>
      </c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41.4">
      <c r="A37" s="76">
        <v>44224</v>
      </c>
      <c r="B37" s="34" t="s">
        <v>759</v>
      </c>
      <c r="C37" s="286" t="s">
        <v>871</v>
      </c>
      <c r="D37" s="36">
        <v>0.6743055555555556</v>
      </c>
      <c r="E37" s="36">
        <v>0.67499999999999993</v>
      </c>
      <c r="F37" s="39" t="s">
        <v>0</v>
      </c>
      <c r="G37" s="34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4</v>
      </c>
      <c r="P37" s="40" t="s">
        <v>862</v>
      </c>
      <c r="Q37" s="41" t="s">
        <v>769</v>
      </c>
      <c r="R37" s="42" t="s">
        <v>872</v>
      </c>
      <c r="S37" s="42" t="s">
        <v>864</v>
      </c>
      <c r="T37" s="44">
        <v>4029</v>
      </c>
      <c r="U37" s="52"/>
      <c r="V37" s="44">
        <v>4029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4"/>
      <c r="BF37" s="44"/>
      <c r="BG37" s="44"/>
      <c r="BH37" s="44"/>
      <c r="BI37" s="44"/>
      <c r="BJ37" s="44"/>
      <c r="BK37" s="44"/>
      <c r="BL37" s="44"/>
      <c r="BM37" s="44">
        <v>4029</v>
      </c>
      <c r="BN37" s="44"/>
      <c r="BO37" s="44"/>
      <c r="BP37" s="49"/>
      <c r="BQ37" s="44"/>
      <c r="BR37" s="44"/>
      <c r="BS37" s="44"/>
      <c r="BT37" s="129"/>
      <c r="BU37" s="47"/>
      <c r="BV37" s="44"/>
      <c r="BW37" s="44">
        <v>4029</v>
      </c>
      <c r="BX37" s="44"/>
      <c r="BY37" s="44"/>
      <c r="BZ37" s="44"/>
      <c r="CA37" s="44"/>
      <c r="CB37" s="43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41.4">
      <c r="A38" s="76">
        <v>44224</v>
      </c>
      <c r="B38" s="34" t="s">
        <v>759</v>
      </c>
      <c r="C38" s="286" t="s">
        <v>871</v>
      </c>
      <c r="D38" s="36">
        <v>0.6743055555555556</v>
      </c>
      <c r="E38" s="36">
        <v>0.67499999999999993</v>
      </c>
      <c r="F38" s="39" t="s">
        <v>0</v>
      </c>
      <c r="G38" s="34">
        <v>1</v>
      </c>
      <c r="H38" s="39">
        <v>732</v>
      </c>
      <c r="I38" s="51" t="str">
        <f>VLOOKUP(H38,'[2]Chart of accounts'!A:H,2,FALSE)</f>
        <v>50103020 01</v>
      </c>
      <c r="J38" s="39"/>
      <c r="K38" s="39"/>
      <c r="L38" s="34"/>
      <c r="M38" s="34"/>
      <c r="N38" s="34"/>
      <c r="O38" s="53" t="s">
        <v>4</v>
      </c>
      <c r="P38" s="40" t="s">
        <v>862</v>
      </c>
      <c r="Q38" s="41" t="s">
        <v>769</v>
      </c>
      <c r="R38" s="42" t="s">
        <v>872</v>
      </c>
      <c r="S38" s="42" t="s">
        <v>864</v>
      </c>
      <c r="T38" s="44">
        <v>100</v>
      </c>
      <c r="U38" s="52"/>
      <c r="V38" s="44">
        <v>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F38" s="44"/>
      <c r="BG38" s="44"/>
      <c r="BH38" s="44"/>
      <c r="BI38" s="44"/>
      <c r="BJ38" s="44"/>
      <c r="BK38" s="44"/>
      <c r="BL38" s="44"/>
      <c r="BN38" s="44">
        <v>100</v>
      </c>
      <c r="BO38" s="44"/>
      <c r="BP38" s="49"/>
      <c r="BQ38" s="44"/>
      <c r="BR38" s="44"/>
      <c r="BS38" s="44"/>
      <c r="BT38" s="129"/>
      <c r="BU38" s="47"/>
      <c r="BV38" s="44"/>
      <c r="BW38" s="44">
        <v>100</v>
      </c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41.4">
      <c r="A39" s="76">
        <v>44224</v>
      </c>
      <c r="B39" s="34" t="s">
        <v>759</v>
      </c>
      <c r="C39" s="286" t="s">
        <v>871</v>
      </c>
      <c r="D39" s="36">
        <v>0.6743055555555556</v>
      </c>
      <c r="E39" s="36">
        <v>0.67499999999999993</v>
      </c>
      <c r="F39" s="39" t="s">
        <v>0</v>
      </c>
      <c r="G39" s="34">
        <v>1</v>
      </c>
      <c r="H39" s="39">
        <v>733</v>
      </c>
      <c r="I39" s="51" t="str">
        <f>VLOOKUP(H39,'[2]Chart of accounts'!A:H,2,FALSE)</f>
        <v>50103030 01</v>
      </c>
      <c r="J39" s="39"/>
      <c r="K39" s="39"/>
      <c r="L39" s="34"/>
      <c r="M39" s="34"/>
      <c r="N39" s="34"/>
      <c r="O39" s="53" t="s">
        <v>4</v>
      </c>
      <c r="P39" s="40" t="s">
        <v>862</v>
      </c>
      <c r="Q39" s="41" t="s">
        <v>769</v>
      </c>
      <c r="R39" s="42" t="s">
        <v>872</v>
      </c>
      <c r="S39" s="42" t="s">
        <v>864</v>
      </c>
      <c r="T39" s="44">
        <v>503.63</v>
      </c>
      <c r="U39" s="52"/>
      <c r="V39" s="44">
        <v>503.63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F39" s="44"/>
      <c r="BG39" s="44"/>
      <c r="BH39" s="44"/>
      <c r="BI39" s="44"/>
      <c r="BJ39" s="44"/>
      <c r="BK39" s="44"/>
      <c r="BL39" s="44"/>
      <c r="BO39" s="44">
        <v>503.63</v>
      </c>
      <c r="BP39" s="49"/>
      <c r="BQ39" s="44"/>
      <c r="BR39" s="44"/>
      <c r="BS39" s="44"/>
      <c r="BT39" s="129"/>
      <c r="BU39" s="47"/>
      <c r="BV39" s="44"/>
      <c r="BW39" s="44">
        <v>503.63</v>
      </c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41.4">
      <c r="A40" s="76">
        <v>44224</v>
      </c>
      <c r="B40" s="34" t="s">
        <v>759</v>
      </c>
      <c r="C40" s="286" t="s">
        <v>871</v>
      </c>
      <c r="D40" s="36">
        <v>0.6743055555555556</v>
      </c>
      <c r="E40" s="36">
        <v>0.67499999999999993</v>
      </c>
      <c r="F40" s="39" t="s">
        <v>0</v>
      </c>
      <c r="G40" s="34">
        <v>1</v>
      </c>
      <c r="H40" s="39">
        <v>734</v>
      </c>
      <c r="I40" s="51" t="str">
        <f>VLOOKUP(H40,'[2]Chart of accounts'!A:H,2,FALSE)</f>
        <v>50103040 01</v>
      </c>
      <c r="J40" s="39"/>
      <c r="K40" s="39"/>
      <c r="L40" s="34"/>
      <c r="M40" s="34"/>
      <c r="N40" s="34"/>
      <c r="O40" s="53" t="s">
        <v>4</v>
      </c>
      <c r="P40" s="40" t="s">
        <v>862</v>
      </c>
      <c r="Q40" s="41" t="s">
        <v>769</v>
      </c>
      <c r="R40" s="42" t="s">
        <v>872</v>
      </c>
      <c r="S40" s="42" t="s">
        <v>864</v>
      </c>
      <c r="T40" s="44">
        <v>100</v>
      </c>
      <c r="U40" s="52"/>
      <c r="V40" s="44">
        <v>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4"/>
      <c r="BF40" s="44"/>
      <c r="BG40" s="44"/>
      <c r="BH40" s="44"/>
      <c r="BI40" s="44"/>
      <c r="BJ40" s="44"/>
      <c r="BK40" s="44"/>
      <c r="BL40" s="44"/>
      <c r="BP40" s="44">
        <v>100</v>
      </c>
      <c r="BQ40" s="44"/>
      <c r="BR40" s="44"/>
      <c r="BS40" s="44"/>
      <c r="BT40" s="129"/>
      <c r="BU40" s="47"/>
      <c r="BV40" s="44"/>
      <c r="BW40" s="44">
        <v>100</v>
      </c>
      <c r="BX40" s="44"/>
      <c r="BY40" s="44"/>
      <c r="BZ40" s="44"/>
      <c r="CA40" s="44"/>
      <c r="CB40" s="43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75" customFormat="1">
      <c r="A41" s="33"/>
      <c r="B41" s="34"/>
      <c r="C41" s="35"/>
      <c r="D41" s="61"/>
      <c r="E41" s="61"/>
      <c r="F41" s="37"/>
      <c r="G41" s="38"/>
      <c r="H41" s="39"/>
      <c r="I41" s="39"/>
      <c r="J41" s="39"/>
      <c r="K41" s="39"/>
      <c r="L41" s="34"/>
      <c r="M41" s="34"/>
      <c r="N41" s="34"/>
      <c r="O41" s="53"/>
      <c r="P41" s="53"/>
      <c r="Q41" s="66"/>
      <c r="R41" s="58"/>
      <c r="S41" s="58"/>
      <c r="T41" s="43"/>
      <c r="U41" s="67"/>
      <c r="V41" s="43"/>
      <c r="W41" s="44"/>
      <c r="X41" s="69"/>
      <c r="Y41" s="70"/>
      <c r="Z41" s="71"/>
      <c r="AA41" s="71"/>
      <c r="AB41" s="71"/>
      <c r="AC41" s="71"/>
      <c r="AD41" s="71"/>
      <c r="AE41" s="43"/>
      <c r="AF41" s="43"/>
      <c r="AG41" s="43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43"/>
      <c r="AZ41" s="43"/>
      <c r="BA41" s="43"/>
      <c r="BB41" s="43"/>
      <c r="BC41" s="72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74"/>
      <c r="BQ41" s="43"/>
      <c r="BR41" s="43"/>
      <c r="BS41" s="43"/>
      <c r="BU41" s="71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71"/>
      <c r="DY41" s="71"/>
      <c r="DZ41" s="71"/>
    </row>
    <row r="42" spans="1:130" s="75" customFormat="1">
      <c r="A42" s="33"/>
      <c r="B42" s="34"/>
      <c r="C42" s="35"/>
      <c r="D42" s="61"/>
      <c r="E42" s="61"/>
      <c r="F42" s="37"/>
      <c r="G42" s="38"/>
      <c r="H42" s="39"/>
      <c r="I42" s="39"/>
      <c r="J42" s="39"/>
      <c r="K42" s="39"/>
      <c r="L42" s="34"/>
      <c r="M42" s="34"/>
      <c r="N42" s="34"/>
      <c r="O42" s="53"/>
      <c r="P42" s="53"/>
      <c r="Q42" s="66"/>
      <c r="R42" s="58"/>
      <c r="S42" s="58"/>
      <c r="T42" s="43"/>
      <c r="U42" s="67"/>
      <c r="V42" s="43"/>
      <c r="W42" s="44"/>
      <c r="X42" s="69"/>
      <c r="Y42" s="70"/>
      <c r="Z42" s="71"/>
      <c r="AA42" s="71"/>
      <c r="AB42" s="71"/>
      <c r="AC42" s="71"/>
      <c r="AD42" s="71"/>
      <c r="AE42" s="43"/>
      <c r="AF42" s="43"/>
      <c r="AG42" s="43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43"/>
      <c r="AZ42" s="43"/>
      <c r="BA42" s="43"/>
      <c r="BB42" s="43"/>
      <c r="BC42" s="72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74"/>
      <c r="BQ42" s="43"/>
      <c r="BR42" s="43"/>
      <c r="BS42" s="43"/>
      <c r="BU42" s="71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71"/>
      <c r="DY42" s="71"/>
      <c r="DZ42" s="71"/>
    </row>
    <row r="43" spans="1:130" s="75" customFormat="1">
      <c r="A43" s="33"/>
      <c r="B43" s="34"/>
      <c r="C43" s="60"/>
      <c r="D43" s="61"/>
      <c r="E43" s="61"/>
      <c r="F43" s="37"/>
      <c r="G43" s="38"/>
      <c r="H43" s="39"/>
      <c r="I43" s="39"/>
      <c r="J43" s="39"/>
      <c r="K43" s="39"/>
      <c r="L43" s="34"/>
      <c r="M43" s="34"/>
      <c r="N43" s="34"/>
      <c r="O43" s="53"/>
      <c r="P43" s="53"/>
      <c r="Q43" s="66"/>
      <c r="R43" s="58"/>
      <c r="S43" s="58"/>
      <c r="T43" s="43"/>
      <c r="U43" s="67"/>
      <c r="V43" s="43"/>
      <c r="W43" s="44"/>
      <c r="X43" s="69"/>
      <c r="Y43" s="70"/>
      <c r="Z43" s="71"/>
      <c r="AA43" s="71"/>
      <c r="AB43" s="71"/>
      <c r="AC43" s="71"/>
      <c r="AD43" s="71"/>
      <c r="AE43" s="43"/>
      <c r="AF43" s="43"/>
      <c r="AG43" s="43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43"/>
      <c r="AZ43" s="43"/>
      <c r="BA43" s="43"/>
      <c r="BB43" s="43"/>
      <c r="BC43" s="72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74"/>
      <c r="BQ43" s="43"/>
      <c r="BR43" s="43"/>
      <c r="BS43" s="43"/>
      <c r="BU43" s="71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71"/>
      <c r="DY43" s="71"/>
      <c r="DZ43" s="71"/>
    </row>
    <row r="44" spans="1:130" s="75" customFormat="1">
      <c r="A44" s="33"/>
      <c r="B44" s="34"/>
      <c r="C44" s="60"/>
      <c r="D44" s="61"/>
      <c r="E44" s="61"/>
      <c r="F44" s="37"/>
      <c r="G44" s="38"/>
      <c r="H44" s="39"/>
      <c r="I44" s="39"/>
      <c r="J44" s="39"/>
      <c r="K44" s="39"/>
      <c r="L44" s="34"/>
      <c r="M44" s="34"/>
      <c r="N44" s="34"/>
      <c r="O44" s="53"/>
      <c r="P44" s="53"/>
      <c r="Q44" s="66"/>
      <c r="R44" s="58"/>
      <c r="S44" s="58"/>
      <c r="T44" s="43"/>
      <c r="U44" s="67"/>
      <c r="V44" s="43"/>
      <c r="W44" s="44"/>
      <c r="X44" s="69"/>
      <c r="Y44" s="70"/>
      <c r="Z44" s="71"/>
      <c r="AA44" s="71"/>
      <c r="AB44" s="71"/>
      <c r="AC44" s="71"/>
      <c r="AD44" s="71"/>
      <c r="AE44" s="43"/>
      <c r="AF44" s="43"/>
      <c r="AG44" s="43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43"/>
      <c r="AZ44" s="43"/>
      <c r="BA44" s="43"/>
      <c r="BB44" s="43"/>
      <c r="BC44" s="72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74"/>
      <c r="BQ44" s="43"/>
      <c r="BR44" s="43"/>
      <c r="BS44" s="43"/>
      <c r="BU44" s="71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71"/>
      <c r="DY44" s="71"/>
      <c r="DZ44" s="71"/>
    </row>
    <row r="45" spans="1:130" s="75" customFormat="1">
      <c r="A45" s="33"/>
      <c r="B45" s="34"/>
      <c r="C45" s="60"/>
      <c r="D45" s="61"/>
      <c r="E45" s="61"/>
      <c r="F45" s="37"/>
      <c r="G45" s="38"/>
      <c r="H45" s="39"/>
      <c r="I45" s="39"/>
      <c r="J45" s="39"/>
      <c r="K45" s="39"/>
      <c r="L45" s="34"/>
      <c r="M45" s="34"/>
      <c r="N45" s="34"/>
      <c r="O45" s="53"/>
      <c r="P45" s="53"/>
      <c r="Q45" s="66"/>
      <c r="R45" s="58"/>
      <c r="S45" s="58"/>
      <c r="T45" s="43"/>
      <c r="U45" s="43"/>
      <c r="V45" s="43"/>
      <c r="W45" s="44"/>
      <c r="X45" s="69"/>
      <c r="Y45" s="70"/>
      <c r="Z45" s="71"/>
      <c r="AA45" s="71"/>
      <c r="AB45" s="71"/>
      <c r="AC45" s="71"/>
      <c r="AD45" s="71"/>
      <c r="AE45" s="43"/>
      <c r="AF45" s="43"/>
      <c r="AG45" s="4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43"/>
      <c r="AZ45" s="43"/>
      <c r="BA45" s="43"/>
      <c r="BB45" s="43"/>
      <c r="BC45" s="72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74"/>
      <c r="BQ45" s="43"/>
      <c r="BR45" s="43"/>
      <c r="BS45" s="43"/>
      <c r="BT45" s="43"/>
      <c r="BU45" s="71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71"/>
      <c r="DY45" s="71"/>
      <c r="DZ45" s="71"/>
    </row>
    <row r="46" spans="1:130" s="75" customFormat="1">
      <c r="A46" s="76"/>
      <c r="B46" s="56"/>
      <c r="C46" s="60"/>
      <c r="D46" s="61"/>
      <c r="E46" s="61"/>
      <c r="F46" s="55"/>
      <c r="G46" s="56"/>
      <c r="H46" s="55"/>
      <c r="I46" s="39"/>
      <c r="J46" s="55"/>
      <c r="K46" s="55"/>
      <c r="L46" s="56"/>
      <c r="M46" s="56"/>
      <c r="N46" s="56"/>
      <c r="O46" s="77"/>
      <c r="P46" s="77"/>
      <c r="Q46" s="66"/>
      <c r="R46" s="58"/>
      <c r="S46" s="58"/>
      <c r="T46" s="63"/>
      <c r="U46" s="67"/>
      <c r="V46" s="63"/>
      <c r="W46" s="65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72"/>
      <c r="BD46" s="7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68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71"/>
    </row>
    <row r="47" spans="1:130" s="75" customFormat="1">
      <c r="A47" s="76"/>
      <c r="B47" s="56"/>
      <c r="C47" s="60"/>
      <c r="D47" s="61"/>
      <c r="E47" s="61"/>
      <c r="F47" s="55"/>
      <c r="G47" s="56"/>
      <c r="H47" s="55"/>
      <c r="I47" s="39"/>
      <c r="J47" s="55"/>
      <c r="K47" s="55"/>
      <c r="L47" s="56"/>
      <c r="M47" s="56"/>
      <c r="N47" s="56"/>
      <c r="O47" s="77"/>
      <c r="P47" s="77"/>
      <c r="Q47" s="66"/>
      <c r="R47" s="58"/>
      <c r="S47" s="58"/>
      <c r="T47" s="63"/>
      <c r="U47" s="67"/>
      <c r="V47" s="63"/>
      <c r="W47" s="65"/>
      <c r="X47" s="69"/>
      <c r="Y47" s="70"/>
      <c r="Z47" s="71"/>
      <c r="AA47" s="71"/>
      <c r="AB47" s="71"/>
      <c r="AC47" s="71"/>
      <c r="AD47" s="71"/>
      <c r="AE47" s="43"/>
      <c r="AF47" s="43"/>
      <c r="AG47" s="4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43"/>
      <c r="AZ47" s="43"/>
      <c r="BA47" s="43"/>
      <c r="BB47" s="43"/>
      <c r="BC47" s="72"/>
      <c r="BD47" s="73"/>
      <c r="BE47" s="43"/>
      <c r="BF47" s="43"/>
      <c r="BG47" s="43"/>
      <c r="BH47" s="43"/>
      <c r="BI47" s="43"/>
      <c r="BJ47" s="43"/>
      <c r="BK47" s="43"/>
      <c r="BL47" s="43"/>
      <c r="BN47" s="43"/>
      <c r="BO47" s="43"/>
      <c r="BP47" s="43"/>
      <c r="BQ47" s="43"/>
      <c r="BR47" s="43"/>
      <c r="BS47" s="43"/>
      <c r="BT47" s="68"/>
      <c r="BU47" s="71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71"/>
      <c r="DY47" s="71"/>
      <c r="DZ47" s="71"/>
    </row>
    <row r="48" spans="1:130" s="75" customFormat="1">
      <c r="A48" s="76"/>
      <c r="B48" s="56"/>
      <c r="C48" s="60"/>
      <c r="D48" s="61"/>
      <c r="E48" s="61"/>
      <c r="F48" s="55"/>
      <c r="G48" s="56"/>
      <c r="H48" s="55"/>
      <c r="I48" s="39"/>
      <c r="J48" s="55"/>
      <c r="K48" s="55"/>
      <c r="L48" s="56"/>
      <c r="M48" s="56"/>
      <c r="N48" s="56"/>
      <c r="O48" s="77"/>
      <c r="P48" s="77"/>
      <c r="Q48" s="66"/>
      <c r="R48" s="58"/>
      <c r="S48" s="58"/>
      <c r="T48" s="63"/>
      <c r="U48" s="67"/>
      <c r="V48" s="63"/>
      <c r="W48" s="65"/>
      <c r="X48" s="69"/>
      <c r="Y48" s="70"/>
      <c r="Z48" s="71"/>
      <c r="AA48" s="71"/>
      <c r="AB48" s="71"/>
      <c r="AC48" s="71"/>
      <c r="AD48" s="71"/>
      <c r="AE48" s="43"/>
      <c r="AF48" s="43"/>
      <c r="AG48" s="4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43"/>
      <c r="AZ48" s="43"/>
      <c r="BA48" s="43"/>
      <c r="BB48" s="43"/>
      <c r="BC48" s="72"/>
      <c r="BD48" s="7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74"/>
      <c r="BQ48" s="43"/>
      <c r="BR48" s="43"/>
      <c r="BS48" s="43"/>
      <c r="BT48" s="68"/>
      <c r="BU48" s="71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71"/>
      <c r="DY48" s="71"/>
      <c r="DZ48" s="71"/>
    </row>
    <row r="49" spans="1:131" s="32" customFormat="1">
      <c r="A49" s="76"/>
      <c r="B49" s="56"/>
      <c r="C49" s="35"/>
      <c r="D49" s="36"/>
      <c r="E49" s="36"/>
      <c r="F49" s="37"/>
      <c r="G49" s="38"/>
      <c r="H49" s="39"/>
      <c r="I49" s="51"/>
      <c r="J49" s="39"/>
      <c r="K49" s="39"/>
      <c r="L49" s="34"/>
      <c r="M49" s="34"/>
      <c r="N49" s="34"/>
      <c r="O49" s="40"/>
      <c r="P49" s="40"/>
      <c r="Q49" s="41"/>
      <c r="R49" s="42"/>
      <c r="S49" s="42"/>
      <c r="T49" s="65"/>
      <c r="U49" s="46"/>
      <c r="V49" s="65"/>
      <c r="W49" s="65"/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C49" s="44"/>
      <c r="BD49" s="48"/>
      <c r="BE49" s="44"/>
      <c r="BF49" s="44"/>
      <c r="BG49" s="44"/>
      <c r="BH49" s="44"/>
      <c r="BI49" s="44"/>
      <c r="BJ49" s="44"/>
      <c r="BK49" s="44"/>
      <c r="BL49" s="44"/>
      <c r="BM49" s="62"/>
      <c r="BN49" s="62"/>
      <c r="BO49" s="44"/>
      <c r="BQ49" s="44"/>
      <c r="BR49" s="44"/>
      <c r="BS49" s="44"/>
      <c r="BT49" s="129"/>
      <c r="BU49" s="47"/>
      <c r="BV49" s="44"/>
      <c r="BW49" s="44"/>
      <c r="BX49" s="44"/>
      <c r="BY49" s="44"/>
      <c r="BZ49" s="44"/>
      <c r="CA49" s="44"/>
      <c r="CB49" s="43"/>
      <c r="CC49" s="44"/>
      <c r="CD49" s="44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  <c r="EA49" s="44"/>
    </row>
    <row r="50" spans="1:131" s="75" customFormat="1">
      <c r="A50" s="233"/>
      <c r="B50" s="56"/>
      <c r="C50" s="235"/>
      <c r="D50" s="61"/>
      <c r="E50" s="61"/>
      <c r="F50" s="55"/>
      <c r="G50" s="56"/>
      <c r="H50" s="55"/>
      <c r="I50" s="37"/>
      <c r="J50" s="55"/>
      <c r="K50" s="55"/>
      <c r="L50" s="56"/>
      <c r="M50" s="56"/>
      <c r="N50" s="56"/>
      <c r="O50" s="131"/>
      <c r="P50" s="131"/>
      <c r="Q50" s="66"/>
      <c r="R50" s="58"/>
      <c r="S50" s="58"/>
      <c r="T50" s="43"/>
      <c r="U50" s="67"/>
      <c r="V50" s="43"/>
      <c r="W50" s="239"/>
      <c r="X50" s="69"/>
      <c r="Y50" s="70"/>
      <c r="Z50" s="71"/>
      <c r="AA50" s="71"/>
      <c r="AB50" s="71"/>
      <c r="AC50" s="71"/>
      <c r="AD50" s="71"/>
      <c r="AE50" s="43"/>
      <c r="AF50" s="43"/>
      <c r="AG50" s="4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43"/>
      <c r="AZ50" s="43"/>
      <c r="BA50" s="43"/>
      <c r="BB50" s="43"/>
      <c r="BC50" s="43"/>
      <c r="BD50" s="135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74"/>
      <c r="BQ50" s="43"/>
      <c r="BR50" s="43"/>
      <c r="BS50" s="43"/>
      <c r="BT50" s="68"/>
      <c r="BU50" s="71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71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71"/>
      <c r="DY50" s="71"/>
      <c r="DZ50" s="71"/>
      <c r="EA50" s="43"/>
    </row>
    <row r="51" spans="1:131" s="75" customFormat="1">
      <c r="A51" s="233"/>
      <c r="B51" s="56"/>
      <c r="C51" s="235"/>
      <c r="D51" s="61"/>
      <c r="E51" s="61"/>
      <c r="F51" s="55"/>
      <c r="G51" s="56"/>
      <c r="H51" s="55"/>
      <c r="I51" s="37"/>
      <c r="J51" s="55"/>
      <c r="K51" s="55"/>
      <c r="L51" s="56"/>
      <c r="M51" s="56"/>
      <c r="N51" s="56"/>
      <c r="O51" s="57"/>
      <c r="P51" s="57"/>
      <c r="Q51" s="54"/>
      <c r="R51" s="58"/>
      <c r="S51" s="58"/>
      <c r="T51" s="43"/>
      <c r="U51" s="67"/>
      <c r="V51" s="43"/>
      <c r="W51" s="239"/>
      <c r="X51" s="241"/>
      <c r="Y51" s="70"/>
      <c r="Z51" s="71"/>
      <c r="AA51" s="71"/>
      <c r="AB51" s="71"/>
      <c r="AC51" s="71"/>
      <c r="AD51" s="71"/>
      <c r="AE51" s="43"/>
      <c r="AF51" s="43"/>
      <c r="AG51" s="43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43"/>
      <c r="AZ51" s="43"/>
      <c r="BA51" s="43"/>
      <c r="BB51" s="43"/>
      <c r="BC51" s="43"/>
      <c r="BD51" s="135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74"/>
      <c r="BQ51" s="43"/>
      <c r="BR51" s="43"/>
      <c r="BS51" s="43"/>
      <c r="BT51" s="43"/>
      <c r="BU51" s="71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71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71"/>
      <c r="DY51" s="71"/>
      <c r="DZ51" s="71"/>
      <c r="EA51" s="43"/>
    </row>
    <row r="52" spans="1:131" s="75" customFormat="1">
      <c r="A52" s="233"/>
      <c r="B52" s="56"/>
      <c r="C52" s="235"/>
      <c r="D52" s="61"/>
      <c r="E52" s="61"/>
      <c r="F52" s="55"/>
      <c r="G52" s="56"/>
      <c r="H52" s="55"/>
      <c r="I52" s="37"/>
      <c r="J52" s="55"/>
      <c r="K52" s="55"/>
      <c r="L52" s="56"/>
      <c r="M52" s="56"/>
      <c r="N52" s="56"/>
      <c r="O52" s="57"/>
      <c r="P52" s="57"/>
      <c r="Q52" s="54"/>
      <c r="R52" s="58"/>
      <c r="S52" s="58"/>
      <c r="T52" s="43"/>
      <c r="U52" s="67"/>
      <c r="V52" s="43"/>
      <c r="W52" s="239"/>
      <c r="X52" s="241"/>
      <c r="Y52" s="70"/>
      <c r="Z52" s="71"/>
      <c r="AA52" s="71"/>
      <c r="AB52" s="71"/>
      <c r="AC52" s="71"/>
      <c r="AD52" s="71"/>
      <c r="AE52" s="43"/>
      <c r="AF52" s="43"/>
      <c r="AG52" s="43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43"/>
      <c r="AZ52" s="43"/>
      <c r="BA52" s="43"/>
      <c r="BB52" s="43"/>
      <c r="BC52" s="43"/>
      <c r="BD52" s="135"/>
      <c r="BE52" s="43"/>
      <c r="BF52" s="43"/>
      <c r="BG52" s="43"/>
      <c r="BH52" s="43"/>
      <c r="BI52" s="43"/>
      <c r="BJ52" s="43"/>
      <c r="BL52" s="43"/>
      <c r="BM52" s="43"/>
      <c r="BN52" s="43"/>
      <c r="BO52" s="43"/>
      <c r="BP52" s="74"/>
      <c r="BQ52" s="43"/>
      <c r="BR52" s="43"/>
      <c r="BS52" s="43"/>
      <c r="BT52" s="43"/>
      <c r="BU52" s="71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71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71"/>
      <c r="DY52" s="71"/>
      <c r="DZ52" s="71"/>
      <c r="EA52" s="43"/>
    </row>
    <row r="53" spans="1:131" s="75" customFormat="1">
      <c r="A53" s="233"/>
      <c r="B53" s="56"/>
      <c r="C53" s="235"/>
      <c r="D53" s="61"/>
      <c r="E53" s="61"/>
      <c r="F53" s="55"/>
      <c r="G53" s="56"/>
      <c r="H53" s="55"/>
      <c r="I53" s="37"/>
      <c r="J53" s="55"/>
      <c r="K53" s="55"/>
      <c r="L53" s="56"/>
      <c r="M53" s="56"/>
      <c r="N53" s="56"/>
      <c r="O53" s="57"/>
      <c r="P53" s="57"/>
      <c r="Q53" s="54"/>
      <c r="R53" s="58"/>
      <c r="S53" s="58"/>
      <c r="T53" s="43"/>
      <c r="U53" s="67"/>
      <c r="V53" s="43"/>
      <c r="W53" s="239"/>
      <c r="X53" s="241"/>
      <c r="Y53" s="70"/>
      <c r="Z53" s="71"/>
      <c r="AA53" s="71"/>
      <c r="AB53" s="71"/>
      <c r="AC53" s="71"/>
      <c r="AD53" s="71"/>
      <c r="AE53" s="43"/>
      <c r="AF53" s="43"/>
      <c r="AG53" s="43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43"/>
      <c r="AZ53" s="43"/>
      <c r="BA53" s="43"/>
      <c r="BB53" s="43"/>
      <c r="BC53" s="43"/>
      <c r="BD53" s="135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74"/>
      <c r="BQ53" s="43"/>
      <c r="BR53" s="43"/>
      <c r="BS53" s="43"/>
      <c r="BT53" s="43"/>
      <c r="BU53" s="71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71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71"/>
      <c r="DY53" s="71"/>
      <c r="DZ53" s="71"/>
      <c r="EA53" s="43"/>
    </row>
    <row r="54" spans="1:131" s="75" customFormat="1">
      <c r="A54" s="233"/>
      <c r="B54" s="56"/>
      <c r="C54" s="235"/>
      <c r="D54" s="61"/>
      <c r="E54" s="61"/>
      <c r="F54" s="55"/>
      <c r="G54" s="56"/>
      <c r="H54" s="55"/>
      <c r="I54" s="37"/>
      <c r="J54" s="55"/>
      <c r="K54" s="55"/>
      <c r="L54" s="56"/>
      <c r="M54" s="56"/>
      <c r="N54" s="56"/>
      <c r="O54" s="57"/>
      <c r="P54" s="57"/>
      <c r="Q54" s="54"/>
      <c r="R54" s="58"/>
      <c r="S54" s="58"/>
      <c r="T54" s="43"/>
      <c r="U54" s="67"/>
      <c r="V54" s="43"/>
      <c r="W54" s="239"/>
      <c r="X54" s="241"/>
      <c r="Y54" s="70"/>
      <c r="Z54" s="71"/>
      <c r="AA54" s="71"/>
      <c r="AB54" s="71"/>
      <c r="AC54" s="71"/>
      <c r="AD54" s="71"/>
      <c r="AE54" s="43"/>
      <c r="AF54" s="43"/>
      <c r="AG54" s="43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43"/>
      <c r="AZ54" s="43"/>
      <c r="BA54" s="43"/>
      <c r="BB54" s="43"/>
      <c r="BC54" s="43"/>
      <c r="BD54" s="135"/>
      <c r="BE54" s="43"/>
      <c r="BF54" s="43"/>
      <c r="BG54" s="43"/>
      <c r="BH54" s="43"/>
      <c r="BI54" s="43"/>
      <c r="BJ54" s="43"/>
      <c r="BL54" s="43"/>
      <c r="BM54" s="43"/>
      <c r="BN54" s="43"/>
      <c r="BO54" s="43"/>
      <c r="BP54" s="74"/>
      <c r="BQ54" s="43"/>
      <c r="BR54" s="43"/>
      <c r="BS54" s="43"/>
      <c r="BT54" s="43"/>
      <c r="BU54" s="71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71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71"/>
      <c r="DY54" s="71"/>
      <c r="DZ54" s="71"/>
      <c r="EA54" s="43"/>
    </row>
    <row r="55" spans="1:131" s="75" customFormat="1">
      <c r="A55" s="130"/>
      <c r="B55" s="56"/>
      <c r="C55" s="60"/>
      <c r="D55" s="61"/>
      <c r="E55" s="61"/>
      <c r="F55" s="55"/>
      <c r="G55" s="56"/>
      <c r="H55" s="55"/>
      <c r="I55" s="55"/>
      <c r="J55" s="55"/>
      <c r="K55" s="55"/>
      <c r="L55" s="56"/>
      <c r="M55" s="56"/>
      <c r="N55" s="56"/>
      <c r="O55" s="131"/>
      <c r="P55" s="131"/>
      <c r="Q55" s="66"/>
      <c r="R55" s="58"/>
      <c r="S55" s="58"/>
      <c r="T55" s="43"/>
      <c r="U55" s="67"/>
      <c r="V55" s="43"/>
      <c r="W55" s="43"/>
      <c r="X55" s="69"/>
      <c r="Y55" s="70"/>
      <c r="Z55" s="71"/>
      <c r="AA55" s="71"/>
      <c r="AB55" s="71"/>
      <c r="AC55" s="71"/>
      <c r="AD55" s="71"/>
      <c r="AE55" s="43"/>
      <c r="AF55" s="43"/>
      <c r="AG55" s="4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43"/>
      <c r="AZ55" s="43"/>
      <c r="BA55" s="43"/>
      <c r="BB55" s="43"/>
      <c r="BC55" s="43"/>
      <c r="BD55" s="135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74"/>
      <c r="BQ55" s="43"/>
      <c r="BR55" s="43"/>
      <c r="BS55" s="43"/>
      <c r="BT55" s="43"/>
      <c r="BU55" s="71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71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71"/>
      <c r="DY55" s="71"/>
      <c r="DZ55" s="71"/>
      <c r="EA55" s="43"/>
    </row>
    <row r="56" spans="1:131" s="243" customFormat="1" ht="13.8">
      <c r="A56" s="234"/>
      <c r="B56" s="38"/>
      <c r="C56" s="235"/>
      <c r="D56" s="236"/>
      <c r="E56" s="236"/>
      <c r="F56" s="37"/>
      <c r="G56" s="38"/>
      <c r="H56" s="37"/>
      <c r="I56" s="37"/>
      <c r="J56" s="37"/>
      <c r="K56" s="37"/>
      <c r="L56" s="38"/>
      <c r="M56" s="38"/>
      <c r="N56" s="38"/>
      <c r="O56" s="237"/>
      <c r="P56" s="237"/>
      <c r="Q56" s="54"/>
      <c r="R56" s="238"/>
      <c r="S56" s="238"/>
      <c r="T56" s="239"/>
      <c r="U56" s="240"/>
      <c r="V56" s="239"/>
      <c r="W56" s="239"/>
      <c r="X56" s="241"/>
      <c r="Y56" s="240"/>
      <c r="Z56" s="241"/>
      <c r="AA56" s="241"/>
      <c r="AB56" s="241"/>
      <c r="AC56" s="241"/>
      <c r="AD56" s="241"/>
      <c r="AE56" s="239"/>
      <c r="AF56" s="239"/>
      <c r="AG56" s="239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39"/>
      <c r="AZ56" s="239"/>
      <c r="BA56" s="239"/>
      <c r="BB56" s="239"/>
      <c r="BC56" s="239"/>
      <c r="BD56" s="242"/>
      <c r="BE56" s="239"/>
      <c r="BG56" s="239"/>
      <c r="BH56" s="239"/>
      <c r="BI56" s="239"/>
      <c r="BJ56" s="239"/>
      <c r="BK56" s="239"/>
      <c r="BL56" s="239"/>
      <c r="BM56" s="239"/>
      <c r="BN56" s="239"/>
      <c r="BO56" s="239"/>
      <c r="BP56" s="244"/>
      <c r="BQ56" s="239"/>
      <c r="BR56" s="239"/>
      <c r="BS56" s="239"/>
      <c r="BT56" s="239"/>
      <c r="BU56" s="241"/>
      <c r="BV56" s="239"/>
      <c r="BW56" s="239"/>
      <c r="BX56" s="239"/>
      <c r="BY56" s="239"/>
      <c r="BZ56" s="239"/>
      <c r="CA56" s="239"/>
      <c r="CB56" s="239"/>
      <c r="CC56" s="239"/>
      <c r="CD56" s="239"/>
      <c r="CE56" s="239"/>
      <c r="CF56" s="239"/>
      <c r="CG56" s="239"/>
      <c r="CH56" s="241"/>
      <c r="CI56" s="239"/>
      <c r="CJ56" s="239"/>
      <c r="CK56" s="239"/>
      <c r="CL56" s="239"/>
      <c r="CM56" s="239"/>
      <c r="CN56" s="239"/>
      <c r="CO56" s="239"/>
      <c r="CP56" s="239"/>
      <c r="CQ56" s="239"/>
      <c r="CR56" s="239"/>
      <c r="CS56" s="239"/>
      <c r="CT56" s="239"/>
      <c r="CU56" s="239"/>
      <c r="CV56" s="239"/>
      <c r="CW56" s="239"/>
      <c r="CX56" s="239"/>
      <c r="CY56" s="239"/>
      <c r="CZ56" s="239"/>
      <c r="DA56" s="239"/>
      <c r="DB56" s="239"/>
      <c r="DD56" s="239"/>
      <c r="DE56" s="245"/>
      <c r="DF56" s="245"/>
      <c r="DG56" s="239"/>
      <c r="DH56" s="239"/>
      <c r="DI56" s="239"/>
      <c r="DJ56" s="239"/>
      <c r="DK56" s="239"/>
      <c r="DL56" s="239"/>
      <c r="DM56" s="239"/>
      <c r="DN56" s="239"/>
      <c r="DO56" s="239"/>
      <c r="DP56" s="239"/>
      <c r="DQ56" s="239"/>
      <c r="DR56" s="239"/>
      <c r="DS56" s="239"/>
      <c r="DT56" s="239"/>
      <c r="DU56" s="239"/>
      <c r="DV56" s="239"/>
      <c r="DW56" s="239"/>
      <c r="DX56" s="241"/>
      <c r="DY56" s="241"/>
      <c r="DZ56" s="241"/>
    </row>
    <row r="57" spans="1:131" s="243" customFormat="1" ht="13.8">
      <c r="A57" s="234"/>
      <c r="B57" s="38"/>
      <c r="C57" s="235"/>
      <c r="D57" s="236"/>
      <c r="E57" s="236"/>
      <c r="F57" s="37"/>
      <c r="G57" s="38"/>
      <c r="H57" s="37"/>
      <c r="I57" s="37"/>
      <c r="J57" s="37"/>
      <c r="K57" s="37"/>
      <c r="L57" s="38"/>
      <c r="M57" s="38"/>
      <c r="N57" s="38"/>
      <c r="O57" s="237"/>
      <c r="P57" s="237"/>
      <c r="Q57" s="237"/>
      <c r="R57" s="246"/>
      <c r="S57" s="238"/>
      <c r="T57" s="239"/>
      <c r="U57" s="240"/>
      <c r="V57" s="239"/>
      <c r="W57" s="239"/>
      <c r="X57" s="241"/>
      <c r="Y57" s="240"/>
      <c r="Z57" s="241"/>
      <c r="AA57" s="241"/>
      <c r="AB57" s="241"/>
      <c r="AC57" s="241"/>
      <c r="AD57" s="241"/>
      <c r="AE57" s="239"/>
      <c r="AF57" s="239"/>
      <c r="AG57" s="239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39"/>
      <c r="AZ57" s="239"/>
      <c r="BA57" s="239"/>
      <c r="BB57" s="239"/>
      <c r="BC57" s="239"/>
      <c r="BD57" s="242"/>
      <c r="BE57" s="239"/>
      <c r="BF57" s="239"/>
      <c r="BG57" s="239"/>
      <c r="BH57" s="239"/>
      <c r="BI57" s="239"/>
      <c r="BJ57" s="239"/>
      <c r="BK57" s="239"/>
      <c r="BL57" s="239"/>
      <c r="BM57" s="239"/>
      <c r="BN57" s="239"/>
      <c r="BO57" s="239"/>
      <c r="BP57" s="239"/>
      <c r="BQ57" s="239"/>
      <c r="BR57" s="239"/>
      <c r="BS57" s="239"/>
      <c r="BT57" s="239"/>
      <c r="BU57" s="241"/>
      <c r="BV57" s="239"/>
      <c r="BW57" s="239"/>
      <c r="BX57" s="239"/>
      <c r="BY57" s="239"/>
      <c r="BZ57" s="239"/>
      <c r="CA57" s="239"/>
      <c r="CB57" s="239"/>
      <c r="CC57" s="239"/>
      <c r="CD57" s="239"/>
      <c r="CE57" s="239"/>
      <c r="CF57" s="239"/>
      <c r="CG57" s="239"/>
      <c r="CH57" s="241"/>
      <c r="CI57" s="239"/>
      <c r="CJ57" s="239"/>
      <c r="CK57" s="239"/>
      <c r="CL57" s="239"/>
      <c r="CM57" s="239"/>
      <c r="CN57" s="239"/>
      <c r="CO57" s="239"/>
      <c r="CP57" s="239"/>
      <c r="CQ57" s="239"/>
      <c r="CR57" s="239"/>
      <c r="CS57" s="239"/>
      <c r="CT57" s="239"/>
      <c r="CU57" s="239"/>
      <c r="CV57" s="239"/>
      <c r="CW57" s="239"/>
      <c r="CX57" s="239"/>
      <c r="CY57" s="239"/>
      <c r="CZ57" s="239"/>
      <c r="DA57" s="239"/>
      <c r="DB57" s="239"/>
      <c r="DD57" s="239"/>
      <c r="DE57" s="245"/>
      <c r="DF57" s="245"/>
      <c r="DG57" s="239"/>
      <c r="DH57" s="239"/>
      <c r="DI57" s="239"/>
      <c r="DJ57" s="239"/>
      <c r="DK57" s="239"/>
      <c r="DL57" s="239"/>
      <c r="DM57" s="239"/>
      <c r="DN57" s="239"/>
      <c r="DO57" s="239"/>
      <c r="DP57" s="239"/>
      <c r="DQ57" s="239"/>
      <c r="DR57" s="239"/>
      <c r="DS57" s="239"/>
      <c r="DT57" s="239"/>
      <c r="DU57" s="239"/>
      <c r="DV57" s="239"/>
      <c r="DW57" s="239"/>
      <c r="DX57" s="241"/>
      <c r="DY57" s="241"/>
      <c r="DZ57" s="241"/>
    </row>
    <row r="58" spans="1:131" s="136" customFormat="1" ht="15.75" customHeight="1">
      <c r="A58" s="130"/>
      <c r="B58" s="56"/>
      <c r="C58" s="60"/>
      <c r="D58" s="61"/>
      <c r="E58" s="61"/>
      <c r="F58" s="55"/>
      <c r="G58" s="56"/>
      <c r="H58" s="55"/>
      <c r="I58" s="55"/>
      <c r="J58" s="55"/>
      <c r="K58" s="55"/>
      <c r="L58" s="56"/>
      <c r="M58" s="56"/>
      <c r="N58" s="56"/>
      <c r="O58" s="131"/>
      <c r="P58" s="131"/>
      <c r="Q58" s="132"/>
      <c r="R58" s="58"/>
      <c r="S58" s="58"/>
      <c r="T58" s="133"/>
      <c r="U58" s="134"/>
      <c r="V58" s="74"/>
      <c r="W58" s="43"/>
      <c r="X58" s="69"/>
      <c r="Y58" s="70"/>
      <c r="Z58" s="71"/>
      <c r="AA58" s="71"/>
      <c r="AB58" s="71"/>
      <c r="AC58" s="71"/>
      <c r="AD58" s="71"/>
      <c r="AE58" s="43"/>
      <c r="AF58" s="43"/>
      <c r="AG58" s="4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43"/>
      <c r="AZ58" s="43"/>
      <c r="BA58" s="43"/>
      <c r="BB58" s="43"/>
      <c r="BC58" s="43"/>
      <c r="BD58" s="135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74"/>
      <c r="BQ58" s="43"/>
      <c r="BR58" s="43"/>
      <c r="BS58" s="43"/>
      <c r="BT58" s="74"/>
      <c r="BU58" s="71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71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71"/>
      <c r="DY58" s="71"/>
      <c r="DZ58" s="43"/>
    </row>
    <row r="59" spans="1:131" s="136" customFormat="1" ht="15.75" customHeight="1" thickBot="1">
      <c r="A59" s="137"/>
      <c r="B59" s="138"/>
      <c r="C59" s="139"/>
      <c r="D59" s="140"/>
      <c r="E59" s="140"/>
      <c r="F59" s="141"/>
      <c r="G59" s="138"/>
      <c r="H59" s="141"/>
      <c r="I59" s="141"/>
      <c r="J59" s="141"/>
      <c r="K59" s="141"/>
      <c r="L59" s="138"/>
      <c r="M59" s="138"/>
      <c r="N59" s="138"/>
      <c r="O59" s="142"/>
      <c r="P59" s="142"/>
      <c r="Q59" s="143"/>
      <c r="R59" s="144"/>
      <c r="S59" s="144"/>
      <c r="T59" s="145">
        <f>SUM(T5:T58)</f>
        <v>356871.97</v>
      </c>
      <c r="U59" s="146"/>
      <c r="V59" s="147">
        <f t="shared" ref="V59:CG59" si="1">SUM(V5:V58)</f>
        <v>356871.97</v>
      </c>
      <c r="W59" s="147">
        <f t="shared" si="1"/>
        <v>0</v>
      </c>
      <c r="X59" s="147">
        <f t="shared" si="1"/>
        <v>0</v>
      </c>
      <c r="Y59" s="147">
        <f t="shared" si="1"/>
        <v>0</v>
      </c>
      <c r="Z59" s="147">
        <f t="shared" si="1"/>
        <v>0</v>
      </c>
      <c r="AA59" s="147">
        <f t="shared" si="1"/>
        <v>0</v>
      </c>
      <c r="AB59" s="147">
        <f t="shared" si="1"/>
        <v>0</v>
      </c>
      <c r="AC59" s="147">
        <f t="shared" si="1"/>
        <v>0</v>
      </c>
      <c r="AD59" s="147">
        <f t="shared" si="1"/>
        <v>0</v>
      </c>
      <c r="AE59" s="147">
        <f t="shared" si="1"/>
        <v>0</v>
      </c>
      <c r="AF59" s="147">
        <f t="shared" si="1"/>
        <v>0</v>
      </c>
      <c r="AG59" s="147">
        <f t="shared" si="1"/>
        <v>0</v>
      </c>
      <c r="AH59" s="147">
        <f t="shared" si="1"/>
        <v>0</v>
      </c>
      <c r="AI59" s="147">
        <f t="shared" si="1"/>
        <v>0</v>
      </c>
      <c r="AJ59" s="147">
        <f t="shared" si="1"/>
        <v>0</v>
      </c>
      <c r="AK59" s="147">
        <f t="shared" si="1"/>
        <v>0</v>
      </c>
      <c r="AL59" s="147">
        <f t="shared" si="1"/>
        <v>0</v>
      </c>
      <c r="AM59" s="147">
        <f t="shared" si="1"/>
        <v>0</v>
      </c>
      <c r="AN59" s="147">
        <f t="shared" si="1"/>
        <v>0</v>
      </c>
      <c r="AO59" s="147">
        <f t="shared" si="1"/>
        <v>0</v>
      </c>
      <c r="AP59" s="147">
        <f t="shared" si="1"/>
        <v>0</v>
      </c>
      <c r="AQ59" s="147">
        <f t="shared" si="1"/>
        <v>0</v>
      </c>
      <c r="AR59" s="147">
        <f t="shared" si="1"/>
        <v>0</v>
      </c>
      <c r="AS59" s="147">
        <f t="shared" si="1"/>
        <v>0</v>
      </c>
      <c r="AT59" s="147">
        <f t="shared" si="1"/>
        <v>0</v>
      </c>
      <c r="AU59" s="147">
        <f t="shared" si="1"/>
        <v>0</v>
      </c>
      <c r="AV59" s="147">
        <f t="shared" si="1"/>
        <v>0</v>
      </c>
      <c r="AW59" s="147">
        <f t="shared" si="1"/>
        <v>0</v>
      </c>
      <c r="AX59" s="147">
        <f t="shared" si="1"/>
        <v>0</v>
      </c>
      <c r="AY59" s="147">
        <f t="shared" si="1"/>
        <v>0</v>
      </c>
      <c r="AZ59" s="147">
        <f t="shared" si="1"/>
        <v>0</v>
      </c>
      <c r="BA59" s="147">
        <f t="shared" si="1"/>
        <v>0</v>
      </c>
      <c r="BB59" s="147">
        <f t="shared" si="1"/>
        <v>0</v>
      </c>
      <c r="BC59" s="147">
        <f t="shared" si="1"/>
        <v>0</v>
      </c>
      <c r="BD59" s="147">
        <f t="shared" si="1"/>
        <v>298918</v>
      </c>
      <c r="BE59" s="147">
        <f t="shared" si="1"/>
        <v>16000</v>
      </c>
      <c r="BF59" s="147">
        <f t="shared" si="1"/>
        <v>0</v>
      </c>
      <c r="BG59" s="147">
        <f t="shared" si="1"/>
        <v>0</v>
      </c>
      <c r="BH59" s="147">
        <f t="shared" si="1"/>
        <v>0</v>
      </c>
      <c r="BI59" s="147">
        <f t="shared" si="1"/>
        <v>0</v>
      </c>
      <c r="BJ59" s="147">
        <f t="shared" si="1"/>
        <v>0</v>
      </c>
      <c r="BK59" s="147">
        <f t="shared" si="1"/>
        <v>0</v>
      </c>
      <c r="BL59" s="147">
        <f t="shared" si="1"/>
        <v>0</v>
      </c>
      <c r="BM59" s="147">
        <f t="shared" si="1"/>
        <v>35870.159999999996</v>
      </c>
      <c r="BN59" s="147">
        <f t="shared" si="1"/>
        <v>800</v>
      </c>
      <c r="BO59" s="147">
        <f t="shared" si="1"/>
        <v>4483.8099999999995</v>
      </c>
      <c r="BP59" s="147">
        <f t="shared" si="1"/>
        <v>800</v>
      </c>
      <c r="BQ59" s="147">
        <f t="shared" si="1"/>
        <v>0</v>
      </c>
      <c r="BR59" s="147">
        <f t="shared" si="1"/>
        <v>0</v>
      </c>
      <c r="BS59" s="147">
        <f t="shared" si="1"/>
        <v>0</v>
      </c>
      <c r="BT59" s="147">
        <f t="shared" si="1"/>
        <v>0</v>
      </c>
      <c r="BU59" s="147">
        <f t="shared" si="1"/>
        <v>0</v>
      </c>
      <c r="BV59" s="147">
        <f t="shared" si="1"/>
        <v>0</v>
      </c>
      <c r="BW59" s="147">
        <f t="shared" si="1"/>
        <v>356871.97</v>
      </c>
      <c r="BX59" s="147">
        <f t="shared" si="1"/>
        <v>0</v>
      </c>
      <c r="BY59" s="147">
        <f t="shared" si="1"/>
        <v>0</v>
      </c>
      <c r="BZ59" s="147">
        <f t="shared" si="1"/>
        <v>0</v>
      </c>
      <c r="CA59" s="147">
        <f t="shared" si="1"/>
        <v>0</v>
      </c>
      <c r="CB59" s="147">
        <f t="shared" si="1"/>
        <v>0</v>
      </c>
      <c r="CC59" s="147">
        <f t="shared" si="1"/>
        <v>0</v>
      </c>
      <c r="CD59" s="147">
        <f t="shared" si="1"/>
        <v>0</v>
      </c>
      <c r="CE59" s="147">
        <f t="shared" si="1"/>
        <v>0</v>
      </c>
      <c r="CF59" s="147">
        <f t="shared" si="1"/>
        <v>0</v>
      </c>
      <c r="CG59" s="147">
        <f t="shared" si="1"/>
        <v>0</v>
      </c>
      <c r="CH59" s="147">
        <f t="shared" ref="CH59:DZ59" si="2">SUM(CH5:CH58)</f>
        <v>0</v>
      </c>
      <c r="CI59" s="147">
        <f t="shared" si="2"/>
        <v>0</v>
      </c>
      <c r="CJ59" s="147">
        <f t="shared" si="2"/>
        <v>0</v>
      </c>
      <c r="CK59" s="147">
        <f t="shared" si="2"/>
        <v>0</v>
      </c>
      <c r="CL59" s="147">
        <f t="shared" si="2"/>
        <v>0</v>
      </c>
      <c r="CM59" s="147">
        <f t="shared" si="2"/>
        <v>0</v>
      </c>
      <c r="CN59" s="147">
        <f t="shared" si="2"/>
        <v>0</v>
      </c>
      <c r="CO59" s="147">
        <f t="shared" si="2"/>
        <v>0</v>
      </c>
      <c r="CP59" s="147">
        <f t="shared" si="2"/>
        <v>0</v>
      </c>
      <c r="CQ59" s="147">
        <f t="shared" si="2"/>
        <v>0</v>
      </c>
      <c r="CR59" s="147">
        <f t="shared" si="2"/>
        <v>0</v>
      </c>
      <c r="CS59" s="147">
        <f t="shared" si="2"/>
        <v>0</v>
      </c>
      <c r="CT59" s="147">
        <f t="shared" si="2"/>
        <v>0</v>
      </c>
      <c r="CU59" s="147">
        <f t="shared" si="2"/>
        <v>0</v>
      </c>
      <c r="CV59" s="147">
        <f t="shared" si="2"/>
        <v>0</v>
      </c>
      <c r="CW59" s="147">
        <f t="shared" si="2"/>
        <v>0</v>
      </c>
      <c r="CX59" s="147">
        <f t="shared" si="2"/>
        <v>0</v>
      </c>
      <c r="CY59" s="147">
        <f t="shared" si="2"/>
        <v>0</v>
      </c>
      <c r="CZ59" s="147">
        <f t="shared" si="2"/>
        <v>0</v>
      </c>
      <c r="DA59" s="147">
        <f t="shared" si="2"/>
        <v>0</v>
      </c>
      <c r="DB59" s="147">
        <f t="shared" si="2"/>
        <v>0</v>
      </c>
      <c r="DC59" s="147">
        <f t="shared" si="2"/>
        <v>0</v>
      </c>
      <c r="DD59" s="147">
        <f t="shared" si="2"/>
        <v>0</v>
      </c>
      <c r="DE59" s="147">
        <f t="shared" si="2"/>
        <v>0</v>
      </c>
      <c r="DF59" s="147">
        <f t="shared" si="2"/>
        <v>0</v>
      </c>
      <c r="DG59" s="147">
        <f t="shared" si="2"/>
        <v>0</v>
      </c>
      <c r="DH59" s="147">
        <f t="shared" si="2"/>
        <v>0</v>
      </c>
      <c r="DI59" s="147">
        <f t="shared" si="2"/>
        <v>0</v>
      </c>
      <c r="DJ59" s="147">
        <f t="shared" si="2"/>
        <v>0</v>
      </c>
      <c r="DK59" s="147">
        <f t="shared" si="2"/>
        <v>0</v>
      </c>
      <c r="DL59" s="147">
        <f t="shared" si="2"/>
        <v>0</v>
      </c>
      <c r="DM59" s="147">
        <f t="shared" si="2"/>
        <v>0</v>
      </c>
      <c r="DN59" s="147">
        <f t="shared" si="2"/>
        <v>0</v>
      </c>
      <c r="DO59" s="147">
        <f t="shared" si="2"/>
        <v>0</v>
      </c>
      <c r="DP59" s="147">
        <f t="shared" si="2"/>
        <v>0</v>
      </c>
      <c r="DQ59" s="147">
        <f t="shared" si="2"/>
        <v>0</v>
      </c>
      <c r="DR59" s="147">
        <f t="shared" si="2"/>
        <v>0</v>
      </c>
      <c r="DS59" s="147">
        <f t="shared" si="2"/>
        <v>0</v>
      </c>
      <c r="DT59" s="147">
        <f t="shared" si="2"/>
        <v>0</v>
      </c>
      <c r="DU59" s="147">
        <f t="shared" si="2"/>
        <v>0</v>
      </c>
      <c r="DV59" s="147">
        <f t="shared" si="2"/>
        <v>0</v>
      </c>
      <c r="DW59" s="147">
        <f t="shared" si="2"/>
        <v>0</v>
      </c>
      <c r="DX59" s="147">
        <f t="shared" si="2"/>
        <v>0</v>
      </c>
      <c r="DY59" s="147">
        <f t="shared" si="2"/>
        <v>0</v>
      </c>
      <c r="DZ59" s="147">
        <f t="shared" si="2"/>
        <v>0</v>
      </c>
    </row>
    <row r="60" spans="1:131" s="136" customFormat="1" ht="15.75" customHeight="1" thickTop="1">
      <c r="A60" s="148"/>
      <c r="B60" s="149"/>
      <c r="C60" s="150"/>
      <c r="D60" s="151"/>
      <c r="E60" s="151"/>
      <c r="F60" s="152"/>
      <c r="G60" s="149"/>
      <c r="H60" s="152"/>
      <c r="I60" s="152"/>
      <c r="J60" s="152"/>
      <c r="K60" s="152"/>
      <c r="L60" s="149"/>
      <c r="M60" s="149"/>
      <c r="N60" s="149"/>
      <c r="O60" s="153"/>
      <c r="P60" s="153"/>
      <c r="Q60" s="154"/>
      <c r="R60" s="155"/>
      <c r="S60" s="155"/>
      <c r="T60" s="156"/>
      <c r="U60" s="157"/>
      <c r="V60" s="158"/>
      <c r="W60" s="159"/>
      <c r="X60" s="158"/>
      <c r="Y60" s="160"/>
      <c r="Z60" s="154"/>
      <c r="AA60" s="154"/>
      <c r="AB60" s="154"/>
      <c r="AC60" s="154"/>
      <c r="AD60" s="154"/>
      <c r="AE60" s="161"/>
      <c r="AF60" s="161"/>
      <c r="AG60" s="161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61"/>
      <c r="AZ60" s="161"/>
      <c r="BA60" s="161"/>
      <c r="BB60" s="161"/>
      <c r="BC60" s="74">
        <f>SUM(BC59:BS59)</f>
        <v>356871.97</v>
      </c>
      <c r="BD60" s="161"/>
      <c r="BE60" s="161"/>
      <c r="BF60" s="161"/>
      <c r="BG60" s="161"/>
      <c r="BH60" s="161"/>
      <c r="BI60" s="161"/>
      <c r="BJ60" s="161"/>
      <c r="BK60" s="161"/>
      <c r="BL60" s="161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161"/>
      <c r="BX60" s="161"/>
      <c r="BY60" s="161"/>
      <c r="BZ60" s="161"/>
      <c r="CA60" s="74"/>
      <c r="CB60" s="74"/>
      <c r="CC60" s="74"/>
      <c r="CD60" s="74">
        <f>SUM(CD59:DZ59)</f>
        <v>0</v>
      </c>
      <c r="CE60" s="161"/>
      <c r="CF60" s="161"/>
      <c r="CG60" s="161"/>
      <c r="CH60" s="161"/>
      <c r="CI60" s="161"/>
      <c r="CJ60" s="161"/>
      <c r="CK60" s="161"/>
      <c r="CL60" s="161"/>
      <c r="CM60" s="161"/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74"/>
      <c r="DF60" s="161"/>
      <c r="DG60" s="161"/>
      <c r="DH60" s="161"/>
      <c r="DI60" s="161"/>
      <c r="DJ60" s="161"/>
      <c r="DK60" s="161"/>
      <c r="DL60" s="161"/>
      <c r="DM60" s="161"/>
      <c r="DN60" s="161"/>
      <c r="DO60" s="161"/>
      <c r="DP60" s="161"/>
      <c r="DQ60" s="161"/>
      <c r="DR60" s="161"/>
      <c r="DS60" s="161"/>
      <c r="DT60" s="161"/>
      <c r="DU60" s="161"/>
      <c r="DV60" s="161"/>
      <c r="DW60" s="161"/>
      <c r="DX60" s="161"/>
      <c r="DY60" s="161"/>
      <c r="DZ60" s="161"/>
    </row>
    <row r="61" spans="1:131" s="136" customFormat="1" ht="15" customHeight="1">
      <c r="BC61" s="162" t="s">
        <v>27</v>
      </c>
      <c r="BD61" s="162" t="s">
        <v>28</v>
      </c>
      <c r="BE61" s="163" t="s">
        <v>29</v>
      </c>
      <c r="BF61" s="164" t="s">
        <v>30</v>
      </c>
      <c r="BG61" s="164" t="s">
        <v>31</v>
      </c>
      <c r="BH61" s="165" t="s">
        <v>32</v>
      </c>
      <c r="BI61" s="165" t="s">
        <v>33</v>
      </c>
      <c r="BJ61" s="163" t="s">
        <v>34</v>
      </c>
      <c r="BK61" s="163" t="s">
        <v>35</v>
      </c>
      <c r="BL61" s="163" t="s">
        <v>36</v>
      </c>
      <c r="BM61" s="163" t="s">
        <v>37</v>
      </c>
      <c r="BN61" s="165" t="s">
        <v>38</v>
      </c>
      <c r="BO61" s="163" t="s">
        <v>39</v>
      </c>
      <c r="BP61" s="163" t="s">
        <v>40</v>
      </c>
      <c r="BQ61" s="163" t="s">
        <v>41</v>
      </c>
      <c r="BR61" s="163" t="s">
        <v>42</v>
      </c>
      <c r="BS61" s="166"/>
      <c r="BT61" s="166"/>
      <c r="BU61" s="166"/>
      <c r="BV61" s="166"/>
      <c r="BW61" s="166"/>
      <c r="BX61" s="166"/>
      <c r="BY61" s="166"/>
      <c r="BZ61" s="166"/>
      <c r="CA61" s="166"/>
      <c r="CB61" s="166"/>
      <c r="CC61" s="166"/>
      <c r="CD61" s="167" t="s">
        <v>43</v>
      </c>
      <c r="CE61" s="168" t="s">
        <v>44</v>
      </c>
      <c r="CF61" s="168">
        <v>752</v>
      </c>
      <c r="CG61" s="168" t="s">
        <v>45</v>
      </c>
      <c r="CH61" s="168" t="s">
        <v>46</v>
      </c>
      <c r="CI61" s="168" t="s">
        <v>47</v>
      </c>
      <c r="CJ61" s="168">
        <v>761</v>
      </c>
      <c r="CK61" s="168" t="s">
        <v>48</v>
      </c>
      <c r="CL61" s="168" t="s">
        <v>49</v>
      </c>
      <c r="CM61" s="168">
        <v>767</v>
      </c>
      <c r="CN61" s="168" t="s">
        <v>50</v>
      </c>
      <c r="CO61" s="168" t="s">
        <v>51</v>
      </c>
      <c r="CP61" s="168" t="s">
        <v>52</v>
      </c>
      <c r="CQ61" s="168" t="s">
        <v>53</v>
      </c>
      <c r="CR61" s="168" t="s">
        <v>54</v>
      </c>
      <c r="CS61" s="168" t="s">
        <v>55</v>
      </c>
      <c r="CT61" s="168" t="s">
        <v>56</v>
      </c>
      <c r="CU61" s="168" t="s">
        <v>57</v>
      </c>
      <c r="CV61" s="168" t="s">
        <v>58</v>
      </c>
      <c r="CW61" s="168" t="s">
        <v>58</v>
      </c>
      <c r="CX61" s="168" t="s">
        <v>59</v>
      </c>
      <c r="CY61" s="168" t="s">
        <v>60</v>
      </c>
      <c r="CZ61" s="168" t="s">
        <v>61</v>
      </c>
      <c r="DA61" s="168" t="s">
        <v>62</v>
      </c>
      <c r="DB61" s="168" t="s">
        <v>63</v>
      </c>
      <c r="DC61" s="168" t="s">
        <v>64</v>
      </c>
      <c r="DD61" s="168">
        <v>793</v>
      </c>
      <c r="DE61" s="168">
        <v>795</v>
      </c>
      <c r="DF61" s="168">
        <v>796</v>
      </c>
      <c r="DG61" s="168">
        <v>797</v>
      </c>
      <c r="DH61" s="168" t="s">
        <v>65</v>
      </c>
      <c r="DI61" s="168" t="s">
        <v>66</v>
      </c>
      <c r="DJ61" s="168" t="s">
        <v>67</v>
      </c>
      <c r="DK61" s="168" t="s">
        <v>68</v>
      </c>
      <c r="DL61" s="168" t="s">
        <v>69</v>
      </c>
      <c r="DM61" s="168" t="s">
        <v>70</v>
      </c>
      <c r="DN61" s="168" t="s">
        <v>71</v>
      </c>
      <c r="DO61" s="168" t="s">
        <v>72</v>
      </c>
      <c r="DP61" s="168" t="s">
        <v>73</v>
      </c>
      <c r="DQ61" s="168" t="s">
        <v>74</v>
      </c>
      <c r="DR61" s="168">
        <v>879</v>
      </c>
      <c r="DS61" s="168" t="s">
        <v>75</v>
      </c>
      <c r="DT61" s="168" t="s">
        <v>76</v>
      </c>
      <c r="DU61" s="168" t="s">
        <v>77</v>
      </c>
      <c r="DV61" s="168" t="s">
        <v>78</v>
      </c>
      <c r="DW61" s="168" t="s">
        <v>79</v>
      </c>
      <c r="DX61" s="168">
        <v>226</v>
      </c>
      <c r="DY61" s="168">
        <v>241</v>
      </c>
      <c r="DZ61" s="168">
        <v>222</v>
      </c>
    </row>
    <row r="62" spans="1:131" s="75" customFormat="1" ht="15.75" customHeight="1">
      <c r="A62" s="260"/>
      <c r="B62" s="261"/>
      <c r="C62" s="262"/>
      <c r="D62" s="263"/>
      <c r="E62" s="263"/>
      <c r="F62" s="264"/>
      <c r="G62" s="261"/>
      <c r="H62" s="264"/>
      <c r="I62" s="264"/>
      <c r="J62" s="264"/>
      <c r="K62" s="264"/>
      <c r="L62" s="261"/>
      <c r="M62" s="261"/>
      <c r="N62" s="261"/>
      <c r="O62" s="265"/>
      <c r="P62" s="265"/>
      <c r="Q62" s="266"/>
      <c r="R62" s="267"/>
      <c r="S62" s="267"/>
      <c r="T62" s="268"/>
      <c r="U62" s="269"/>
      <c r="V62" s="270"/>
      <c r="W62" s="268"/>
      <c r="X62" s="270"/>
      <c r="Y62" s="271"/>
      <c r="Z62" s="266"/>
      <c r="AA62" s="266"/>
      <c r="AB62" s="266"/>
      <c r="AC62" s="266"/>
      <c r="AD62" s="266"/>
      <c r="AE62" s="272"/>
      <c r="AF62" s="272"/>
      <c r="AG62" s="272"/>
      <c r="AH62" s="266"/>
      <c r="AI62" s="266"/>
      <c r="AJ62" s="266"/>
      <c r="AK62" s="266"/>
      <c r="AL62" s="266"/>
      <c r="AM62" s="266"/>
      <c r="AN62" s="266"/>
      <c r="AO62" s="266"/>
      <c r="AP62" s="266"/>
      <c r="AQ62" s="266"/>
      <c r="AR62" s="266"/>
      <c r="AS62" s="266"/>
      <c r="AT62" s="266"/>
      <c r="AU62" s="266"/>
      <c r="AV62" s="266"/>
      <c r="AW62" s="266"/>
      <c r="AX62" s="266"/>
      <c r="AY62" s="272"/>
      <c r="AZ62" s="272"/>
      <c r="BA62" s="272"/>
      <c r="BB62" s="272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3"/>
      <c r="CB62" s="273"/>
      <c r="CC62" s="273"/>
      <c r="CD62" s="273"/>
      <c r="CE62" s="272"/>
      <c r="CF62" s="272"/>
      <c r="CG62" s="272"/>
      <c r="CH62" s="272"/>
      <c r="CI62" s="272"/>
      <c r="CJ62" s="272"/>
      <c r="CK62" s="272"/>
      <c r="CL62" s="272"/>
      <c r="CM62" s="272"/>
      <c r="CN62" s="272"/>
      <c r="CO62" s="272"/>
      <c r="CP62" s="272"/>
      <c r="CQ62" s="272"/>
      <c r="CR62" s="272"/>
      <c r="CS62" s="272"/>
      <c r="CT62" s="272"/>
      <c r="CU62" s="272"/>
      <c r="CV62" s="272"/>
      <c r="CW62" s="272"/>
      <c r="CX62" s="272"/>
      <c r="CY62" s="272"/>
      <c r="CZ62" s="272"/>
      <c r="DA62" s="272"/>
      <c r="DB62" s="272"/>
      <c r="DC62" s="272"/>
      <c r="DD62" s="272"/>
      <c r="DE62" s="273"/>
      <c r="DF62" s="272"/>
      <c r="DG62" s="272"/>
      <c r="DH62" s="272"/>
      <c r="DI62" s="272"/>
      <c r="DJ62" s="272"/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</row>
    <row r="63" spans="1:131" s="75" customFormat="1" ht="15.75" customHeight="1">
      <c r="A63" s="260"/>
      <c r="B63" s="261"/>
      <c r="C63" s="262"/>
      <c r="D63" s="263"/>
      <c r="E63" s="263"/>
      <c r="F63" s="264"/>
      <c r="G63" s="261"/>
      <c r="H63" s="264"/>
      <c r="I63" s="264"/>
      <c r="J63" s="264"/>
      <c r="K63" s="264"/>
      <c r="L63" s="261"/>
      <c r="M63" s="261"/>
      <c r="N63" s="261"/>
      <c r="O63" s="265"/>
      <c r="P63" s="265"/>
      <c r="Q63" s="266"/>
      <c r="R63" s="267"/>
      <c r="S63" s="267"/>
      <c r="T63" s="268"/>
      <c r="U63" s="269"/>
      <c r="V63" s="270"/>
      <c r="W63" s="268"/>
      <c r="X63" s="270"/>
      <c r="Y63" s="271"/>
      <c r="Z63" s="266"/>
      <c r="AA63" s="266"/>
      <c r="AB63" s="266"/>
      <c r="AC63" s="266"/>
      <c r="AD63" s="266"/>
      <c r="AE63" s="272"/>
      <c r="AF63" s="272"/>
      <c r="AG63" s="272"/>
      <c r="AH63" s="266"/>
      <c r="AI63" s="266"/>
      <c r="AJ63" s="266"/>
      <c r="AK63" s="266"/>
      <c r="AL63" s="266"/>
      <c r="AM63" s="266"/>
      <c r="AN63" s="266"/>
      <c r="AO63" s="266"/>
      <c r="AP63" s="266"/>
      <c r="AQ63" s="266"/>
      <c r="AR63" s="266"/>
      <c r="AS63" s="266"/>
      <c r="AT63" s="266"/>
      <c r="AU63" s="266"/>
      <c r="AV63" s="266"/>
      <c r="AW63" s="266"/>
      <c r="AX63" s="266"/>
      <c r="AY63" s="272"/>
      <c r="AZ63" s="272"/>
      <c r="BA63" s="272"/>
      <c r="BB63" s="272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2"/>
      <c r="BS63" s="272"/>
      <c r="BT63" s="272"/>
      <c r="BU63" s="272"/>
      <c r="BV63" s="272"/>
      <c r="BW63" s="272"/>
      <c r="BX63" s="272"/>
      <c r="BY63" s="272"/>
      <c r="BZ63" s="272"/>
      <c r="CA63" s="273"/>
      <c r="CB63" s="273"/>
      <c r="CC63" s="273"/>
      <c r="CD63" s="273"/>
      <c r="CE63" s="272"/>
      <c r="CF63" s="272"/>
      <c r="CG63" s="272"/>
      <c r="CH63" s="272"/>
      <c r="CI63" s="272"/>
      <c r="CJ63" s="272"/>
      <c r="CK63" s="272"/>
      <c r="CL63" s="272"/>
      <c r="CM63" s="272"/>
      <c r="CN63" s="272"/>
      <c r="CO63" s="272"/>
      <c r="CP63" s="272"/>
      <c r="CQ63" s="272"/>
      <c r="CR63" s="272"/>
      <c r="CS63" s="272"/>
      <c r="CT63" s="272"/>
      <c r="CU63" s="272"/>
      <c r="CV63" s="272"/>
      <c r="CW63" s="272"/>
      <c r="CX63" s="272"/>
      <c r="CY63" s="272"/>
      <c r="CZ63" s="272"/>
      <c r="DA63" s="272"/>
      <c r="DB63" s="272"/>
      <c r="DC63" s="272"/>
      <c r="DD63" s="272"/>
      <c r="DE63" s="273"/>
      <c r="DF63" s="272"/>
      <c r="DG63" s="272"/>
      <c r="DH63" s="272"/>
      <c r="DI63" s="272"/>
      <c r="DJ63" s="272"/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</row>
    <row r="64" spans="1:131" s="75" customFormat="1" ht="15.75" customHeight="1">
      <c r="A64" s="260"/>
      <c r="B64" s="261"/>
      <c r="C64" s="262"/>
      <c r="D64" s="263"/>
      <c r="E64" s="263"/>
      <c r="F64" s="264"/>
      <c r="G64" s="261"/>
      <c r="H64" s="264"/>
      <c r="I64" s="264"/>
      <c r="J64" s="264"/>
      <c r="K64" s="264"/>
      <c r="L64" s="261"/>
      <c r="M64" s="261"/>
      <c r="N64" s="261"/>
      <c r="O64" s="265"/>
      <c r="P64" s="265"/>
      <c r="Q64" s="266"/>
      <c r="R64" s="267"/>
      <c r="S64" s="267"/>
      <c r="T64" s="268"/>
      <c r="U64" s="269"/>
      <c r="V64" s="270"/>
      <c r="W64" s="268"/>
      <c r="X64" s="270"/>
      <c r="Y64" s="271"/>
      <c r="Z64" s="266"/>
      <c r="AA64" s="266"/>
      <c r="AB64" s="266"/>
      <c r="AC64" s="266"/>
      <c r="AD64" s="266"/>
      <c r="AE64" s="272"/>
      <c r="AF64" s="272"/>
      <c r="AG64" s="272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72"/>
      <c r="AZ64" s="272"/>
      <c r="BA64" s="272"/>
      <c r="BB64" s="272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272"/>
      <c r="BV64" s="272"/>
      <c r="BW64" s="272"/>
      <c r="BX64" s="272"/>
      <c r="BY64" s="272"/>
      <c r="BZ64" s="272"/>
      <c r="CA64" s="273"/>
      <c r="CB64" s="273"/>
      <c r="CC64" s="273"/>
      <c r="CD64" s="273"/>
      <c r="CE64" s="272"/>
      <c r="CF64" s="272"/>
      <c r="CG64" s="272"/>
      <c r="CH64" s="272"/>
      <c r="CI64" s="272"/>
      <c r="CJ64" s="272"/>
      <c r="CK64" s="272"/>
      <c r="CL64" s="272"/>
      <c r="CM64" s="272"/>
      <c r="CN64" s="272"/>
      <c r="CO64" s="272"/>
      <c r="CP64" s="272"/>
      <c r="CQ64" s="272"/>
      <c r="CR64" s="272"/>
      <c r="CS64" s="272"/>
      <c r="CT64" s="272"/>
      <c r="CU64" s="272"/>
      <c r="CV64" s="272"/>
      <c r="CW64" s="272"/>
      <c r="CX64" s="272"/>
      <c r="CY64" s="272"/>
      <c r="CZ64" s="272"/>
      <c r="DA64" s="272"/>
      <c r="DB64" s="272"/>
      <c r="DC64" s="272"/>
      <c r="DD64" s="272"/>
      <c r="DE64" s="273"/>
      <c r="DF64" s="272"/>
      <c r="DG64" s="272"/>
      <c r="DH64" s="272"/>
      <c r="DI64" s="272"/>
      <c r="DJ64" s="272"/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</row>
    <row r="65" spans="1:130" s="75" customFormat="1" ht="15.75" customHeight="1">
      <c r="A65" s="260"/>
      <c r="B65" s="261"/>
      <c r="C65" s="262"/>
      <c r="D65" s="263"/>
      <c r="E65" s="263"/>
      <c r="F65" s="264"/>
      <c r="G65" s="261"/>
      <c r="H65" s="264"/>
      <c r="I65" s="264"/>
      <c r="J65" s="264"/>
      <c r="K65" s="264"/>
      <c r="L65" s="261"/>
      <c r="M65" s="261"/>
      <c r="N65" s="261"/>
      <c r="O65" s="265"/>
      <c r="P65" s="265"/>
      <c r="Q65" s="266"/>
      <c r="R65" s="267"/>
      <c r="S65" s="267"/>
      <c r="T65" s="268"/>
      <c r="U65" s="269"/>
      <c r="V65" s="270"/>
      <c r="W65" s="268"/>
      <c r="X65" s="270"/>
      <c r="Y65" s="271"/>
      <c r="Z65" s="266"/>
      <c r="AA65" s="266"/>
      <c r="AB65" s="266"/>
      <c r="AC65" s="266"/>
      <c r="AD65" s="266"/>
      <c r="AE65" s="272"/>
      <c r="AF65" s="272"/>
      <c r="AG65" s="272"/>
      <c r="AH65" s="266"/>
      <c r="AI65" s="266"/>
      <c r="AJ65" s="266"/>
      <c r="AK65" s="266"/>
      <c r="AL65" s="266"/>
      <c r="AM65" s="266"/>
      <c r="AN65" s="266"/>
      <c r="AO65" s="266"/>
      <c r="AP65" s="266"/>
      <c r="AQ65" s="266"/>
      <c r="AR65" s="266"/>
      <c r="AS65" s="266"/>
      <c r="AT65" s="266"/>
      <c r="AU65" s="266"/>
      <c r="AV65" s="266"/>
      <c r="AW65" s="266"/>
      <c r="AX65" s="266"/>
      <c r="AY65" s="272"/>
      <c r="AZ65" s="272"/>
      <c r="BA65" s="272"/>
      <c r="BB65" s="272"/>
      <c r="BC65" s="272"/>
      <c r="BD65" s="272"/>
      <c r="BE65" s="272"/>
      <c r="BF65" s="277"/>
      <c r="BG65" s="277"/>
      <c r="BH65" s="272"/>
      <c r="BI65" s="272"/>
      <c r="BJ65" s="272"/>
      <c r="BK65" s="272"/>
      <c r="BL65" s="272"/>
      <c r="BM65" s="272"/>
      <c r="BN65" s="272"/>
      <c r="BO65" s="272"/>
      <c r="BP65" s="272"/>
      <c r="BQ65" s="272"/>
      <c r="BR65" s="272"/>
      <c r="BS65" s="272"/>
      <c r="BT65" s="272"/>
      <c r="BU65" s="272"/>
      <c r="BV65" s="272"/>
      <c r="BW65" s="272"/>
      <c r="BX65" s="272"/>
      <c r="BY65" s="272"/>
      <c r="BZ65" s="272"/>
      <c r="CA65" s="273"/>
      <c r="CB65" s="273"/>
      <c r="CC65" s="273"/>
      <c r="CD65" s="273"/>
      <c r="CE65" s="272"/>
      <c r="CF65" s="272"/>
      <c r="CG65" s="272"/>
      <c r="CH65" s="272"/>
      <c r="CI65" s="272"/>
      <c r="CJ65" s="272"/>
      <c r="CK65" s="272"/>
      <c r="CL65" s="272"/>
      <c r="CM65" s="272"/>
      <c r="CN65" s="272"/>
      <c r="CO65" s="272"/>
      <c r="CP65" s="272"/>
      <c r="CQ65" s="272"/>
      <c r="CR65" s="272"/>
      <c r="CS65" s="272"/>
      <c r="CT65" s="272"/>
      <c r="CU65" s="272"/>
      <c r="CV65" s="272"/>
      <c r="CW65" s="272"/>
      <c r="CX65" s="272"/>
      <c r="CY65" s="272"/>
      <c r="CZ65" s="272"/>
      <c r="DA65" s="272"/>
      <c r="DB65" s="272"/>
      <c r="DC65" s="272"/>
      <c r="DD65" s="272"/>
      <c r="DE65" s="273"/>
      <c r="DF65" s="272"/>
      <c r="DG65" s="272"/>
      <c r="DH65" s="272"/>
      <c r="DI65" s="272"/>
      <c r="DJ65" s="272"/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</row>
    <row r="66" spans="1:130" s="75" customFormat="1" ht="15.75" customHeight="1">
      <c r="A66" s="260"/>
      <c r="B66" s="261"/>
      <c r="C66" s="262"/>
      <c r="D66" s="263"/>
      <c r="E66" s="263"/>
      <c r="F66" s="264"/>
      <c r="G66" s="261"/>
      <c r="H66" s="264"/>
      <c r="I66" s="264"/>
      <c r="J66" s="264"/>
      <c r="K66" s="264"/>
      <c r="L66" s="261"/>
      <c r="M66" s="261"/>
      <c r="N66" s="261"/>
      <c r="O66" s="265"/>
      <c r="P66" s="265"/>
      <c r="Q66" s="266"/>
      <c r="R66" s="267"/>
      <c r="S66" s="267"/>
      <c r="T66" s="268"/>
      <c r="U66" s="269"/>
      <c r="V66" s="270"/>
      <c r="W66" s="268"/>
      <c r="X66" s="270"/>
      <c r="Y66" s="271"/>
      <c r="Z66" s="266"/>
      <c r="AA66" s="266"/>
      <c r="AB66" s="266"/>
      <c r="AC66" s="266"/>
      <c r="AD66" s="266"/>
      <c r="AE66" s="272"/>
      <c r="AF66" s="272"/>
      <c r="AG66" s="272"/>
      <c r="AH66" s="266"/>
      <c r="AI66" s="266"/>
      <c r="AJ66" s="266"/>
      <c r="AK66" s="266"/>
      <c r="AL66" s="266"/>
      <c r="AM66" s="266"/>
      <c r="AN66" s="266"/>
      <c r="AO66" s="266"/>
      <c r="AP66" s="266"/>
      <c r="AQ66" s="266"/>
      <c r="AR66" s="266"/>
      <c r="AS66" s="266"/>
      <c r="AT66" s="266"/>
      <c r="AU66" s="266"/>
      <c r="AV66" s="266"/>
      <c r="AW66" s="266"/>
      <c r="AX66" s="266"/>
      <c r="AY66" s="272"/>
      <c r="AZ66" s="272"/>
      <c r="BA66" s="272"/>
      <c r="BB66" s="272"/>
      <c r="BC66" s="272"/>
      <c r="BD66" s="272"/>
      <c r="BE66" s="272"/>
      <c r="BF66" s="277"/>
      <c r="BG66" s="277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2"/>
      <c r="BS66" s="272"/>
      <c r="BT66" s="272"/>
      <c r="BU66" s="272"/>
      <c r="BV66" s="272"/>
      <c r="BW66" s="272"/>
      <c r="BX66" s="272"/>
      <c r="BY66" s="272"/>
      <c r="BZ66" s="272"/>
      <c r="CA66" s="273"/>
      <c r="CB66" s="273"/>
      <c r="CC66" s="273"/>
      <c r="CD66" s="273"/>
      <c r="CE66" s="272"/>
      <c r="CF66" s="272"/>
      <c r="CG66" s="272"/>
      <c r="CH66" s="272"/>
      <c r="CI66" s="272"/>
      <c r="CJ66" s="272"/>
      <c r="CK66" s="272"/>
      <c r="CL66" s="272"/>
      <c r="CM66" s="272"/>
      <c r="CN66" s="272"/>
      <c r="CO66" s="272"/>
      <c r="CP66" s="272"/>
      <c r="CQ66" s="272"/>
      <c r="CR66" s="272"/>
      <c r="CS66" s="272"/>
      <c r="CT66" s="272"/>
      <c r="CU66" s="272"/>
      <c r="CV66" s="272"/>
      <c r="CW66" s="272"/>
      <c r="CX66" s="272"/>
      <c r="CY66" s="272"/>
      <c r="CZ66" s="272"/>
      <c r="DA66" s="272"/>
      <c r="DB66" s="272"/>
      <c r="DC66" s="272"/>
      <c r="DD66" s="272"/>
      <c r="DE66" s="273"/>
      <c r="DF66" s="272"/>
      <c r="DG66" s="272"/>
      <c r="DH66" s="272"/>
      <c r="DI66" s="272"/>
      <c r="DJ66" s="272"/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</row>
    <row r="67" spans="1:130">
      <c r="BF67" s="278"/>
      <c r="BG67" s="278"/>
    </row>
    <row r="68" spans="1:130">
      <c r="BF68" s="278"/>
      <c r="BG68" s="278"/>
    </row>
    <row r="69" spans="1:130">
      <c r="BF69" s="278"/>
      <c r="BG69" s="278"/>
    </row>
    <row r="70" spans="1:130">
      <c r="BF70" s="278"/>
      <c r="BG70" s="278"/>
    </row>
    <row r="71" spans="1:130">
      <c r="BF71" s="278"/>
      <c r="BG71" s="278"/>
    </row>
    <row r="72" spans="1:130">
      <c r="BF72" s="278"/>
      <c r="BG72" s="278"/>
    </row>
    <row r="73" spans="1:130">
      <c r="BF73" s="278"/>
      <c r="BG73" s="278"/>
    </row>
    <row r="74" spans="1:130">
      <c r="BF74" s="278"/>
      <c r="BG74" s="278"/>
    </row>
    <row r="75" spans="1:130">
      <c r="BG75" s="278"/>
    </row>
    <row r="76" spans="1:130">
      <c r="BG76" s="278"/>
    </row>
    <row r="77" spans="1:130">
      <c r="BG77" s="278"/>
    </row>
    <row r="78" spans="1:130">
      <c r="BG78" s="278"/>
    </row>
    <row r="79" spans="1:130">
      <c r="BF79" s="278"/>
      <c r="BG79" s="278"/>
    </row>
    <row r="80" spans="1:130">
      <c r="BF80" s="278"/>
      <c r="BG80" s="278"/>
    </row>
    <row r="81" spans="59:59">
      <c r="BG81" s="278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33">
        <v>44209</v>
      </c>
      <c r="B5" s="34" t="s">
        <v>759</v>
      </c>
      <c r="C5" s="286" t="s">
        <v>8</v>
      </c>
      <c r="D5" s="36">
        <v>0.49236111111111108</v>
      </c>
      <c r="E5" s="36">
        <v>0.49305555555555558</v>
      </c>
      <c r="F5" s="37" t="s">
        <v>0</v>
      </c>
      <c r="G5" s="38">
        <v>1</v>
      </c>
      <c r="H5" s="39">
        <v>883</v>
      </c>
      <c r="I5" s="51" t="str">
        <f>VLOOKUP(H5,'[2]Chart of accounts'!A:H,2,FALSE)</f>
        <v>50210030 00</v>
      </c>
      <c r="J5" s="39"/>
      <c r="K5" s="39"/>
      <c r="L5" s="34"/>
      <c r="M5" s="34"/>
      <c r="N5" s="34"/>
      <c r="O5" s="53" t="s">
        <v>3</v>
      </c>
      <c r="P5" s="53" t="s">
        <v>3</v>
      </c>
      <c r="Q5" s="54" t="s">
        <v>2</v>
      </c>
      <c r="R5" s="42" t="s">
        <v>6</v>
      </c>
      <c r="S5" s="42" t="s">
        <v>761</v>
      </c>
      <c r="T5" s="43">
        <v>10000</v>
      </c>
      <c r="U5" s="52"/>
      <c r="V5" s="43"/>
      <c r="W5" s="44">
        <f>+T5-V5</f>
        <v>10000</v>
      </c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10000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3">
        <v>10000</v>
      </c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27.6">
      <c r="A6" s="76">
        <v>44214</v>
      </c>
      <c r="B6" s="34" t="s">
        <v>759</v>
      </c>
      <c r="C6" s="286" t="s">
        <v>772</v>
      </c>
      <c r="D6" s="36">
        <v>0.38958333333333334</v>
      </c>
      <c r="E6" s="36">
        <v>0.39444444444444443</v>
      </c>
      <c r="F6" s="55" t="s">
        <v>0</v>
      </c>
      <c r="G6" s="38">
        <v>2</v>
      </c>
      <c r="H6" s="39">
        <v>755</v>
      </c>
      <c r="I6" s="39" t="str">
        <f>VLOOKUP(H6,'[3]Chart of accounts'!A:H,2,FALSE)</f>
        <v>50203010 00</v>
      </c>
      <c r="J6" s="39"/>
      <c r="K6" s="39"/>
      <c r="L6" s="34"/>
      <c r="M6" s="34"/>
      <c r="N6" s="34"/>
      <c r="O6" s="40" t="s">
        <v>3</v>
      </c>
      <c r="P6" s="40" t="s">
        <v>3</v>
      </c>
      <c r="Q6" s="78" t="s">
        <v>2</v>
      </c>
      <c r="R6" s="42" t="s">
        <v>773</v>
      </c>
      <c r="S6" s="42" t="s">
        <v>774</v>
      </c>
      <c r="T6" s="47">
        <v>1000</v>
      </c>
      <c r="U6" s="52"/>
      <c r="V6" s="49"/>
      <c r="W6" s="44">
        <f t="shared" ref="W6:W36" si="0">+T6-V6</f>
        <v>1000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7">
        <v>1000</v>
      </c>
      <c r="BU6" s="47"/>
      <c r="BV6" s="44"/>
      <c r="BW6" s="50"/>
      <c r="BX6" s="44"/>
      <c r="BY6" s="44"/>
      <c r="BZ6" s="44"/>
      <c r="CA6" s="44"/>
      <c r="CB6" s="43">
        <f t="shared" ref="CB6:CB11" si="1">SUM(CD6:DZ6)-W6</f>
        <v>0</v>
      </c>
      <c r="CC6" s="44"/>
      <c r="CD6" s="65"/>
      <c r="CE6" s="44"/>
      <c r="CF6" s="44"/>
      <c r="CG6" s="44"/>
      <c r="CH6" s="47">
        <v>1000</v>
      </c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50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27.6">
      <c r="A7" s="76">
        <v>44214</v>
      </c>
      <c r="B7" s="34" t="s">
        <v>759</v>
      </c>
      <c r="C7" s="286" t="s">
        <v>772</v>
      </c>
      <c r="D7" s="36">
        <v>0.38958333333333334</v>
      </c>
      <c r="E7" s="36">
        <v>0.39444444444444443</v>
      </c>
      <c r="F7" s="55" t="s">
        <v>0</v>
      </c>
      <c r="G7" s="38">
        <v>2</v>
      </c>
      <c r="H7" s="39">
        <v>765</v>
      </c>
      <c r="I7" s="39" t="str">
        <f>VLOOKUP(H7,'[3]Chart of accounts'!A:H,2,FALSE)</f>
        <v>50203990 00</v>
      </c>
      <c r="J7" s="39"/>
      <c r="K7" s="39"/>
      <c r="L7" s="34"/>
      <c r="M7" s="34"/>
      <c r="N7" s="34"/>
      <c r="O7" s="40" t="s">
        <v>3</v>
      </c>
      <c r="P7" s="40" t="s">
        <v>3</v>
      </c>
      <c r="Q7" s="78" t="s">
        <v>2</v>
      </c>
      <c r="R7" s="42" t="s">
        <v>773</v>
      </c>
      <c r="S7" s="42" t="s">
        <v>774</v>
      </c>
      <c r="T7" s="47">
        <v>600</v>
      </c>
      <c r="U7" s="52"/>
      <c r="V7" s="49"/>
      <c r="W7" s="44">
        <f t="shared" si="0"/>
        <v>600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7">
        <v>600</v>
      </c>
      <c r="BU7" s="47"/>
      <c r="BV7" s="44"/>
      <c r="BW7" s="50"/>
      <c r="BX7" s="44"/>
      <c r="BY7" s="44"/>
      <c r="BZ7" s="44"/>
      <c r="CA7" s="44"/>
      <c r="CB7" s="43">
        <f t="shared" si="1"/>
        <v>0</v>
      </c>
      <c r="CC7" s="44"/>
      <c r="CD7" s="65"/>
      <c r="CE7" s="44"/>
      <c r="CF7" s="44"/>
      <c r="CG7" s="44"/>
      <c r="CI7" s="44"/>
      <c r="CJ7" s="44"/>
      <c r="CK7" s="47">
        <v>600</v>
      </c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50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27.6">
      <c r="A8" s="76">
        <v>44214</v>
      </c>
      <c r="B8" s="34" t="s">
        <v>759</v>
      </c>
      <c r="C8" s="286" t="s">
        <v>772</v>
      </c>
      <c r="D8" s="36">
        <v>0.38958333333333334</v>
      </c>
      <c r="E8" s="36">
        <v>0.39444444444444443</v>
      </c>
      <c r="F8" s="55" t="s">
        <v>0</v>
      </c>
      <c r="G8" s="38">
        <v>2</v>
      </c>
      <c r="H8" s="39">
        <v>781</v>
      </c>
      <c r="I8" s="39" t="str">
        <f>VLOOKUP(H8,'[3]Chart of accounts'!A:H,2,FALSE)</f>
        <v>50299020 00</v>
      </c>
      <c r="J8" s="39"/>
      <c r="K8" s="39"/>
      <c r="L8" s="34"/>
      <c r="M8" s="34"/>
      <c r="N8" s="34"/>
      <c r="O8" s="40" t="s">
        <v>3</v>
      </c>
      <c r="P8" s="40" t="s">
        <v>3</v>
      </c>
      <c r="Q8" s="78" t="s">
        <v>2</v>
      </c>
      <c r="R8" s="42" t="s">
        <v>773</v>
      </c>
      <c r="S8" s="42" t="s">
        <v>774</v>
      </c>
      <c r="T8" s="47">
        <v>300</v>
      </c>
      <c r="U8" s="52"/>
      <c r="V8" s="49"/>
      <c r="W8" s="44">
        <f t="shared" si="0"/>
        <v>300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7">
        <v>300</v>
      </c>
      <c r="BU8" s="47"/>
      <c r="BV8" s="44"/>
      <c r="BW8" s="50"/>
      <c r="BX8" s="44"/>
      <c r="BY8" s="44"/>
      <c r="BZ8" s="44"/>
      <c r="CA8" s="44"/>
      <c r="CB8" s="43">
        <f t="shared" si="1"/>
        <v>0</v>
      </c>
      <c r="CC8" s="44"/>
      <c r="CD8" s="65"/>
      <c r="CE8" s="44"/>
      <c r="CF8" s="44"/>
      <c r="CG8" s="44"/>
      <c r="CI8" s="44"/>
      <c r="CJ8" s="44"/>
      <c r="CL8" s="44"/>
      <c r="CM8" s="44"/>
      <c r="CN8" s="44"/>
      <c r="CO8" s="44"/>
      <c r="CP8" s="44"/>
      <c r="CQ8" s="44"/>
      <c r="CR8" s="44"/>
      <c r="CS8" s="44"/>
      <c r="CT8" s="44"/>
      <c r="CU8" s="47">
        <v>300</v>
      </c>
      <c r="CV8" s="44"/>
      <c r="CW8" s="44"/>
      <c r="CX8" s="50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27.6">
      <c r="A9" s="76">
        <v>44214</v>
      </c>
      <c r="B9" s="34" t="s">
        <v>759</v>
      </c>
      <c r="C9" s="286" t="s">
        <v>772</v>
      </c>
      <c r="D9" s="36">
        <v>0.38958333333333334</v>
      </c>
      <c r="E9" s="36">
        <v>0.39444444444444443</v>
      </c>
      <c r="F9" s="55" t="s">
        <v>0</v>
      </c>
      <c r="G9" s="38">
        <v>2</v>
      </c>
      <c r="H9" s="39">
        <v>795</v>
      </c>
      <c r="I9" s="39" t="str">
        <f>VLOOKUP(H9,'[3]Chart of accounts'!A:H,2,FALSE)</f>
        <v>50212990 00</v>
      </c>
      <c r="J9" s="39"/>
      <c r="K9" s="39"/>
      <c r="L9" s="34"/>
      <c r="M9" s="34"/>
      <c r="N9" s="34"/>
      <c r="O9" s="40" t="s">
        <v>3</v>
      </c>
      <c r="P9" s="40" t="s">
        <v>3</v>
      </c>
      <c r="Q9" s="78" t="s">
        <v>2</v>
      </c>
      <c r="R9" s="42" t="s">
        <v>773</v>
      </c>
      <c r="S9" s="42" t="s">
        <v>774</v>
      </c>
      <c r="T9" s="47">
        <v>1500</v>
      </c>
      <c r="U9" s="52"/>
      <c r="V9" s="49"/>
      <c r="W9" s="44">
        <f t="shared" si="0"/>
        <v>1500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7">
        <v>1500</v>
      </c>
      <c r="BU9" s="47"/>
      <c r="BV9" s="44"/>
      <c r="BW9" s="50"/>
      <c r="BX9" s="44"/>
      <c r="BY9" s="44"/>
      <c r="BZ9" s="44"/>
      <c r="CA9" s="44"/>
      <c r="CB9" s="43">
        <f t="shared" si="1"/>
        <v>0</v>
      </c>
      <c r="CC9" s="44"/>
      <c r="CD9" s="65"/>
      <c r="CE9" s="44"/>
      <c r="CF9" s="44"/>
      <c r="CG9" s="44"/>
      <c r="CI9" s="44"/>
      <c r="CJ9" s="44"/>
      <c r="CL9" s="44"/>
      <c r="CM9" s="44"/>
      <c r="CN9" s="44"/>
      <c r="CO9" s="44"/>
      <c r="CP9" s="44"/>
      <c r="CQ9" s="44"/>
      <c r="CR9" s="44"/>
      <c r="CS9" s="44"/>
      <c r="CT9" s="44"/>
      <c r="CV9" s="44"/>
      <c r="CW9" s="44"/>
      <c r="CX9" s="50"/>
      <c r="CY9" s="44"/>
      <c r="CZ9" s="44"/>
      <c r="DA9" s="44"/>
      <c r="DB9" s="44"/>
      <c r="DC9" s="44"/>
      <c r="DD9" s="44"/>
      <c r="DE9" s="47">
        <v>1500</v>
      </c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27.6">
      <c r="A10" s="76">
        <v>44214</v>
      </c>
      <c r="B10" s="34" t="s">
        <v>759</v>
      </c>
      <c r="C10" s="286" t="s">
        <v>772</v>
      </c>
      <c r="D10" s="36">
        <v>0.38958333333333334</v>
      </c>
      <c r="E10" s="36">
        <v>0.39444444444444443</v>
      </c>
      <c r="F10" s="55" t="s">
        <v>0</v>
      </c>
      <c r="G10" s="38">
        <v>2</v>
      </c>
      <c r="H10" s="39">
        <v>799</v>
      </c>
      <c r="I10" s="39" t="str">
        <f>VLOOKUP(H10,'[3]Chart of accounts'!A:H,2,FALSE)</f>
        <v>50211990 00</v>
      </c>
      <c r="J10" s="39"/>
      <c r="K10" s="39"/>
      <c r="L10" s="34"/>
      <c r="M10" s="34"/>
      <c r="N10" s="34"/>
      <c r="O10" s="40" t="s">
        <v>3</v>
      </c>
      <c r="P10" s="40" t="s">
        <v>3</v>
      </c>
      <c r="Q10" s="78" t="s">
        <v>2</v>
      </c>
      <c r="R10" s="42" t="s">
        <v>773</v>
      </c>
      <c r="S10" s="42" t="s">
        <v>774</v>
      </c>
      <c r="T10" s="44">
        <v>1000</v>
      </c>
      <c r="U10" s="52"/>
      <c r="V10" s="49"/>
      <c r="W10" s="44">
        <f t="shared" si="0"/>
        <v>1000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4">
        <v>1000</v>
      </c>
      <c r="BU10" s="47"/>
      <c r="BV10" s="44"/>
      <c r="BW10" s="50"/>
      <c r="BX10" s="44"/>
      <c r="BY10" s="44"/>
      <c r="BZ10" s="44"/>
      <c r="CA10" s="44"/>
      <c r="CB10" s="43">
        <f t="shared" si="1"/>
        <v>0</v>
      </c>
      <c r="CC10" s="44"/>
      <c r="CD10" s="65"/>
      <c r="CE10" s="44"/>
      <c r="CF10" s="44"/>
      <c r="CG10" s="44"/>
      <c r="CI10" s="44"/>
      <c r="CJ10" s="44"/>
      <c r="CL10" s="44"/>
      <c r="CM10" s="44"/>
      <c r="CN10" s="44"/>
      <c r="CO10" s="44"/>
      <c r="CP10" s="44"/>
      <c r="CQ10" s="44"/>
      <c r="CR10" s="44"/>
      <c r="CS10" s="44"/>
      <c r="CT10" s="44"/>
      <c r="CV10" s="44"/>
      <c r="CW10" s="44"/>
      <c r="CX10" s="50"/>
      <c r="CY10" s="44"/>
      <c r="CZ10" s="44"/>
      <c r="DA10" s="44"/>
      <c r="DB10" s="44"/>
      <c r="DC10" s="44"/>
      <c r="DD10" s="44"/>
      <c r="DF10" s="44"/>
      <c r="DG10" s="44"/>
      <c r="DH10" s="44">
        <v>1000</v>
      </c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27.6">
      <c r="A11" s="76">
        <v>44214</v>
      </c>
      <c r="B11" s="34" t="s">
        <v>759</v>
      </c>
      <c r="C11" s="286" t="s">
        <v>772</v>
      </c>
      <c r="D11" s="36">
        <v>0.38958333333333334</v>
      </c>
      <c r="E11" s="36">
        <v>0.39444444444444443</v>
      </c>
      <c r="F11" s="55" t="s">
        <v>0</v>
      </c>
      <c r="G11" s="38">
        <v>2</v>
      </c>
      <c r="H11" s="39">
        <v>969</v>
      </c>
      <c r="I11" s="39" t="str">
        <f>VLOOKUP(H11,'[3]Chart of accounts'!A:H,2,FALSE)</f>
        <v>50299990 99</v>
      </c>
      <c r="J11" s="39"/>
      <c r="K11" s="39"/>
      <c r="L11" s="34"/>
      <c r="M11" s="34"/>
      <c r="N11" s="34"/>
      <c r="O11" s="40" t="s">
        <v>3</v>
      </c>
      <c r="P11" s="40" t="s">
        <v>3</v>
      </c>
      <c r="Q11" s="78" t="s">
        <v>2</v>
      </c>
      <c r="R11" s="42" t="s">
        <v>773</v>
      </c>
      <c r="S11" s="42" t="s">
        <v>774</v>
      </c>
      <c r="T11" s="44">
        <v>600</v>
      </c>
      <c r="U11" s="52"/>
      <c r="V11" s="49"/>
      <c r="W11" s="44">
        <f t="shared" si="0"/>
        <v>600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4">
        <v>600</v>
      </c>
      <c r="BU11" s="47"/>
      <c r="BV11" s="44"/>
      <c r="BW11" s="50"/>
      <c r="BX11" s="44"/>
      <c r="BY11" s="44"/>
      <c r="BZ11" s="44"/>
      <c r="CA11" s="44"/>
      <c r="CB11" s="43">
        <f t="shared" si="1"/>
        <v>0</v>
      </c>
      <c r="CC11" s="44"/>
      <c r="CD11" s="65"/>
      <c r="CE11" s="44"/>
      <c r="CF11" s="44"/>
      <c r="CG11" s="44"/>
      <c r="CI11" s="44"/>
      <c r="CJ11" s="44"/>
      <c r="CL11" s="44"/>
      <c r="CM11" s="44"/>
      <c r="CN11" s="44"/>
      <c r="CO11" s="44"/>
      <c r="CP11" s="44"/>
      <c r="CQ11" s="44"/>
      <c r="CR11" s="44"/>
      <c r="CS11" s="44"/>
      <c r="CT11" s="44"/>
      <c r="CV11" s="44"/>
      <c r="CW11" s="44"/>
      <c r="CX11" s="50"/>
      <c r="CY11" s="44"/>
      <c r="CZ11" s="44"/>
      <c r="DA11" s="44"/>
      <c r="DB11" s="44"/>
      <c r="DC11" s="44"/>
      <c r="DD11" s="44"/>
      <c r="DF11" s="44"/>
      <c r="DG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>
        <v>600</v>
      </c>
      <c r="DX11" s="47"/>
      <c r="DY11" s="47"/>
      <c r="DZ11" s="47"/>
    </row>
    <row r="12" spans="1:131" s="75" customFormat="1" ht="27.6">
      <c r="A12" s="76">
        <v>44214</v>
      </c>
      <c r="B12" s="56" t="s">
        <v>759</v>
      </c>
      <c r="C12" s="293" t="s">
        <v>778</v>
      </c>
      <c r="D12" s="61">
        <v>0.72152777777777777</v>
      </c>
      <c r="E12" s="61">
        <v>0.72222222222222221</v>
      </c>
      <c r="F12" s="55" t="s">
        <v>0</v>
      </c>
      <c r="G12" s="38">
        <v>2</v>
      </c>
      <c r="H12" s="55">
        <v>782</v>
      </c>
      <c r="I12" s="37" t="str">
        <f>VLOOKUP(H12,'[2]Chart of accounts'!A:H,2,FALSE)</f>
        <v>50299050 01</v>
      </c>
      <c r="J12" s="55"/>
      <c r="K12" s="55"/>
      <c r="L12" s="56"/>
      <c r="M12" s="56"/>
      <c r="N12" s="56"/>
      <c r="O12" s="131" t="s">
        <v>3</v>
      </c>
      <c r="P12" s="131" t="s">
        <v>3</v>
      </c>
      <c r="Q12" s="66" t="s">
        <v>2</v>
      </c>
      <c r="R12" s="58" t="s">
        <v>779</v>
      </c>
      <c r="S12" s="58" t="s">
        <v>850</v>
      </c>
      <c r="T12" s="43">
        <f>160190.04</f>
        <v>160190.04</v>
      </c>
      <c r="U12" s="67"/>
      <c r="V12" s="74"/>
      <c r="W12" s="43">
        <f t="shared" si="0"/>
        <v>160190.04</v>
      </c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D12" s="135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43">
        <f>160190.04</f>
        <v>160190.04</v>
      </c>
      <c r="BU12" s="71"/>
      <c r="BV12" s="43"/>
      <c r="BW12" s="239"/>
      <c r="BX12" s="43"/>
      <c r="BY12" s="43"/>
      <c r="BZ12" s="43"/>
      <c r="CA12" s="43"/>
      <c r="CB12" s="43"/>
      <c r="CC12" s="43"/>
      <c r="CD12" s="63"/>
      <c r="CE12" s="43"/>
      <c r="CF12" s="43"/>
      <c r="CG12" s="43"/>
      <c r="CH12" s="164"/>
      <c r="CI12" s="43"/>
      <c r="CJ12" s="43"/>
      <c r="CK12" s="68"/>
      <c r="CL12" s="43"/>
      <c r="CM12" s="43"/>
      <c r="CN12" s="43"/>
      <c r="CO12" s="43"/>
      <c r="CP12" s="43"/>
      <c r="CQ12" s="43"/>
      <c r="CR12" s="43"/>
      <c r="CS12" s="43"/>
      <c r="CT12" s="43"/>
      <c r="CU12" s="68"/>
      <c r="CV12" s="43">
        <f>160190.04</f>
        <v>160190.04</v>
      </c>
      <c r="CW12" s="43"/>
      <c r="CX12" s="239"/>
      <c r="CY12" s="43"/>
      <c r="CZ12" s="43"/>
      <c r="DA12" s="43"/>
      <c r="DB12" s="43"/>
      <c r="DC12" s="43"/>
      <c r="DD12" s="43"/>
      <c r="DE12" s="68"/>
      <c r="DF12" s="43"/>
      <c r="DG12" s="43"/>
      <c r="DH12" s="68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 ht="27.6">
      <c r="A13" s="76">
        <v>44214</v>
      </c>
      <c r="B13" s="34" t="s">
        <v>759</v>
      </c>
      <c r="C13" s="286" t="s">
        <v>778</v>
      </c>
      <c r="D13" s="61">
        <v>0.72152777777777777</v>
      </c>
      <c r="E13" s="36">
        <v>0.72430555555555554</v>
      </c>
      <c r="F13" s="55" t="s">
        <v>0</v>
      </c>
      <c r="G13" s="38">
        <v>2</v>
      </c>
      <c r="H13" s="39">
        <v>782</v>
      </c>
      <c r="I13" s="51" t="str">
        <f>VLOOKUP(H13,'[2]Chart of accounts'!A:H,2,FALSE)</f>
        <v>50299050 01</v>
      </c>
      <c r="J13" s="39"/>
      <c r="K13" s="39"/>
      <c r="L13" s="34"/>
      <c r="M13" s="34"/>
      <c r="N13" s="34"/>
      <c r="O13" s="40" t="s">
        <v>3</v>
      </c>
      <c r="P13" s="40" t="s">
        <v>3</v>
      </c>
      <c r="Q13" s="41" t="s">
        <v>2</v>
      </c>
      <c r="R13" s="42" t="s">
        <v>779</v>
      </c>
      <c r="S13" s="42" t="s">
        <v>780</v>
      </c>
      <c r="T13" s="44">
        <v>10311.43</v>
      </c>
      <c r="U13" s="52"/>
      <c r="V13" s="49"/>
      <c r="W13" s="44">
        <f t="shared" si="0"/>
        <v>10311.43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4">
        <v>10311.43</v>
      </c>
      <c r="BU13" s="47"/>
      <c r="BV13" s="44"/>
      <c r="BW13" s="50"/>
      <c r="BX13" s="44"/>
      <c r="BY13" s="44"/>
      <c r="BZ13" s="44"/>
      <c r="CA13" s="44"/>
      <c r="CB13" s="43"/>
      <c r="CC13" s="44"/>
      <c r="CD13" s="65"/>
      <c r="CE13" s="44"/>
      <c r="CF13" s="44"/>
      <c r="CG13" s="44"/>
      <c r="CI13" s="44"/>
      <c r="CJ13" s="44"/>
      <c r="CL13" s="44"/>
      <c r="CM13" s="44"/>
      <c r="CN13" s="44"/>
      <c r="CO13" s="44"/>
      <c r="CP13" s="44"/>
      <c r="CQ13" s="44"/>
      <c r="CR13" s="44"/>
      <c r="CS13" s="44"/>
      <c r="CT13" s="44"/>
      <c r="CV13" s="44">
        <v>10311.43</v>
      </c>
      <c r="CW13" s="44"/>
      <c r="CX13" s="50"/>
      <c r="CY13" s="44"/>
      <c r="CZ13" s="44"/>
      <c r="DA13" s="44"/>
      <c r="DB13" s="44"/>
      <c r="DC13" s="44"/>
      <c r="DD13" s="44"/>
      <c r="DF13" s="44"/>
      <c r="DG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44215</v>
      </c>
      <c r="B14" s="34" t="s">
        <v>759</v>
      </c>
      <c r="C14" s="286" t="s">
        <v>781</v>
      </c>
      <c r="D14" s="36">
        <v>0.54305555555555551</v>
      </c>
      <c r="E14" s="36">
        <v>0.54375000000000007</v>
      </c>
      <c r="F14" s="55" t="s">
        <v>0</v>
      </c>
      <c r="G14" s="38">
        <v>2</v>
      </c>
      <c r="H14" s="39">
        <v>892</v>
      </c>
      <c r="I14" s="51" t="str">
        <f>VLOOKUP(H14,'[2]Chart of accounts'!A:H,2,FALSE)</f>
        <v>50215020 00</v>
      </c>
      <c r="J14" s="39"/>
      <c r="K14" s="39"/>
      <c r="L14" s="34"/>
      <c r="M14" s="34"/>
      <c r="N14" s="34"/>
      <c r="O14" s="40" t="s">
        <v>3</v>
      </c>
      <c r="P14" s="40" t="s">
        <v>3</v>
      </c>
      <c r="Q14" s="41" t="s">
        <v>2</v>
      </c>
      <c r="R14" s="42" t="s">
        <v>782</v>
      </c>
      <c r="S14" s="42" t="s">
        <v>783</v>
      </c>
      <c r="T14" s="44">
        <v>11250</v>
      </c>
      <c r="U14" s="52"/>
      <c r="V14" s="49"/>
      <c r="W14" s="44">
        <f t="shared" si="0"/>
        <v>11250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4">
        <v>11250</v>
      </c>
      <c r="BU14" s="47"/>
      <c r="BV14" s="44"/>
      <c r="BW14" s="50"/>
      <c r="BX14" s="44"/>
      <c r="BY14" s="44"/>
      <c r="BZ14" s="44"/>
      <c r="CA14" s="44"/>
      <c r="CB14" s="43"/>
      <c r="CC14" s="44"/>
      <c r="CD14" s="65"/>
      <c r="CE14" s="44"/>
      <c r="CF14" s="44"/>
      <c r="CG14" s="44"/>
      <c r="CI14" s="44"/>
      <c r="CJ14" s="44"/>
      <c r="CL14" s="44"/>
      <c r="CM14" s="44"/>
      <c r="CN14" s="44"/>
      <c r="CO14" s="44"/>
      <c r="CP14" s="44"/>
      <c r="CQ14" s="44"/>
      <c r="CR14" s="44"/>
      <c r="CS14" s="44"/>
      <c r="CT14" s="44"/>
      <c r="CV14" s="44"/>
      <c r="CW14" s="44"/>
      <c r="CX14" s="50"/>
      <c r="CY14" s="44"/>
      <c r="CZ14" s="44"/>
      <c r="DA14" s="44"/>
      <c r="DB14" s="44"/>
      <c r="DC14" s="44"/>
      <c r="DD14" s="44"/>
      <c r="DF14" s="44"/>
      <c r="DG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>
        <v>11250</v>
      </c>
      <c r="DU14" s="44"/>
      <c r="DV14" s="44"/>
      <c r="DW14" s="44"/>
      <c r="DX14" s="47"/>
      <c r="DY14" s="47"/>
      <c r="DZ14" s="47"/>
    </row>
    <row r="15" spans="1:131" s="32" customFormat="1" ht="41.4">
      <c r="A15" s="76">
        <v>44215</v>
      </c>
      <c r="B15" s="34" t="s">
        <v>759</v>
      </c>
      <c r="C15" s="286" t="s">
        <v>790</v>
      </c>
      <c r="D15" s="36">
        <v>0.71458333333333324</v>
      </c>
      <c r="E15" s="36">
        <v>0.71597222222222223</v>
      </c>
      <c r="F15" s="55" t="s">
        <v>0</v>
      </c>
      <c r="G15" s="38">
        <v>2</v>
      </c>
      <c r="H15" s="39">
        <v>773</v>
      </c>
      <c r="I15" s="51" t="str">
        <f>VLOOKUP(H15,'[2]Chart of accounts'!A:H,2,FALSE)</f>
        <v>50205020 01</v>
      </c>
      <c r="J15" s="39"/>
      <c r="K15" s="39"/>
      <c r="L15" s="34"/>
      <c r="M15" s="34"/>
      <c r="N15" s="34"/>
      <c r="O15" s="40" t="s">
        <v>3</v>
      </c>
      <c r="P15" s="40" t="s">
        <v>3</v>
      </c>
      <c r="Q15" s="41" t="s">
        <v>2</v>
      </c>
      <c r="R15" s="42" t="s">
        <v>791</v>
      </c>
      <c r="S15" s="42" t="s">
        <v>792</v>
      </c>
      <c r="T15" s="44">
        <v>2500</v>
      </c>
      <c r="U15" s="52"/>
      <c r="V15" s="49"/>
      <c r="W15" s="44">
        <f t="shared" si="0"/>
        <v>2500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4">
        <v>2500</v>
      </c>
      <c r="BU15" s="47"/>
      <c r="BV15" s="44"/>
      <c r="BW15" s="50"/>
      <c r="BX15" s="44"/>
      <c r="BY15" s="44"/>
      <c r="BZ15" s="44"/>
      <c r="CA15" s="44"/>
      <c r="CB15" s="43"/>
      <c r="CC15" s="44"/>
      <c r="CD15" s="65"/>
      <c r="CE15" s="44"/>
      <c r="CF15" s="44"/>
      <c r="CG15" s="44"/>
      <c r="CI15" s="44"/>
      <c r="CJ15" s="44"/>
      <c r="CL15" s="44"/>
      <c r="CM15" s="44"/>
      <c r="CN15" s="44"/>
      <c r="CO15" s="44"/>
      <c r="CP15" s="44">
        <v>2500</v>
      </c>
      <c r="CQ15" s="44"/>
      <c r="CR15" s="44"/>
      <c r="CS15" s="44"/>
      <c r="CT15" s="44"/>
      <c r="CV15" s="44"/>
      <c r="CW15" s="44"/>
      <c r="CX15" s="50"/>
      <c r="CY15" s="44"/>
      <c r="CZ15" s="44"/>
      <c r="DA15" s="44"/>
      <c r="DB15" s="44"/>
      <c r="DC15" s="44"/>
      <c r="DD15" s="44"/>
      <c r="DF15" s="44"/>
      <c r="DG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411" customFormat="1" ht="41.4">
      <c r="A16" s="402">
        <v>44215</v>
      </c>
      <c r="B16" s="403" t="s">
        <v>759</v>
      </c>
      <c r="C16" s="404" t="s">
        <v>793</v>
      </c>
      <c r="D16" s="405">
        <v>0.71597222222222223</v>
      </c>
      <c r="E16" s="405">
        <v>0.71666666666666667</v>
      </c>
      <c r="F16" s="412" t="s">
        <v>0</v>
      </c>
      <c r="G16" s="413">
        <v>2</v>
      </c>
      <c r="H16" s="406">
        <v>775</v>
      </c>
      <c r="I16" s="406" t="str">
        <f>VLOOKUP(H16,'[2]Chart of accounts'!A:H,2,FALSE)</f>
        <v>50205040 00</v>
      </c>
      <c r="J16" s="406"/>
      <c r="K16" s="406"/>
      <c r="L16" s="403"/>
      <c r="M16" s="403"/>
      <c r="N16" s="403"/>
      <c r="O16" s="407" t="s">
        <v>3</v>
      </c>
      <c r="P16" s="407" t="s">
        <v>3</v>
      </c>
      <c r="Q16" s="414" t="s">
        <v>2</v>
      </c>
      <c r="R16" s="409" t="s">
        <v>794</v>
      </c>
      <c r="S16" s="409" t="s">
        <v>795</v>
      </c>
      <c r="T16" s="65"/>
      <c r="U16" s="46"/>
      <c r="V16" s="64"/>
      <c r="W16" s="65">
        <f t="shared" si="0"/>
        <v>0</v>
      </c>
      <c r="X16" s="45"/>
      <c r="Y16" s="46"/>
      <c r="Z16" s="45"/>
      <c r="AA16" s="45"/>
      <c r="AB16" s="45"/>
      <c r="AC16" s="45"/>
      <c r="AD16" s="45"/>
      <c r="AE16" s="65"/>
      <c r="AF16" s="65"/>
      <c r="AG16" s="6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65"/>
      <c r="AZ16" s="65"/>
      <c r="BA16" s="65"/>
      <c r="BB16" s="65"/>
      <c r="BC16" s="65"/>
      <c r="BD16" s="410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4"/>
      <c r="BQ16" s="65"/>
      <c r="BR16" s="65"/>
      <c r="BS16" s="65"/>
      <c r="BT16" s="65"/>
      <c r="BU16" s="45"/>
      <c r="BV16" s="65"/>
      <c r="BW16" s="65"/>
      <c r="BX16" s="65"/>
      <c r="BY16" s="65"/>
      <c r="BZ16" s="65"/>
      <c r="CA16" s="65"/>
      <c r="CB16" s="63"/>
      <c r="CC16" s="65"/>
      <c r="CD16" s="65"/>
      <c r="CE16" s="65"/>
      <c r="CF16" s="65"/>
      <c r="CG16" s="65"/>
      <c r="CI16" s="65"/>
      <c r="CJ16" s="65"/>
      <c r="CL16" s="65"/>
      <c r="CM16" s="65"/>
      <c r="CN16" s="65"/>
      <c r="CO16" s="65"/>
      <c r="CP16" s="65"/>
      <c r="CQ16" s="65"/>
      <c r="CR16" s="65"/>
      <c r="CS16" s="65"/>
      <c r="CT16" s="65"/>
      <c r="CV16" s="65"/>
      <c r="CW16" s="65"/>
      <c r="CX16" s="65"/>
      <c r="CY16" s="65"/>
      <c r="CZ16" s="65"/>
      <c r="DA16" s="65"/>
      <c r="DB16" s="65"/>
      <c r="DC16" s="65"/>
      <c r="DD16" s="65"/>
      <c r="DF16" s="65"/>
      <c r="DG16" s="65"/>
      <c r="DI16" s="65"/>
      <c r="DJ16" s="65"/>
      <c r="DK16" s="65"/>
      <c r="DL16" s="65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45"/>
      <c r="DY16" s="45"/>
      <c r="DZ16" s="45"/>
    </row>
    <row r="17" spans="1:130" s="32" customFormat="1" ht="27.6">
      <c r="A17" s="76">
        <v>44217</v>
      </c>
      <c r="B17" s="34" t="s">
        <v>759</v>
      </c>
      <c r="C17" s="286" t="s">
        <v>807</v>
      </c>
      <c r="D17" s="36">
        <v>0.70000000000000007</v>
      </c>
      <c r="E17" s="36">
        <v>0.7006944444444444</v>
      </c>
      <c r="F17" s="55" t="s">
        <v>0</v>
      </c>
      <c r="G17" s="38">
        <v>2</v>
      </c>
      <c r="H17" s="39">
        <v>755</v>
      </c>
      <c r="I17" s="51" t="str">
        <f>VLOOKUP(H17,'[2]Chart of accounts'!A:H,2,FALSE)</f>
        <v>50203010 00</v>
      </c>
      <c r="J17" s="39"/>
      <c r="K17" s="39"/>
      <c r="L17" s="34"/>
      <c r="M17" s="34"/>
      <c r="N17" s="34"/>
      <c r="O17" s="40" t="s">
        <v>3</v>
      </c>
      <c r="P17" s="40" t="s">
        <v>3</v>
      </c>
      <c r="Q17" s="41" t="s">
        <v>2</v>
      </c>
      <c r="R17" s="42" t="s">
        <v>773</v>
      </c>
      <c r="S17" s="42" t="s">
        <v>808</v>
      </c>
      <c r="T17" s="44">
        <v>1834.25</v>
      </c>
      <c r="U17" s="52"/>
      <c r="V17" s="49"/>
      <c r="W17" s="44">
        <f t="shared" si="0"/>
        <v>1834.25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4">
        <v>1834.25</v>
      </c>
      <c r="BU17" s="47"/>
      <c r="BV17" s="44"/>
      <c r="BW17" s="50"/>
      <c r="BX17" s="44"/>
      <c r="BY17" s="44"/>
      <c r="BZ17" s="44"/>
      <c r="CA17" s="44"/>
      <c r="CB17" s="43"/>
      <c r="CC17" s="44"/>
      <c r="CD17" s="65"/>
      <c r="CE17" s="44"/>
      <c r="CF17" s="44"/>
      <c r="CG17" s="44"/>
      <c r="CH17" s="44">
        <v>1834.25</v>
      </c>
      <c r="CI17" s="44"/>
      <c r="CJ17" s="44"/>
      <c r="CL17" s="44"/>
      <c r="CM17" s="44"/>
      <c r="CN17" s="44"/>
      <c r="CO17" s="44"/>
      <c r="CP17" s="44"/>
      <c r="CQ17" s="44"/>
      <c r="CR17" s="44"/>
      <c r="CS17" s="44"/>
      <c r="CT17" s="44"/>
      <c r="CV17" s="44"/>
      <c r="CW17" s="44"/>
      <c r="CX17" s="50"/>
      <c r="CY17" s="44"/>
      <c r="CZ17" s="44"/>
      <c r="DA17" s="44"/>
      <c r="DB17" s="44"/>
      <c r="DC17" s="44"/>
      <c r="DD17" s="44"/>
      <c r="DF17" s="44"/>
      <c r="DG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27.6">
      <c r="A18" s="76">
        <v>44217</v>
      </c>
      <c r="B18" s="34" t="s">
        <v>759</v>
      </c>
      <c r="C18" s="286" t="s">
        <v>807</v>
      </c>
      <c r="D18" s="36">
        <v>0.70000000000000007</v>
      </c>
      <c r="E18" s="36">
        <v>0.7006944444444444</v>
      </c>
      <c r="F18" s="55" t="s">
        <v>0</v>
      </c>
      <c r="G18" s="38">
        <v>2</v>
      </c>
      <c r="H18" s="39">
        <v>792</v>
      </c>
      <c r="I18" s="51" t="str">
        <f>VLOOKUP(H18,'[2]Chart of accounts'!A:H,2,FALSE)</f>
        <v>50211020 00</v>
      </c>
      <c r="J18" s="39"/>
      <c r="K18" s="39"/>
      <c r="L18" s="34"/>
      <c r="M18" s="34"/>
      <c r="N18" s="34"/>
      <c r="O18" s="40" t="s">
        <v>3</v>
      </c>
      <c r="P18" s="40" t="s">
        <v>3</v>
      </c>
      <c r="Q18" s="41" t="s">
        <v>2</v>
      </c>
      <c r="R18" s="42" t="s">
        <v>773</v>
      </c>
      <c r="S18" s="42" t="s">
        <v>808</v>
      </c>
      <c r="T18" s="44">
        <v>219</v>
      </c>
      <c r="U18" s="52"/>
      <c r="V18" s="49"/>
      <c r="W18" s="44">
        <f t="shared" si="0"/>
        <v>219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4">
        <v>219</v>
      </c>
      <c r="BU18" s="47"/>
      <c r="BV18" s="44"/>
      <c r="BW18" s="50"/>
      <c r="BX18" s="44"/>
      <c r="BY18" s="44"/>
      <c r="BZ18" s="44"/>
      <c r="CA18" s="44"/>
      <c r="CB18" s="43"/>
      <c r="CC18" s="44"/>
      <c r="CD18" s="65"/>
      <c r="CE18" s="44"/>
      <c r="CF18" s="44"/>
      <c r="CG18" s="44"/>
      <c r="CI18" s="44"/>
      <c r="CJ18" s="44"/>
      <c r="CL18" s="44"/>
      <c r="CM18" s="44"/>
      <c r="CN18" s="44"/>
      <c r="CO18" s="44"/>
      <c r="CP18" s="44"/>
      <c r="CQ18" s="44"/>
      <c r="CR18" s="44"/>
      <c r="CS18" s="44"/>
      <c r="CT18" s="44"/>
      <c r="CV18" s="44"/>
      <c r="CW18" s="44"/>
      <c r="CX18" s="50"/>
      <c r="CY18" s="44"/>
      <c r="CZ18" s="44"/>
      <c r="DA18" s="44"/>
      <c r="DB18" s="44"/>
      <c r="DC18" s="44">
        <v>219</v>
      </c>
      <c r="DD18" s="44"/>
      <c r="DF18" s="44"/>
      <c r="DG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27.6">
      <c r="A19" s="76">
        <v>44217</v>
      </c>
      <c r="B19" s="34" t="s">
        <v>759</v>
      </c>
      <c r="C19" s="286" t="s">
        <v>807</v>
      </c>
      <c r="D19" s="36">
        <v>0.70000000000000007</v>
      </c>
      <c r="E19" s="36">
        <v>0.7006944444444444</v>
      </c>
      <c r="F19" s="55" t="s">
        <v>0</v>
      </c>
      <c r="G19" s="38">
        <v>2</v>
      </c>
      <c r="H19" s="39">
        <v>795</v>
      </c>
      <c r="I19" s="51" t="str">
        <f>VLOOKUP(H19,'[2]Chart of accounts'!A:H,2,FALSE)</f>
        <v>50212990 00</v>
      </c>
      <c r="J19" s="39"/>
      <c r="K19" s="39"/>
      <c r="L19" s="34"/>
      <c r="M19" s="34"/>
      <c r="N19" s="34"/>
      <c r="O19" s="40" t="s">
        <v>3</v>
      </c>
      <c r="P19" s="40" t="s">
        <v>3</v>
      </c>
      <c r="Q19" s="41" t="s">
        <v>2</v>
      </c>
      <c r="R19" s="42" t="s">
        <v>773</v>
      </c>
      <c r="S19" s="42" t="s">
        <v>808</v>
      </c>
      <c r="T19" s="44">
        <v>1960</v>
      </c>
      <c r="U19" s="52"/>
      <c r="V19" s="49"/>
      <c r="W19" s="44">
        <f t="shared" si="0"/>
        <v>1960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4">
        <v>1960</v>
      </c>
      <c r="BU19" s="47"/>
      <c r="BV19" s="44"/>
      <c r="BW19" s="50"/>
      <c r="BX19" s="44"/>
      <c r="BY19" s="44"/>
      <c r="BZ19" s="44"/>
      <c r="CA19" s="44"/>
      <c r="CB19" s="43"/>
      <c r="CC19" s="44"/>
      <c r="CD19" s="65"/>
      <c r="CE19" s="44"/>
      <c r="CF19" s="44"/>
      <c r="CG19" s="44"/>
      <c r="CI19" s="44"/>
      <c r="CJ19" s="44"/>
      <c r="CL19" s="44"/>
      <c r="CM19" s="44"/>
      <c r="CN19" s="44"/>
      <c r="CO19" s="44"/>
      <c r="CP19" s="44"/>
      <c r="CQ19" s="44"/>
      <c r="CR19" s="44"/>
      <c r="CS19" s="44"/>
      <c r="CT19" s="44"/>
      <c r="CV19" s="44"/>
      <c r="CW19" s="44"/>
      <c r="CX19" s="50"/>
      <c r="CY19" s="44"/>
      <c r="CZ19" s="44"/>
      <c r="DA19" s="44"/>
      <c r="DB19" s="44"/>
      <c r="DD19" s="44"/>
      <c r="DE19" s="44">
        <v>1960</v>
      </c>
      <c r="DF19" s="44"/>
      <c r="DG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27.6">
      <c r="A20" s="76">
        <v>44217</v>
      </c>
      <c r="B20" s="34" t="s">
        <v>759</v>
      </c>
      <c r="C20" s="286" t="s">
        <v>807</v>
      </c>
      <c r="D20" s="36">
        <v>0.70000000000000007</v>
      </c>
      <c r="E20" s="36">
        <v>0.7006944444444444</v>
      </c>
      <c r="F20" s="55" t="s">
        <v>0</v>
      </c>
      <c r="G20" s="38">
        <v>2</v>
      </c>
      <c r="H20" s="39">
        <v>799</v>
      </c>
      <c r="I20" s="51" t="str">
        <f>VLOOKUP(H20,'[2]Chart of accounts'!A:H,2,FALSE)</f>
        <v>50211990 00</v>
      </c>
      <c r="J20" s="39"/>
      <c r="K20" s="39"/>
      <c r="L20" s="34"/>
      <c r="M20" s="34"/>
      <c r="N20" s="34"/>
      <c r="O20" s="40" t="s">
        <v>3</v>
      </c>
      <c r="P20" s="40" t="s">
        <v>3</v>
      </c>
      <c r="Q20" s="41" t="s">
        <v>2</v>
      </c>
      <c r="R20" s="42" t="s">
        <v>773</v>
      </c>
      <c r="S20" s="42" t="s">
        <v>808</v>
      </c>
      <c r="T20" s="44">
        <v>300</v>
      </c>
      <c r="U20" s="52"/>
      <c r="V20" s="49"/>
      <c r="W20" s="44">
        <f t="shared" si="0"/>
        <v>300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4">
        <v>300</v>
      </c>
      <c r="BU20" s="47"/>
      <c r="BV20" s="44"/>
      <c r="BW20" s="50"/>
      <c r="BX20" s="44"/>
      <c r="BY20" s="44"/>
      <c r="BZ20" s="44"/>
      <c r="CA20" s="44"/>
      <c r="CB20" s="43"/>
      <c r="CC20" s="44"/>
      <c r="CD20" s="65"/>
      <c r="CE20" s="44"/>
      <c r="CF20" s="44"/>
      <c r="CG20" s="44"/>
      <c r="CI20" s="44"/>
      <c r="CJ20" s="44"/>
      <c r="CL20" s="44"/>
      <c r="CM20" s="44"/>
      <c r="CN20" s="44"/>
      <c r="CO20" s="44"/>
      <c r="CP20" s="44"/>
      <c r="CQ20" s="44"/>
      <c r="CR20" s="44"/>
      <c r="CS20" s="44"/>
      <c r="CT20" s="44"/>
      <c r="CV20" s="44"/>
      <c r="CW20" s="44"/>
      <c r="CX20" s="50"/>
      <c r="CY20" s="44"/>
      <c r="CZ20" s="44"/>
      <c r="DA20" s="44"/>
      <c r="DB20" s="44"/>
      <c r="DD20" s="44"/>
      <c r="DF20" s="44"/>
      <c r="DG20" s="44"/>
      <c r="DH20" s="44">
        <v>300</v>
      </c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27.6">
      <c r="A21" s="76">
        <v>44218</v>
      </c>
      <c r="B21" s="34" t="s">
        <v>759</v>
      </c>
      <c r="C21" s="286" t="s">
        <v>809</v>
      </c>
      <c r="D21" s="36">
        <v>0.70763888888888893</v>
      </c>
      <c r="E21" s="36">
        <v>0.70833333333333337</v>
      </c>
      <c r="F21" s="55" t="s">
        <v>0</v>
      </c>
      <c r="G21" s="38">
        <v>2</v>
      </c>
      <c r="H21" s="39">
        <v>761</v>
      </c>
      <c r="I21" s="51" t="str">
        <f>VLOOKUP(H21,'[2]Chart of accounts'!A:H,2,FALSE)</f>
        <v>50203090 00</v>
      </c>
      <c r="J21" s="39"/>
      <c r="K21" s="39"/>
      <c r="L21" s="34"/>
      <c r="M21" s="34"/>
      <c r="N21" s="34"/>
      <c r="O21" s="53" t="s">
        <v>11</v>
      </c>
      <c r="P21" s="40" t="s">
        <v>812</v>
      </c>
      <c r="Q21" s="41" t="s">
        <v>2</v>
      </c>
      <c r="R21" s="42" t="s">
        <v>810</v>
      </c>
      <c r="S21" s="42" t="s">
        <v>811</v>
      </c>
      <c r="T21" s="44">
        <v>6006.93</v>
      </c>
      <c r="U21" s="52"/>
      <c r="V21" s="49"/>
      <c r="W21" s="44">
        <f t="shared" si="0"/>
        <v>6006.93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4"/>
      <c r="BU21" s="44">
        <v>6006.93</v>
      </c>
      <c r="BV21" s="44"/>
      <c r="BW21" s="50"/>
      <c r="BX21" s="44"/>
      <c r="BY21" s="44"/>
      <c r="BZ21" s="44"/>
      <c r="CA21" s="44"/>
      <c r="CB21" s="43"/>
      <c r="CC21" s="44"/>
      <c r="CD21" s="65"/>
      <c r="CE21" s="44"/>
      <c r="CF21" s="44"/>
      <c r="CG21" s="44"/>
      <c r="CI21" s="44"/>
      <c r="CJ21" s="44">
        <v>6006.93</v>
      </c>
      <c r="CL21" s="44"/>
      <c r="CM21" s="44"/>
      <c r="CN21" s="44"/>
      <c r="CO21" s="44"/>
      <c r="CP21" s="44"/>
      <c r="CQ21" s="44"/>
      <c r="CR21" s="44"/>
      <c r="CS21" s="44"/>
      <c r="CT21" s="44"/>
      <c r="CV21" s="44"/>
      <c r="CW21" s="44"/>
      <c r="CX21" s="50"/>
      <c r="CY21" s="44"/>
      <c r="CZ21" s="44"/>
      <c r="DA21" s="44"/>
      <c r="DB21" s="44"/>
      <c r="DD21" s="44"/>
      <c r="DF21" s="44"/>
      <c r="DG21" s="44"/>
      <c r="DH21" s="129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27.6">
      <c r="A22" s="76">
        <v>44218</v>
      </c>
      <c r="B22" s="34" t="s">
        <v>759</v>
      </c>
      <c r="C22" s="286" t="s">
        <v>809</v>
      </c>
      <c r="D22" s="36">
        <v>0.70763888888888893</v>
      </c>
      <c r="E22" s="36">
        <v>0.70833333333333337</v>
      </c>
      <c r="F22" s="55" t="s">
        <v>0</v>
      </c>
      <c r="G22" s="38">
        <v>2</v>
      </c>
      <c r="H22" s="39">
        <v>761</v>
      </c>
      <c r="I22" s="51" t="str">
        <f>VLOOKUP(H22,'[2]Chart of accounts'!A:H,2,FALSE)</f>
        <v>50203090 00</v>
      </c>
      <c r="J22" s="39"/>
      <c r="K22" s="39"/>
      <c r="L22" s="34"/>
      <c r="M22" s="34"/>
      <c r="N22" s="34"/>
      <c r="O22" s="53" t="s">
        <v>4</v>
      </c>
      <c r="P22" s="40" t="s">
        <v>813</v>
      </c>
      <c r="Q22" s="41" t="s">
        <v>2</v>
      </c>
      <c r="R22" s="42" t="s">
        <v>810</v>
      </c>
      <c r="S22" s="42" t="s">
        <v>811</v>
      </c>
      <c r="T22" s="44">
        <v>5794.22</v>
      </c>
      <c r="U22" s="52"/>
      <c r="V22" s="49"/>
      <c r="W22" s="44">
        <f t="shared" si="0"/>
        <v>5794.22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4"/>
      <c r="BV22" s="44"/>
      <c r="BW22" s="44">
        <v>5794.22</v>
      </c>
      <c r="BX22" s="44"/>
      <c r="BY22" s="44"/>
      <c r="BZ22" s="44"/>
      <c r="CA22" s="44"/>
      <c r="CB22" s="43"/>
      <c r="CC22" s="44"/>
      <c r="CD22" s="65"/>
      <c r="CE22" s="44"/>
      <c r="CF22" s="44"/>
      <c r="CG22" s="44"/>
      <c r="CI22" s="44"/>
      <c r="CJ22" s="44">
        <v>5794.22</v>
      </c>
      <c r="CL22" s="44"/>
      <c r="CM22" s="44"/>
      <c r="CN22" s="44"/>
      <c r="CO22" s="44"/>
      <c r="CP22" s="44"/>
      <c r="CQ22" s="44"/>
      <c r="CR22" s="44"/>
      <c r="CS22" s="44"/>
      <c r="CT22" s="44"/>
      <c r="CV22" s="44"/>
      <c r="CW22" s="44"/>
      <c r="CX22" s="50"/>
      <c r="CY22" s="44"/>
      <c r="CZ22" s="44"/>
      <c r="DA22" s="44"/>
      <c r="DB22" s="44"/>
      <c r="DD22" s="44"/>
      <c r="DF22" s="44"/>
      <c r="DG22" s="44"/>
      <c r="DH22" s="129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27.6">
      <c r="A23" s="76">
        <v>44218</v>
      </c>
      <c r="B23" s="34" t="s">
        <v>759</v>
      </c>
      <c r="C23" s="286" t="s">
        <v>809</v>
      </c>
      <c r="D23" s="36">
        <v>0.70763888888888893</v>
      </c>
      <c r="E23" s="36">
        <v>0.70833333333333337</v>
      </c>
      <c r="F23" s="55" t="s">
        <v>0</v>
      </c>
      <c r="G23" s="38">
        <v>2</v>
      </c>
      <c r="H23" s="39">
        <v>761</v>
      </c>
      <c r="I23" s="51" t="str">
        <f>VLOOKUP(H23,'[2]Chart of accounts'!A:H,2,FALSE)</f>
        <v>50203090 00</v>
      </c>
      <c r="J23" s="39"/>
      <c r="K23" s="39"/>
      <c r="L23" s="34"/>
      <c r="M23" s="34"/>
      <c r="N23" s="34"/>
      <c r="O23" s="53" t="s">
        <v>8</v>
      </c>
      <c r="P23" s="40" t="s">
        <v>814</v>
      </c>
      <c r="Q23" s="41" t="s">
        <v>2</v>
      </c>
      <c r="R23" s="42" t="s">
        <v>810</v>
      </c>
      <c r="S23" s="42" t="s">
        <v>811</v>
      </c>
      <c r="T23" s="44">
        <v>1558.07</v>
      </c>
      <c r="U23" s="52"/>
      <c r="V23" s="49"/>
      <c r="W23" s="44">
        <f t="shared" si="0"/>
        <v>1558.07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4"/>
      <c r="BV23" s="44">
        <v>1558.07</v>
      </c>
      <c r="BX23" s="44"/>
      <c r="BY23" s="44"/>
      <c r="BZ23" s="44"/>
      <c r="CA23" s="44"/>
      <c r="CB23" s="43"/>
      <c r="CC23" s="44"/>
      <c r="CD23" s="65"/>
      <c r="CE23" s="44"/>
      <c r="CF23" s="44"/>
      <c r="CG23" s="44"/>
      <c r="CI23" s="44"/>
      <c r="CJ23" s="44">
        <v>1558.07</v>
      </c>
      <c r="CL23" s="44"/>
      <c r="CM23" s="44"/>
      <c r="CN23" s="44"/>
      <c r="CO23" s="44"/>
      <c r="CP23" s="44"/>
      <c r="CQ23" s="44"/>
      <c r="CR23" s="44"/>
      <c r="CS23" s="44"/>
      <c r="CT23" s="44"/>
      <c r="CV23" s="44"/>
      <c r="CW23" s="44"/>
      <c r="CX23" s="50"/>
      <c r="CY23" s="44"/>
      <c r="CZ23" s="44"/>
      <c r="DA23" s="44"/>
      <c r="DB23" s="44"/>
      <c r="DD23" s="44"/>
      <c r="DF23" s="44"/>
      <c r="DG23" s="44"/>
      <c r="DH23" s="129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27.6">
      <c r="A24" s="76">
        <v>44218</v>
      </c>
      <c r="B24" s="34" t="s">
        <v>759</v>
      </c>
      <c r="C24" s="286" t="s">
        <v>809</v>
      </c>
      <c r="D24" s="36">
        <v>0.70763888888888893</v>
      </c>
      <c r="E24" s="36">
        <v>0.70833333333333337</v>
      </c>
      <c r="F24" s="55" t="s">
        <v>0</v>
      </c>
      <c r="G24" s="38">
        <v>2</v>
      </c>
      <c r="H24" s="39">
        <v>761</v>
      </c>
      <c r="I24" s="51" t="str">
        <f>VLOOKUP(H24,'[2]Chart of accounts'!A:H,2,FALSE)</f>
        <v>50203090 00</v>
      </c>
      <c r="J24" s="39"/>
      <c r="K24" s="39"/>
      <c r="L24" s="34"/>
      <c r="M24" s="34"/>
      <c r="N24" s="34"/>
      <c r="O24" s="53" t="s">
        <v>763</v>
      </c>
      <c r="P24" s="40" t="s">
        <v>815</v>
      </c>
      <c r="Q24" s="41" t="s">
        <v>2</v>
      </c>
      <c r="R24" s="42" t="s">
        <v>810</v>
      </c>
      <c r="S24" s="42" t="s">
        <v>811</v>
      </c>
      <c r="T24" s="44">
        <v>759.68</v>
      </c>
      <c r="U24" s="52"/>
      <c r="V24" s="49"/>
      <c r="W24" s="44">
        <f t="shared" si="0"/>
        <v>759.68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4"/>
      <c r="BV24" s="44"/>
      <c r="BX24" s="44">
        <v>759.68</v>
      </c>
      <c r="BY24" s="44"/>
      <c r="BZ24" s="44"/>
      <c r="CA24" s="44"/>
      <c r="CB24" s="43"/>
      <c r="CC24" s="44"/>
      <c r="CD24" s="65"/>
      <c r="CE24" s="44"/>
      <c r="CF24" s="44"/>
      <c r="CG24" s="44"/>
      <c r="CI24" s="44"/>
      <c r="CJ24" s="44">
        <v>759.68</v>
      </c>
      <c r="CL24" s="44"/>
      <c r="CM24" s="44"/>
      <c r="CN24" s="44"/>
      <c r="CO24" s="44"/>
      <c r="CP24" s="44"/>
      <c r="CQ24" s="44"/>
      <c r="CR24" s="44"/>
      <c r="CS24" s="44"/>
      <c r="CT24" s="44"/>
      <c r="CV24" s="44"/>
      <c r="CW24" s="44"/>
      <c r="CX24" s="50"/>
      <c r="CY24" s="44"/>
      <c r="CZ24" s="44"/>
      <c r="DA24" s="44"/>
      <c r="DB24" s="44"/>
      <c r="DD24" s="44"/>
      <c r="DF24" s="44"/>
      <c r="DG24" s="44"/>
      <c r="DH24" s="129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27.6">
      <c r="A25" s="76">
        <v>44218</v>
      </c>
      <c r="B25" s="34" t="s">
        <v>759</v>
      </c>
      <c r="C25" s="286" t="s">
        <v>809</v>
      </c>
      <c r="D25" s="36">
        <v>0.70763888888888893</v>
      </c>
      <c r="E25" s="36">
        <v>0.70833333333333337</v>
      </c>
      <c r="F25" s="55" t="s">
        <v>0</v>
      </c>
      <c r="G25" s="38">
        <v>2</v>
      </c>
      <c r="H25" s="39">
        <v>761</v>
      </c>
      <c r="I25" s="51" t="str">
        <f>VLOOKUP(H25,'[2]Chart of accounts'!A:H,2,FALSE)</f>
        <v>50203090 00</v>
      </c>
      <c r="J25" s="39"/>
      <c r="K25" s="39"/>
      <c r="L25" s="34"/>
      <c r="M25" s="34"/>
      <c r="N25" s="34"/>
      <c r="O25" s="53" t="s">
        <v>3</v>
      </c>
      <c r="P25" s="40" t="s">
        <v>816</v>
      </c>
      <c r="Q25" s="41" t="s">
        <v>2</v>
      </c>
      <c r="R25" s="42" t="s">
        <v>810</v>
      </c>
      <c r="S25" s="42" t="s">
        <v>811</v>
      </c>
      <c r="T25" s="44">
        <v>8431.59</v>
      </c>
      <c r="U25" s="52"/>
      <c r="V25" s="49"/>
      <c r="W25" s="44">
        <f t="shared" si="0"/>
        <v>8431.59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4">
        <v>8431.59</v>
      </c>
      <c r="BV25" s="44"/>
      <c r="BW25" s="50"/>
      <c r="BX25" s="44"/>
      <c r="BY25" s="44"/>
      <c r="BZ25" s="44"/>
      <c r="CA25" s="44"/>
      <c r="CB25" s="43"/>
      <c r="CC25" s="44"/>
      <c r="CD25" s="65"/>
      <c r="CE25" s="44"/>
      <c r="CF25" s="44"/>
      <c r="CG25" s="44"/>
      <c r="CI25" s="44"/>
      <c r="CJ25" s="44">
        <v>8431.59</v>
      </c>
      <c r="CL25" s="44"/>
      <c r="CM25" s="44"/>
      <c r="CN25" s="44"/>
      <c r="CO25" s="44"/>
      <c r="CP25" s="44"/>
      <c r="CQ25" s="44"/>
      <c r="CR25" s="44"/>
      <c r="CS25" s="44"/>
      <c r="CT25" s="44"/>
      <c r="CV25" s="44"/>
      <c r="CW25" s="44"/>
      <c r="CX25" s="50"/>
      <c r="CY25" s="44"/>
      <c r="CZ25" s="44"/>
      <c r="DA25" s="44"/>
      <c r="DB25" s="44"/>
      <c r="DD25" s="44"/>
      <c r="DF25" s="44"/>
      <c r="DG25" s="44"/>
      <c r="DH25" s="129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27.6">
      <c r="A26" s="76">
        <v>44221</v>
      </c>
      <c r="B26" s="34" t="s">
        <v>759</v>
      </c>
      <c r="C26" s="286" t="s">
        <v>817</v>
      </c>
      <c r="D26" s="36">
        <v>0.59027777777777779</v>
      </c>
      <c r="E26" s="36">
        <v>0.59097222222222223</v>
      </c>
      <c r="F26" s="55" t="s">
        <v>0</v>
      </c>
      <c r="G26" s="38">
        <v>2</v>
      </c>
      <c r="H26" s="39">
        <v>783</v>
      </c>
      <c r="I26" s="51" t="str">
        <f>VLOOKUP(H26,'[2]Chart of accounts'!A:H,2,FALSE)</f>
        <v>50299030 00</v>
      </c>
      <c r="J26" s="39"/>
      <c r="K26" s="39"/>
      <c r="L26" s="34"/>
      <c r="M26" s="34"/>
      <c r="N26" s="34"/>
      <c r="O26" s="53" t="s">
        <v>3</v>
      </c>
      <c r="P26" s="53" t="s">
        <v>3</v>
      </c>
      <c r="Q26" s="41" t="s">
        <v>788</v>
      </c>
      <c r="R26" s="42" t="s">
        <v>818</v>
      </c>
      <c r="S26" s="42" t="s">
        <v>819</v>
      </c>
      <c r="T26" s="44">
        <v>7800</v>
      </c>
      <c r="U26" s="52"/>
      <c r="V26" s="49"/>
      <c r="W26" s="44">
        <f t="shared" si="0"/>
        <v>7800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4">
        <v>7800</v>
      </c>
      <c r="BU26" s="47"/>
      <c r="BV26" s="44"/>
      <c r="BW26" s="50"/>
      <c r="BX26" s="44"/>
      <c r="BY26" s="44"/>
      <c r="BZ26" s="44"/>
      <c r="CA26" s="44"/>
      <c r="CB26" s="43"/>
      <c r="CC26" s="44"/>
      <c r="CD26" s="65"/>
      <c r="CE26" s="44"/>
      <c r="CF26" s="44"/>
      <c r="CG26" s="44"/>
      <c r="CI26" s="44"/>
      <c r="CJ26" s="44"/>
      <c r="CL26" s="44"/>
      <c r="CM26" s="44"/>
      <c r="CN26" s="44"/>
      <c r="CO26" s="44"/>
      <c r="CP26" s="44"/>
      <c r="CQ26" s="44"/>
      <c r="CR26" s="44"/>
      <c r="CS26" s="44"/>
      <c r="CT26" s="44"/>
      <c r="CV26" s="44"/>
      <c r="CW26" s="44"/>
      <c r="CX26" s="44">
        <v>7800</v>
      </c>
      <c r="CY26" s="44"/>
      <c r="CZ26" s="44"/>
      <c r="DA26" s="44"/>
      <c r="DB26" s="44"/>
      <c r="DD26" s="44"/>
      <c r="DF26" s="44"/>
      <c r="DG26" s="44"/>
      <c r="DH26" s="129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27.6">
      <c r="A27" s="76">
        <v>44221</v>
      </c>
      <c r="B27" s="34" t="s">
        <v>759</v>
      </c>
      <c r="C27" s="286" t="s">
        <v>824</v>
      </c>
      <c r="D27" s="36">
        <v>0.59097222222222223</v>
      </c>
      <c r="E27" s="36">
        <v>0.59236111111111112</v>
      </c>
      <c r="F27" s="55" t="s">
        <v>0</v>
      </c>
      <c r="G27" s="38">
        <v>2</v>
      </c>
      <c r="H27" s="39">
        <v>783</v>
      </c>
      <c r="I27" s="51" t="str">
        <f>VLOOKUP(H27,'[2]Chart of accounts'!A:H,2,FALSE)</f>
        <v>50299030 00</v>
      </c>
      <c r="J27" s="39"/>
      <c r="K27" s="39"/>
      <c r="L27" s="34"/>
      <c r="M27" s="34"/>
      <c r="N27" s="34"/>
      <c r="O27" s="53" t="s">
        <v>3</v>
      </c>
      <c r="P27" s="53" t="s">
        <v>3</v>
      </c>
      <c r="Q27" s="41" t="s">
        <v>776</v>
      </c>
      <c r="R27" s="42" t="s">
        <v>820</v>
      </c>
      <c r="S27" s="42" t="s">
        <v>819</v>
      </c>
      <c r="T27" s="44">
        <v>7800</v>
      </c>
      <c r="U27" s="52"/>
      <c r="V27" s="49"/>
      <c r="W27" s="44">
        <f t="shared" si="0"/>
        <v>7800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4">
        <v>7800</v>
      </c>
      <c r="BU27" s="47"/>
      <c r="BV27" s="44"/>
      <c r="BW27" s="50"/>
      <c r="BX27" s="44"/>
      <c r="BY27" s="44"/>
      <c r="BZ27" s="44"/>
      <c r="CA27" s="44"/>
      <c r="CB27" s="43"/>
      <c r="CC27" s="44"/>
      <c r="CD27" s="65"/>
      <c r="CE27" s="44"/>
      <c r="CF27" s="44"/>
      <c r="CG27" s="44"/>
      <c r="CI27" s="44"/>
      <c r="CJ27" s="44"/>
      <c r="CL27" s="44"/>
      <c r="CM27" s="44"/>
      <c r="CN27" s="44"/>
      <c r="CO27" s="44"/>
      <c r="CP27" s="44"/>
      <c r="CQ27" s="44"/>
      <c r="CR27" s="44"/>
      <c r="CS27" s="44"/>
      <c r="CT27" s="44"/>
      <c r="CV27" s="44"/>
      <c r="CW27" s="44"/>
      <c r="CX27" s="44">
        <v>7800</v>
      </c>
      <c r="CY27" s="44"/>
      <c r="CZ27" s="44"/>
      <c r="DA27" s="44"/>
      <c r="DB27" s="44"/>
      <c r="DD27" s="44"/>
      <c r="DF27" s="44"/>
      <c r="DG27" s="44"/>
      <c r="DH27" s="129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27.6">
      <c r="A28" s="76">
        <v>44221</v>
      </c>
      <c r="B28" s="34" t="s">
        <v>759</v>
      </c>
      <c r="C28" s="286" t="s">
        <v>825</v>
      </c>
      <c r="D28" s="36">
        <v>0.59236111111111112</v>
      </c>
      <c r="E28" s="36">
        <v>0.59305555555555556</v>
      </c>
      <c r="F28" s="55" t="s">
        <v>0</v>
      </c>
      <c r="G28" s="38">
        <v>2</v>
      </c>
      <c r="H28" s="39">
        <v>783</v>
      </c>
      <c r="I28" s="51" t="str">
        <f>VLOOKUP(H28,'[2]Chart of accounts'!A:H,2,FALSE)</f>
        <v>50299030 00</v>
      </c>
      <c r="J28" s="39"/>
      <c r="K28" s="39"/>
      <c r="L28" s="34"/>
      <c r="M28" s="34"/>
      <c r="N28" s="34"/>
      <c r="O28" s="53" t="s">
        <v>3</v>
      </c>
      <c r="P28" s="53" t="s">
        <v>3</v>
      </c>
      <c r="Q28" s="41" t="s">
        <v>769</v>
      </c>
      <c r="R28" s="42" t="s">
        <v>821</v>
      </c>
      <c r="S28" s="42" t="s">
        <v>819</v>
      </c>
      <c r="T28" s="44">
        <v>7800</v>
      </c>
      <c r="U28" s="52"/>
      <c r="V28" s="49"/>
      <c r="W28" s="44">
        <f t="shared" si="0"/>
        <v>7800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4">
        <v>7800</v>
      </c>
      <c r="BU28" s="47"/>
      <c r="BV28" s="44"/>
      <c r="BW28" s="50"/>
      <c r="BX28" s="44"/>
      <c r="BY28" s="44"/>
      <c r="BZ28" s="44"/>
      <c r="CA28" s="44"/>
      <c r="CB28" s="43"/>
      <c r="CC28" s="44"/>
      <c r="CD28" s="65"/>
      <c r="CE28" s="44"/>
      <c r="CF28" s="44"/>
      <c r="CG28" s="44"/>
      <c r="CI28" s="44"/>
      <c r="CJ28" s="44"/>
      <c r="CL28" s="44"/>
      <c r="CM28" s="44"/>
      <c r="CN28" s="44"/>
      <c r="CO28" s="44"/>
      <c r="CP28" s="44"/>
      <c r="CQ28" s="44"/>
      <c r="CR28" s="44"/>
      <c r="CS28" s="44"/>
      <c r="CT28" s="44"/>
      <c r="CV28" s="44"/>
      <c r="CW28" s="44"/>
      <c r="CX28" s="44">
        <v>7800</v>
      </c>
      <c r="CY28" s="44"/>
      <c r="CZ28" s="44"/>
      <c r="DA28" s="44"/>
      <c r="DB28" s="44"/>
      <c r="DD28" s="44"/>
      <c r="DF28" s="44"/>
      <c r="DG28" s="44"/>
      <c r="DH28" s="129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76">
        <v>44221</v>
      </c>
      <c r="B29" s="34" t="s">
        <v>759</v>
      </c>
      <c r="C29" s="286" t="s">
        <v>826</v>
      </c>
      <c r="D29" s="36">
        <v>0.59305555555555556</v>
      </c>
      <c r="E29" s="36">
        <v>0.59375</v>
      </c>
      <c r="F29" s="55" t="s">
        <v>0</v>
      </c>
      <c r="G29" s="38">
        <v>2</v>
      </c>
      <c r="H29" s="39">
        <v>783</v>
      </c>
      <c r="I29" s="51" t="str">
        <f>VLOOKUP(H29,'[2]Chart of accounts'!A:H,2,FALSE)</f>
        <v>50299030 00</v>
      </c>
      <c r="J29" s="39"/>
      <c r="K29" s="39"/>
      <c r="L29" s="34"/>
      <c r="M29" s="34"/>
      <c r="N29" s="34"/>
      <c r="O29" s="53" t="s">
        <v>3</v>
      </c>
      <c r="P29" s="53" t="s">
        <v>3</v>
      </c>
      <c r="Q29" s="41" t="s">
        <v>771</v>
      </c>
      <c r="R29" s="42" t="s">
        <v>822</v>
      </c>
      <c r="S29" s="42" t="s">
        <v>819</v>
      </c>
      <c r="T29" s="44">
        <v>7800</v>
      </c>
      <c r="U29" s="52"/>
      <c r="V29" s="49"/>
      <c r="W29" s="44">
        <f t="shared" si="0"/>
        <v>7800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8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4">
        <v>7800</v>
      </c>
      <c r="BU29" s="47"/>
      <c r="BV29" s="44"/>
      <c r="BW29" s="50"/>
      <c r="BX29" s="44"/>
      <c r="BY29" s="44"/>
      <c r="BZ29" s="44"/>
      <c r="CA29" s="44"/>
      <c r="CB29" s="43"/>
      <c r="CC29" s="44"/>
      <c r="CD29" s="65"/>
      <c r="CE29" s="44"/>
      <c r="CF29" s="44"/>
      <c r="CG29" s="44"/>
      <c r="CI29" s="44"/>
      <c r="CJ29" s="44"/>
      <c r="CL29" s="44"/>
      <c r="CM29" s="44"/>
      <c r="CN29" s="44"/>
      <c r="CO29" s="44"/>
      <c r="CP29" s="44"/>
      <c r="CQ29" s="44"/>
      <c r="CR29" s="44"/>
      <c r="CS29" s="44"/>
      <c r="CT29" s="44"/>
      <c r="CV29" s="44"/>
      <c r="CW29" s="44"/>
      <c r="CX29" s="44">
        <v>7800</v>
      </c>
      <c r="CY29" s="44"/>
      <c r="CZ29" s="44"/>
      <c r="DA29" s="44"/>
      <c r="DB29" s="44"/>
      <c r="DD29" s="44"/>
      <c r="DF29" s="44"/>
      <c r="DG29" s="44"/>
      <c r="DH29" s="129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76">
        <v>44221</v>
      </c>
      <c r="B30" s="34" t="s">
        <v>759</v>
      </c>
      <c r="C30" s="286" t="s">
        <v>827</v>
      </c>
      <c r="D30" s="36">
        <v>0.59375</v>
      </c>
      <c r="E30" s="36">
        <v>0.59444444444444444</v>
      </c>
      <c r="F30" s="55" t="s">
        <v>0</v>
      </c>
      <c r="G30" s="38">
        <v>2</v>
      </c>
      <c r="H30" s="39">
        <v>783</v>
      </c>
      <c r="I30" s="51" t="str">
        <f>VLOOKUP(H30,'[2]Chart of accounts'!A:H,2,FALSE)</f>
        <v>50299030 00</v>
      </c>
      <c r="J30" s="39"/>
      <c r="K30" s="39"/>
      <c r="L30" s="34"/>
      <c r="M30" s="34"/>
      <c r="N30" s="34"/>
      <c r="O30" s="53" t="s">
        <v>3</v>
      </c>
      <c r="P30" s="53" t="s">
        <v>3</v>
      </c>
      <c r="Q30" s="41" t="s">
        <v>770</v>
      </c>
      <c r="R30" s="42" t="s">
        <v>823</v>
      </c>
      <c r="S30" s="42" t="s">
        <v>819</v>
      </c>
      <c r="T30" s="44">
        <v>7800</v>
      </c>
      <c r="U30" s="52"/>
      <c r="V30" s="49"/>
      <c r="W30" s="44">
        <f t="shared" si="0"/>
        <v>7800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D30" s="48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4">
        <v>7800</v>
      </c>
      <c r="BU30" s="47"/>
      <c r="BV30" s="44"/>
      <c r="BW30" s="50"/>
      <c r="BX30" s="44"/>
      <c r="BY30" s="44"/>
      <c r="BZ30" s="44"/>
      <c r="CA30" s="44"/>
      <c r="CB30" s="43"/>
      <c r="CC30" s="44"/>
      <c r="CD30" s="65"/>
      <c r="CE30" s="44"/>
      <c r="CF30" s="44"/>
      <c r="CG30" s="44"/>
      <c r="CI30" s="44"/>
      <c r="CJ30" s="44"/>
      <c r="CL30" s="44"/>
      <c r="CM30" s="44"/>
      <c r="CN30" s="44"/>
      <c r="CO30" s="44"/>
      <c r="CP30" s="44"/>
      <c r="CQ30" s="44"/>
      <c r="CR30" s="44"/>
      <c r="CS30" s="44"/>
      <c r="CT30" s="44"/>
      <c r="CV30" s="44"/>
      <c r="CW30" s="44"/>
      <c r="CX30" s="44">
        <v>7800</v>
      </c>
      <c r="CY30" s="44"/>
      <c r="CZ30" s="44"/>
      <c r="DA30" s="44"/>
      <c r="DB30" s="44"/>
      <c r="DD30" s="44"/>
      <c r="DF30" s="44"/>
      <c r="DG30" s="44"/>
      <c r="DH30" s="129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44223</v>
      </c>
      <c r="B31" s="34" t="s">
        <v>759</v>
      </c>
      <c r="C31" s="286" t="s">
        <v>835</v>
      </c>
      <c r="D31" s="36">
        <v>0.48958333333333331</v>
      </c>
      <c r="E31" s="36">
        <v>0.49027777777777781</v>
      </c>
      <c r="F31" s="37" t="s">
        <v>0</v>
      </c>
      <c r="G31" s="38">
        <v>2</v>
      </c>
      <c r="H31" s="39">
        <v>766</v>
      </c>
      <c r="I31" s="51" t="str">
        <f>VLOOKUP(H31,'[2]Chart of accounts'!A:H,2,FALSE)</f>
        <v>50204010 00</v>
      </c>
      <c r="J31" s="39"/>
      <c r="K31" s="39"/>
      <c r="L31" s="34"/>
      <c r="M31" s="34"/>
      <c r="N31" s="34"/>
      <c r="O31" s="40" t="s">
        <v>3</v>
      </c>
      <c r="P31" s="40" t="s">
        <v>3</v>
      </c>
      <c r="Q31" s="78" t="s">
        <v>2</v>
      </c>
      <c r="R31" s="42" t="s">
        <v>836</v>
      </c>
      <c r="S31" s="42" t="s">
        <v>837</v>
      </c>
      <c r="T31" s="44">
        <v>3675</v>
      </c>
      <c r="U31" s="52"/>
      <c r="V31" s="49"/>
      <c r="W31" s="44">
        <f t="shared" si="0"/>
        <v>3675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9"/>
      <c r="BQ31" s="44"/>
      <c r="BR31" s="44"/>
      <c r="BS31" s="44"/>
      <c r="BT31" s="44">
        <v>3675</v>
      </c>
      <c r="BU31" s="47"/>
      <c r="BV31" s="44"/>
      <c r="BW31" s="44"/>
      <c r="BX31" s="44"/>
      <c r="BY31" s="44"/>
      <c r="BZ31" s="44"/>
      <c r="CA31" s="44"/>
      <c r="CB31" s="43">
        <f>SUM(CF31:DZ31)-W31</f>
        <v>0</v>
      </c>
      <c r="CC31" s="44"/>
      <c r="CD31" s="44"/>
      <c r="CE31" s="44"/>
      <c r="CF31" s="44"/>
      <c r="CG31" s="44"/>
      <c r="CH31" s="47"/>
      <c r="CI31" s="44"/>
      <c r="CJ31" s="44"/>
      <c r="CK31" s="44"/>
      <c r="CL31" s="44">
        <v>3675</v>
      </c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44223</v>
      </c>
      <c r="B32" s="34" t="s">
        <v>759</v>
      </c>
      <c r="C32" s="286" t="s">
        <v>838</v>
      </c>
      <c r="D32" s="36">
        <v>0.49027777777777781</v>
      </c>
      <c r="E32" s="36">
        <v>0.4909722222222222</v>
      </c>
      <c r="F32" s="39" t="s">
        <v>0</v>
      </c>
      <c r="G32" s="34">
        <v>2</v>
      </c>
      <c r="H32" s="39">
        <v>766</v>
      </c>
      <c r="I32" s="51" t="str">
        <f>VLOOKUP(H32,'[2]Chart of accounts'!A:H,2,FALSE)</f>
        <v>50204010 00</v>
      </c>
      <c r="J32" s="39"/>
      <c r="K32" s="39"/>
      <c r="L32" s="34"/>
      <c r="M32" s="34"/>
      <c r="N32" s="34"/>
      <c r="O32" s="40" t="s">
        <v>4</v>
      </c>
      <c r="P32" s="40" t="s">
        <v>4</v>
      </c>
      <c r="Q32" s="78" t="s">
        <v>2</v>
      </c>
      <c r="R32" s="42" t="s">
        <v>839</v>
      </c>
      <c r="S32" s="42" t="s">
        <v>840</v>
      </c>
      <c r="T32" s="44">
        <v>10895.41</v>
      </c>
      <c r="U32" s="52"/>
      <c r="V32" s="49"/>
      <c r="W32" s="44">
        <f t="shared" si="0"/>
        <v>10895.41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9"/>
      <c r="BQ32" s="44"/>
      <c r="BR32" s="44"/>
      <c r="BS32" s="44"/>
      <c r="BU32" s="47"/>
      <c r="BV32" s="44"/>
      <c r="BW32" s="44">
        <v>10895.41</v>
      </c>
      <c r="BX32" s="44"/>
      <c r="BY32" s="44"/>
      <c r="BZ32" s="44"/>
      <c r="CA32" s="44"/>
      <c r="CB32" s="43">
        <f>SUM(CF32:DZ32)-W32</f>
        <v>0</v>
      </c>
      <c r="CC32" s="44"/>
      <c r="CD32" s="44"/>
      <c r="CE32" s="44"/>
      <c r="CF32" s="44"/>
      <c r="CG32" s="44"/>
      <c r="CH32" s="47"/>
      <c r="CI32" s="44"/>
      <c r="CJ32" s="44"/>
      <c r="CK32" s="44"/>
      <c r="CL32" s="44">
        <v>10895.41</v>
      </c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27.6">
      <c r="A33" s="76">
        <v>44223</v>
      </c>
      <c r="B33" s="34" t="s">
        <v>759</v>
      </c>
      <c r="C33" s="286" t="s">
        <v>841</v>
      </c>
      <c r="D33" s="36">
        <v>0.4916666666666667</v>
      </c>
      <c r="E33" s="36">
        <v>0.49444444444444446</v>
      </c>
      <c r="F33" s="39" t="s">
        <v>0</v>
      </c>
      <c r="G33" s="34">
        <v>2</v>
      </c>
      <c r="H33" s="39">
        <v>795</v>
      </c>
      <c r="I33" s="51" t="str">
        <f>VLOOKUP(H33,'[2]Chart of accounts'!A:H,2,FALSE)</f>
        <v>50212990 00</v>
      </c>
      <c r="J33" s="39"/>
      <c r="K33" s="39"/>
      <c r="L33" s="34"/>
      <c r="M33" s="34"/>
      <c r="N33" s="34"/>
      <c r="O33" s="40" t="s">
        <v>3</v>
      </c>
      <c r="P33" s="40" t="s">
        <v>3</v>
      </c>
      <c r="Q33" s="78" t="s">
        <v>2</v>
      </c>
      <c r="R33" s="42" t="s">
        <v>843</v>
      </c>
      <c r="S33" s="42" t="s">
        <v>842</v>
      </c>
      <c r="T33" s="44">
        <v>2480</v>
      </c>
      <c r="U33" s="52"/>
      <c r="V33" s="49"/>
      <c r="W33" s="44">
        <f t="shared" si="0"/>
        <v>2480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9"/>
      <c r="BQ33" s="44"/>
      <c r="BR33" s="44"/>
      <c r="BS33" s="44"/>
      <c r="BT33" s="44">
        <v>2480</v>
      </c>
      <c r="BU33" s="47"/>
      <c r="BV33" s="44"/>
      <c r="BW33" s="44"/>
      <c r="BX33" s="44"/>
      <c r="BY33" s="44"/>
      <c r="BZ33" s="44"/>
      <c r="CA33" s="44"/>
      <c r="CB33" s="43">
        <f>SUM(CF33:DZ33)-W33</f>
        <v>0</v>
      </c>
      <c r="CC33" s="44"/>
      <c r="CD33" s="44"/>
      <c r="CE33" s="44"/>
      <c r="CF33" s="44"/>
      <c r="CG33" s="44"/>
      <c r="CH33" s="47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>
        <v>2480</v>
      </c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27.6">
      <c r="A34" s="76">
        <v>44223</v>
      </c>
      <c r="B34" s="34" t="s">
        <v>759</v>
      </c>
      <c r="C34" s="286" t="s">
        <v>841</v>
      </c>
      <c r="D34" s="36">
        <v>0.4916666666666667</v>
      </c>
      <c r="E34" s="36">
        <v>0.49444444444444446</v>
      </c>
      <c r="F34" s="39" t="s">
        <v>0</v>
      </c>
      <c r="G34" s="34">
        <v>2</v>
      </c>
      <c r="H34" s="39">
        <v>796</v>
      </c>
      <c r="I34" s="51" t="str">
        <f>VLOOKUP(H34,'[2]Chart of accounts'!A:H,2,FALSE)</f>
        <v>50212020 00</v>
      </c>
      <c r="J34" s="39"/>
      <c r="K34" s="39"/>
      <c r="L34" s="34"/>
      <c r="M34" s="34"/>
      <c r="N34" s="34"/>
      <c r="O34" s="40" t="s">
        <v>3</v>
      </c>
      <c r="P34" s="40" t="s">
        <v>3</v>
      </c>
      <c r="Q34" s="78" t="s">
        <v>2</v>
      </c>
      <c r="R34" s="42" t="s">
        <v>843</v>
      </c>
      <c r="S34" s="42" t="s">
        <v>842</v>
      </c>
      <c r="T34" s="44">
        <f>3600+4000</f>
        <v>7600</v>
      </c>
      <c r="U34" s="52"/>
      <c r="V34" s="49"/>
      <c r="W34" s="44">
        <f t="shared" si="0"/>
        <v>7600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9"/>
      <c r="BQ34" s="44"/>
      <c r="BR34" s="44"/>
      <c r="BS34" s="44"/>
      <c r="BT34" s="44">
        <f>3600+4000</f>
        <v>7600</v>
      </c>
      <c r="BU34" s="47"/>
      <c r="BV34" s="44"/>
      <c r="BW34" s="44"/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7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F34" s="44">
        <f>3600+4000</f>
        <v>7600</v>
      </c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27.6">
      <c r="A35" s="76">
        <v>44223</v>
      </c>
      <c r="B35" s="34" t="s">
        <v>759</v>
      </c>
      <c r="C35" s="286" t="s">
        <v>841</v>
      </c>
      <c r="D35" s="36">
        <v>0.4916666666666667</v>
      </c>
      <c r="E35" s="36">
        <v>0.49444444444444446</v>
      </c>
      <c r="F35" s="39" t="s">
        <v>0</v>
      </c>
      <c r="G35" s="34">
        <v>2</v>
      </c>
      <c r="H35" s="39">
        <v>799</v>
      </c>
      <c r="I35" s="51" t="str">
        <f>VLOOKUP(H35,'[2]Chart of accounts'!A:H,2,FALSE)</f>
        <v>50211990 00</v>
      </c>
      <c r="J35" s="39"/>
      <c r="K35" s="39"/>
      <c r="L35" s="34"/>
      <c r="M35" s="34"/>
      <c r="N35" s="34"/>
      <c r="O35" s="40" t="s">
        <v>844</v>
      </c>
      <c r="P35" s="40" t="s">
        <v>844</v>
      </c>
      <c r="Q35" s="78" t="s">
        <v>2</v>
      </c>
      <c r="R35" s="42" t="s">
        <v>843</v>
      </c>
      <c r="S35" s="42" t="s">
        <v>842</v>
      </c>
      <c r="T35" s="44">
        <v>4000</v>
      </c>
      <c r="U35" s="52"/>
      <c r="V35" s="49"/>
      <c r="W35" s="44">
        <f t="shared" si="0"/>
        <v>4000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8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U35" s="47"/>
      <c r="BV35" s="44"/>
      <c r="BW35" s="44">
        <v>4000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7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>
        <v>4000</v>
      </c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55.2">
      <c r="A36" s="76">
        <v>44223</v>
      </c>
      <c r="B36" s="34" t="s">
        <v>759</v>
      </c>
      <c r="C36" s="286" t="s">
        <v>846</v>
      </c>
      <c r="D36" s="36">
        <v>0.49513888888888885</v>
      </c>
      <c r="E36" s="36">
        <v>0.49583333333333335</v>
      </c>
      <c r="F36" s="39" t="s">
        <v>0</v>
      </c>
      <c r="G36" s="34">
        <v>2</v>
      </c>
      <c r="H36" s="39">
        <v>969</v>
      </c>
      <c r="I36" s="51" t="str">
        <f>VLOOKUP(H36,'[2]Chart of accounts'!A:H,2,FALSE)</f>
        <v>50299990 99</v>
      </c>
      <c r="J36" s="39"/>
      <c r="K36" s="39"/>
      <c r="L36" s="34"/>
      <c r="M36" s="34"/>
      <c r="N36" s="34"/>
      <c r="O36" s="40" t="s">
        <v>3</v>
      </c>
      <c r="P36" s="40" t="s">
        <v>3</v>
      </c>
      <c r="Q36" s="78" t="s">
        <v>2</v>
      </c>
      <c r="R36" s="42" t="s">
        <v>847</v>
      </c>
      <c r="S36" s="42" t="s">
        <v>848</v>
      </c>
      <c r="T36" s="44">
        <v>1880</v>
      </c>
      <c r="U36" s="52"/>
      <c r="V36" s="49"/>
      <c r="W36" s="44">
        <f t="shared" si="0"/>
        <v>1880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D36" s="48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4">
        <v>1880</v>
      </c>
      <c r="BU36" s="47"/>
      <c r="BV36" s="44"/>
      <c r="BW36" s="44"/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1880</v>
      </c>
      <c r="DX36" s="47"/>
      <c r="DY36" s="47"/>
      <c r="DZ36" s="47"/>
    </row>
    <row r="37" spans="1:130" s="411" customFormat="1" ht="27.6">
      <c r="A37" s="402">
        <v>44224</v>
      </c>
      <c r="B37" s="403" t="s">
        <v>759</v>
      </c>
      <c r="C37" s="404" t="s">
        <v>851</v>
      </c>
      <c r="D37" s="405">
        <v>0.42222222222222222</v>
      </c>
      <c r="E37" s="405">
        <v>0.42222222222222222</v>
      </c>
      <c r="F37" s="406" t="s">
        <v>0</v>
      </c>
      <c r="G37" s="403">
        <v>2</v>
      </c>
      <c r="H37" s="406">
        <v>782</v>
      </c>
      <c r="I37" s="406" t="str">
        <f>VLOOKUP(H37,'[2]Chart of accounts'!A:H,2,FALSE)</f>
        <v>50299050 01</v>
      </c>
      <c r="J37" s="406"/>
      <c r="K37" s="406"/>
      <c r="L37" s="403"/>
      <c r="M37" s="403"/>
      <c r="N37" s="403"/>
      <c r="O37" s="407" t="s">
        <v>3</v>
      </c>
      <c r="P37" s="407" t="s">
        <v>3</v>
      </c>
      <c r="Q37" s="408" t="s">
        <v>2</v>
      </c>
      <c r="R37" s="409" t="s">
        <v>852</v>
      </c>
      <c r="S37" s="409" t="s">
        <v>853</v>
      </c>
      <c r="T37" s="65"/>
      <c r="U37" s="46"/>
      <c r="V37" s="64"/>
      <c r="W37" s="65">
        <f>+T37-V37</f>
        <v>0</v>
      </c>
      <c r="X37" s="45"/>
      <c r="Y37" s="46"/>
      <c r="Z37" s="45"/>
      <c r="AA37" s="45"/>
      <c r="AB37" s="45"/>
      <c r="AC37" s="45"/>
      <c r="AD37" s="45"/>
      <c r="AE37" s="65"/>
      <c r="AF37" s="65"/>
      <c r="AG37" s="6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65"/>
      <c r="AZ37" s="65"/>
      <c r="BA37" s="65"/>
      <c r="BB37" s="65"/>
      <c r="BC37" s="65"/>
      <c r="BD37" s="410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4"/>
      <c r="BQ37" s="65"/>
      <c r="BR37" s="65"/>
      <c r="BS37" s="65"/>
      <c r="BT37" s="65"/>
      <c r="BU37" s="45"/>
      <c r="BV37" s="65"/>
      <c r="BW37" s="65"/>
      <c r="BX37" s="65"/>
      <c r="BY37" s="65"/>
      <c r="BZ37" s="65"/>
      <c r="CA37" s="65"/>
      <c r="CB37" s="63"/>
      <c r="CC37" s="65"/>
      <c r="CD37" s="65"/>
      <c r="CE37" s="65"/>
      <c r="CF37" s="65"/>
      <c r="CG37" s="65"/>
      <c r="CH37" s="4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45"/>
      <c r="DY37" s="45"/>
      <c r="DZ37" s="45"/>
    </row>
    <row r="38" spans="1:130" s="32" customFormat="1" ht="27.6">
      <c r="A38" s="76">
        <v>44224</v>
      </c>
      <c r="B38" s="34" t="s">
        <v>759</v>
      </c>
      <c r="C38" s="286" t="s">
        <v>854</v>
      </c>
      <c r="D38" s="36">
        <v>0.44166666666666665</v>
      </c>
      <c r="E38" s="36">
        <v>0.4465277777777778</v>
      </c>
      <c r="F38" s="39" t="s">
        <v>0</v>
      </c>
      <c r="G38" s="34">
        <v>2</v>
      </c>
      <c r="H38" s="39">
        <v>792</v>
      </c>
      <c r="I38" s="51" t="s">
        <v>628</v>
      </c>
      <c r="J38" s="39"/>
      <c r="K38" s="39"/>
      <c r="L38" s="34"/>
      <c r="M38" s="34"/>
      <c r="N38" s="34"/>
      <c r="O38" s="40" t="s">
        <v>3</v>
      </c>
      <c r="P38" s="40" t="s">
        <v>3</v>
      </c>
      <c r="Q38" s="78" t="s">
        <v>2</v>
      </c>
      <c r="R38" s="42" t="s">
        <v>843</v>
      </c>
      <c r="S38" s="42" t="s">
        <v>855</v>
      </c>
      <c r="T38" s="44">
        <v>5534</v>
      </c>
      <c r="U38" s="52"/>
      <c r="V38" s="49"/>
      <c r="W38" s="44">
        <v>5534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D38" s="48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9"/>
      <c r="BQ38" s="44"/>
      <c r="BR38" s="44"/>
      <c r="BS38" s="44"/>
      <c r="BT38" s="44">
        <v>5534</v>
      </c>
      <c r="BU38" s="47"/>
      <c r="BV38" s="44"/>
      <c r="BW38" s="44"/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>
        <v>5534</v>
      </c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44224</v>
      </c>
      <c r="B39" s="34" t="s">
        <v>759</v>
      </c>
      <c r="C39" s="286" t="s">
        <v>854</v>
      </c>
      <c r="D39" s="36">
        <v>0.44166666666666665</v>
      </c>
      <c r="E39" s="36">
        <v>0.4465277777777778</v>
      </c>
      <c r="F39" s="39" t="s">
        <v>0</v>
      </c>
      <c r="G39" s="34">
        <v>2</v>
      </c>
      <c r="H39" s="39">
        <v>795</v>
      </c>
      <c r="I39" s="51" t="s">
        <v>641</v>
      </c>
      <c r="J39" s="39"/>
      <c r="K39" s="39"/>
      <c r="L39" s="34"/>
      <c r="M39" s="34"/>
      <c r="N39" s="34"/>
      <c r="O39" s="40" t="s">
        <v>3</v>
      </c>
      <c r="P39" s="40" t="s">
        <v>3</v>
      </c>
      <c r="Q39" s="78" t="s">
        <v>2</v>
      </c>
      <c r="R39" s="42" t="s">
        <v>843</v>
      </c>
      <c r="S39" s="42" t="s">
        <v>855</v>
      </c>
      <c r="T39" s="44">
        <v>4527.82</v>
      </c>
      <c r="U39" s="52"/>
      <c r="V39" s="49"/>
      <c r="W39" s="44">
        <v>4527.82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D39" s="48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9"/>
      <c r="BQ39" s="44"/>
      <c r="BR39" s="44"/>
      <c r="BS39" s="44"/>
      <c r="BT39" s="44">
        <v>4527.82</v>
      </c>
      <c r="BU39" s="47"/>
      <c r="BV39" s="44"/>
      <c r="BW39" s="44"/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>
        <v>4527.82</v>
      </c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411" customFormat="1" ht="27.6">
      <c r="A40" s="402">
        <v>44224</v>
      </c>
      <c r="B40" s="403" t="s">
        <v>759</v>
      </c>
      <c r="C40" s="404" t="s">
        <v>858</v>
      </c>
      <c r="D40" s="405">
        <v>0.45</v>
      </c>
      <c r="E40" s="405">
        <v>0.4548611111111111</v>
      </c>
      <c r="F40" s="406" t="s">
        <v>0</v>
      </c>
      <c r="G40" s="403">
        <v>2</v>
      </c>
      <c r="H40" s="406">
        <v>755</v>
      </c>
      <c r="I40" s="406" t="s">
        <v>564</v>
      </c>
      <c r="J40" s="406"/>
      <c r="K40" s="406"/>
      <c r="L40" s="403"/>
      <c r="M40" s="403"/>
      <c r="N40" s="403"/>
      <c r="O40" s="407" t="s">
        <v>3</v>
      </c>
      <c r="P40" s="407" t="s">
        <v>812</v>
      </c>
      <c r="Q40" s="408" t="s">
        <v>2</v>
      </c>
      <c r="R40" s="409" t="s">
        <v>859</v>
      </c>
      <c r="S40" s="409" t="s">
        <v>860</v>
      </c>
      <c r="T40" s="65"/>
      <c r="U40" s="46"/>
      <c r="V40" s="64"/>
      <c r="W40" s="65"/>
      <c r="X40" s="45"/>
      <c r="Y40" s="46"/>
      <c r="Z40" s="45"/>
      <c r="AA40" s="45"/>
      <c r="AB40" s="45"/>
      <c r="AC40" s="45"/>
      <c r="AD40" s="45"/>
      <c r="AE40" s="65"/>
      <c r="AF40" s="65"/>
      <c r="AG40" s="6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65"/>
      <c r="AZ40" s="65"/>
      <c r="BA40" s="65"/>
      <c r="BB40" s="65"/>
      <c r="BC40" s="65"/>
      <c r="BD40" s="410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4"/>
      <c r="BQ40" s="65"/>
      <c r="BR40" s="65"/>
      <c r="BS40" s="65"/>
      <c r="BT40" s="65"/>
      <c r="BU40" s="45"/>
      <c r="BV40" s="65"/>
      <c r="BW40" s="65"/>
      <c r="BX40" s="65"/>
      <c r="BY40" s="65"/>
      <c r="BZ40" s="65"/>
      <c r="CA40" s="65"/>
      <c r="CB40" s="63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45"/>
      <c r="DY40" s="45"/>
      <c r="DZ40" s="45"/>
    </row>
    <row r="41" spans="1:130" s="32" customFormat="1">
      <c r="A41" s="76"/>
      <c r="B41" s="34"/>
      <c r="C41" s="286"/>
      <c r="D41" s="36"/>
      <c r="E41" s="36"/>
      <c r="F41" s="39"/>
      <c r="G41" s="34"/>
      <c r="H41" s="39"/>
      <c r="I41" s="51"/>
      <c r="J41" s="39"/>
      <c r="K41" s="39"/>
      <c r="L41" s="34"/>
      <c r="M41" s="34"/>
      <c r="N41" s="34"/>
      <c r="O41" s="40"/>
      <c r="P41" s="40"/>
      <c r="Q41" s="78"/>
      <c r="R41" s="42"/>
      <c r="S41" s="42"/>
      <c r="T41" s="44"/>
      <c r="U41" s="52"/>
      <c r="V41" s="49"/>
      <c r="W41" s="44"/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4"/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4"/>
      <c r="BU41" s="47"/>
      <c r="BV41" s="44"/>
      <c r="BW41" s="44"/>
      <c r="BX41" s="44"/>
      <c r="BY41" s="44"/>
      <c r="BZ41" s="44"/>
      <c r="CA41" s="44"/>
      <c r="CB41" s="43"/>
      <c r="CC41" s="44"/>
      <c r="CD41" s="44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129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>
      <c r="A42" s="76"/>
      <c r="B42" s="34"/>
      <c r="C42" s="286"/>
      <c r="D42" s="36"/>
      <c r="E42" s="36"/>
      <c r="F42" s="39"/>
      <c r="G42" s="34"/>
      <c r="H42" s="39"/>
      <c r="I42" s="51"/>
      <c r="J42" s="39"/>
      <c r="K42" s="39"/>
      <c r="L42" s="34"/>
      <c r="M42" s="34"/>
      <c r="N42" s="34"/>
      <c r="O42" s="40"/>
      <c r="P42" s="40"/>
      <c r="Q42" s="78"/>
      <c r="R42" s="42"/>
      <c r="S42" s="42"/>
      <c r="T42" s="44"/>
      <c r="U42" s="52"/>
      <c r="V42" s="49"/>
      <c r="W42" s="44"/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C42" s="44"/>
      <c r="BD42" s="48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4"/>
      <c r="BU42" s="47"/>
      <c r="BV42" s="44"/>
      <c r="BW42" s="44"/>
      <c r="BX42" s="44"/>
      <c r="BY42" s="44"/>
      <c r="BZ42" s="44"/>
      <c r="CA42" s="44"/>
      <c r="CB42" s="43"/>
      <c r="CC42" s="44"/>
      <c r="CD42" s="44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129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>
      <c r="A43" s="76"/>
      <c r="B43" s="34"/>
      <c r="C43" s="286"/>
      <c r="D43" s="36"/>
      <c r="E43" s="36"/>
      <c r="F43" s="39"/>
      <c r="G43" s="34"/>
      <c r="H43" s="39"/>
      <c r="I43" s="51"/>
      <c r="J43" s="39"/>
      <c r="K43" s="39"/>
      <c r="L43" s="34"/>
      <c r="M43" s="34"/>
      <c r="N43" s="34"/>
      <c r="O43" s="40"/>
      <c r="P43" s="40"/>
      <c r="Q43" s="78"/>
      <c r="R43" s="42"/>
      <c r="S43" s="42"/>
      <c r="T43" s="44"/>
      <c r="U43" s="52"/>
      <c r="V43" s="49"/>
      <c r="W43" s="44"/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C43" s="44"/>
      <c r="BD43" s="48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9"/>
      <c r="BQ43" s="44"/>
      <c r="BR43" s="44"/>
      <c r="BS43" s="44"/>
      <c r="BT43" s="44"/>
      <c r="BU43" s="47"/>
      <c r="BV43" s="44"/>
      <c r="BW43" s="44"/>
      <c r="BX43" s="44"/>
      <c r="BY43" s="44"/>
      <c r="BZ43" s="44"/>
      <c r="CA43" s="44"/>
      <c r="CB43" s="43"/>
      <c r="CC43" s="44"/>
      <c r="CD43" s="44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129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>
      <c r="A44" s="76"/>
      <c r="B44" s="34"/>
      <c r="C44" s="286"/>
      <c r="D44" s="36"/>
      <c r="E44" s="36"/>
      <c r="F44" s="39"/>
      <c r="G44" s="34"/>
      <c r="H44" s="39"/>
      <c r="I44" s="51"/>
      <c r="J44" s="39"/>
      <c r="K44" s="39"/>
      <c r="L44" s="34"/>
      <c r="M44" s="34"/>
      <c r="N44" s="34"/>
      <c r="O44" s="40"/>
      <c r="P44" s="40"/>
      <c r="Q44" s="78"/>
      <c r="R44" s="42"/>
      <c r="S44" s="42"/>
      <c r="T44" s="44"/>
      <c r="U44" s="52"/>
      <c r="V44" s="49"/>
      <c r="W44" s="44"/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C44" s="44"/>
      <c r="BD44" s="48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9"/>
      <c r="BQ44" s="44"/>
      <c r="BR44" s="44"/>
      <c r="BS44" s="44"/>
      <c r="BT44" s="44"/>
      <c r="BU44" s="47"/>
      <c r="BV44" s="44"/>
      <c r="BW44" s="44"/>
      <c r="BX44" s="44"/>
      <c r="BY44" s="44"/>
      <c r="BZ44" s="44"/>
      <c r="CA44" s="44"/>
      <c r="CB44" s="43"/>
      <c r="CC44" s="44"/>
      <c r="CD44" s="44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129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243" customFormat="1" ht="13.8">
      <c r="A45" s="234"/>
      <c r="B45" s="38"/>
      <c r="C45" s="235"/>
      <c r="D45" s="236"/>
      <c r="E45" s="236"/>
      <c r="F45" s="37"/>
      <c r="G45" s="38"/>
      <c r="H45" s="37"/>
      <c r="I45" s="37"/>
      <c r="J45" s="37"/>
      <c r="K45" s="37"/>
      <c r="L45" s="38"/>
      <c r="M45" s="38"/>
      <c r="N45" s="38"/>
      <c r="O45" s="237"/>
      <c r="P45" s="237"/>
      <c r="Q45" s="237"/>
      <c r="R45" s="246"/>
      <c r="S45" s="238"/>
      <c r="T45" s="239"/>
      <c r="U45" s="240"/>
      <c r="V45" s="239"/>
      <c r="W45" s="239"/>
      <c r="X45" s="241"/>
      <c r="Y45" s="240"/>
      <c r="Z45" s="241"/>
      <c r="AA45" s="241"/>
      <c r="AB45" s="241"/>
      <c r="AC45" s="241"/>
      <c r="AD45" s="241"/>
      <c r="AE45" s="239"/>
      <c r="AF45" s="239"/>
      <c r="AG45" s="239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39"/>
      <c r="AZ45" s="239"/>
      <c r="BA45" s="239"/>
      <c r="BB45" s="239"/>
      <c r="BC45" s="239"/>
      <c r="BD45" s="242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41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41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D45" s="239"/>
      <c r="DE45" s="245"/>
      <c r="DF45" s="245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41"/>
      <c r="DY45" s="241"/>
      <c r="DZ45" s="241"/>
    </row>
    <row r="46" spans="1:130" s="136" customFormat="1" ht="15.75" customHeight="1">
      <c r="A46" s="130"/>
      <c r="B46" s="56"/>
      <c r="C46" s="60"/>
      <c r="D46" s="61"/>
      <c r="E46" s="61"/>
      <c r="F46" s="55"/>
      <c r="G46" s="56"/>
      <c r="H46" s="55"/>
      <c r="I46" s="55"/>
      <c r="J46" s="55"/>
      <c r="K46" s="55"/>
      <c r="L46" s="56"/>
      <c r="M46" s="56"/>
      <c r="N46" s="56"/>
      <c r="O46" s="131"/>
      <c r="P46" s="131"/>
      <c r="Q46" s="132"/>
      <c r="R46" s="58"/>
      <c r="S46" s="58"/>
      <c r="T46" s="133"/>
      <c r="U46" s="134"/>
      <c r="V46" s="74"/>
      <c r="W46" s="43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43"/>
      <c r="BD46" s="135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74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71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43"/>
    </row>
    <row r="47" spans="1:130" s="136" customFormat="1" ht="15.75" customHeight="1" thickBot="1">
      <c r="A47" s="137"/>
      <c r="B47" s="138"/>
      <c r="C47" s="139"/>
      <c r="D47" s="140"/>
      <c r="E47" s="140"/>
      <c r="F47" s="141"/>
      <c r="G47" s="138"/>
      <c r="H47" s="141"/>
      <c r="I47" s="141"/>
      <c r="J47" s="141"/>
      <c r="K47" s="141"/>
      <c r="L47" s="138"/>
      <c r="M47" s="138"/>
      <c r="N47" s="138"/>
      <c r="O47" s="142"/>
      <c r="P47" s="142"/>
      <c r="Q47" s="143"/>
      <c r="R47" s="144"/>
      <c r="S47" s="144"/>
      <c r="T47" s="145">
        <f>SUM(T5:T46)</f>
        <v>305707.43999999994</v>
      </c>
      <c r="U47" s="146"/>
      <c r="V47" s="147">
        <f t="shared" ref="V47:BA47" si="2">SUM(V5:V46)</f>
        <v>0</v>
      </c>
      <c r="W47" s="147">
        <f t="shared" si="2"/>
        <v>305707.43999999994</v>
      </c>
      <c r="X47" s="147">
        <f t="shared" si="2"/>
        <v>0</v>
      </c>
      <c r="Y47" s="147">
        <f t="shared" si="2"/>
        <v>0</v>
      </c>
      <c r="Z47" s="147">
        <f t="shared" si="2"/>
        <v>0</v>
      </c>
      <c r="AA47" s="147">
        <f t="shared" si="2"/>
        <v>0</v>
      </c>
      <c r="AB47" s="147">
        <f t="shared" si="2"/>
        <v>0</v>
      </c>
      <c r="AC47" s="147">
        <f t="shared" si="2"/>
        <v>0</v>
      </c>
      <c r="AD47" s="147">
        <f t="shared" si="2"/>
        <v>0</v>
      </c>
      <c r="AE47" s="147">
        <f t="shared" si="2"/>
        <v>0</v>
      </c>
      <c r="AF47" s="147">
        <f t="shared" si="2"/>
        <v>0</v>
      </c>
      <c r="AG47" s="147">
        <f t="shared" si="2"/>
        <v>0</v>
      </c>
      <c r="AH47" s="147">
        <f t="shared" si="2"/>
        <v>0</v>
      </c>
      <c r="AI47" s="147">
        <f t="shared" si="2"/>
        <v>0</v>
      </c>
      <c r="AJ47" s="147">
        <f t="shared" si="2"/>
        <v>0</v>
      </c>
      <c r="AK47" s="147">
        <f t="shared" si="2"/>
        <v>0</v>
      </c>
      <c r="AL47" s="147">
        <f t="shared" si="2"/>
        <v>0</v>
      </c>
      <c r="AM47" s="147">
        <f t="shared" si="2"/>
        <v>0</v>
      </c>
      <c r="AN47" s="147">
        <f t="shared" si="2"/>
        <v>0</v>
      </c>
      <c r="AO47" s="147">
        <f t="shared" si="2"/>
        <v>0</v>
      </c>
      <c r="AP47" s="147">
        <f t="shared" si="2"/>
        <v>0</v>
      </c>
      <c r="AQ47" s="147">
        <f t="shared" si="2"/>
        <v>0</v>
      </c>
      <c r="AR47" s="147">
        <f t="shared" si="2"/>
        <v>0</v>
      </c>
      <c r="AS47" s="147">
        <f t="shared" si="2"/>
        <v>0</v>
      </c>
      <c r="AT47" s="147">
        <f t="shared" si="2"/>
        <v>0</v>
      </c>
      <c r="AU47" s="147">
        <f t="shared" si="2"/>
        <v>0</v>
      </c>
      <c r="AV47" s="147">
        <f t="shared" si="2"/>
        <v>0</v>
      </c>
      <c r="AW47" s="147">
        <f t="shared" si="2"/>
        <v>0</v>
      </c>
      <c r="AX47" s="147">
        <f t="shared" si="2"/>
        <v>0</v>
      </c>
      <c r="AY47" s="147">
        <f t="shared" si="2"/>
        <v>0</v>
      </c>
      <c r="AZ47" s="147">
        <f t="shared" si="2"/>
        <v>0</v>
      </c>
      <c r="BA47" s="147">
        <f t="shared" si="2"/>
        <v>0</v>
      </c>
      <c r="BB47" s="147">
        <f t="shared" ref="BB47:CG47" si="3">SUM(BB5:BB46)</f>
        <v>0</v>
      </c>
      <c r="BC47" s="147">
        <f t="shared" si="3"/>
        <v>0</v>
      </c>
      <c r="BD47" s="147">
        <f t="shared" si="3"/>
        <v>0</v>
      </c>
      <c r="BE47" s="147">
        <f t="shared" si="3"/>
        <v>0</v>
      </c>
      <c r="BF47" s="147">
        <f t="shared" si="3"/>
        <v>0</v>
      </c>
      <c r="BG47" s="147">
        <f t="shared" si="3"/>
        <v>0</v>
      </c>
      <c r="BH47" s="147">
        <f t="shared" si="3"/>
        <v>0</v>
      </c>
      <c r="BI47" s="147">
        <f t="shared" si="3"/>
        <v>0</v>
      </c>
      <c r="BJ47" s="147">
        <f t="shared" si="3"/>
        <v>0</v>
      </c>
      <c r="BK47" s="147">
        <f t="shared" si="3"/>
        <v>0</v>
      </c>
      <c r="BL47" s="147">
        <f t="shared" si="3"/>
        <v>0</v>
      </c>
      <c r="BM47" s="147">
        <f t="shared" si="3"/>
        <v>0</v>
      </c>
      <c r="BN47" s="147">
        <f t="shared" si="3"/>
        <v>0</v>
      </c>
      <c r="BO47" s="147">
        <f t="shared" si="3"/>
        <v>0</v>
      </c>
      <c r="BP47" s="147">
        <f t="shared" si="3"/>
        <v>0</v>
      </c>
      <c r="BQ47" s="147">
        <f t="shared" si="3"/>
        <v>0</v>
      </c>
      <c r="BR47" s="147">
        <f t="shared" si="3"/>
        <v>0</v>
      </c>
      <c r="BS47" s="147">
        <f t="shared" si="3"/>
        <v>0</v>
      </c>
      <c r="BT47" s="147">
        <f t="shared" si="3"/>
        <v>276693.13</v>
      </c>
      <c r="BU47" s="147">
        <f t="shared" si="3"/>
        <v>6006.93</v>
      </c>
      <c r="BV47" s="147">
        <f t="shared" si="3"/>
        <v>1558.07</v>
      </c>
      <c r="BW47" s="147">
        <f t="shared" si="3"/>
        <v>20689.63</v>
      </c>
      <c r="BX47" s="147">
        <f t="shared" si="3"/>
        <v>759.68</v>
      </c>
      <c r="BY47" s="147">
        <f t="shared" si="3"/>
        <v>0</v>
      </c>
      <c r="BZ47" s="147">
        <f t="shared" si="3"/>
        <v>0</v>
      </c>
      <c r="CA47" s="147">
        <f t="shared" si="3"/>
        <v>0</v>
      </c>
      <c r="CB47" s="147">
        <f t="shared" si="3"/>
        <v>0</v>
      </c>
      <c r="CC47" s="147">
        <f t="shared" si="3"/>
        <v>0</v>
      </c>
      <c r="CD47" s="147">
        <f t="shared" si="3"/>
        <v>0</v>
      </c>
      <c r="CE47" s="147">
        <f t="shared" si="3"/>
        <v>0</v>
      </c>
      <c r="CF47" s="147">
        <f t="shared" si="3"/>
        <v>0</v>
      </c>
      <c r="CG47" s="147">
        <f t="shared" si="3"/>
        <v>0</v>
      </c>
      <c r="CH47" s="147">
        <f t="shared" ref="CH47:DM47" si="4">SUM(CH5:CH46)</f>
        <v>2834.25</v>
      </c>
      <c r="CI47" s="147">
        <f t="shared" si="4"/>
        <v>0</v>
      </c>
      <c r="CJ47" s="147">
        <f t="shared" si="4"/>
        <v>22550.49</v>
      </c>
      <c r="CK47" s="147">
        <f t="shared" si="4"/>
        <v>600</v>
      </c>
      <c r="CL47" s="147">
        <f t="shared" si="4"/>
        <v>14570.41</v>
      </c>
      <c r="CM47" s="147">
        <f t="shared" si="4"/>
        <v>0</v>
      </c>
      <c r="CN47" s="147">
        <f t="shared" si="4"/>
        <v>0</v>
      </c>
      <c r="CO47" s="147">
        <f t="shared" si="4"/>
        <v>0</v>
      </c>
      <c r="CP47" s="147">
        <f t="shared" si="4"/>
        <v>2500</v>
      </c>
      <c r="CQ47" s="147">
        <f t="shared" si="4"/>
        <v>0</v>
      </c>
      <c r="CR47" s="147">
        <f t="shared" si="4"/>
        <v>0</v>
      </c>
      <c r="CS47" s="147">
        <f t="shared" si="4"/>
        <v>0</v>
      </c>
      <c r="CT47" s="147">
        <f t="shared" si="4"/>
        <v>0</v>
      </c>
      <c r="CU47" s="147">
        <f t="shared" si="4"/>
        <v>300</v>
      </c>
      <c r="CV47" s="147">
        <f t="shared" si="4"/>
        <v>170501.47</v>
      </c>
      <c r="CW47" s="147">
        <f t="shared" si="4"/>
        <v>0</v>
      </c>
      <c r="CX47" s="147">
        <f t="shared" si="4"/>
        <v>39000</v>
      </c>
      <c r="CY47" s="147">
        <f t="shared" si="4"/>
        <v>0</v>
      </c>
      <c r="CZ47" s="147">
        <f t="shared" si="4"/>
        <v>0</v>
      </c>
      <c r="DA47" s="147">
        <f t="shared" si="4"/>
        <v>0</v>
      </c>
      <c r="DB47" s="147">
        <f t="shared" si="4"/>
        <v>0</v>
      </c>
      <c r="DC47" s="147">
        <f t="shared" si="4"/>
        <v>5753</v>
      </c>
      <c r="DD47" s="147">
        <f t="shared" si="4"/>
        <v>0</v>
      </c>
      <c r="DE47" s="147">
        <f t="shared" si="4"/>
        <v>10467.82</v>
      </c>
      <c r="DF47" s="147">
        <f t="shared" si="4"/>
        <v>7600</v>
      </c>
      <c r="DG47" s="147">
        <f t="shared" si="4"/>
        <v>0</v>
      </c>
      <c r="DH47" s="147">
        <f t="shared" si="4"/>
        <v>5300</v>
      </c>
      <c r="DI47" s="147">
        <f t="shared" si="4"/>
        <v>0</v>
      </c>
      <c r="DJ47" s="147">
        <f t="shared" si="4"/>
        <v>0</v>
      </c>
      <c r="DK47" s="147">
        <f t="shared" si="4"/>
        <v>0</v>
      </c>
      <c r="DL47" s="147">
        <f t="shared" si="4"/>
        <v>0</v>
      </c>
      <c r="DM47" s="147">
        <f t="shared" si="4"/>
        <v>0</v>
      </c>
      <c r="DN47" s="147">
        <f t="shared" ref="DN47:DZ47" si="5">SUM(DN5:DN46)</f>
        <v>0</v>
      </c>
      <c r="DO47" s="147">
        <f t="shared" si="5"/>
        <v>10000</v>
      </c>
      <c r="DP47" s="147">
        <f t="shared" si="5"/>
        <v>0</v>
      </c>
      <c r="DQ47" s="147">
        <f t="shared" si="5"/>
        <v>0</v>
      </c>
      <c r="DR47" s="147">
        <f t="shared" si="5"/>
        <v>0</v>
      </c>
      <c r="DS47" s="147">
        <f t="shared" si="5"/>
        <v>0</v>
      </c>
      <c r="DT47" s="147">
        <f t="shared" si="5"/>
        <v>11250</v>
      </c>
      <c r="DU47" s="147">
        <f t="shared" si="5"/>
        <v>0</v>
      </c>
      <c r="DV47" s="147">
        <f t="shared" si="5"/>
        <v>0</v>
      </c>
      <c r="DW47" s="147">
        <f t="shared" si="5"/>
        <v>2480</v>
      </c>
      <c r="DX47" s="147">
        <f t="shared" si="5"/>
        <v>0</v>
      </c>
      <c r="DY47" s="147">
        <f t="shared" si="5"/>
        <v>0</v>
      </c>
      <c r="DZ47" s="147">
        <f t="shared" si="5"/>
        <v>0</v>
      </c>
    </row>
    <row r="48" spans="1:130" s="136" customFormat="1" ht="15.75" customHeight="1" thickTop="1">
      <c r="A48" s="148"/>
      <c r="B48" s="149"/>
      <c r="C48" s="150"/>
      <c r="D48" s="151"/>
      <c r="E48" s="151"/>
      <c r="F48" s="152"/>
      <c r="G48" s="149"/>
      <c r="H48" s="152"/>
      <c r="I48" s="152"/>
      <c r="J48" s="152"/>
      <c r="K48" s="152"/>
      <c r="L48" s="149"/>
      <c r="M48" s="149"/>
      <c r="N48" s="149"/>
      <c r="O48" s="153"/>
      <c r="P48" s="153"/>
      <c r="Q48" s="154"/>
      <c r="R48" s="155"/>
      <c r="S48" s="155"/>
      <c r="T48" s="156"/>
      <c r="U48" s="157"/>
      <c r="V48" s="158"/>
      <c r="W48" s="159"/>
      <c r="X48" s="158"/>
      <c r="Y48" s="160"/>
      <c r="Z48" s="154"/>
      <c r="AA48" s="154"/>
      <c r="AB48" s="154"/>
      <c r="AC48" s="154"/>
      <c r="AD48" s="154"/>
      <c r="AE48" s="161"/>
      <c r="AF48" s="161"/>
      <c r="AG48" s="161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61"/>
      <c r="AZ48" s="161"/>
      <c r="BA48" s="161"/>
      <c r="BB48" s="161"/>
      <c r="BC48" s="74">
        <f>SUM(BC47:BS47)</f>
        <v>0</v>
      </c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74"/>
      <c r="CB48" s="74"/>
      <c r="CC48" s="74"/>
      <c r="CD48" s="74">
        <f>SUM(CD47:DZ47)</f>
        <v>305707.44</v>
      </c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74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</row>
    <row r="49" spans="55:130" s="136" customFormat="1" ht="15" customHeight="1">
      <c r="BC49" s="162" t="s">
        <v>27</v>
      </c>
      <c r="BD49" s="162" t="s">
        <v>28</v>
      </c>
      <c r="BE49" s="163" t="s">
        <v>29</v>
      </c>
      <c r="BF49" s="164" t="s">
        <v>30</v>
      </c>
      <c r="BG49" s="164" t="s">
        <v>31</v>
      </c>
      <c r="BH49" s="165" t="s">
        <v>32</v>
      </c>
      <c r="BI49" s="165" t="s">
        <v>33</v>
      </c>
      <c r="BJ49" s="163" t="s">
        <v>34</v>
      </c>
      <c r="BK49" s="163" t="s">
        <v>35</v>
      </c>
      <c r="BL49" s="163" t="s">
        <v>36</v>
      </c>
      <c r="BM49" s="163" t="s">
        <v>37</v>
      </c>
      <c r="BN49" s="165" t="s">
        <v>38</v>
      </c>
      <c r="BO49" s="163" t="s">
        <v>39</v>
      </c>
      <c r="BP49" s="163" t="s">
        <v>40</v>
      </c>
      <c r="BQ49" s="163" t="s">
        <v>41</v>
      </c>
      <c r="BR49" s="163" t="s">
        <v>42</v>
      </c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7" t="s">
        <v>43</v>
      </c>
      <c r="CE49" s="168" t="s">
        <v>44</v>
      </c>
      <c r="CF49" s="168">
        <v>752</v>
      </c>
      <c r="CG49" s="168" t="s">
        <v>45</v>
      </c>
      <c r="CH49" s="168" t="s">
        <v>46</v>
      </c>
      <c r="CI49" s="168" t="s">
        <v>47</v>
      </c>
      <c r="CJ49" s="168">
        <v>761</v>
      </c>
      <c r="CK49" s="168" t="s">
        <v>48</v>
      </c>
      <c r="CL49" s="168" t="s">
        <v>49</v>
      </c>
      <c r="CM49" s="168">
        <v>767</v>
      </c>
      <c r="CN49" s="168" t="s">
        <v>50</v>
      </c>
      <c r="CO49" s="168" t="s">
        <v>51</v>
      </c>
      <c r="CP49" s="168" t="s">
        <v>52</v>
      </c>
      <c r="CQ49" s="168" t="s">
        <v>53</v>
      </c>
      <c r="CR49" s="168" t="s">
        <v>54</v>
      </c>
      <c r="CS49" s="168" t="s">
        <v>55</v>
      </c>
      <c r="CT49" s="168" t="s">
        <v>56</v>
      </c>
      <c r="CU49" s="168" t="s">
        <v>57</v>
      </c>
      <c r="CV49" s="168" t="s">
        <v>58</v>
      </c>
      <c r="CW49" s="168" t="s">
        <v>58</v>
      </c>
      <c r="CX49" s="168" t="s">
        <v>59</v>
      </c>
      <c r="CY49" s="168" t="s">
        <v>60</v>
      </c>
      <c r="CZ49" s="168" t="s">
        <v>61</v>
      </c>
      <c r="DA49" s="168" t="s">
        <v>62</v>
      </c>
      <c r="DB49" s="168" t="s">
        <v>63</v>
      </c>
      <c r="DC49" s="168" t="s">
        <v>64</v>
      </c>
      <c r="DD49" s="168">
        <v>793</v>
      </c>
      <c r="DE49" s="168">
        <v>795</v>
      </c>
      <c r="DF49" s="168">
        <v>796</v>
      </c>
      <c r="DG49" s="168">
        <v>797</v>
      </c>
      <c r="DH49" s="168" t="s">
        <v>65</v>
      </c>
      <c r="DI49" s="168" t="s">
        <v>66</v>
      </c>
      <c r="DJ49" s="168" t="s">
        <v>67</v>
      </c>
      <c r="DK49" s="168" t="s">
        <v>68</v>
      </c>
      <c r="DL49" s="168" t="s">
        <v>69</v>
      </c>
      <c r="DM49" s="168" t="s">
        <v>70</v>
      </c>
      <c r="DN49" s="168" t="s">
        <v>71</v>
      </c>
      <c r="DO49" s="168" t="s">
        <v>72</v>
      </c>
      <c r="DP49" s="168" t="s">
        <v>73</v>
      </c>
      <c r="DQ49" s="168" t="s">
        <v>74</v>
      </c>
      <c r="DR49" s="168">
        <v>879</v>
      </c>
      <c r="DS49" s="168" t="s">
        <v>75</v>
      </c>
      <c r="DT49" s="168" t="s">
        <v>76</v>
      </c>
      <c r="DU49" s="168" t="s">
        <v>77</v>
      </c>
      <c r="DV49" s="168" t="s">
        <v>78</v>
      </c>
      <c r="DW49" s="168" t="s">
        <v>79</v>
      </c>
      <c r="DX49" s="168">
        <v>226</v>
      </c>
      <c r="DY49" s="168">
        <v>241</v>
      </c>
      <c r="DZ49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857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845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854</v>
      </c>
      <c r="D5" s="36">
        <v>0.44166666666666665</v>
      </c>
      <c r="E5" s="36">
        <v>0.4465277777777778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5</v>
      </c>
      <c r="Q5" s="78" t="s">
        <v>2</v>
      </c>
      <c r="R5" s="42" t="s">
        <v>843</v>
      </c>
      <c r="S5" s="42" t="s">
        <v>855</v>
      </c>
      <c r="T5" s="44">
        <v>10000</v>
      </c>
      <c r="U5" s="52"/>
      <c r="V5" s="49"/>
      <c r="W5" s="44">
        <f>+T5-V5</f>
        <v>10000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U5" s="47"/>
      <c r="BV5" s="44"/>
      <c r="BW5" s="44">
        <v>10000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10000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10000</v>
      </c>
      <c r="U23" s="146"/>
      <c r="V23" s="147">
        <f t="shared" ref="V23:BA23" si="0">SUM(V5:V22)</f>
        <v>0</v>
      </c>
      <c r="W23" s="147">
        <f t="shared" si="0"/>
        <v>10000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10000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10000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10000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44222</v>
      </c>
      <c r="B5" s="34" t="s">
        <v>759</v>
      </c>
      <c r="C5" s="286" t="s">
        <v>829</v>
      </c>
      <c r="D5" s="36">
        <v>0.46666666666666662</v>
      </c>
      <c r="E5" s="36">
        <v>0.46736111111111112</v>
      </c>
      <c r="F5" s="55" t="s">
        <v>0</v>
      </c>
      <c r="G5" s="38">
        <v>2</v>
      </c>
      <c r="H5" s="39" t="s">
        <v>828</v>
      </c>
      <c r="I5" s="51" t="str">
        <f>VLOOKUP(H5,'[2]Chart of accounts'!A:H,2,FALSE)</f>
        <v>50604050 03</v>
      </c>
      <c r="J5" s="39"/>
      <c r="K5" s="39"/>
      <c r="L5" s="34"/>
      <c r="M5" s="34"/>
      <c r="N5" s="34"/>
      <c r="O5" s="53" t="s">
        <v>4</v>
      </c>
      <c r="P5" s="40" t="s">
        <v>753</v>
      </c>
      <c r="Q5" s="41" t="s">
        <v>2</v>
      </c>
      <c r="R5" s="42" t="s">
        <v>830</v>
      </c>
      <c r="S5" s="42" t="s">
        <v>831</v>
      </c>
      <c r="T5" s="44">
        <v>59500</v>
      </c>
      <c r="U5" s="52"/>
      <c r="V5" s="49"/>
      <c r="W5" s="44">
        <f>+T5-V5</f>
        <v>59500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4"/>
      <c r="BU5" s="47"/>
      <c r="BV5" s="44"/>
      <c r="BW5" s="44">
        <v>59500</v>
      </c>
      <c r="BX5" s="44"/>
      <c r="BY5" s="44"/>
      <c r="BZ5" s="44"/>
      <c r="CA5" s="44"/>
      <c r="CB5" s="43"/>
      <c r="CC5" s="44"/>
      <c r="CD5" s="65"/>
      <c r="CE5" s="44"/>
      <c r="CF5" s="44"/>
      <c r="CG5" s="44"/>
      <c r="CI5" s="44"/>
      <c r="CJ5" s="44"/>
      <c r="CL5" s="44"/>
      <c r="CM5" s="44"/>
      <c r="CN5" s="44"/>
      <c r="CO5" s="44"/>
      <c r="CP5" s="44"/>
      <c r="CQ5" s="44"/>
      <c r="CR5" s="44"/>
      <c r="CS5" s="44"/>
      <c r="CT5" s="44"/>
      <c r="CV5" s="44"/>
      <c r="CW5" s="44"/>
      <c r="CX5" s="50"/>
      <c r="CY5" s="44"/>
      <c r="CZ5" s="44"/>
      <c r="DA5" s="44"/>
      <c r="DB5" s="44"/>
      <c r="DD5" s="44"/>
      <c r="DF5" s="44"/>
      <c r="DG5" s="44"/>
      <c r="DH5" s="129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4">
        <v>59500</v>
      </c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59500</v>
      </c>
      <c r="U23" s="146"/>
      <c r="V23" s="147">
        <f t="shared" ref="V23:BA23" si="0">SUM(V5:V22)</f>
        <v>0</v>
      </c>
      <c r="W23" s="147">
        <f t="shared" si="0"/>
        <v>59500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59500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59500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59500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2021-04-08T02:24:21Z</dcterms:modified>
  <cp:category/>
</cp:coreProperties>
</file>